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INANCE\PUC Submissions\FY 2023 - PUC monthly reports\November 2022\"/>
    </mc:Choice>
  </mc:AlternateContent>
  <xr:revisionPtr revIDLastSave="0" documentId="13_ncr:1_{1435F816-2C89-4F29-B217-B9DD65DC6E14}" xr6:coauthVersionLast="47" xr6:coauthVersionMax="47" xr10:uidLastSave="{00000000-0000-0000-0000-000000000000}"/>
  <bookViews>
    <workbookView xWindow="30525" yWindow="135" windowWidth="20610" windowHeight="15465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3" l="1"/>
  <c r="O28" i="3"/>
  <c r="N28" i="3"/>
  <c r="M20" i="5" l="1"/>
  <c r="K21" i="5"/>
  <c r="K17" i="5"/>
  <c r="P27" i="3" l="1"/>
  <c r="O27" i="3"/>
  <c r="N27" i="3"/>
  <c r="P26" i="3"/>
  <c r="O26" i="3"/>
  <c r="N26" i="3"/>
  <c r="P25" i="3" l="1"/>
  <c r="O25" i="3"/>
  <c r="N25" i="3"/>
  <c r="M12" i="5"/>
  <c r="P23" i="3" l="1"/>
  <c r="O23" i="3"/>
  <c r="N23" i="3"/>
  <c r="P22" i="3"/>
  <c r="O22" i="3"/>
  <c r="N22" i="3"/>
  <c r="C84" i="4" l="1"/>
  <c r="D33" i="4" s="1"/>
  <c r="C69" i="4"/>
  <c r="D32" i="4" s="1"/>
  <c r="C65" i="4"/>
  <c r="C64" i="4"/>
  <c r="C63" i="4"/>
  <c r="C62" i="4"/>
  <c r="C61" i="4"/>
  <c r="C60" i="4"/>
  <c r="C59" i="4"/>
  <c r="C58" i="4"/>
  <c r="C57" i="4"/>
  <c r="C56" i="4"/>
  <c r="C55" i="4"/>
  <c r="C54" i="4"/>
  <c r="B65" i="4"/>
  <c r="B64" i="4"/>
  <c r="B63" i="4"/>
  <c r="B62" i="4"/>
  <c r="B61" i="4"/>
  <c r="B60" i="4"/>
  <c r="B59" i="4"/>
  <c r="B58" i="4"/>
  <c r="B57" i="4"/>
  <c r="B56" i="4"/>
  <c r="B55" i="4"/>
  <c r="B54" i="4"/>
  <c r="B110" i="4"/>
  <c r="AL34" i="4" s="1"/>
  <c r="B109" i="4"/>
  <c r="AI34" i="4" s="1"/>
  <c r="B108" i="4"/>
  <c r="AF34" i="4" s="1"/>
  <c r="B107" i="4"/>
  <c r="AC34" i="4" s="1"/>
  <c r="B106" i="4"/>
  <c r="Z34" i="4" s="1"/>
  <c r="B105" i="4"/>
  <c r="W34" i="4" s="1"/>
  <c r="B104" i="4"/>
  <c r="T34" i="4" s="1"/>
  <c r="B103" i="4"/>
  <c r="Q34" i="4" s="1"/>
  <c r="B102" i="4"/>
  <c r="N34" i="4" s="1"/>
  <c r="C86" i="4"/>
  <c r="J33" i="4" s="1"/>
  <c r="B95" i="4"/>
  <c r="AL33" i="4" s="1"/>
  <c r="B94" i="4"/>
  <c r="AI33" i="4" s="1"/>
  <c r="B93" i="4"/>
  <c r="AF33" i="4" s="1"/>
  <c r="B92" i="4"/>
  <c r="AC33" i="4" s="1"/>
  <c r="B91" i="4"/>
  <c r="Z33" i="4" s="1"/>
  <c r="B90" i="4"/>
  <c r="W33" i="4" s="1"/>
  <c r="B89" i="4"/>
  <c r="T33" i="4" s="1"/>
  <c r="B88" i="4"/>
  <c r="Q33" i="4" s="1"/>
  <c r="C71" i="4"/>
  <c r="J32" i="4" s="1"/>
  <c r="C70" i="4"/>
  <c r="B80" i="4"/>
  <c r="AL32" i="4" s="1"/>
  <c r="B79" i="4"/>
  <c r="AI32" i="4" s="1"/>
  <c r="B78" i="4"/>
  <c r="AF32" i="4" s="1"/>
  <c r="B77" i="4"/>
  <c r="AC32" i="4" s="1"/>
  <c r="B76" i="4"/>
  <c r="Z32" i="4" s="1"/>
  <c r="B75" i="4"/>
  <c r="W32" i="4" s="1"/>
  <c r="B74" i="4"/>
  <c r="T32" i="4" s="1"/>
  <c r="B73" i="4"/>
  <c r="Q32" i="4" s="1"/>
  <c r="B72" i="4"/>
  <c r="N32" i="4" s="1"/>
  <c r="P21" i="3"/>
  <c r="O21" i="3"/>
  <c r="B87" i="4" s="1"/>
  <c r="N33" i="4" s="1"/>
  <c r="N21" i="3"/>
  <c r="N35" i="4" l="1"/>
  <c r="Z35" i="4"/>
  <c r="AL35" i="4"/>
  <c r="W35" i="4"/>
  <c r="AI35" i="4"/>
  <c r="AF35" i="4"/>
  <c r="T35" i="4"/>
  <c r="Q35" i="4"/>
  <c r="AC35" i="4"/>
  <c r="D54" i="4"/>
  <c r="P20" i="3" l="1"/>
  <c r="B101" i="4" s="1"/>
  <c r="K34" i="4" s="1"/>
  <c r="O20" i="3"/>
  <c r="B86" i="4" s="1"/>
  <c r="K33" i="4" s="1"/>
  <c r="N20" i="3"/>
  <c r="B71" i="4" s="1"/>
  <c r="K32" i="4" s="1"/>
  <c r="K35" i="4" s="1"/>
  <c r="P19" i="3" l="1"/>
  <c r="B100" i="4" s="1"/>
  <c r="N19" i="3"/>
  <c r="B70" i="4" s="1"/>
  <c r="D70" i="4" s="1"/>
  <c r="O19" i="3"/>
  <c r="B85" i="4" s="1"/>
  <c r="P18" i="3" l="1"/>
  <c r="B99" i="4" s="1"/>
  <c r="O18" i="3"/>
  <c r="B84" i="4" s="1"/>
  <c r="N18" i="3"/>
  <c r="B69" i="4" s="1"/>
  <c r="E32" i="4" l="1"/>
  <c r="D69" i="4"/>
  <c r="E33" i="4"/>
  <c r="D84" i="4"/>
  <c r="E34" i="4"/>
  <c r="L29" i="3"/>
  <c r="C110" i="4" s="1"/>
  <c r="AK34" i="4" s="1"/>
  <c r="K29" i="3"/>
  <c r="C95" i="4" s="1"/>
  <c r="AK33" i="4" s="1"/>
  <c r="J29" i="3"/>
  <c r="C80" i="4" s="1"/>
  <c r="AK32" i="4" s="1"/>
  <c r="AK35" i="4" l="1"/>
  <c r="AK36" i="4" s="1"/>
  <c r="E35" i="4"/>
  <c r="M16" i="5"/>
  <c r="L28" i="3" l="1"/>
  <c r="C109" i="4" s="1"/>
  <c r="AH34" i="4" s="1"/>
  <c r="K28" i="3" l="1"/>
  <c r="C94" i="4" s="1"/>
  <c r="AH33" i="4" s="1"/>
  <c r="J28" i="3"/>
  <c r="C79" i="4" s="1"/>
  <c r="AH32" i="4" s="1"/>
  <c r="AH35" i="4" l="1"/>
  <c r="AH36" i="4" s="1"/>
  <c r="K27" i="3"/>
  <c r="C93" i="4" s="1"/>
  <c r="AE33" i="4" s="1"/>
  <c r="L27" i="3"/>
  <c r="C108" i="4" s="1"/>
  <c r="AE34" i="4" s="1"/>
  <c r="J27" i="3"/>
  <c r="C78" i="4" s="1"/>
  <c r="AE32" i="4" s="1"/>
  <c r="AE35" i="4" s="1"/>
  <c r="AE36" i="4" s="1"/>
  <c r="J26" i="3" l="1"/>
  <c r="C77" i="4" s="1"/>
  <c r="AB32" i="4" s="1"/>
  <c r="K26" i="3"/>
  <c r="C92" i="4" s="1"/>
  <c r="AB33" i="4" s="1"/>
  <c r="L26" i="3"/>
  <c r="C107" i="4" s="1"/>
  <c r="AB34" i="4" s="1"/>
  <c r="L25" i="3"/>
  <c r="C106" i="4" s="1"/>
  <c r="Y34" i="4" s="1"/>
  <c r="AB35" i="4" l="1"/>
  <c r="AB36" i="4" s="1"/>
  <c r="K25" i="3"/>
  <c r="C91" i="4" s="1"/>
  <c r="Y33" i="4" s="1"/>
  <c r="J25" i="3"/>
  <c r="C76" i="4" s="1"/>
  <c r="Y32" i="4" s="1"/>
  <c r="Y35" i="4" s="1"/>
  <c r="Y36" i="4" s="1"/>
  <c r="L24" i="3" l="1"/>
  <c r="C105" i="4" s="1"/>
  <c r="V34" i="4" s="1"/>
  <c r="K24" i="3"/>
  <c r="C90" i="4" s="1"/>
  <c r="V33" i="4" s="1"/>
  <c r="J24" i="3"/>
  <c r="C75" i="4" s="1"/>
  <c r="V32" i="4" s="1"/>
  <c r="V35" i="4" s="1"/>
  <c r="V36" i="4" s="1"/>
  <c r="L23" i="3" l="1"/>
  <c r="C104" i="4" s="1"/>
  <c r="S34" i="4" s="1"/>
  <c r="K23" i="3"/>
  <c r="C89" i="4" s="1"/>
  <c r="S33" i="4" s="1"/>
  <c r="J23" i="3"/>
  <c r="C74" i="4" s="1"/>
  <c r="S32" i="4" s="1"/>
  <c r="S35" i="4" s="1"/>
  <c r="S36" i="4" s="1"/>
  <c r="L22" i="3" l="1"/>
  <c r="C103" i="4" s="1"/>
  <c r="P34" i="4" s="1"/>
  <c r="K22" i="3"/>
  <c r="C88" i="4" s="1"/>
  <c r="P33" i="4" s="1"/>
  <c r="J22" i="3"/>
  <c r="C73" i="4" s="1"/>
  <c r="P32" i="4" s="1"/>
  <c r="P35" i="4" l="1"/>
  <c r="P36" i="4" s="1"/>
  <c r="J21" i="3"/>
  <c r="C72" i="4" s="1"/>
  <c r="M32" i="4" s="1"/>
  <c r="K21" i="3"/>
  <c r="C87" i="4" s="1"/>
  <c r="M33" i="4" s="1"/>
  <c r="L21" i="3"/>
  <c r="C102" i="4" s="1"/>
  <c r="M34" i="4" s="1"/>
  <c r="M35" i="4" l="1"/>
  <c r="M36" i="4" s="1"/>
  <c r="M8" i="5"/>
  <c r="L20" i="3"/>
  <c r="C101" i="4" s="1"/>
  <c r="J34" i="4" s="1"/>
  <c r="J35" i="4" s="1"/>
  <c r="J36" i="4" s="1"/>
  <c r="L19" i="3"/>
  <c r="C100" i="4" s="1"/>
  <c r="K19" i="3"/>
  <c r="C85" i="4" s="1"/>
  <c r="L18" i="3" l="1"/>
  <c r="C99" i="4" s="1"/>
  <c r="D34" i="4" l="1"/>
  <c r="D35" i="4" s="1"/>
  <c r="D36" i="4" s="1"/>
  <c r="D99" i="4"/>
  <c r="D64" i="4"/>
  <c r="D65" i="4"/>
  <c r="D80" i="4" l="1"/>
  <c r="H29" i="3" l="1"/>
  <c r="D29" i="3"/>
  <c r="C29" i="3"/>
  <c r="G29" i="3"/>
  <c r="D110" i="4" l="1"/>
  <c r="D95" i="4"/>
  <c r="D79" i="4"/>
  <c r="D28" i="3" l="1"/>
  <c r="C28" i="3"/>
  <c r="H28" i="3"/>
  <c r="G28" i="3"/>
  <c r="D94" i="4" l="1"/>
  <c r="D109" i="4"/>
  <c r="B35" i="4"/>
  <c r="D93" i="4" l="1"/>
  <c r="D108" i="4"/>
  <c r="D78" i="4"/>
  <c r="D63" i="4"/>
  <c r="D107" i="4" l="1"/>
  <c r="D92" i="4"/>
  <c r="D77" i="4"/>
  <c r="D62" i="4" l="1"/>
  <c r="C24" i="3"/>
  <c r="D24" i="3"/>
  <c r="H24" i="3"/>
  <c r="G23" i="3"/>
  <c r="H23" i="3"/>
  <c r="K13" i="5" l="1"/>
  <c r="I13" i="5"/>
  <c r="I17" i="5" s="1"/>
  <c r="I21" i="5" s="1"/>
  <c r="B33" i="3" l="1"/>
  <c r="B14" i="3"/>
  <c r="A52" i="4"/>
  <c r="G34" i="4"/>
  <c r="H34" i="4"/>
  <c r="G32" i="4"/>
  <c r="H32" i="4"/>
  <c r="G33" i="4"/>
  <c r="H33" i="4"/>
  <c r="C5" i="3"/>
  <c r="H35" i="4" l="1"/>
  <c r="G35" i="4"/>
  <c r="C2" i="4"/>
  <c r="G36" i="4" l="1"/>
  <c r="A97" i="4"/>
  <c r="B34" i="4" s="1"/>
  <c r="A82" i="4"/>
  <c r="B33" i="4" s="1"/>
  <c r="A67" i="4"/>
  <c r="B32" i="4" s="1"/>
  <c r="D74" i="4" l="1"/>
  <c r="D85" i="4"/>
  <c r="D106" i="4"/>
  <c r="D105" i="4"/>
  <c r="D102" i="4"/>
  <c r="D101" i="4"/>
  <c r="D104" i="4"/>
  <c r="D100" i="4"/>
  <c r="D103" i="4"/>
  <c r="D88" i="4"/>
  <c r="D91" i="4"/>
  <c r="D87" i="4"/>
  <c r="D90" i="4"/>
  <c r="D86" i="4"/>
  <c r="D89" i="4"/>
  <c r="D73" i="4"/>
  <c r="D76" i="4"/>
  <c r="D72" i="4"/>
  <c r="D75" i="4"/>
  <c r="D71" i="4"/>
  <c r="D59" i="4"/>
  <c r="D55" i="4"/>
  <c r="D60" i="4"/>
  <c r="D61" i="4"/>
  <c r="D58" i="4"/>
  <c r="D56" i="4"/>
  <c r="D57" i="4"/>
</calcChain>
</file>

<file path=xl/sharedStrings.xml><?xml version="1.0" encoding="utf-8"?>
<sst xmlns="http://schemas.openxmlformats.org/spreadsheetml/2006/main" count="284" uniqueCount="72">
  <si>
    <t>Current Year</t>
  </si>
  <si>
    <t>Prior Year</t>
  </si>
  <si>
    <t>May</t>
  </si>
  <si>
    <t>Month</t>
  </si>
  <si>
    <t>Residential</t>
  </si>
  <si>
    <t>Non-Residential</t>
  </si>
  <si>
    <t>Wholesale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</si>
  <si>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</si>
  <si>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</si>
  <si>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</si>
  <si>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</si>
  <si>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</si>
  <si>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</si>
  <si>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</si>
  <si>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</si>
  <si>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</si>
  <si>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</si>
  <si>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</si>
  <si>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</si>
  <si>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</si>
  <si>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</si>
  <si>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</si>
  <si>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</si>
  <si>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</si>
  <si>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</si>
  <si>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</si>
  <si>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</si>
  <si>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</si>
  <si>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</si>
  <si>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</si>
  <si>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</si>
  <si>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</si>
  <si>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</si>
  <si>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If your billing system can provide a delinquent accounts report, please provide:</t>
  </si>
  <si>
    <t># of accounts delinquent</t>
  </si>
  <si>
    <t>Total Dollars delinquent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</si>
  <si>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</si>
  <si>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</si>
  <si>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</si>
  <si>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</si>
  <si>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</si>
  <si>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</si>
  <si>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</si>
  <si>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</si>
  <si>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</si>
  <si>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</si>
  <si>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</si>
  <si>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</si>
  <si>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</si>
  <si>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</si>
  <si>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</si>
  <si>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</si>
  <si>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</si>
  <si>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</si>
  <si>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Prior Month                (Last Year)</t>
  </si>
  <si>
    <t>January 2022</t>
  </si>
  <si>
    <t>Prior Year (2021)</t>
  </si>
  <si>
    <t>Current Year (2022)</t>
  </si>
  <si>
    <t>PY (2019)</t>
  </si>
  <si>
    <t>PY (2020)</t>
  </si>
  <si>
    <t>PY (2021)</t>
  </si>
  <si>
    <t>CY (2022)</t>
  </si>
  <si>
    <t xml:space="preserve">January </t>
  </si>
  <si>
    <t>% of PY</t>
  </si>
  <si>
    <t>`````````````````````````````````````````````````````````````````````````````````````````````````</t>
  </si>
  <si>
    <t>Accounts Receivable - Balances</t>
  </si>
  <si>
    <t>Accounts Receivable - Delinquent Account</t>
  </si>
  <si>
    <t>Accounts Receivable - Collections</t>
  </si>
  <si>
    <t>October 2022</t>
  </si>
  <si>
    <t>October 2021</t>
  </si>
  <si>
    <t>November 2022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</si>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</sst>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 applyAlignment="1">
      <alignment horizontal="right" indent="1"/>
    </xf>
    <xf numFmtId="0" fontId="18" fillId="0" borderId="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7" fontId="10" fillId="4" borderId="4" xfId="0" quotePrefix="1" applyNumberFormat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16" fontId="22" fillId="8" borderId="0" xfId="0" quotePrefix="1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165" fontId="3" fillId="0" borderId="10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Summary!$B$54:$B$65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4.6500000000000004</c:v>
                </c:pt>
                <c:pt idx="2">
                  <c:v>4.32</c:v>
                </c:pt>
                <c:pt idx="3">
                  <c:v>4.79</c:v>
                </c:pt>
                <c:pt idx="4">
                  <c:v>5.44</c:v>
                </c:pt>
                <c:pt idx="5">
                  <c:v>6.05</c:v>
                </c:pt>
                <c:pt idx="6">
                  <c:v>7.69</c:v>
                </c:pt>
                <c:pt idx="7">
                  <c:v>7.72</c:v>
                </c:pt>
                <c:pt idx="8">
                  <c:v>6.05</c:v>
                </c:pt>
                <c:pt idx="9">
                  <c:v>5.43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Summary!$C$54:$C$65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5.51</c:v>
                </c:pt>
                <c:pt idx="2">
                  <c:v>4.79</c:v>
                </c:pt>
                <c:pt idx="3">
                  <c:v>5.0199999999999996</c:v>
                </c:pt>
                <c:pt idx="4">
                  <c:v>5.65</c:v>
                </c:pt>
                <c:pt idx="5">
                  <c:v>6.37</c:v>
                </c:pt>
                <c:pt idx="6">
                  <c:v>6.52</c:v>
                </c:pt>
                <c:pt idx="7">
                  <c:v>6.46</c:v>
                </c:pt>
                <c:pt idx="8">
                  <c:v>5.86</c:v>
                </c:pt>
                <c:pt idx="9">
                  <c:v>5.74</c:v>
                </c:pt>
                <c:pt idx="10">
                  <c:v>4.9400000000000004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Summary!$D$54:$D$65</c:f>
              <c:numCache>
                <c:formatCode>0%</c:formatCode>
                <c:ptCount val="12"/>
                <c:pt idx="0">
                  <c:v>1</c:v>
                </c:pt>
                <c:pt idx="1">
                  <c:v>0.84392014519056269</c:v>
                </c:pt>
                <c:pt idx="2">
                  <c:v>0.90187891440501045</c:v>
                </c:pt>
                <c:pt idx="3">
                  <c:v>0.95418326693227096</c:v>
                </c:pt>
                <c:pt idx="4">
                  <c:v>0.96283185840707963</c:v>
                </c:pt>
                <c:pt idx="5">
                  <c:v>0.94976452119309263</c:v>
                </c:pt>
                <c:pt idx="6">
                  <c:v>1.1794478527607364</c:v>
                </c:pt>
                <c:pt idx="7">
                  <c:v>1.195046439628483</c:v>
                </c:pt>
                <c:pt idx="8">
                  <c:v>1.0324232081911262</c:v>
                </c:pt>
                <c:pt idx="9">
                  <c:v>0.94599303135888491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dateAx>
        <c:axId val="114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0"/>
        <c:lblOffset val="100"/>
        <c:baseTimeUnit val="days"/>
      </c:date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Summary!$A$67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Summary!$B$69:$B$80</c:f>
              <c:numCache>
                <c:formatCode>_(* #,##0_);_(* \(#,##0\);_(* "-"??_);_(@_)</c:formatCode>
                <c:ptCount val="12"/>
                <c:pt idx="0">
                  <c:v>48220</c:v>
                </c:pt>
                <c:pt idx="1">
                  <c:v>42842.474000000002</c:v>
                </c:pt>
                <c:pt idx="2">
                  <c:v>39765.159</c:v>
                </c:pt>
                <c:pt idx="3">
                  <c:v>45340.468000000001</c:v>
                </c:pt>
                <c:pt idx="4">
                  <c:v>39237.233</c:v>
                </c:pt>
                <c:pt idx="5">
                  <c:v>48324.105000000003</c:v>
                </c:pt>
                <c:pt idx="6">
                  <c:v>55379</c:v>
                </c:pt>
                <c:pt idx="7">
                  <c:v>77500.176999999996</c:v>
                </c:pt>
                <c:pt idx="8">
                  <c:v>71140.599000000002</c:v>
                </c:pt>
                <c:pt idx="9">
                  <c:v>73955.388000000006</c:v>
                </c:pt>
                <c:pt idx="10">
                  <c:v>46404.881000000001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Summary!$C$69:$C$80</c:f>
              <c:numCache>
                <c:formatCode>_(* #,##0_);_(* \(#,##0\);_(* "-"??_);_(@_)</c:formatCode>
                <c:ptCount val="12"/>
                <c:pt idx="0">
                  <c:v>44639</c:v>
                </c:pt>
                <c:pt idx="1">
                  <c:v>53057</c:v>
                </c:pt>
                <c:pt idx="2">
                  <c:v>41882</c:v>
                </c:pt>
                <c:pt idx="3">
                  <c:v>42057.866999999998</c:v>
                </c:pt>
                <c:pt idx="4">
                  <c:v>50377.601000000002</c:v>
                </c:pt>
                <c:pt idx="5">
                  <c:v>47943.133000000002</c:v>
                </c:pt>
                <c:pt idx="6">
                  <c:v>58007.249000000003</c:v>
                </c:pt>
                <c:pt idx="7">
                  <c:v>69155.327999999994</c:v>
                </c:pt>
                <c:pt idx="8">
                  <c:v>67226.815000000002</c:v>
                </c:pt>
                <c:pt idx="9">
                  <c:v>56697.11</c:v>
                </c:pt>
                <c:pt idx="10">
                  <c:v>53097.197999999997</c:v>
                </c:pt>
                <c:pt idx="11">
                  <c:v>43519.040000000001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Summary!$D$69:$D$80</c:f>
              <c:numCache>
                <c:formatCode>0.00</c:formatCode>
                <c:ptCount val="12"/>
                <c:pt idx="0">
                  <c:v>1.0802213311230091</c:v>
                </c:pt>
                <c:pt idx="1">
                  <c:v>0.8074801439960797</c:v>
                </c:pt>
                <c:pt idx="2">
                  <c:v>0.94945702210973693</c:v>
                </c:pt>
                <c:pt idx="3">
                  <c:v>1.0780496310000696</c:v>
                </c:pt>
                <c:pt idx="4">
                  <c:v>0.77886267351238103</c:v>
                </c:pt>
                <c:pt idx="5">
                  <c:v>1.0079463309166716</c:v>
                </c:pt>
                <c:pt idx="6">
                  <c:v>0.95469102490966251</c:v>
                </c:pt>
                <c:pt idx="7">
                  <c:v>1.1206682007205577</c:v>
                </c:pt>
                <c:pt idx="8">
                  <c:v>1.0582176026039609</c:v>
                </c:pt>
                <c:pt idx="9">
                  <c:v>1.3043943156891067</c:v>
                </c:pt>
                <c:pt idx="10">
                  <c:v>0.87396101391263625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Summary!$A$82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Summary!$B$84:$B$95</c:f>
              <c:numCache>
                <c:formatCode>_(* #,##0_);_(* \(#,##0\);_(* "-"??_);_(@_)</c:formatCode>
                <c:ptCount val="12"/>
                <c:pt idx="0">
                  <c:v>29345</c:v>
                </c:pt>
                <c:pt idx="1">
                  <c:v>22317.598999999998</c:v>
                </c:pt>
                <c:pt idx="2">
                  <c:v>21887.420999999998</c:v>
                </c:pt>
                <c:pt idx="3">
                  <c:v>28601.111000000001</c:v>
                </c:pt>
                <c:pt idx="4">
                  <c:v>26182.77</c:v>
                </c:pt>
                <c:pt idx="5">
                  <c:v>33454.233999999997</c:v>
                </c:pt>
                <c:pt idx="6">
                  <c:v>55102</c:v>
                </c:pt>
                <c:pt idx="7">
                  <c:v>54807.464</c:v>
                </c:pt>
                <c:pt idx="8">
                  <c:v>51486.555999999997</c:v>
                </c:pt>
                <c:pt idx="9">
                  <c:v>54762.161</c:v>
                </c:pt>
                <c:pt idx="10">
                  <c:v>33423.480000000003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Summary!$C$84:$C$95</c:f>
              <c:numCache>
                <c:formatCode>_(* #,##0_);_(* \(#,##0\);_(* "-"??_);_(@_)</c:formatCode>
                <c:ptCount val="12"/>
                <c:pt idx="0">
                  <c:v>19908</c:v>
                </c:pt>
                <c:pt idx="1">
                  <c:v>23745</c:v>
                </c:pt>
                <c:pt idx="2">
                  <c:v>21154</c:v>
                </c:pt>
                <c:pt idx="3">
                  <c:v>23203.744999999999</c:v>
                </c:pt>
                <c:pt idx="4">
                  <c:v>29574.268</c:v>
                </c:pt>
                <c:pt idx="5">
                  <c:v>29931.133000000002</c:v>
                </c:pt>
                <c:pt idx="6">
                  <c:v>38220.373</c:v>
                </c:pt>
                <c:pt idx="7">
                  <c:v>51691.008000000002</c:v>
                </c:pt>
                <c:pt idx="8">
                  <c:v>47078.322999999997</c:v>
                </c:pt>
                <c:pt idx="9">
                  <c:v>42320.849000000002</c:v>
                </c:pt>
                <c:pt idx="10">
                  <c:v>40123.834999999999</c:v>
                </c:pt>
                <c:pt idx="11">
                  <c:v>29804.055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Summary!$D$84:$D$95</c:f>
              <c:numCache>
                <c:formatCode>0.00</c:formatCode>
                <c:ptCount val="12"/>
                <c:pt idx="0">
                  <c:v>1.4740305404862366</c:v>
                </c:pt>
                <c:pt idx="1">
                  <c:v>0.93988624973678658</c:v>
                </c:pt>
                <c:pt idx="2">
                  <c:v>1.0346705587595726</c:v>
                </c:pt>
                <c:pt idx="3">
                  <c:v>1.2326075381366242</c:v>
                </c:pt>
                <c:pt idx="4">
                  <c:v>0.88532267307512058</c:v>
                </c:pt>
                <c:pt idx="5">
                  <c:v>1.1177069040453629</c:v>
                </c:pt>
                <c:pt idx="6">
                  <c:v>1.4416918432481023</c:v>
                </c:pt>
                <c:pt idx="7">
                  <c:v>1.0602900991986846</c:v>
                </c:pt>
                <c:pt idx="8">
                  <c:v>1.0936361518229951</c:v>
                </c:pt>
                <c:pt idx="9">
                  <c:v>1.2939759549719807</c:v>
                </c:pt>
                <c:pt idx="10">
                  <c:v>0.83300811101431371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46042</c:v>
                </c:pt>
                <c:pt idx="1">
                  <c:v>42951.714</c:v>
                </c:pt>
                <c:pt idx="2">
                  <c:v>42828.697</c:v>
                </c:pt>
                <c:pt idx="3">
                  <c:v>40411.733999999997</c:v>
                </c:pt>
                <c:pt idx="4">
                  <c:v>39719.105000000003</c:v>
                </c:pt>
                <c:pt idx="5">
                  <c:v>46763.684999999998</c:v>
                </c:pt>
                <c:pt idx="6">
                  <c:v>52430</c:v>
                </c:pt>
                <c:pt idx="7">
                  <c:v>69421.963000000003</c:v>
                </c:pt>
                <c:pt idx="8">
                  <c:v>72151.763999999996</c:v>
                </c:pt>
                <c:pt idx="9">
                  <c:v>62031.42</c:v>
                </c:pt>
                <c:pt idx="10">
                  <c:v>53210.057999999997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40140</c:v>
                </c:pt>
                <c:pt idx="1">
                  <c:v>47315</c:v>
                </c:pt>
                <c:pt idx="2">
                  <c:v>41977</c:v>
                </c:pt>
                <c:pt idx="3">
                  <c:v>38996.46</c:v>
                </c:pt>
                <c:pt idx="4">
                  <c:v>43187.656000000003</c:v>
                </c:pt>
                <c:pt idx="5">
                  <c:v>50131.03</c:v>
                </c:pt>
                <c:pt idx="6">
                  <c:v>55518.584000000003</c:v>
                </c:pt>
                <c:pt idx="7">
                  <c:v>52591.347999999998</c:v>
                </c:pt>
                <c:pt idx="8">
                  <c:v>61625.006999999998</c:v>
                </c:pt>
                <c:pt idx="9">
                  <c:v>52042.125</c:v>
                </c:pt>
                <c:pt idx="10">
                  <c:v>53432.968999999997</c:v>
                </c:pt>
                <c:pt idx="11">
                  <c:v>46567.148999999998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Summary!$D$99:$D$110</c:f>
              <c:numCache>
                <c:formatCode>0.00</c:formatCode>
                <c:ptCount val="12"/>
                <c:pt idx="0">
                  <c:v>1.1470353761833583</c:v>
                </c:pt>
                <c:pt idx="1">
                  <c:v>0.90778218323998727</c:v>
                </c:pt>
                <c:pt idx="2">
                  <c:v>1.02028961097744</c:v>
                </c:pt>
                <c:pt idx="3">
                  <c:v>1.0362923711536893</c:v>
                </c:pt>
                <c:pt idx="4">
                  <c:v>0.91968651875897134</c:v>
                </c:pt>
                <c:pt idx="5">
                  <c:v>0.93282912798719675</c:v>
                </c:pt>
                <c:pt idx="6">
                  <c:v>0.9443684658816226</c:v>
                </c:pt>
                <c:pt idx="7">
                  <c:v>1.3200263092704907</c:v>
                </c:pt>
                <c:pt idx="8">
                  <c:v>1.1708195668034569</c:v>
                </c:pt>
                <c:pt idx="9">
                  <c:v>1.1919463319378292</c:v>
                </c:pt>
                <c:pt idx="10">
                  <c:v>0.9958282123533132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27515</xdr:colOff>
      <xdr:row>2</xdr:row>
      <xdr:rowOff>70388</xdr:rowOff>
    </xdr:from>
    <xdr:to>
      <xdr:col>25</xdr:col>
      <xdr:colOff>0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H110"/>
  <sheetViews>
    <sheetView zoomScale="90" zoomScaleNormal="90" workbookViewId="0">
      <selection activeCell="B78" sqref="B78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style="9" customWidth="1"/>
    <col min="25" max="25" width="9.5703125" bestFit="1" customWidth="1"/>
    <col min="27" max="27" width="0.7109375" style="9" customWidth="1"/>
    <col min="30" max="30" width="0.85546875" style="9" customWidth="1"/>
    <col min="33" max="33" width="0.85546875" style="9" customWidth="1"/>
    <col min="36" max="36" width="0.85546875" style="9" customWidth="1"/>
  </cols>
  <sheetData>
    <row r="1" spans="1:60" ht="65.25" customHeight="1" x14ac:dyDescent="1.1000000000000001">
      <c r="A1" s="28"/>
      <c r="B1" s="64" t="s">
        <v>20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s="9" customFormat="1" ht="23.25" x14ac:dyDescent="0.35">
      <c r="A2" s="30"/>
      <c r="B2" s="28"/>
      <c r="C2" s="67" t="str">
        <f>'Demand Input'!C8</f>
        <v>Newport Water Division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9"/>
      <c r="AA2" s="29"/>
      <c r="AB2" s="2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8"/>
      <c r="AA3" s="28"/>
      <c r="AB3" s="28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8"/>
      <c r="AA4" s="28"/>
      <c r="AB4" s="2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8"/>
      <c r="AA5" s="28"/>
      <c r="AB5" s="2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8"/>
      <c r="AA6" s="28"/>
      <c r="AB6" s="2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8"/>
      <c r="AA7" s="28"/>
      <c r="AB7" s="2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28"/>
      <c r="AA8" s="28"/>
      <c r="AB8" s="28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8"/>
      <c r="AA9" s="28"/>
      <c r="AB9" s="28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8"/>
      <c r="AA10" s="28"/>
      <c r="AB10" s="28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8"/>
      <c r="AA11" s="28"/>
      <c r="AB11" s="28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8"/>
      <c r="AA12" s="28"/>
      <c r="AB12" s="28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8"/>
      <c r="AA13" s="28"/>
      <c r="AB13" s="28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8"/>
      <c r="AA14" s="28"/>
      <c r="AB14" s="28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8"/>
      <c r="AA15" s="28"/>
      <c r="AB15" s="28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8"/>
      <c r="AA16" s="28"/>
      <c r="AB16" s="2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8"/>
      <c r="AA17" s="28"/>
      <c r="AB17" s="28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8"/>
      <c r="AA18" s="28"/>
      <c r="AB18" s="28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8"/>
      <c r="AA19" s="28"/>
      <c r="AB19" s="2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8"/>
      <c r="AA20" s="28"/>
      <c r="AB20" s="28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8"/>
      <c r="AA21" s="28"/>
      <c r="AB21" s="28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8"/>
      <c r="AA22" s="28"/>
      <c r="AB22" s="28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8"/>
      <c r="AA23" s="28"/>
      <c r="AB23" s="2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8"/>
      <c r="AA24" s="28"/>
      <c r="AB24" s="2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8"/>
      <c r="AA25" s="28"/>
      <c r="AB25" s="28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8"/>
      <c r="AA26" s="28"/>
      <c r="AB26" s="28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8"/>
      <c r="AA27" s="28"/>
      <c r="AB27" s="2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8"/>
      <c r="AA28" s="28"/>
      <c r="AB28" s="2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8"/>
      <c r="AA29" s="28"/>
      <c r="AB29" s="2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8"/>
      <c r="AA30" s="28"/>
      <c r="AB30" s="2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x14ac:dyDescent="0.25">
      <c r="A31" s="28"/>
      <c r="B31" s="13" t="s">
        <v>22</v>
      </c>
      <c r="C31" s="11"/>
      <c r="D31" s="66" t="s">
        <v>39</v>
      </c>
      <c r="E31" s="66"/>
      <c r="F31" s="49"/>
      <c r="G31" s="66" t="s">
        <v>7</v>
      </c>
      <c r="H31" s="66"/>
      <c r="I31" s="49"/>
      <c r="J31" s="58" t="s">
        <v>8</v>
      </c>
      <c r="K31" s="58"/>
      <c r="L31" s="49"/>
      <c r="M31" s="58" t="s">
        <v>9</v>
      </c>
      <c r="N31" s="58"/>
      <c r="O31" s="49"/>
      <c r="P31" s="58" t="s">
        <v>2</v>
      </c>
      <c r="Q31" s="58"/>
      <c r="R31" s="49"/>
      <c r="S31" s="58" t="s">
        <v>10</v>
      </c>
      <c r="T31" s="58"/>
      <c r="U31" s="49"/>
      <c r="V31" s="58" t="s">
        <v>11</v>
      </c>
      <c r="W31" s="58"/>
      <c r="X31" s="49"/>
      <c r="Y31" s="58" t="s">
        <v>12</v>
      </c>
      <c r="Z31" s="58"/>
      <c r="AA31" s="58"/>
      <c r="AB31" s="58" t="s">
        <v>46</v>
      </c>
      <c r="AC31" s="58"/>
      <c r="AD31" s="58"/>
      <c r="AE31" s="58" t="s">
        <v>47</v>
      </c>
      <c r="AF31" s="58"/>
      <c r="AG31" s="58"/>
      <c r="AH31" s="58" t="s">
        <v>50</v>
      </c>
      <c r="AI31" s="58"/>
      <c r="AJ31" s="58"/>
      <c r="AK31" s="58" t="s">
        <v>52</v>
      </c>
      <c r="AL31" s="58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x14ac:dyDescent="0.25">
      <c r="A32" s="28"/>
      <c r="B32" s="12" t="str">
        <f>A67</f>
        <v>Residential Demand (Kgal)</v>
      </c>
      <c r="C32" s="11"/>
      <c r="D32" s="15">
        <f>C69</f>
        <v>44639</v>
      </c>
      <c r="E32" s="14">
        <f>+B69</f>
        <v>48220</v>
      </c>
      <c r="G32" s="15">
        <f>C70</f>
        <v>53057</v>
      </c>
      <c r="H32" s="14">
        <f>B70</f>
        <v>42842.474000000002</v>
      </c>
      <c r="J32" s="15">
        <f>C71</f>
        <v>41882</v>
      </c>
      <c r="K32" s="14">
        <f>B71</f>
        <v>39765.159</v>
      </c>
      <c r="M32" s="15">
        <f>C72</f>
        <v>42057.866999999998</v>
      </c>
      <c r="N32" s="14">
        <f>B72</f>
        <v>45340.468000000001</v>
      </c>
      <c r="P32" s="15">
        <f>C73</f>
        <v>50377.601000000002</v>
      </c>
      <c r="Q32" s="14">
        <f>B73</f>
        <v>39237.233</v>
      </c>
      <c r="S32" s="15">
        <f>C74</f>
        <v>47943.133000000002</v>
      </c>
      <c r="T32" s="14">
        <f>B74</f>
        <v>48324.105000000003</v>
      </c>
      <c r="V32" s="15">
        <f>C75</f>
        <v>58007.249000000003</v>
      </c>
      <c r="W32" s="14">
        <f>B75</f>
        <v>55379</v>
      </c>
      <c r="Y32" s="15">
        <f>C76</f>
        <v>69155.327999999994</v>
      </c>
      <c r="Z32" s="14">
        <f>B76</f>
        <v>77500.176999999996</v>
      </c>
      <c r="AA32" s="14"/>
      <c r="AB32" s="15">
        <f>C77</f>
        <v>67226.815000000002</v>
      </c>
      <c r="AC32" s="14">
        <f>B77</f>
        <v>71140.599000000002</v>
      </c>
      <c r="AD32" s="14"/>
      <c r="AE32" s="15">
        <f>C78</f>
        <v>56697.11</v>
      </c>
      <c r="AF32" s="14">
        <f>B78</f>
        <v>73955.388000000006</v>
      </c>
      <c r="AG32" s="14"/>
      <c r="AH32" s="15">
        <f>C79</f>
        <v>53097.197999999997</v>
      </c>
      <c r="AI32" s="14">
        <f>B79</f>
        <v>46404.881000000001</v>
      </c>
      <c r="AJ32" s="14"/>
      <c r="AK32" s="15">
        <f>C80</f>
        <v>43519.040000000001</v>
      </c>
      <c r="AL32" s="14">
        <f>B80</f>
        <v>0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x14ac:dyDescent="0.25">
      <c r="A33" s="28"/>
      <c r="B33" s="12" t="str">
        <f>A82</f>
        <v>Non-Residential Demand (Kgal)</v>
      </c>
      <c r="C33" s="11"/>
      <c r="D33" s="15">
        <f>+C84</f>
        <v>19908</v>
      </c>
      <c r="E33" s="14">
        <f>+B84</f>
        <v>29345</v>
      </c>
      <c r="G33" s="15">
        <f>C85</f>
        <v>23745</v>
      </c>
      <c r="H33" s="14">
        <f>B85</f>
        <v>22317.598999999998</v>
      </c>
      <c r="J33" s="15">
        <f>C86</f>
        <v>21154</v>
      </c>
      <c r="K33" s="14">
        <f>B86</f>
        <v>21887.420999999998</v>
      </c>
      <c r="M33" s="15">
        <f>C87</f>
        <v>23203.744999999999</v>
      </c>
      <c r="N33" s="14">
        <f>B87</f>
        <v>28601.111000000001</v>
      </c>
      <c r="P33" s="15">
        <f>C88</f>
        <v>29574.268</v>
      </c>
      <c r="Q33" s="14">
        <f>B88</f>
        <v>26182.77</v>
      </c>
      <c r="S33" s="15">
        <f>C89</f>
        <v>29931.133000000002</v>
      </c>
      <c r="T33" s="14">
        <f>B89</f>
        <v>33454.233999999997</v>
      </c>
      <c r="V33" s="15">
        <f>C90</f>
        <v>38220.373</v>
      </c>
      <c r="W33" s="14">
        <f>B90</f>
        <v>55102</v>
      </c>
      <c r="Y33" s="15">
        <f>C91</f>
        <v>51691.008000000002</v>
      </c>
      <c r="Z33" s="14">
        <f>B91</f>
        <v>54807.464</v>
      </c>
      <c r="AA33" s="14"/>
      <c r="AB33" s="15">
        <f>C92</f>
        <v>47078.322999999997</v>
      </c>
      <c r="AC33" s="14">
        <f>B92</f>
        <v>51486.555999999997</v>
      </c>
      <c r="AD33" s="14"/>
      <c r="AE33" s="15">
        <f>C93</f>
        <v>42320.849000000002</v>
      </c>
      <c r="AF33" s="14">
        <f>B93</f>
        <v>54762.161</v>
      </c>
      <c r="AG33" s="14"/>
      <c r="AH33" s="15">
        <f>C94</f>
        <v>40123.834999999999</v>
      </c>
      <c r="AI33" s="14">
        <f>B94</f>
        <v>33423.480000000003</v>
      </c>
      <c r="AJ33" s="14"/>
      <c r="AK33" s="15">
        <f>C95</f>
        <v>29804.055</v>
      </c>
      <c r="AL33" s="14">
        <f>B95</f>
        <v>0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x14ac:dyDescent="0.25">
      <c r="A34" s="28"/>
      <c r="B34" s="12" t="str">
        <f>A97</f>
        <v>Wholesale Demand (Kgal)</v>
      </c>
      <c r="C34" s="11"/>
      <c r="D34" s="15">
        <f>+C99</f>
        <v>40140</v>
      </c>
      <c r="E34" s="14">
        <f>+B99</f>
        <v>46042</v>
      </c>
      <c r="G34" s="15">
        <f>C100</f>
        <v>47315</v>
      </c>
      <c r="H34" s="14">
        <f>B100</f>
        <v>42951.714</v>
      </c>
      <c r="J34" s="15">
        <f>C101</f>
        <v>41977</v>
      </c>
      <c r="K34" s="14">
        <f>B101</f>
        <v>42828.697</v>
      </c>
      <c r="M34" s="15">
        <f>C102</f>
        <v>38996.46</v>
      </c>
      <c r="N34" s="14">
        <f>B102</f>
        <v>40411.733999999997</v>
      </c>
      <c r="P34" s="15">
        <f>C103</f>
        <v>43187.656000000003</v>
      </c>
      <c r="Q34" s="14">
        <f>B103</f>
        <v>39719.105000000003</v>
      </c>
      <c r="S34" s="15">
        <f>C104</f>
        <v>50131.03</v>
      </c>
      <c r="T34" s="14">
        <f>B104</f>
        <v>46763.684999999998</v>
      </c>
      <c r="V34" s="15">
        <f>C105</f>
        <v>55518.584000000003</v>
      </c>
      <c r="W34" s="14">
        <f>B105</f>
        <v>52430</v>
      </c>
      <c r="Y34" s="15">
        <f>C106</f>
        <v>52591.347999999998</v>
      </c>
      <c r="Z34" s="14">
        <f>B106</f>
        <v>69421.963000000003</v>
      </c>
      <c r="AA34" s="14"/>
      <c r="AB34" s="15">
        <f>C107</f>
        <v>61625.006999999998</v>
      </c>
      <c r="AC34" s="14">
        <f>B107</f>
        <v>72151.763999999996</v>
      </c>
      <c r="AD34" s="14"/>
      <c r="AE34" s="15">
        <f>C108</f>
        <v>52042.125</v>
      </c>
      <c r="AF34" s="14">
        <f>B108</f>
        <v>62031.42</v>
      </c>
      <c r="AG34" s="14"/>
      <c r="AH34" s="15">
        <f>C109</f>
        <v>53432.968999999997</v>
      </c>
      <c r="AI34" s="14">
        <f>B109</f>
        <v>53210.057999999997</v>
      </c>
      <c r="AJ34" s="14"/>
      <c r="AK34" s="15">
        <f>C110</f>
        <v>46567.148999999998</v>
      </c>
      <c r="AL34" s="14">
        <f>B110</f>
        <v>0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x14ac:dyDescent="0.25">
      <c r="A35" s="28"/>
      <c r="B35" s="12" t="str">
        <f>"Total Demand ("&amp;'Demand Input'!$C$9&amp;")"</f>
        <v>Total Demand (Kgal)</v>
      </c>
      <c r="C35" s="11"/>
      <c r="D35" s="15">
        <f>SUM(D32:D34)</f>
        <v>104687</v>
      </c>
      <c r="E35" s="14">
        <f>SUM(E32:E34)</f>
        <v>123607</v>
      </c>
      <c r="G35" s="15">
        <f>SUM(G32:G34)</f>
        <v>124117</v>
      </c>
      <c r="H35" s="14">
        <f>SUM(H32:H34)</f>
        <v>108111.78700000001</v>
      </c>
      <c r="J35" s="15">
        <f>SUM(J32:J34)</f>
        <v>105013</v>
      </c>
      <c r="K35" s="14">
        <f>SUM(K32:K34)</f>
        <v>104481.277</v>
      </c>
      <c r="M35" s="15">
        <f>SUM(M32:M34)</f>
        <v>104258.07199999999</v>
      </c>
      <c r="N35" s="14">
        <f>SUM(N32:N34)</f>
        <v>114353.31299999999</v>
      </c>
      <c r="P35" s="15">
        <f>SUM(P32:P34)</f>
        <v>123139.52500000001</v>
      </c>
      <c r="Q35" s="14">
        <f>SUM(Q32:Q34)</f>
        <v>105139.10800000001</v>
      </c>
      <c r="S35" s="15">
        <f>SUM(S32:S34)</f>
        <v>128005.296</v>
      </c>
      <c r="T35" s="14">
        <f>SUM(T32:T34)</f>
        <v>128542.024</v>
      </c>
      <c r="V35" s="15">
        <f>SUM(V32:V34)</f>
        <v>151746.20600000001</v>
      </c>
      <c r="W35" s="14">
        <f>SUM(W32:W34)</f>
        <v>162911</v>
      </c>
      <c r="Y35" s="15">
        <f t="shared" ref="Y35:AF35" si="0">SUM(Y32:Y34)</f>
        <v>173437.68400000001</v>
      </c>
      <c r="Z35" s="14">
        <f t="shared" si="0"/>
        <v>201729.60399999999</v>
      </c>
      <c r="AA35" s="14"/>
      <c r="AB35" s="15">
        <f t="shared" si="0"/>
        <v>175930.14500000002</v>
      </c>
      <c r="AC35" s="14">
        <f t="shared" si="0"/>
        <v>194778.91899999999</v>
      </c>
      <c r="AD35" s="14"/>
      <c r="AE35" s="15">
        <f t="shared" si="0"/>
        <v>151060.084</v>
      </c>
      <c r="AF35" s="14">
        <f t="shared" si="0"/>
        <v>190748.96899999998</v>
      </c>
      <c r="AG35" s="14"/>
      <c r="AH35" s="15">
        <f>SUM(AH32:AH34)</f>
        <v>146654.00199999998</v>
      </c>
      <c r="AI35" s="14">
        <f>SUM(AI32:AI34)</f>
        <v>133038.41899999999</v>
      </c>
      <c r="AJ35" s="14"/>
      <c r="AK35" s="15">
        <f>SUM(AK32:AK34)</f>
        <v>119890.24400000001</v>
      </c>
      <c r="AL35" s="14">
        <f>SUM(AL32:AL34)</f>
        <v>0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x14ac:dyDescent="0.25">
      <c r="A36" s="28"/>
      <c r="B36" s="12" t="s">
        <v>13</v>
      </c>
      <c r="C36" s="11"/>
      <c r="D36" s="62">
        <f>E35/D35-1</f>
        <v>0.18072922139329628</v>
      </c>
      <c r="E36" s="63"/>
      <c r="F36" s="19"/>
      <c r="G36" s="62">
        <f>H35/G35-1</f>
        <v>-0.12895262534544005</v>
      </c>
      <c r="H36" s="63"/>
      <c r="I36" s="19"/>
      <c r="J36" s="62">
        <f>K35/J35-1</f>
        <v>-5.0634016740784826E-3</v>
      </c>
      <c r="K36" s="63"/>
      <c r="L36" s="19"/>
      <c r="M36" s="62">
        <f>N35/M35-1</f>
        <v>9.682934670036869E-2</v>
      </c>
      <c r="N36" s="63"/>
      <c r="O36" s="19"/>
      <c r="P36" s="62">
        <f>Q35/P35-1</f>
        <v>-0.14617903552900657</v>
      </c>
      <c r="Q36" s="63"/>
      <c r="R36" s="19"/>
      <c r="S36" s="62">
        <f>T35/S35-1</f>
        <v>4.1930140140451488E-3</v>
      </c>
      <c r="T36" s="63"/>
      <c r="U36" s="19"/>
      <c r="V36" s="62">
        <f>W35/V35-1</f>
        <v>7.3575440825189409E-2</v>
      </c>
      <c r="W36" s="63"/>
      <c r="X36" s="61"/>
      <c r="Y36" s="62">
        <f>Z35/Y35-1</f>
        <v>0.16312441072494943</v>
      </c>
      <c r="Z36" s="63"/>
      <c r="AA36" s="61"/>
      <c r="AB36" s="62">
        <f>AC35/AB35-1</f>
        <v>0.10713783018822598</v>
      </c>
      <c r="AC36" s="63"/>
      <c r="AD36" s="61"/>
      <c r="AE36" s="62">
        <f>AF35/AE35-1</f>
        <v>0.2627357535429411</v>
      </c>
      <c r="AF36" s="63"/>
      <c r="AG36" s="61"/>
      <c r="AH36" s="62">
        <f>AI35/AH35-1</f>
        <v>-9.2841537321293077E-2</v>
      </c>
      <c r="AI36" s="63"/>
      <c r="AJ36" s="61"/>
      <c r="AK36" s="62">
        <f>AL35/AK35-1</f>
        <v>-1</v>
      </c>
      <c r="AL36" s="63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11"/>
      <c r="Z37" s="28"/>
      <c r="AA37" s="28"/>
      <c r="AB37" s="2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21" s="9" customFormat="1" x14ac:dyDescent="0.25"/>
    <row r="50" spans="1:21" s="9" customFormat="1" x14ac:dyDescent="0.25">
      <c r="A50" s="68" t="s">
        <v>23</v>
      </c>
      <c r="B50" s="68"/>
      <c r="C50" s="68"/>
      <c r="D50" s="68"/>
      <c r="E50" s="68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s="3" t="s">
        <v>63</v>
      </c>
      <c r="E53" s="60"/>
    </row>
    <row r="54" spans="1:21" s="9" customFormat="1" x14ac:dyDescent="0.25">
      <c r="A54" s="1" t="s">
        <v>39</v>
      </c>
      <c r="B54" s="23">
        <f>'Demand Input'!P36</f>
        <v>4.75</v>
      </c>
      <c r="C54" s="23">
        <f>'Demand Input'!L36</f>
        <v>4.75</v>
      </c>
      <c r="D54" s="5">
        <f t="shared" ref="D54" si="1">B54/C54</f>
        <v>1</v>
      </c>
    </row>
    <row r="55" spans="1:21" x14ac:dyDescent="0.25">
      <c r="A55" s="1" t="s">
        <v>7</v>
      </c>
      <c r="B55" s="23">
        <f>'Demand Input'!P37</f>
        <v>4.6500000000000004</v>
      </c>
      <c r="C55" s="23">
        <f>'Demand Input'!L37</f>
        <v>5.51</v>
      </c>
      <c r="D55" s="5">
        <f t="shared" ref="D55:D61" si="2">B55/C55</f>
        <v>0.84392014519056269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8</v>
      </c>
      <c r="B56" s="23">
        <f>'Demand Input'!P38</f>
        <v>4.32</v>
      </c>
      <c r="C56" s="23">
        <f>'Demand Input'!L38</f>
        <v>4.79</v>
      </c>
      <c r="D56" s="5">
        <f t="shared" si="2"/>
        <v>0.90187891440501045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9</v>
      </c>
      <c r="B57" s="23">
        <f>'Demand Input'!P39</f>
        <v>4.79</v>
      </c>
      <c r="C57" s="23">
        <f>'Demand Input'!L39</f>
        <v>5.0199999999999996</v>
      </c>
      <c r="D57" s="5">
        <f t="shared" si="2"/>
        <v>0.95418326693227096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2</v>
      </c>
      <c r="B58" s="23">
        <f>'Demand Input'!P40</f>
        <v>5.44</v>
      </c>
      <c r="C58" s="23">
        <f>'Demand Input'!L40</f>
        <v>5.65</v>
      </c>
      <c r="D58" s="5">
        <f t="shared" si="2"/>
        <v>0.96283185840707963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10</v>
      </c>
      <c r="B59" s="23">
        <f>'Demand Input'!P41</f>
        <v>6.05</v>
      </c>
      <c r="C59" s="23">
        <f>'Demand Input'!L41</f>
        <v>6.37</v>
      </c>
      <c r="D59" s="5">
        <f t="shared" si="2"/>
        <v>0.94976452119309263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11</v>
      </c>
      <c r="B60" s="23">
        <f>'Demand Input'!P42</f>
        <v>7.69</v>
      </c>
      <c r="C60" s="23">
        <f>'Demand Input'!L42</f>
        <v>6.52</v>
      </c>
      <c r="D60" s="5">
        <f t="shared" si="2"/>
        <v>1.1794478527607364</v>
      </c>
      <c r="E60" s="5"/>
      <c r="F60" s="5"/>
      <c r="I60" s="5"/>
      <c r="L60" s="5"/>
      <c r="O60" s="5"/>
      <c r="R60" s="5"/>
      <c r="U60" s="5"/>
    </row>
    <row r="61" spans="1:21" x14ac:dyDescent="0.25">
      <c r="A61" s="1" t="s">
        <v>12</v>
      </c>
      <c r="B61" s="23">
        <f>'Demand Input'!P43</f>
        <v>7.72</v>
      </c>
      <c r="C61" s="23">
        <f>'Demand Input'!L43</f>
        <v>6.46</v>
      </c>
      <c r="D61" s="5">
        <f t="shared" si="2"/>
        <v>1.195046439628483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46</v>
      </c>
      <c r="B62" s="23">
        <f>'Demand Input'!P44</f>
        <v>6.05</v>
      </c>
      <c r="C62" s="23">
        <f>'Demand Input'!L44</f>
        <v>5.86</v>
      </c>
      <c r="D62" s="5">
        <f t="shared" ref="D62" si="3">B62/C62</f>
        <v>1.0324232081911262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47</v>
      </c>
      <c r="B63" s="23">
        <f>'Demand Input'!P45</f>
        <v>5.43</v>
      </c>
      <c r="C63" s="23">
        <f>'Demand Input'!L45</f>
        <v>5.74</v>
      </c>
      <c r="D63" s="5">
        <f t="shared" ref="D63:D65" si="4">B63/C63</f>
        <v>0.94599303135888491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50</v>
      </c>
      <c r="B64" s="23">
        <f>'Demand Input'!P46</f>
        <v>0</v>
      </c>
      <c r="C64" s="23">
        <f>'Demand Input'!L46</f>
        <v>4.9400000000000004</v>
      </c>
      <c r="D64" s="5">
        <f t="shared" si="4"/>
        <v>0</v>
      </c>
      <c r="E64" s="5"/>
      <c r="F64" s="5"/>
      <c r="I64" s="5"/>
      <c r="L64" s="5"/>
      <c r="O64" s="5"/>
      <c r="R64" s="5"/>
      <c r="U64" s="5"/>
    </row>
    <row r="65" spans="1:21" s="9" customFormat="1" x14ac:dyDescent="0.25">
      <c r="A65" s="1" t="s">
        <v>52</v>
      </c>
      <c r="B65" s="23">
        <f>'Demand Input'!P47</f>
        <v>0</v>
      </c>
      <c r="C65" s="23">
        <f>'Demand Input'!L47</f>
        <v>4.9000000000000004</v>
      </c>
      <c r="D65" s="5">
        <f t="shared" si="4"/>
        <v>0</v>
      </c>
      <c r="E65" s="5"/>
      <c r="F65" s="5"/>
      <c r="I65" s="5"/>
      <c r="L65" s="5"/>
      <c r="O65" s="5"/>
      <c r="R65" s="5"/>
      <c r="U65" s="5"/>
    </row>
    <row r="67" spans="1:21" x14ac:dyDescent="0.25">
      <c r="A67" s="7" t="str">
        <f>"Residential Demand ("&amp;'Demand Input'!$C$9&amp;")"</f>
        <v>Residential Demand (Kgal)</v>
      </c>
    </row>
    <row r="68" spans="1:21" x14ac:dyDescent="0.25">
      <c r="A68" s="2" t="s">
        <v>3</v>
      </c>
      <c r="B68" s="3" t="s">
        <v>0</v>
      </c>
      <c r="C68" s="3" t="s">
        <v>1</v>
      </c>
      <c r="D68" s="3" t="s">
        <v>63</v>
      </c>
    </row>
    <row r="69" spans="1:21" s="9" customFormat="1" x14ac:dyDescent="0.25">
      <c r="A69" s="59" t="s">
        <v>39</v>
      </c>
      <c r="B69" s="6">
        <f>'Demand Input'!N18</f>
        <v>48220</v>
      </c>
      <c r="C69" s="6">
        <f>'Demand Input'!J18</f>
        <v>44639</v>
      </c>
      <c r="D69" s="4">
        <f>B69/C69</f>
        <v>1.0802213311230091</v>
      </c>
    </row>
    <row r="70" spans="1:21" x14ac:dyDescent="0.25">
      <c r="A70" s="1" t="s">
        <v>7</v>
      </c>
      <c r="B70" s="6">
        <f>'Demand Input'!N19</f>
        <v>42842.474000000002</v>
      </c>
      <c r="C70" s="6">
        <f>'Demand Input'!J19</f>
        <v>53057</v>
      </c>
      <c r="D70" s="4">
        <f>B70/C70</f>
        <v>0.8074801439960797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8</v>
      </c>
      <c r="B71" s="6">
        <f>'Demand Input'!N20</f>
        <v>39765.159</v>
      </c>
      <c r="C71" s="6">
        <f>'Demand Input'!J20</f>
        <v>41882</v>
      </c>
      <c r="D71" s="4">
        <f t="shared" ref="D71:D76" si="5">B71/C71</f>
        <v>0.94945702210973693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9</v>
      </c>
      <c r="B72" s="6">
        <f>'Demand Input'!N21</f>
        <v>45340.468000000001</v>
      </c>
      <c r="C72" s="6">
        <f>'Demand Input'!J21</f>
        <v>42057.866999999998</v>
      </c>
      <c r="D72" s="4">
        <f t="shared" si="5"/>
        <v>1.0780496310000696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2</v>
      </c>
      <c r="B73" s="6">
        <f>'Demand Input'!N22</f>
        <v>39237.233</v>
      </c>
      <c r="C73" s="6">
        <f>'Demand Input'!J22</f>
        <v>50377.601000000002</v>
      </c>
      <c r="D73" s="4">
        <f t="shared" si="5"/>
        <v>0.77886267351238103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10</v>
      </c>
      <c r="B74" s="6">
        <f>'Demand Input'!N23</f>
        <v>48324.105000000003</v>
      </c>
      <c r="C74" s="6">
        <f>'Demand Input'!J23</f>
        <v>47943.133000000002</v>
      </c>
      <c r="D74" s="4">
        <f t="shared" si="5"/>
        <v>1.0079463309166716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11</v>
      </c>
      <c r="B75" s="6">
        <f>'Demand Input'!N24</f>
        <v>55379</v>
      </c>
      <c r="C75" s="6">
        <f>'Demand Input'!J24</f>
        <v>58007.249000000003</v>
      </c>
      <c r="D75" s="4">
        <f t="shared" si="5"/>
        <v>0.95469102490966251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12</v>
      </c>
      <c r="B76" s="6">
        <f>'Demand Input'!N25</f>
        <v>77500.176999999996</v>
      </c>
      <c r="C76" s="6">
        <f>'Demand Input'!J25</f>
        <v>69155.327999999994</v>
      </c>
      <c r="D76" s="4">
        <f t="shared" si="5"/>
        <v>1.1206682007205577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46</v>
      </c>
      <c r="B77" s="6">
        <f>'Demand Input'!N26</f>
        <v>71140.599000000002</v>
      </c>
      <c r="C77" s="6">
        <f>'Demand Input'!J26</f>
        <v>67226.815000000002</v>
      </c>
      <c r="D77" s="4">
        <f t="shared" ref="D77" si="6">B77/C77</f>
        <v>1.0582176026039609</v>
      </c>
    </row>
    <row r="78" spans="1:21" s="9" customFormat="1" x14ac:dyDescent="0.25">
      <c r="A78" s="1" t="s">
        <v>47</v>
      </c>
      <c r="B78" s="6">
        <f>'Demand Input'!N27</f>
        <v>73955.388000000006</v>
      </c>
      <c r="C78" s="6">
        <f>'Demand Input'!J27</f>
        <v>56697.11</v>
      </c>
      <c r="D78" s="4">
        <f t="shared" ref="D78:D80" si="7">B78/C78</f>
        <v>1.3043943156891067</v>
      </c>
    </row>
    <row r="79" spans="1:21" s="9" customFormat="1" x14ac:dyDescent="0.25">
      <c r="A79" s="1" t="s">
        <v>50</v>
      </c>
      <c r="B79" s="6">
        <f>'Demand Input'!N28</f>
        <v>46404.881000000001</v>
      </c>
      <c r="C79" s="6">
        <f>'Demand Input'!J28</f>
        <v>53097.197999999997</v>
      </c>
      <c r="D79" s="4">
        <f t="shared" si="7"/>
        <v>0.87396101391263625</v>
      </c>
    </row>
    <row r="80" spans="1:21" s="9" customFormat="1" x14ac:dyDescent="0.25">
      <c r="A80" s="1" t="s">
        <v>52</v>
      </c>
      <c r="B80" s="6">
        <f>'Demand Input'!N29</f>
        <v>0</v>
      </c>
      <c r="C80" s="6">
        <f>'Demand Input'!J29</f>
        <v>43519.040000000001</v>
      </c>
      <c r="D80" s="4">
        <f t="shared" si="7"/>
        <v>0</v>
      </c>
    </row>
    <row r="82" spans="1:21" x14ac:dyDescent="0.25">
      <c r="A82" s="7" t="str">
        <f>"Non-Residential Demand ("&amp;'Demand Input'!$C$9&amp;")"</f>
        <v>Non-Residential Demand (Kgal)</v>
      </c>
    </row>
    <row r="83" spans="1:21" x14ac:dyDescent="0.25">
      <c r="A83" s="2" t="s">
        <v>3</v>
      </c>
      <c r="B83" s="3" t="s">
        <v>0</v>
      </c>
      <c r="C83" s="3" t="s">
        <v>1</v>
      </c>
      <c r="D83" s="3" t="s">
        <v>63</v>
      </c>
    </row>
    <row r="84" spans="1:21" s="9" customFormat="1" x14ac:dyDescent="0.25">
      <c r="A84" s="59" t="s">
        <v>39</v>
      </c>
      <c r="B84" s="6">
        <f>'Demand Input'!O18</f>
        <v>29345</v>
      </c>
      <c r="C84" s="6">
        <f>'Demand Input'!K18</f>
        <v>19908</v>
      </c>
      <c r="D84" s="4">
        <f>B84/C84</f>
        <v>1.4740305404862366</v>
      </c>
    </row>
    <row r="85" spans="1:21" x14ac:dyDescent="0.25">
      <c r="A85" s="1" t="s">
        <v>7</v>
      </c>
      <c r="B85" s="6">
        <f>'Demand Input'!O19</f>
        <v>22317.598999999998</v>
      </c>
      <c r="C85" s="6">
        <f>'Demand Input'!K19</f>
        <v>23745</v>
      </c>
      <c r="D85" s="4">
        <f>B85/C85</f>
        <v>0.93988624973678658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8</v>
      </c>
      <c r="B86" s="6">
        <f>'Demand Input'!O20</f>
        <v>21887.420999999998</v>
      </c>
      <c r="C86" s="6">
        <f>'Demand Input'!K20</f>
        <v>21154</v>
      </c>
      <c r="D86" s="4">
        <f t="shared" ref="D86:D91" si="8">B86/C86</f>
        <v>1.0346705587595726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Input'!O21</f>
        <v>28601.111000000001</v>
      </c>
      <c r="C87" s="6">
        <f>'Demand Input'!K21</f>
        <v>23203.744999999999</v>
      </c>
      <c r="D87" s="4">
        <f t="shared" si="8"/>
        <v>1.2326075381366242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2</v>
      </c>
      <c r="B88" s="6">
        <f>'Demand Input'!O22</f>
        <v>26182.77</v>
      </c>
      <c r="C88" s="6">
        <f>'Demand Input'!K22</f>
        <v>29574.268</v>
      </c>
      <c r="D88" s="4">
        <f t="shared" si="8"/>
        <v>0.88532267307512058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Input'!O23</f>
        <v>33454.233999999997</v>
      </c>
      <c r="C89" s="6">
        <f>'Demand Input'!K23</f>
        <v>29931.133000000002</v>
      </c>
      <c r="D89" s="4">
        <f t="shared" si="8"/>
        <v>1.1177069040453629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Input'!O24</f>
        <v>55102</v>
      </c>
      <c r="C90" s="6">
        <f>'Demand Input'!K24</f>
        <v>38220.373</v>
      </c>
      <c r="D90" s="4">
        <f t="shared" si="8"/>
        <v>1.4416918432481023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Input'!O25</f>
        <v>54807.464</v>
      </c>
      <c r="C91" s="6">
        <f>'Demand Input'!K25</f>
        <v>51691.008000000002</v>
      </c>
      <c r="D91" s="4">
        <f t="shared" si="8"/>
        <v>1.0602900991986846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46</v>
      </c>
      <c r="B92" s="6">
        <f>'Demand Input'!O26</f>
        <v>51486.555999999997</v>
      </c>
      <c r="C92" s="6">
        <f>'Demand Input'!K26</f>
        <v>47078.322999999997</v>
      </c>
      <c r="D92" s="4">
        <f t="shared" ref="D92" si="9">B92/C92</f>
        <v>1.0936361518229951</v>
      </c>
    </row>
    <row r="93" spans="1:21" s="9" customFormat="1" x14ac:dyDescent="0.25">
      <c r="A93" s="1" t="s">
        <v>47</v>
      </c>
      <c r="B93" s="6">
        <f>'Demand Input'!O27</f>
        <v>54762.161</v>
      </c>
      <c r="C93" s="6">
        <f>'Demand Input'!K27</f>
        <v>42320.849000000002</v>
      </c>
      <c r="D93" s="4">
        <f t="shared" ref="D93:D95" si="10">B93/C93</f>
        <v>1.2939759549719807</v>
      </c>
    </row>
    <row r="94" spans="1:21" s="9" customFormat="1" x14ac:dyDescent="0.25">
      <c r="A94" s="1" t="s">
        <v>50</v>
      </c>
      <c r="B94" s="6">
        <f>'Demand Input'!O28</f>
        <v>33423.480000000003</v>
      </c>
      <c r="C94" s="6">
        <f>'Demand Input'!K28</f>
        <v>40123.834999999999</v>
      </c>
      <c r="D94" s="4">
        <f t="shared" si="10"/>
        <v>0.83300811101431371</v>
      </c>
    </row>
    <row r="95" spans="1:21" s="9" customFormat="1" x14ac:dyDescent="0.25">
      <c r="A95" s="1" t="s">
        <v>52</v>
      </c>
      <c r="B95" s="6">
        <f>'Demand Input'!O29</f>
        <v>0</v>
      </c>
      <c r="C95" s="6">
        <f>'Demand Input'!K29</f>
        <v>29804.055</v>
      </c>
      <c r="D95" s="4">
        <f t="shared" si="10"/>
        <v>0</v>
      </c>
    </row>
    <row r="97" spans="1:21" x14ac:dyDescent="0.25">
      <c r="A97" s="7" t="str">
        <f>"Wholesale Demand ("&amp;'Demand Input'!$C$9&amp;")"</f>
        <v>Wholesale Demand (Kgal)</v>
      </c>
    </row>
    <row r="98" spans="1:21" x14ac:dyDescent="0.25">
      <c r="A98" s="2" t="s">
        <v>3</v>
      </c>
      <c r="B98" s="3" t="s">
        <v>0</v>
      </c>
      <c r="C98" s="3" t="s">
        <v>1</v>
      </c>
      <c r="D98" s="3" t="s">
        <v>63</v>
      </c>
    </row>
    <row r="99" spans="1:21" s="9" customFormat="1" x14ac:dyDescent="0.25">
      <c r="A99" s="59" t="s">
        <v>39</v>
      </c>
      <c r="B99" s="6">
        <f>'Demand Input'!P18</f>
        <v>46042</v>
      </c>
      <c r="C99" s="6">
        <f>'Demand Input'!L18</f>
        <v>40140</v>
      </c>
      <c r="D99" s="4">
        <f>B99/C99</f>
        <v>1.1470353761833583</v>
      </c>
    </row>
    <row r="100" spans="1:21" x14ac:dyDescent="0.25">
      <c r="A100" s="1" t="s">
        <v>7</v>
      </c>
      <c r="B100" s="6">
        <f>'Demand Input'!P19</f>
        <v>42951.714</v>
      </c>
      <c r="C100" s="6">
        <f>'Demand Input'!L19</f>
        <v>47315</v>
      </c>
      <c r="D100" s="4">
        <f>B100/C100</f>
        <v>0.90778218323998727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8</v>
      </c>
      <c r="B101" s="6">
        <f>'Demand Input'!P20</f>
        <v>42828.697</v>
      </c>
      <c r="C101" s="6">
        <f>'Demand Input'!L20</f>
        <v>41977</v>
      </c>
      <c r="D101" s="4">
        <f t="shared" ref="D101:D106" si="11">B101/C101</f>
        <v>1.02028961097744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9</v>
      </c>
      <c r="B102" s="6">
        <f>'Demand Input'!P21</f>
        <v>40411.733999999997</v>
      </c>
      <c r="C102" s="6">
        <f>'Demand Input'!L21</f>
        <v>38996.46</v>
      </c>
      <c r="D102" s="4">
        <f t="shared" si="11"/>
        <v>1.0362923711536893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2</v>
      </c>
      <c r="B103" s="6">
        <f>'Demand Input'!P22</f>
        <v>39719.105000000003</v>
      </c>
      <c r="C103" s="6">
        <f>'Demand Input'!L22</f>
        <v>43187.656000000003</v>
      </c>
      <c r="D103" s="4">
        <f t="shared" si="11"/>
        <v>0.91968651875897134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1" t="s">
        <v>10</v>
      </c>
      <c r="B104" s="6">
        <f>'Demand Input'!P23</f>
        <v>46763.684999999998</v>
      </c>
      <c r="C104" s="6">
        <f>'Demand Input'!L23</f>
        <v>50131.03</v>
      </c>
      <c r="D104" s="4">
        <f t="shared" si="11"/>
        <v>0.93282912798719675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1" t="s">
        <v>11</v>
      </c>
      <c r="B105" s="6">
        <f>'Demand Input'!P24</f>
        <v>52430</v>
      </c>
      <c r="C105" s="6">
        <f>'Demand Input'!L24</f>
        <v>55518.584000000003</v>
      </c>
      <c r="D105" s="4">
        <f t="shared" si="11"/>
        <v>0.9443684658816226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1" t="s">
        <v>12</v>
      </c>
      <c r="B106" s="6">
        <f>'Demand Input'!P25</f>
        <v>69421.963000000003</v>
      </c>
      <c r="C106" s="6">
        <f>'Demand Input'!L25</f>
        <v>52591.347999999998</v>
      </c>
      <c r="D106" s="4">
        <f t="shared" si="11"/>
        <v>1.3200263092704907</v>
      </c>
      <c r="E106" s="4"/>
      <c r="F106" s="4"/>
      <c r="I106" s="4"/>
      <c r="L106" s="4"/>
      <c r="O106" s="4"/>
      <c r="R106" s="4"/>
      <c r="U106" s="4"/>
    </row>
    <row r="107" spans="1:21" x14ac:dyDescent="0.25">
      <c r="A107" s="1" t="s">
        <v>46</v>
      </c>
      <c r="B107" s="6">
        <f>'Demand Input'!P26</f>
        <v>72151.763999999996</v>
      </c>
      <c r="C107" s="6">
        <f>'Demand Input'!L26</f>
        <v>61625.006999999998</v>
      </c>
      <c r="D107" s="4">
        <f t="shared" ref="D107" si="12">B107/C107</f>
        <v>1.1708195668034569</v>
      </c>
    </row>
    <row r="108" spans="1:21" x14ac:dyDescent="0.25">
      <c r="A108" s="1" t="s">
        <v>47</v>
      </c>
      <c r="B108" s="6">
        <f>'Demand Input'!P27</f>
        <v>62031.42</v>
      </c>
      <c r="C108" s="6">
        <f>'Demand Input'!L27</f>
        <v>52042.125</v>
      </c>
      <c r="D108" s="4">
        <f t="shared" ref="D108:D110" si="13">B108/C108</f>
        <v>1.1919463319378292</v>
      </c>
    </row>
    <row r="109" spans="1:21" x14ac:dyDescent="0.25">
      <c r="A109" s="1" t="s">
        <v>50</v>
      </c>
      <c r="B109" s="6">
        <f>'Demand Input'!P28</f>
        <v>53210.057999999997</v>
      </c>
      <c r="C109" s="6">
        <f>'Demand Input'!L28</f>
        <v>53432.968999999997</v>
      </c>
      <c r="D109" s="4">
        <f t="shared" si="13"/>
        <v>0.9958282123533132</v>
      </c>
    </row>
    <row r="110" spans="1:21" x14ac:dyDescent="0.25">
      <c r="A110" s="1" t="s">
        <v>52</v>
      </c>
      <c r="B110" s="6">
        <f>'Demand Input'!P29</f>
        <v>0</v>
      </c>
      <c r="C110" s="6">
        <f>'Demand Input'!L29</f>
        <v>46567.148999999998</v>
      </c>
      <c r="D110" s="4">
        <f t="shared" si="13"/>
        <v>0</v>
      </c>
    </row>
  </sheetData>
  <mergeCells count="17">
    <mergeCell ref="A50:E50"/>
    <mergeCell ref="Y36:Z36"/>
    <mergeCell ref="G36:H36"/>
    <mergeCell ref="J36:K36"/>
    <mergeCell ref="M36:N36"/>
    <mergeCell ref="P36:Q36"/>
    <mergeCell ref="AH36:AI36"/>
    <mergeCell ref="AK36:AL36"/>
    <mergeCell ref="AB36:AC36"/>
    <mergeCell ref="AE36:AF36"/>
    <mergeCell ref="B1:AB1"/>
    <mergeCell ref="D31:E31"/>
    <mergeCell ref="G31:H31"/>
    <mergeCell ref="C2:Y2"/>
    <mergeCell ref="S36:T36"/>
    <mergeCell ref="V36:W36"/>
    <mergeCell ref="D36:E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opLeftCell="C16" zoomScaleNormal="100" workbookViewId="0">
      <selection activeCell="N33" sqref="N33"/>
    </sheetView>
  </sheetViews>
  <sheetFormatPr defaultColWidth="9.140625" defaultRowHeight="15" x14ac:dyDescent="0.25"/>
  <cols>
    <col min="1" max="4" width="14.7109375" style="8" customWidth="1"/>
    <col min="5" max="5" width="2.7109375" style="8" customWidth="1"/>
    <col min="6" max="8" width="14.7109375" style="8" customWidth="1"/>
    <col min="9" max="9" width="2.7109375" style="8" customWidth="1"/>
    <col min="10" max="12" width="14.7109375" style="8" customWidth="1"/>
    <col min="13" max="13" width="2.7109375" style="8" customWidth="1"/>
    <col min="14" max="16" width="14.7109375" style="8" customWidth="1"/>
    <col min="17" max="16384" width="9.140625" style="8"/>
  </cols>
  <sheetData>
    <row r="1" spans="1:71" ht="15" customHeight="1" x14ac:dyDescent="0.25">
      <c r="A1" s="73" t="s">
        <v>20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4" t="str">
        <f>C8</f>
        <v>Newport Water Division</v>
      </c>
      <c r="D5" s="74"/>
      <c r="E5" s="74"/>
      <c r="F5" s="74"/>
      <c r="G5" s="74"/>
      <c r="H5" s="7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4"/>
      <c r="D6" s="74"/>
      <c r="E6" s="74"/>
      <c r="F6" s="74"/>
      <c r="G6" s="74"/>
      <c r="H6" s="7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18</v>
      </c>
      <c r="C8" s="76" t="s">
        <v>41</v>
      </c>
      <c r="D8" s="76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14</v>
      </c>
      <c r="C9" s="76" t="s">
        <v>40</v>
      </c>
      <c r="D9" s="76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17</v>
      </c>
      <c r="C10" s="76" t="s">
        <v>21</v>
      </c>
      <c r="D10" s="76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6"/>
      <c r="B12" s="72"/>
      <c r="C12" s="72"/>
      <c r="D12" s="72"/>
      <c r="E12" s="72"/>
      <c r="F12" s="72"/>
      <c r="G12" s="72"/>
      <c r="H12" s="72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5" t="str">
        <f>"Input Customer Demand ("&amp;C9&amp;")"</f>
        <v>Input Customer Demand (Kgal)</v>
      </c>
      <c r="C14" s="75"/>
      <c r="D14" s="75"/>
      <c r="E14" s="75"/>
      <c r="F14" s="75"/>
      <c r="G14" s="75"/>
      <c r="H14" s="7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70" t="s">
        <v>15</v>
      </c>
      <c r="C15" s="70"/>
      <c r="D15" s="70"/>
      <c r="E15" s="70"/>
      <c r="F15" s="70"/>
      <c r="G15" s="70"/>
      <c r="H15" s="7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69" t="s">
        <v>16</v>
      </c>
      <c r="C16" s="69"/>
      <c r="D16" s="69"/>
      <c r="E16" s="36"/>
      <c r="F16" s="69" t="s">
        <v>53</v>
      </c>
      <c r="G16" s="69"/>
      <c r="H16" s="69"/>
      <c r="I16" s="36"/>
      <c r="J16" s="69" t="s">
        <v>56</v>
      </c>
      <c r="K16" s="69"/>
      <c r="L16" s="69"/>
      <c r="M16" s="36"/>
      <c r="N16" s="69" t="s">
        <v>57</v>
      </c>
      <c r="O16" s="69"/>
      <c r="P16" s="69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17"/>
      <c r="N17" s="18" t="s">
        <v>4</v>
      </c>
      <c r="O17" s="18" t="s">
        <v>5</v>
      </c>
      <c r="P17" s="18" t="s">
        <v>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39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17"/>
      <c r="N18" s="21">
        <f>17828+29189+1203</f>
        <v>48220</v>
      </c>
      <c r="O18" s="21">
        <f>10380+18577+388</f>
        <v>29345</v>
      </c>
      <c r="P18" s="21">
        <f>8737+9086+839+27380</f>
        <v>46042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7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22"/>
      <c r="N19" s="21">
        <f>(16110616+25625431+1106427)/1000</f>
        <v>42842.474000000002</v>
      </c>
      <c r="O19" s="21">
        <f>(8575082+13518430+224087)/1000</f>
        <v>22317.598999999998</v>
      </c>
      <c r="P19" s="21">
        <f>(6467151+7545413+639150+28300000)/1000</f>
        <v>42951.714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8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22"/>
      <c r="N20" s="21">
        <f>+(14496829+24282266+986064)/1000</f>
        <v>39765.159</v>
      </c>
      <c r="O20" s="21">
        <f>+(8171417+13471779+244225)/1000</f>
        <v>21887.420999999998</v>
      </c>
      <c r="P20" s="21">
        <f>+(8285033+8564563+569101+25410000)/1000</f>
        <v>42828.697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9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22"/>
      <c r="N21" s="21">
        <f>(16963165+27238150+1139153)/1000</f>
        <v>45340.468000000001</v>
      </c>
      <c r="O21" s="21">
        <f>(10611170+17596229+393712)/1000</f>
        <v>28601.111000000001</v>
      </c>
      <c r="P21" s="21">
        <f>(7911059+10025737+754938+21720000)/1000</f>
        <v>40411.733999999997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22"/>
      <c r="N22" s="21">
        <f>(14207933+24108974+920326)/1000</f>
        <v>39237.233</v>
      </c>
      <c r="O22" s="21">
        <f>(9571740+15811831+799199)/1000</f>
        <v>26182.77</v>
      </c>
      <c r="P22" s="21">
        <f>(5761346+8159588+558171+25240000)/1000</f>
        <v>39719.105000000003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10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22"/>
      <c r="N23" s="21">
        <f>+(17583655+29498423+1242027)/1000</f>
        <v>48324.105000000003</v>
      </c>
      <c r="O23" s="21">
        <f>(12297874+19847732+1308628)/1000</f>
        <v>33454.233999999997</v>
      </c>
      <c r="P23" s="21">
        <f>+(7459631+8706952+977102+29620000)/1000</f>
        <v>46763.684999999998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11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22"/>
      <c r="N24" s="21">
        <v>55379</v>
      </c>
      <c r="O24" s="21">
        <v>55102</v>
      </c>
      <c r="P24" s="21">
        <v>52430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12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22"/>
      <c r="N25" s="21">
        <f>+(26766604+48309244+2424329)/1000</f>
        <v>77500.176999999996</v>
      </c>
      <c r="O25" s="21">
        <f>+(19920848+32690332+2196284)/1000</f>
        <v>54807.464</v>
      </c>
      <c r="P25" s="21">
        <f>+(8216291+8855812+1139860+51210000)/1000</f>
        <v>69421.963000000003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46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22"/>
      <c r="N26" s="21">
        <f>(22930717+45962835+2247047)/1000</f>
        <v>71140.599000000002</v>
      </c>
      <c r="O26" s="21">
        <f>(18624600+31094125+1767831)/1000</f>
        <v>51486.555999999997</v>
      </c>
      <c r="P26" s="21">
        <f>+(7518887+9154751+938126+54540000)/1000</f>
        <v>72151.763999999996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47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22"/>
      <c r="N27" s="21">
        <f>+(24696106+46673457+2585825)/1000</f>
        <v>73955.388000000006</v>
      </c>
      <c r="O27" s="21">
        <f>+(18529372+33926238+2306551)/1000</f>
        <v>54762.161</v>
      </c>
      <c r="P27" s="21">
        <f>+(10742761+11689098+1240935+38358626)/1000</f>
        <v>62031.42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50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22"/>
      <c r="N28" s="21">
        <f>+(16063934+29067180+1273767)/1000</f>
        <v>46404.881000000001</v>
      </c>
      <c r="O28" s="21">
        <f>+(12002615+20346431+1074434)/1000</f>
        <v>33423.480000000003</v>
      </c>
      <c r="P28" s="21">
        <f>+(7294946+8401547+853565+36660000)/1000</f>
        <v>53210.057999999997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52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22"/>
      <c r="N29" s="21"/>
      <c r="O29" s="21"/>
      <c r="P29" s="2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75" customHeight="1" x14ac:dyDescent="0.25">
      <c r="A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25" customHeight="1" x14ac:dyDescent="0.25">
      <c r="A31" s="36"/>
      <c r="B31" s="71"/>
      <c r="C31" s="71"/>
      <c r="D31" s="71"/>
      <c r="E31" s="71"/>
      <c r="F31" s="71"/>
      <c r="G31" s="71"/>
      <c r="H31" s="71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1.2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5" t="str">
        <f>"Input Water Produced ("&amp;C10&amp;")"</f>
        <v>Input Water Produced (MGD)</v>
      </c>
      <c r="C33" s="75"/>
      <c r="D33" s="75"/>
      <c r="E33" s="75"/>
      <c r="F33" s="75"/>
      <c r="G33" s="75"/>
      <c r="H33" s="7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70" t="s">
        <v>19</v>
      </c>
      <c r="C34" s="70"/>
      <c r="D34" s="70"/>
      <c r="E34" s="70"/>
      <c r="F34" s="70"/>
      <c r="G34" s="70"/>
      <c r="H34" s="7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7" t="s">
        <v>45</v>
      </c>
      <c r="C35" s="38" t="s">
        <v>44</v>
      </c>
      <c r="D35" s="39" t="s">
        <v>58</v>
      </c>
      <c r="E35" s="40"/>
      <c r="F35" s="37" t="s">
        <v>45</v>
      </c>
      <c r="G35" s="38" t="s">
        <v>44</v>
      </c>
      <c r="H35" s="39" t="s">
        <v>59</v>
      </c>
      <c r="I35" s="28"/>
      <c r="J35" s="37" t="s">
        <v>45</v>
      </c>
      <c r="K35" s="38" t="s">
        <v>44</v>
      </c>
      <c r="L35" s="39" t="s">
        <v>60</v>
      </c>
      <c r="M35" s="31"/>
      <c r="N35" s="37" t="s">
        <v>45</v>
      </c>
      <c r="O35" s="38" t="s">
        <v>44</v>
      </c>
      <c r="P35" s="39" t="s">
        <v>61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 t="s">
        <v>39</v>
      </c>
      <c r="C36" s="53" t="s">
        <v>7</v>
      </c>
      <c r="D36" s="20">
        <v>5.0999999999999996</v>
      </c>
      <c r="E36" s="42"/>
      <c r="F36" s="34" t="s">
        <v>39</v>
      </c>
      <c r="G36" s="53" t="s">
        <v>7</v>
      </c>
      <c r="H36" s="20">
        <v>4.62</v>
      </c>
      <c r="I36" s="28"/>
      <c r="J36" s="34" t="s">
        <v>39</v>
      </c>
      <c r="K36" s="53" t="s">
        <v>7</v>
      </c>
      <c r="L36" s="20">
        <v>4.75</v>
      </c>
      <c r="M36" s="31"/>
      <c r="N36" s="34" t="s">
        <v>39</v>
      </c>
      <c r="O36" s="53" t="s">
        <v>7</v>
      </c>
      <c r="P36" s="20">
        <v>4.75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 t="s">
        <v>7</v>
      </c>
      <c r="C37" s="53" t="s">
        <v>8</v>
      </c>
      <c r="D37" s="20">
        <v>5.0599999999999996</v>
      </c>
      <c r="E37" s="42"/>
      <c r="F37" s="34" t="s">
        <v>7</v>
      </c>
      <c r="G37" s="53" t="s">
        <v>8</v>
      </c>
      <c r="H37" s="20">
        <v>4.71</v>
      </c>
      <c r="I37" s="28"/>
      <c r="J37" s="34" t="s">
        <v>7</v>
      </c>
      <c r="K37" s="53" t="s">
        <v>8</v>
      </c>
      <c r="L37" s="20">
        <v>5.51</v>
      </c>
      <c r="M37" s="31"/>
      <c r="N37" s="34" t="s">
        <v>7</v>
      </c>
      <c r="O37" s="53" t="s">
        <v>8</v>
      </c>
      <c r="P37" s="20">
        <v>4.6500000000000004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 t="s">
        <v>8</v>
      </c>
      <c r="C38" s="53" t="s">
        <v>9</v>
      </c>
      <c r="D38" s="20">
        <v>5.01</v>
      </c>
      <c r="E38" s="42"/>
      <c r="F38" s="34" t="s">
        <v>8</v>
      </c>
      <c r="G38" s="53" t="s">
        <v>9</v>
      </c>
      <c r="H38" s="20">
        <v>4.58</v>
      </c>
      <c r="I38" s="28"/>
      <c r="J38" s="34" t="s">
        <v>8</v>
      </c>
      <c r="K38" s="53" t="s">
        <v>9</v>
      </c>
      <c r="L38" s="20">
        <v>4.79</v>
      </c>
      <c r="M38" s="31"/>
      <c r="N38" s="34" t="s">
        <v>8</v>
      </c>
      <c r="O38" s="53" t="s">
        <v>9</v>
      </c>
      <c r="P38" s="20">
        <v>4.32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 t="s">
        <v>9</v>
      </c>
      <c r="C39" s="53" t="s">
        <v>2</v>
      </c>
      <c r="D39" s="20">
        <v>5.21</v>
      </c>
      <c r="E39" s="42"/>
      <c r="F39" s="34" t="s">
        <v>9</v>
      </c>
      <c r="G39" s="53" t="s">
        <v>2</v>
      </c>
      <c r="H39" s="20">
        <v>4.75</v>
      </c>
      <c r="I39" s="28"/>
      <c r="J39" s="34" t="s">
        <v>9</v>
      </c>
      <c r="K39" s="53" t="s">
        <v>2</v>
      </c>
      <c r="L39" s="20">
        <v>5.0199999999999996</v>
      </c>
      <c r="M39" s="31"/>
      <c r="N39" s="34" t="s">
        <v>9</v>
      </c>
      <c r="O39" s="53" t="s">
        <v>2</v>
      </c>
      <c r="P39" s="20">
        <v>4.79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 t="s">
        <v>2</v>
      </c>
      <c r="C40" s="53" t="s">
        <v>10</v>
      </c>
      <c r="D40" s="20">
        <v>5.53</v>
      </c>
      <c r="E40" s="42"/>
      <c r="F40" s="34" t="s">
        <v>2</v>
      </c>
      <c r="G40" s="53" t="s">
        <v>10</v>
      </c>
      <c r="H40" s="20">
        <v>5.3</v>
      </c>
      <c r="I40" s="28"/>
      <c r="J40" s="34" t="s">
        <v>2</v>
      </c>
      <c r="K40" s="53" t="s">
        <v>10</v>
      </c>
      <c r="L40" s="20">
        <v>5.65</v>
      </c>
      <c r="M40" s="31"/>
      <c r="N40" s="34" t="s">
        <v>2</v>
      </c>
      <c r="O40" s="53" t="s">
        <v>10</v>
      </c>
      <c r="P40" s="20">
        <v>5.44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 t="s">
        <v>10</v>
      </c>
      <c r="C41" s="53" t="s">
        <v>11</v>
      </c>
      <c r="D41" s="20">
        <v>5.89</v>
      </c>
      <c r="E41" s="42"/>
      <c r="F41" s="34" t="s">
        <v>10</v>
      </c>
      <c r="G41" s="53" t="s">
        <v>11</v>
      </c>
      <c r="H41" s="20">
        <v>6.45</v>
      </c>
      <c r="I41" s="28"/>
      <c r="J41" s="34" t="s">
        <v>10</v>
      </c>
      <c r="K41" s="53" t="s">
        <v>11</v>
      </c>
      <c r="L41" s="20">
        <v>6.37</v>
      </c>
      <c r="M41" s="31"/>
      <c r="N41" s="34" t="s">
        <v>10</v>
      </c>
      <c r="O41" s="53" t="s">
        <v>11</v>
      </c>
      <c r="P41" s="20">
        <v>6.05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 t="s">
        <v>11</v>
      </c>
      <c r="C42" s="53" t="s">
        <v>12</v>
      </c>
      <c r="D42" s="20">
        <v>6.85</v>
      </c>
      <c r="E42" s="42"/>
      <c r="F42" s="34" t="s">
        <v>11</v>
      </c>
      <c r="G42" s="53" t="s">
        <v>12</v>
      </c>
      <c r="H42" s="20">
        <v>7.65</v>
      </c>
      <c r="I42" s="28"/>
      <c r="J42" s="34" t="s">
        <v>11</v>
      </c>
      <c r="K42" s="53" t="s">
        <v>12</v>
      </c>
      <c r="L42" s="20">
        <v>6.52</v>
      </c>
      <c r="M42" s="31"/>
      <c r="N42" s="34" t="s">
        <v>11</v>
      </c>
      <c r="O42" s="53" t="s">
        <v>12</v>
      </c>
      <c r="P42" s="20">
        <v>7.69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 t="s">
        <v>12</v>
      </c>
      <c r="C43" s="53" t="s">
        <v>46</v>
      </c>
      <c r="D43" s="20">
        <v>7.01</v>
      </c>
      <c r="E43" s="42"/>
      <c r="F43" s="34" t="s">
        <v>12</v>
      </c>
      <c r="G43" s="53" t="s">
        <v>46</v>
      </c>
      <c r="H43" s="20">
        <v>7.5</v>
      </c>
      <c r="I43" s="28"/>
      <c r="J43" s="34" t="s">
        <v>12</v>
      </c>
      <c r="K43" s="53" t="s">
        <v>46</v>
      </c>
      <c r="L43" s="20">
        <v>6.46</v>
      </c>
      <c r="M43" s="31"/>
      <c r="N43" s="34" t="s">
        <v>12</v>
      </c>
      <c r="O43" s="53" t="s">
        <v>46</v>
      </c>
      <c r="P43" s="20">
        <v>7.72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 t="s">
        <v>46</v>
      </c>
      <c r="C44" s="53" t="s">
        <v>48</v>
      </c>
      <c r="D44" s="20">
        <v>6.18</v>
      </c>
      <c r="E44" s="42"/>
      <c r="F44" s="34" t="s">
        <v>46</v>
      </c>
      <c r="G44" s="53" t="s">
        <v>48</v>
      </c>
      <c r="H44" s="20">
        <v>6.81</v>
      </c>
      <c r="I44" s="28"/>
      <c r="J44" s="34" t="s">
        <v>46</v>
      </c>
      <c r="K44" s="53" t="s">
        <v>48</v>
      </c>
      <c r="L44" s="20">
        <v>5.86</v>
      </c>
      <c r="M44" s="31"/>
      <c r="N44" s="34" t="s">
        <v>46</v>
      </c>
      <c r="O44" s="53" t="s">
        <v>48</v>
      </c>
      <c r="P44" s="20">
        <v>6.05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 t="s">
        <v>47</v>
      </c>
      <c r="C45" s="53" t="s">
        <v>49</v>
      </c>
      <c r="D45" s="20">
        <v>5.91</v>
      </c>
      <c r="E45" s="42"/>
      <c r="F45" s="34" t="s">
        <v>47</v>
      </c>
      <c r="G45" s="53" t="s">
        <v>49</v>
      </c>
      <c r="H45" s="20">
        <v>5.66</v>
      </c>
      <c r="I45" s="28"/>
      <c r="J45" s="34" t="s">
        <v>47</v>
      </c>
      <c r="K45" s="53" t="s">
        <v>49</v>
      </c>
      <c r="L45" s="20">
        <v>5.74</v>
      </c>
      <c r="M45" s="31"/>
      <c r="N45" s="34" t="s">
        <v>47</v>
      </c>
      <c r="O45" s="53" t="s">
        <v>49</v>
      </c>
      <c r="P45" s="20">
        <v>5.43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 t="s">
        <v>50</v>
      </c>
      <c r="C46" s="50" t="s">
        <v>51</v>
      </c>
      <c r="D46" s="20">
        <v>5.0599999999999996</v>
      </c>
      <c r="E46" s="42"/>
      <c r="F46" s="34" t="s">
        <v>50</v>
      </c>
      <c r="G46" s="50" t="s">
        <v>51</v>
      </c>
      <c r="H46" s="20">
        <v>4.9400000000000004</v>
      </c>
      <c r="I46" s="28"/>
      <c r="J46" s="34" t="s">
        <v>50</v>
      </c>
      <c r="K46" s="50" t="s">
        <v>51</v>
      </c>
      <c r="L46" s="20">
        <v>4.9400000000000004</v>
      </c>
      <c r="M46" s="31"/>
      <c r="N46" s="34" t="s">
        <v>50</v>
      </c>
      <c r="O46" s="50" t="s">
        <v>51</v>
      </c>
      <c r="P46" s="2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 t="s">
        <v>52</v>
      </c>
      <c r="C47" s="52" t="s">
        <v>39</v>
      </c>
      <c r="D47" s="51">
        <v>4.7300000000000004</v>
      </c>
      <c r="E47" s="42"/>
      <c r="F47" s="34" t="s">
        <v>52</v>
      </c>
      <c r="G47" s="52" t="s">
        <v>39</v>
      </c>
      <c r="H47" s="51">
        <v>4.63</v>
      </c>
      <c r="I47" s="28"/>
      <c r="J47" s="34" t="s">
        <v>52</v>
      </c>
      <c r="K47" s="52" t="s">
        <v>55</v>
      </c>
      <c r="L47" s="51">
        <v>4.9000000000000004</v>
      </c>
      <c r="M47" s="31"/>
      <c r="N47" s="34" t="s">
        <v>52</v>
      </c>
      <c r="O47" s="52" t="s">
        <v>62</v>
      </c>
      <c r="P47" s="5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</sheetData>
  <mergeCells count="15"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  <mergeCell ref="N16:P16"/>
    <mergeCell ref="J16:L16"/>
    <mergeCell ref="B34:H34"/>
    <mergeCell ref="B31:H31"/>
    <mergeCell ref="B12:H12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tabSelected="1" zoomScaleNormal="100" workbookViewId="0">
      <selection activeCell="E60" sqref="E60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1"/>
    <col min="15" max="15" width="11.5703125" style="31" bestFit="1" customWidth="1"/>
    <col min="16" max="19" width="9.140625" style="31"/>
    <col min="20" max="16384" width="9.140625" style="8"/>
  </cols>
  <sheetData>
    <row r="1" spans="1:24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1"/>
      <c r="U1" s="31"/>
      <c r="V1" s="31"/>
      <c r="W1" s="31"/>
      <c r="X1" s="31"/>
    </row>
    <row r="2" spans="1:2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1"/>
      <c r="V2" s="31"/>
      <c r="W2" s="31"/>
      <c r="X2" s="31"/>
    </row>
    <row r="3" spans="1:24" ht="18.75" x14ac:dyDescent="0.3">
      <c r="A3" s="34"/>
      <c r="B3" s="45" t="s">
        <v>65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1"/>
      <c r="U3" s="31"/>
      <c r="V3" s="31"/>
      <c r="W3" s="31"/>
      <c r="X3" s="31"/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1"/>
      <c r="U4" s="31"/>
      <c r="V4" s="31"/>
      <c r="W4" s="31"/>
      <c r="X4" s="31"/>
    </row>
    <row r="5" spans="1:24" x14ac:dyDescent="0.25">
      <c r="A5" s="34"/>
      <c r="B5" s="34"/>
      <c r="C5" s="34" t="s">
        <v>25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1"/>
      <c r="U5" s="31"/>
      <c r="V5" s="31"/>
      <c r="W5" s="31"/>
      <c r="X5" s="31"/>
    </row>
    <row r="6" spans="1:2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</row>
    <row r="7" spans="1:24" x14ac:dyDescent="0.25">
      <c r="N7" s="8"/>
      <c r="T7" s="31"/>
      <c r="U7" s="31"/>
      <c r="V7" s="31"/>
      <c r="W7" s="31"/>
      <c r="X7" s="31"/>
    </row>
    <row r="8" spans="1:24" x14ac:dyDescent="0.25">
      <c r="C8" s="55" t="s">
        <v>70</v>
      </c>
      <c r="E8" s="26">
        <v>1352176</v>
      </c>
      <c r="G8" s="26">
        <v>419172</v>
      </c>
      <c r="I8" s="26">
        <v>153235</v>
      </c>
      <c r="K8" s="26">
        <v>92852</v>
      </c>
      <c r="M8" s="26">
        <f>SUM(E8,G8,I8,K8)</f>
        <v>2017435</v>
      </c>
      <c r="N8" s="8"/>
      <c r="O8" s="54"/>
      <c r="T8" s="31"/>
      <c r="U8" s="31"/>
      <c r="V8" s="31"/>
      <c r="W8" s="31"/>
      <c r="X8" s="31"/>
    </row>
    <row r="9" spans="1:24" x14ac:dyDescent="0.25">
      <c r="C9" s="25" t="s">
        <v>26</v>
      </c>
      <c r="D9" s="25"/>
      <c r="E9" s="25" t="s">
        <v>27</v>
      </c>
      <c r="F9" s="25"/>
      <c r="G9" s="25" t="s">
        <v>28</v>
      </c>
      <c r="H9" s="25"/>
      <c r="I9" s="25" t="s">
        <v>42</v>
      </c>
      <c r="J9" s="25"/>
      <c r="K9" s="25" t="s">
        <v>43</v>
      </c>
      <c r="L9" s="25"/>
      <c r="M9" s="25" t="s">
        <v>29</v>
      </c>
      <c r="N9" s="8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N11" s="8"/>
      <c r="T11" s="31"/>
      <c r="U11" s="31"/>
      <c r="V11" s="31"/>
      <c r="W11" s="31"/>
      <c r="X11" s="31"/>
    </row>
    <row r="12" spans="1:24" x14ac:dyDescent="0.25">
      <c r="C12" s="55" t="s">
        <v>68</v>
      </c>
      <c r="E12" s="26">
        <v>1937654</v>
      </c>
      <c r="G12" s="26">
        <v>550415</v>
      </c>
      <c r="I12" s="26">
        <v>105603</v>
      </c>
      <c r="K12" s="26">
        <v>73069</v>
      </c>
      <c r="M12" s="26">
        <f>SUM(E12,G12,I12,K12)</f>
        <v>2666741</v>
      </c>
      <c r="N12" s="8"/>
      <c r="O12" s="54"/>
      <c r="T12" s="31"/>
      <c r="U12" s="31"/>
      <c r="V12" s="31"/>
      <c r="W12" s="31"/>
      <c r="X12" s="31"/>
    </row>
    <row r="13" spans="1:24" x14ac:dyDescent="0.25">
      <c r="C13" s="25" t="s">
        <v>30</v>
      </c>
      <c r="D13" s="25"/>
      <c r="E13" s="25" t="s">
        <v>27</v>
      </c>
      <c r="F13" s="25"/>
      <c r="G13" s="25" t="s">
        <v>28</v>
      </c>
      <c r="H13" s="25"/>
      <c r="I13" s="25" t="str">
        <f>I9</f>
        <v>60-90 days</v>
      </c>
      <c r="J13" s="25"/>
      <c r="K13" s="25" t="str">
        <f>K9</f>
        <v>90+ days</v>
      </c>
      <c r="L13" s="25"/>
      <c r="M13" s="25" t="s">
        <v>29</v>
      </c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N15" s="8"/>
      <c r="T15" s="31"/>
      <c r="U15" s="31"/>
      <c r="V15" s="31"/>
      <c r="W15" s="31"/>
      <c r="X15" s="31"/>
    </row>
    <row r="16" spans="1:24" x14ac:dyDescent="0.25">
      <c r="C16" s="55" t="s">
        <v>71</v>
      </c>
      <c r="E16" s="26">
        <v>1484335</v>
      </c>
      <c r="G16" s="26">
        <v>427655</v>
      </c>
      <c r="I16" s="26">
        <v>140662</v>
      </c>
      <c r="K16" s="26">
        <v>120033</v>
      </c>
      <c r="M16" s="26">
        <f>SUM(E16,G16,I16,K16)</f>
        <v>2172685</v>
      </c>
      <c r="N16" s="8"/>
      <c r="T16" s="31"/>
      <c r="U16" s="31"/>
      <c r="V16" s="31"/>
      <c r="W16" s="31"/>
      <c r="X16" s="31"/>
    </row>
    <row r="17" spans="1:24" x14ac:dyDescent="0.25">
      <c r="C17" s="25" t="s">
        <v>31</v>
      </c>
      <c r="D17" s="25"/>
      <c r="E17" s="25" t="s">
        <v>27</v>
      </c>
      <c r="F17" s="25"/>
      <c r="G17" s="25" t="s">
        <v>28</v>
      </c>
      <c r="H17" s="25"/>
      <c r="I17" s="25" t="str">
        <f>I13</f>
        <v>60-90 days</v>
      </c>
      <c r="J17" s="25"/>
      <c r="K17" s="25" t="str">
        <f>+K9</f>
        <v>90+ days</v>
      </c>
      <c r="L17" s="25"/>
      <c r="M17" s="25" t="s">
        <v>29</v>
      </c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N19" s="8"/>
      <c r="T19" s="31"/>
      <c r="U19" s="31"/>
      <c r="V19" s="31"/>
      <c r="W19" s="31"/>
      <c r="X19" s="31"/>
    </row>
    <row r="20" spans="1:24" x14ac:dyDescent="0.25">
      <c r="C20" s="55" t="s">
        <v>69</v>
      </c>
      <c r="E20" s="26">
        <v>1549837</v>
      </c>
      <c r="G20" s="26">
        <v>402086</v>
      </c>
      <c r="I20" s="26">
        <v>119458</v>
      </c>
      <c r="K20" s="26">
        <v>104000</v>
      </c>
      <c r="M20" s="26">
        <f>SUM(E20,G20,I20,K20)</f>
        <v>2175381</v>
      </c>
      <c r="N20" s="8"/>
      <c r="T20" s="31"/>
      <c r="U20" s="31"/>
      <c r="V20" s="31"/>
      <c r="W20" s="31"/>
      <c r="X20" s="31"/>
    </row>
    <row r="21" spans="1:24" x14ac:dyDescent="0.25">
      <c r="C21" s="25" t="s">
        <v>32</v>
      </c>
      <c r="D21" s="25"/>
      <c r="E21" s="25" t="s">
        <v>27</v>
      </c>
      <c r="F21" s="25"/>
      <c r="G21" s="25" t="s">
        <v>28</v>
      </c>
      <c r="H21" s="25"/>
      <c r="I21" s="25" t="str">
        <f>I17</f>
        <v>60-90 days</v>
      </c>
      <c r="J21" s="25"/>
      <c r="K21" s="25" t="str">
        <f>+K9</f>
        <v>90+ days</v>
      </c>
      <c r="L21" s="25"/>
      <c r="M21" s="25" t="s">
        <v>29</v>
      </c>
      <c r="N21" s="25"/>
      <c r="T21" s="31"/>
      <c r="U21" s="31"/>
      <c r="V21" s="31"/>
      <c r="W21" s="31"/>
      <c r="X21" s="31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31"/>
      <c r="U22" s="31"/>
      <c r="V22" s="31"/>
      <c r="W22" s="31"/>
      <c r="X22" s="31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31"/>
      <c r="U23" s="31"/>
      <c r="V23" s="31"/>
      <c r="W23" s="31"/>
      <c r="X23" s="31"/>
    </row>
    <row r="24" spans="1:24" x14ac:dyDescent="0.25">
      <c r="A24" s="31"/>
      <c r="B24" s="3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T24" s="31"/>
      <c r="U24" s="31"/>
      <c r="V24" s="31"/>
      <c r="W24" s="31"/>
      <c r="X24" s="31"/>
    </row>
    <row r="25" spans="1:24" x14ac:dyDescent="0.25">
      <c r="A25" s="31"/>
      <c r="B25" s="3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T25" s="31"/>
      <c r="U25" s="31"/>
      <c r="V25" s="31"/>
      <c r="W25" s="31"/>
      <c r="X25" s="31"/>
    </row>
    <row r="26" spans="1:24" x14ac:dyDescent="0.25">
      <c r="A26" s="31"/>
      <c r="B26" s="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T26" s="31"/>
      <c r="U26" s="31"/>
      <c r="V26" s="31"/>
      <c r="W26" s="31"/>
      <c r="X26" s="31"/>
    </row>
    <row r="27" spans="1:24" x14ac:dyDescent="0.25">
      <c r="A27" s="31"/>
      <c r="B27" s="3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T27" s="31"/>
      <c r="U27" s="31"/>
      <c r="V27" s="31"/>
      <c r="W27" s="31"/>
      <c r="X27" s="31"/>
    </row>
    <row r="28" spans="1:24" ht="18.75" x14ac:dyDescent="0.3">
      <c r="A28" s="34"/>
      <c r="B28" s="45" t="s">
        <v>66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1"/>
      <c r="U28" s="31"/>
      <c r="V28" s="31"/>
      <c r="W28" s="31"/>
      <c r="X28" s="31"/>
    </row>
    <row r="29" spans="1:2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1"/>
      <c r="U29" s="31"/>
      <c r="V29" s="31"/>
      <c r="W29" s="31"/>
      <c r="X29" s="31"/>
    </row>
    <row r="30" spans="1:24" x14ac:dyDescent="0.25">
      <c r="A30" s="34"/>
      <c r="B30" s="34"/>
      <c r="C30" s="34" t="s">
        <v>33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1"/>
      <c r="U30" s="31"/>
      <c r="V30" s="31"/>
      <c r="W30" s="31"/>
      <c r="X30" s="31"/>
    </row>
    <row r="31" spans="1:2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8"/>
      <c r="L31" s="48"/>
      <c r="M31" s="48"/>
      <c r="N31" s="48"/>
      <c r="O31" s="48"/>
      <c r="P31" s="48"/>
      <c r="Q31" s="34"/>
      <c r="R31" s="34"/>
      <c r="S31" s="34"/>
      <c r="T31" s="31"/>
      <c r="U31" s="31"/>
      <c r="V31" s="31"/>
      <c r="W31" s="31"/>
      <c r="X31" s="31"/>
    </row>
    <row r="32" spans="1:24" x14ac:dyDescent="0.25">
      <c r="A32" s="46"/>
      <c r="B32" s="46"/>
      <c r="C32" s="46"/>
      <c r="D32" s="46"/>
      <c r="E32" s="46"/>
      <c r="F32" s="46"/>
      <c r="G32" s="46"/>
      <c r="H32" s="4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1"/>
      <c r="U32" s="31"/>
      <c r="V32" s="31"/>
      <c r="W32" s="31"/>
      <c r="X32" s="31"/>
    </row>
    <row r="33" spans="1:31" x14ac:dyDescent="0.25">
      <c r="A33" s="46"/>
      <c r="B33" s="46"/>
      <c r="C33" s="55" t="s">
        <v>70</v>
      </c>
      <c r="D33" s="46"/>
      <c r="E33" s="47">
        <v>1782</v>
      </c>
      <c r="F33" s="46">
        <v>0</v>
      </c>
      <c r="G33" s="26">
        <v>665259</v>
      </c>
      <c r="H33" s="4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30" x14ac:dyDescent="0.25">
      <c r="C34" s="25" t="s">
        <v>26</v>
      </c>
      <c r="D34" s="25"/>
      <c r="E34" s="27" t="s">
        <v>34</v>
      </c>
      <c r="F34" s="25"/>
      <c r="G34" s="27" t="s">
        <v>35</v>
      </c>
      <c r="H34" s="25"/>
      <c r="I34" s="43"/>
      <c r="J34" s="43"/>
      <c r="K34" s="43"/>
      <c r="L34" s="43"/>
      <c r="M34" s="43"/>
      <c r="N34" s="4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I35" s="31"/>
      <c r="J35" s="31"/>
      <c r="K35" s="31"/>
      <c r="L35" s="31"/>
      <c r="M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C36" s="25"/>
      <c r="D36" s="25"/>
      <c r="E36" s="25"/>
      <c r="F36" s="25"/>
      <c r="G36" s="25"/>
      <c r="H36" s="25"/>
      <c r="I36" s="43"/>
      <c r="J36" s="31"/>
      <c r="K36" s="31"/>
      <c r="L36" s="31"/>
      <c r="M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5">
      <c r="C37" s="55" t="s">
        <v>68</v>
      </c>
      <c r="D37" s="46"/>
      <c r="E37" s="47">
        <v>1238</v>
      </c>
      <c r="F37" s="46">
        <v>0</v>
      </c>
      <c r="G37" s="26">
        <v>729087</v>
      </c>
      <c r="H37" s="25"/>
      <c r="I37" s="43"/>
      <c r="J37" s="31"/>
      <c r="K37" s="31"/>
      <c r="L37" s="31"/>
      <c r="M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30" x14ac:dyDescent="0.25">
      <c r="C38" s="25" t="s">
        <v>30</v>
      </c>
      <c r="D38" s="25"/>
      <c r="E38" s="27" t="s">
        <v>34</v>
      </c>
      <c r="F38" s="25"/>
      <c r="G38" s="27" t="s">
        <v>35</v>
      </c>
      <c r="H38" s="25"/>
      <c r="I38" s="43"/>
      <c r="J38" s="31"/>
      <c r="K38" s="31"/>
      <c r="L38" s="31"/>
      <c r="M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5">
      <c r="C39" s="25"/>
      <c r="D39" s="25"/>
      <c r="E39" s="25"/>
      <c r="F39" s="25"/>
      <c r="G39" s="25"/>
      <c r="H39" s="25"/>
      <c r="I39" s="43"/>
      <c r="J39" s="31"/>
      <c r="K39" s="31"/>
      <c r="L39" s="31"/>
      <c r="M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5">
      <c r="C40" s="25"/>
      <c r="D40" s="25"/>
      <c r="E40" s="25"/>
      <c r="F40" s="25"/>
      <c r="G40" s="25"/>
      <c r="H40" s="25"/>
      <c r="I40" s="43"/>
      <c r="J40" s="31"/>
      <c r="K40" s="31"/>
      <c r="L40" s="31"/>
      <c r="M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5">
      <c r="C41" s="55" t="s">
        <v>71</v>
      </c>
      <c r="D41" s="25"/>
      <c r="E41" s="47">
        <v>1792</v>
      </c>
      <c r="F41" s="25"/>
      <c r="G41" s="26">
        <v>688350</v>
      </c>
      <c r="H41" s="25"/>
      <c r="I41" s="43"/>
      <c r="J41" s="31"/>
      <c r="K41" s="31"/>
      <c r="L41" s="31"/>
      <c r="M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30" x14ac:dyDescent="0.25">
      <c r="C42" s="25" t="s">
        <v>31</v>
      </c>
      <c r="D42" s="25"/>
      <c r="E42" s="27" t="s">
        <v>34</v>
      </c>
      <c r="F42" s="25"/>
      <c r="G42" s="27" t="s">
        <v>35</v>
      </c>
      <c r="H42" s="25"/>
      <c r="I42" s="43"/>
      <c r="J42" s="31"/>
      <c r="K42" s="31"/>
      <c r="L42" s="31"/>
      <c r="M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5">
      <c r="C43" s="25"/>
      <c r="D43" s="25"/>
      <c r="E43" s="25"/>
      <c r="F43" s="25"/>
      <c r="G43" s="25"/>
      <c r="H43" s="25"/>
      <c r="I43" s="43"/>
      <c r="J43" s="31"/>
      <c r="K43" s="31"/>
      <c r="L43" s="31"/>
      <c r="M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5">
      <c r="C44" s="25"/>
      <c r="D44" s="25"/>
      <c r="E44" s="25"/>
      <c r="F44" s="25"/>
      <c r="G44" s="25"/>
      <c r="H44" s="25"/>
      <c r="I44" s="43"/>
      <c r="J44" s="31"/>
      <c r="K44" s="31"/>
      <c r="L44" s="31"/>
      <c r="M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5">
      <c r="C45" s="55" t="s">
        <v>69</v>
      </c>
      <c r="D45" s="25"/>
      <c r="E45" s="47">
        <v>1731</v>
      </c>
      <c r="F45" s="25"/>
      <c r="G45" s="26">
        <v>625544</v>
      </c>
      <c r="H45" s="25"/>
      <c r="I45" s="43"/>
      <c r="J45" s="31"/>
      <c r="K45" s="31"/>
      <c r="L45" s="31"/>
      <c r="M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30" x14ac:dyDescent="0.25">
      <c r="C46" s="25" t="s">
        <v>32</v>
      </c>
      <c r="D46" s="25"/>
      <c r="E46" s="27" t="s">
        <v>34</v>
      </c>
      <c r="F46" s="25"/>
      <c r="G46" s="27" t="s">
        <v>35</v>
      </c>
      <c r="H46" s="25"/>
      <c r="I46" s="43"/>
      <c r="J46" s="31"/>
      <c r="K46" s="31"/>
      <c r="L46" s="31"/>
      <c r="M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5">
      <c r="C47" s="25"/>
      <c r="D47" s="25"/>
      <c r="E47" s="25"/>
      <c r="F47" s="25"/>
      <c r="G47" s="25"/>
      <c r="H47" s="25"/>
      <c r="I47" s="43"/>
      <c r="J47" s="31"/>
      <c r="K47" s="31"/>
      <c r="L47" s="31"/>
      <c r="M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1"/>
      <c r="K48" s="31"/>
      <c r="L48" s="31"/>
      <c r="M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.75" x14ac:dyDescent="0.3">
      <c r="A49" s="34"/>
      <c r="B49" s="45" t="s">
        <v>67</v>
      </c>
      <c r="C49" s="34"/>
      <c r="D49" s="34"/>
      <c r="E49" s="34"/>
      <c r="F49" s="34"/>
      <c r="G49" s="34"/>
      <c r="H49" s="34"/>
      <c r="I49" s="34"/>
      <c r="J49" s="31"/>
      <c r="K49" s="31"/>
      <c r="L49" s="31"/>
      <c r="M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1"/>
      <c r="K50" s="31"/>
      <c r="L50" s="31"/>
      <c r="M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25">
      <c r="A51" s="34"/>
      <c r="B51" s="34"/>
      <c r="C51" s="34" t="s">
        <v>36</v>
      </c>
      <c r="D51" s="34"/>
      <c r="E51" s="34"/>
      <c r="F51" s="34"/>
      <c r="G51" s="34"/>
      <c r="H51" s="34"/>
      <c r="I51" s="34"/>
      <c r="J51" s="31"/>
      <c r="K51" s="31"/>
      <c r="L51" s="31"/>
      <c r="M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25">
      <c r="A52" s="34"/>
      <c r="B52" s="34"/>
      <c r="C52" s="34"/>
      <c r="D52" s="34"/>
      <c r="E52" s="57">
        <v>44875</v>
      </c>
      <c r="F52" s="34"/>
      <c r="G52" s="34"/>
      <c r="H52" s="34"/>
      <c r="I52" s="34"/>
      <c r="J52" s="31"/>
      <c r="K52" s="31"/>
      <c r="L52" s="31"/>
      <c r="M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25">
      <c r="C53" s="25"/>
      <c r="D53" s="25"/>
      <c r="E53" s="25"/>
      <c r="F53" s="25"/>
      <c r="G53" s="25"/>
      <c r="H53" s="25"/>
      <c r="I53" s="25"/>
      <c r="K53" s="31"/>
      <c r="L53" s="31"/>
      <c r="M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25">
      <c r="C54" s="56" t="s">
        <v>70</v>
      </c>
      <c r="D54" s="25"/>
      <c r="E54" s="26">
        <v>399414</v>
      </c>
      <c r="F54" s="25"/>
      <c r="G54" s="56" t="s">
        <v>68</v>
      </c>
      <c r="H54" s="25"/>
      <c r="I54" s="26">
        <v>1948991</v>
      </c>
      <c r="K54" s="31"/>
      <c r="L54" s="31"/>
      <c r="M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25">
      <c r="C55" s="25" t="s">
        <v>26</v>
      </c>
      <c r="D55" s="25"/>
      <c r="E55" s="27" t="s">
        <v>37</v>
      </c>
      <c r="F55" s="25"/>
      <c r="G55" s="25" t="s">
        <v>30</v>
      </c>
      <c r="H55" s="25"/>
      <c r="I55" s="27" t="s">
        <v>37</v>
      </c>
      <c r="J55" s="25"/>
      <c r="K55" s="31"/>
      <c r="L55" s="31"/>
      <c r="M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25">
      <c r="C56" s="25"/>
      <c r="D56" s="25"/>
      <c r="E56" s="25"/>
      <c r="F56" s="25"/>
      <c r="G56" s="25"/>
      <c r="H56" s="25"/>
      <c r="I56" s="25"/>
      <c r="J56" s="25"/>
      <c r="K56" s="31"/>
      <c r="L56" s="31"/>
      <c r="M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25">
      <c r="C57" s="25"/>
      <c r="D57" s="25"/>
      <c r="E57" s="25"/>
      <c r="F57" s="25"/>
      <c r="G57" s="25"/>
      <c r="H57" s="25"/>
      <c r="I57" s="25"/>
      <c r="J57" s="25"/>
      <c r="K57" s="31"/>
      <c r="L57" s="31"/>
      <c r="M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25">
      <c r="C58" s="25"/>
      <c r="D58" s="25"/>
      <c r="E58" s="25"/>
      <c r="F58" s="25"/>
      <c r="G58" s="25"/>
      <c r="H58" s="25"/>
      <c r="I58" s="25"/>
      <c r="J58" s="25"/>
      <c r="K58" s="31"/>
      <c r="L58" s="31"/>
      <c r="M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25">
      <c r="C59" s="56" t="s">
        <v>71</v>
      </c>
      <c r="D59" s="25"/>
      <c r="E59" s="26">
        <v>1682230</v>
      </c>
      <c r="F59" s="25"/>
      <c r="G59" s="56" t="s">
        <v>69</v>
      </c>
      <c r="H59" s="25"/>
      <c r="I59" s="26">
        <v>1506158</v>
      </c>
      <c r="J59" s="25"/>
      <c r="K59" s="31"/>
      <c r="L59" s="31"/>
      <c r="M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30" x14ac:dyDescent="0.25">
      <c r="C60" s="27" t="s">
        <v>38</v>
      </c>
      <c r="D60" s="25"/>
      <c r="E60" s="27" t="s">
        <v>37</v>
      </c>
      <c r="F60" s="25"/>
      <c r="G60" s="27" t="s">
        <v>54</v>
      </c>
      <c r="H60" s="25"/>
      <c r="I60" s="27" t="s">
        <v>37</v>
      </c>
      <c r="J60" s="25"/>
      <c r="K60" s="31"/>
      <c r="L60" s="31"/>
      <c r="M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25">
      <c r="A61" s="8" t="s">
        <v>64</v>
      </c>
      <c r="C61" s="25"/>
      <c r="D61" s="25"/>
      <c r="E61" s="25"/>
      <c r="F61" s="25"/>
      <c r="G61" s="25"/>
      <c r="H61" s="25"/>
      <c r="I61" s="25"/>
      <c r="J61" s="25"/>
      <c r="K61" s="31"/>
      <c r="L61" s="31"/>
      <c r="M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5">
      <c r="A62" s="31"/>
      <c r="B62" s="31"/>
      <c r="C62" s="43"/>
      <c r="D62" s="43"/>
      <c r="E62" s="43"/>
      <c r="F62" s="43"/>
      <c r="G62" s="43"/>
      <c r="H62" s="43"/>
      <c r="I62" s="43"/>
      <c r="J62" s="43"/>
      <c r="K62" s="31"/>
      <c r="L62" s="31"/>
      <c r="M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25">
      <c r="A63" s="31"/>
      <c r="B63" s="31"/>
      <c r="C63" s="43"/>
      <c r="D63" s="43"/>
      <c r="E63" s="43"/>
      <c r="F63" s="43"/>
      <c r="G63" s="43"/>
      <c r="H63" s="43"/>
      <c r="I63" s="43"/>
      <c r="J63" s="43"/>
      <c r="K63" s="31"/>
      <c r="L63" s="31"/>
      <c r="M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31" customFormat="1" x14ac:dyDescent="0.25"/>
    <row r="72" spans="1:31" s="31" customFormat="1" x14ac:dyDescent="0.25"/>
    <row r="73" spans="1:31" s="31" customFormat="1" x14ac:dyDescent="0.25"/>
    <row r="74" spans="1:31" s="31" customFormat="1" x14ac:dyDescent="0.25"/>
    <row r="75" spans="1:31" s="31" customFormat="1" x14ac:dyDescent="0.25"/>
    <row r="76" spans="1:31" s="31" customFormat="1" x14ac:dyDescent="0.25"/>
    <row r="77" spans="1:31" s="31" customFormat="1" x14ac:dyDescent="0.25"/>
    <row r="78" spans="1:31" s="31" customFormat="1" x14ac:dyDescent="0.25"/>
    <row r="79" spans="1:31" s="31" customFormat="1" x14ac:dyDescent="0.25"/>
    <row r="80" spans="1:31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2022-11-10T21:20:42Z</dcterms:modified>
</cp:coreProperties>
</file>