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pplcorp-my.sharepoint.com/personal/jscanlon_pplweb_com/Documents/23-49-EE - SRP 3-Year Plan/1. e-Version/"/>
    </mc:Choice>
  </mc:AlternateContent>
  <xr:revisionPtr revIDLastSave="0" documentId="8_{D2B4FC09-EA72-4838-A1C9-2B37C8CDCB66}" xr6:coauthVersionLast="47" xr6:coauthVersionMax="47" xr10:uidLastSave="{00000000-0000-0000-0000-000000000000}"/>
  <bookViews>
    <workbookView xWindow="-110" yWindow="-110" windowWidth="19420" windowHeight="10420" tabRatio="834" firstSheet="5" activeTab="9" xr2:uid="{00000000-000D-0000-FFFF-FFFF00000000}"/>
  </bookViews>
  <sheets>
    <sheet name="Instructions" sheetId="15" r:id="rId1"/>
    <sheet name="Inputs-System" sheetId="4" r:id="rId2"/>
    <sheet name="Inputs-Proposals" sheetId="5" r:id="rId3"/>
    <sheet name="Proposals Comparison" sheetId="25" r:id="rId4"/>
    <sheet name="Benefits Calc" sheetId="24" r:id="rId5"/>
    <sheet name="Coincidence Factors" sheetId="27" r:id="rId6"/>
    <sheet name="Energy" sheetId="21" r:id="rId7"/>
    <sheet name="Embedded Emissions" sheetId="26" r:id="rId8"/>
    <sheet name="Non-Embedded Emissions" sheetId="19" r:id="rId9"/>
    <sheet name="DRIPE" sheetId="23" r:id="rId10"/>
    <sheet name="Capacity" sheetId="22" r:id="rId11"/>
    <sheet name="Cost Calculator" sheetId="16" r:id="rId12"/>
    <sheet name="Lists" sheetId="6" r:id="rId13"/>
  </sheets>
  <externalReferences>
    <externalReference r:id="rId14"/>
  </externalReferences>
  <definedNames>
    <definedName name="avoidedcosttbl1" localSheetId="2">#REF!</definedName>
    <definedName name="Half_Year">[1]Lookups!$F$20</definedName>
    <definedName name="Inflation">[1]Lookups!$F$19</definedName>
    <definedName name="Real_Year2" localSheetId="2">#REF!</definedName>
    <definedName name="realdiscrt">[1]Lookups!$F$18</definedName>
    <definedName name="Year1">[1]Lookups!$E$10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6" i="16" l="1"/>
  <c r="X33" i="16"/>
  <c r="X30" i="16"/>
  <c r="X27" i="16"/>
  <c r="X24" i="16"/>
  <c r="X21" i="16"/>
  <c r="X18" i="16"/>
  <c r="X15" i="16"/>
  <c r="X12" i="16"/>
  <c r="X9" i="16"/>
  <c r="C6" i="24" l="1"/>
  <c r="M17" i="5" l="1"/>
  <c r="E17" i="5"/>
  <c r="F17" i="5"/>
  <c r="G17" i="5"/>
  <c r="H17" i="5"/>
  <c r="I17" i="5"/>
  <c r="J17" i="5"/>
  <c r="K17" i="5"/>
  <c r="L17" i="5"/>
  <c r="D17" i="5"/>
  <c r="C18" i="5"/>
  <c r="C19" i="5"/>
  <c r="C16" i="5"/>
  <c r="C17" i="5"/>
  <c r="B175" i="19"/>
  <c r="C175" i="19"/>
  <c r="D23" i="5"/>
  <c r="G89" i="19"/>
  <c r="H89" i="19"/>
  <c r="G90" i="19"/>
  <c r="H90" i="19"/>
  <c r="P2" i="19"/>
  <c r="D36" i="26"/>
  <c r="B77" i="26" s="1"/>
  <c r="D37" i="26"/>
  <c r="B78" i="26" s="1"/>
  <c r="D38" i="26"/>
  <c r="B56" i="19"/>
  <c r="C90" i="26"/>
  <c r="B129" i="26" s="1"/>
  <c r="C91" i="26"/>
  <c r="B130" i="26" s="1"/>
  <c r="C92" i="26"/>
  <c r="B131" i="26" s="1"/>
  <c r="C93" i="26"/>
  <c r="B132" i="26" s="1"/>
  <c r="C94" i="26"/>
  <c r="B133" i="26" s="1"/>
  <c r="C95" i="26"/>
  <c r="B134" i="26" s="1"/>
  <c r="C96" i="26"/>
  <c r="B135" i="26" s="1"/>
  <c r="C97" i="26"/>
  <c r="B136" i="26" s="1"/>
  <c r="C98" i="26"/>
  <c r="B137" i="26" s="1"/>
  <c r="C99" i="26"/>
  <c r="B138" i="26" s="1"/>
  <c r="C100" i="26"/>
  <c r="B139" i="26" s="1"/>
  <c r="C101" i="26"/>
  <c r="B140" i="26" s="1"/>
  <c r="C102" i="26"/>
  <c r="B141" i="26" s="1"/>
  <c r="C103" i="26"/>
  <c r="B142" i="26" s="1"/>
  <c r="C104" i="26"/>
  <c r="B143" i="26" s="1"/>
  <c r="C105" i="26"/>
  <c r="B144" i="26" s="1"/>
  <c r="C106" i="26"/>
  <c r="B145" i="26" s="1"/>
  <c r="C107" i="26"/>
  <c r="B146" i="26" s="1"/>
  <c r="C108" i="26"/>
  <c r="B147" i="26" s="1"/>
  <c r="C109" i="26"/>
  <c r="B148" i="26" s="1"/>
  <c r="C110" i="26"/>
  <c r="B149" i="26" s="1"/>
  <c r="C111" i="26"/>
  <c r="B150" i="26" s="1"/>
  <c r="C112" i="26"/>
  <c r="B151" i="26" s="1"/>
  <c r="C113" i="26"/>
  <c r="B152" i="26" s="1"/>
  <c r="C114" i="26"/>
  <c r="B153" i="26" s="1"/>
  <c r="C115" i="26"/>
  <c r="B154" i="26" s="1"/>
  <c r="C116" i="26"/>
  <c r="B155" i="26" s="1"/>
  <c r="C117" i="26"/>
  <c r="B156" i="26" s="1"/>
  <c r="C118" i="26"/>
  <c r="B157" i="26" s="1"/>
  <c r="C119" i="26"/>
  <c r="B158" i="26" s="1"/>
  <c r="C143" i="19"/>
  <c r="C144" i="19"/>
  <c r="C145" i="19"/>
  <c r="C146" i="19"/>
  <c r="C147" i="19"/>
  <c r="C148" i="19"/>
  <c r="C149" i="19"/>
  <c r="C150" i="19"/>
  <c r="C151" i="19"/>
  <c r="C152" i="19"/>
  <c r="C153" i="19"/>
  <c r="C154" i="19"/>
  <c r="C155" i="19"/>
  <c r="C156" i="19"/>
  <c r="C157" i="19"/>
  <c r="C158" i="19"/>
  <c r="C159" i="19"/>
  <c r="C160" i="19"/>
  <c r="C161" i="19"/>
  <c r="C162" i="19"/>
  <c r="C163" i="19"/>
  <c r="C164" i="19"/>
  <c r="C165" i="19"/>
  <c r="C166" i="19"/>
  <c r="C167" i="19"/>
  <c r="C168" i="19"/>
  <c r="C169" i="19"/>
  <c r="C170" i="19"/>
  <c r="C171" i="19"/>
  <c r="C172" i="19"/>
  <c r="C173" i="19"/>
  <c r="C174" i="19"/>
  <c r="B144" i="19"/>
  <c r="B145" i="19"/>
  <c r="B146" i="19"/>
  <c r="B147" i="19"/>
  <c r="B148" i="19"/>
  <c r="B149" i="19"/>
  <c r="B150" i="19"/>
  <c r="B151" i="19"/>
  <c r="B152" i="19"/>
  <c r="B153" i="19"/>
  <c r="B154" i="19"/>
  <c r="B155" i="19"/>
  <c r="B156" i="19"/>
  <c r="B157" i="19"/>
  <c r="B158" i="19"/>
  <c r="B159" i="19"/>
  <c r="B160" i="19"/>
  <c r="B161" i="19"/>
  <c r="B162" i="19"/>
  <c r="B163" i="19"/>
  <c r="B164" i="19"/>
  <c r="B165" i="19"/>
  <c r="B166" i="19"/>
  <c r="B167" i="19"/>
  <c r="B168" i="19"/>
  <c r="B169" i="19"/>
  <c r="B170" i="19"/>
  <c r="B171" i="19"/>
  <c r="B172" i="19"/>
  <c r="B173" i="19"/>
  <c r="B174" i="19"/>
  <c r="B143" i="19"/>
  <c r="B89" i="19"/>
  <c r="C89" i="19"/>
  <c r="B90" i="19"/>
  <c r="C90" i="19"/>
  <c r="B57" i="19"/>
  <c r="C57" i="19"/>
  <c r="B58" i="19"/>
  <c r="C58" i="19"/>
  <c r="B59" i="19"/>
  <c r="C59" i="19"/>
  <c r="B60" i="19"/>
  <c r="C60" i="19"/>
  <c r="B61" i="19"/>
  <c r="C61" i="19"/>
  <c r="B62" i="19"/>
  <c r="C62" i="19"/>
  <c r="B63" i="19"/>
  <c r="C63" i="19"/>
  <c r="B64" i="19"/>
  <c r="C64" i="19"/>
  <c r="B65" i="19"/>
  <c r="C65" i="19"/>
  <c r="B66" i="19"/>
  <c r="C66" i="19"/>
  <c r="B67" i="19"/>
  <c r="C67" i="19"/>
  <c r="B68" i="19"/>
  <c r="C68" i="19"/>
  <c r="B69" i="19"/>
  <c r="C69" i="19"/>
  <c r="B70" i="19"/>
  <c r="C70" i="19"/>
  <c r="B71" i="19"/>
  <c r="C71" i="19"/>
  <c r="B72" i="19"/>
  <c r="C72" i="19"/>
  <c r="B73" i="19"/>
  <c r="C73" i="19"/>
  <c r="B74" i="19"/>
  <c r="C74" i="19"/>
  <c r="B75" i="19"/>
  <c r="C75" i="19"/>
  <c r="B76" i="19"/>
  <c r="C76" i="19"/>
  <c r="B77" i="19"/>
  <c r="C77" i="19"/>
  <c r="B78" i="19"/>
  <c r="C78" i="19"/>
  <c r="B79" i="19"/>
  <c r="C79" i="19"/>
  <c r="B80" i="19"/>
  <c r="C80" i="19"/>
  <c r="B81" i="19"/>
  <c r="C81" i="19"/>
  <c r="B82" i="19"/>
  <c r="C82" i="19"/>
  <c r="B83" i="19"/>
  <c r="C83" i="19"/>
  <c r="B84" i="19"/>
  <c r="C84" i="19"/>
  <c r="B85" i="19"/>
  <c r="C85" i="19"/>
  <c r="B86" i="19"/>
  <c r="C86" i="19"/>
  <c r="B87" i="19"/>
  <c r="C87" i="19"/>
  <c r="B88" i="19"/>
  <c r="C88" i="19"/>
  <c r="C56" i="19"/>
  <c r="D56" i="19" s="1"/>
  <c r="E54" i="23"/>
  <c r="F54" i="23"/>
  <c r="G54" i="23"/>
  <c r="H54" i="23"/>
  <c r="I54" i="23"/>
  <c r="E55" i="23"/>
  <c r="F55" i="23"/>
  <c r="G55" i="23"/>
  <c r="H55" i="23"/>
  <c r="I55" i="23"/>
  <c r="D51" i="21"/>
  <c r="E51" i="21"/>
  <c r="F51" i="21"/>
  <c r="C52" i="21"/>
  <c r="D52" i="21"/>
  <c r="E52" i="21"/>
  <c r="F52" i="21"/>
  <c r="C53" i="21"/>
  <c r="D53" i="21"/>
  <c r="E53" i="21"/>
  <c r="F53" i="21"/>
  <c r="C54" i="21"/>
  <c r="D54" i="21"/>
  <c r="E54" i="21"/>
  <c r="F54" i="21"/>
  <c r="C55" i="21"/>
  <c r="D55" i="21"/>
  <c r="E55" i="21"/>
  <c r="F55" i="21"/>
  <c r="C56" i="21"/>
  <c r="D56" i="21"/>
  <c r="E56" i="21"/>
  <c r="F56" i="21"/>
  <c r="C57" i="21"/>
  <c r="D57" i="21"/>
  <c r="E57" i="21"/>
  <c r="F57" i="21"/>
  <c r="C58" i="21"/>
  <c r="D58" i="21"/>
  <c r="E58" i="21"/>
  <c r="F58" i="21"/>
  <c r="C59" i="21"/>
  <c r="D59" i="21"/>
  <c r="E59" i="21"/>
  <c r="F59" i="21"/>
  <c r="C60" i="21"/>
  <c r="D60" i="21"/>
  <c r="E60" i="21"/>
  <c r="F60" i="21"/>
  <c r="C61" i="21"/>
  <c r="D61" i="21"/>
  <c r="E61" i="21"/>
  <c r="F61" i="21"/>
  <c r="C62" i="21"/>
  <c r="D62" i="21"/>
  <c r="E62" i="21"/>
  <c r="F62" i="21"/>
  <c r="C63" i="21"/>
  <c r="D63" i="21"/>
  <c r="E63" i="21"/>
  <c r="F63" i="21"/>
  <c r="C64" i="21"/>
  <c r="D64" i="21"/>
  <c r="E64" i="21"/>
  <c r="F64" i="21"/>
  <c r="C65" i="21"/>
  <c r="D65" i="21"/>
  <c r="E65" i="21"/>
  <c r="F65" i="21"/>
  <c r="C66" i="21"/>
  <c r="D66" i="21"/>
  <c r="E66" i="21"/>
  <c r="F66" i="21"/>
  <c r="C67" i="21"/>
  <c r="D67" i="21"/>
  <c r="E67" i="21"/>
  <c r="F67" i="21"/>
  <c r="C68" i="21"/>
  <c r="D68" i="21"/>
  <c r="E68" i="21"/>
  <c r="F68" i="21"/>
  <c r="C69" i="21"/>
  <c r="D69" i="21"/>
  <c r="E69" i="21"/>
  <c r="F69" i="21"/>
  <c r="C70" i="21"/>
  <c r="D70" i="21"/>
  <c r="E70" i="21"/>
  <c r="F70" i="21"/>
  <c r="C71" i="21"/>
  <c r="D71" i="21"/>
  <c r="E71" i="21"/>
  <c r="F71" i="21"/>
  <c r="C72" i="21"/>
  <c r="D72" i="21"/>
  <c r="E72" i="21"/>
  <c r="F72" i="21"/>
  <c r="C73" i="21"/>
  <c r="D73" i="21"/>
  <c r="E73" i="21"/>
  <c r="F73" i="21"/>
  <c r="C74" i="21"/>
  <c r="D74" i="21"/>
  <c r="E74" i="21"/>
  <c r="F74" i="21"/>
  <c r="C75" i="21"/>
  <c r="D75" i="21"/>
  <c r="E75" i="21"/>
  <c r="F75" i="21"/>
  <c r="C76" i="21"/>
  <c r="D76" i="21"/>
  <c r="E76" i="21"/>
  <c r="F76" i="21"/>
  <c r="C77" i="21"/>
  <c r="D77" i="21"/>
  <c r="E77" i="21"/>
  <c r="F77" i="21"/>
  <c r="C78" i="21"/>
  <c r="D78" i="21"/>
  <c r="E78" i="21"/>
  <c r="F78" i="21"/>
  <c r="C79" i="21"/>
  <c r="D79" i="21"/>
  <c r="E79" i="21"/>
  <c r="F79" i="21"/>
  <c r="C80" i="21"/>
  <c r="D80" i="21"/>
  <c r="E80" i="21"/>
  <c r="F80" i="21"/>
  <c r="C81" i="21"/>
  <c r="D81" i="21"/>
  <c r="E81" i="21"/>
  <c r="F81" i="21"/>
  <c r="C82" i="21"/>
  <c r="D82" i="21"/>
  <c r="E82" i="21"/>
  <c r="F82" i="21"/>
  <c r="C83" i="21"/>
  <c r="D83" i="21"/>
  <c r="E83" i="21"/>
  <c r="F83" i="21"/>
  <c r="C51" i="21"/>
  <c r="C23" i="25"/>
  <c r="D175" i="19" l="1"/>
  <c r="D143" i="19"/>
  <c r="D171" i="19"/>
  <c r="D167" i="19"/>
  <c r="D163" i="19"/>
  <c r="D159" i="19"/>
  <c r="D155" i="19"/>
  <c r="D151" i="19"/>
  <c r="D147" i="19"/>
  <c r="D173" i="19"/>
  <c r="D169" i="19"/>
  <c r="D165" i="19"/>
  <c r="D161" i="19"/>
  <c r="D157" i="19"/>
  <c r="D153" i="19"/>
  <c r="D149" i="19"/>
  <c r="D145" i="19"/>
  <c r="D172" i="19"/>
  <c r="D168" i="19"/>
  <c r="D164" i="19"/>
  <c r="D160" i="19"/>
  <c r="D156" i="19"/>
  <c r="D152" i="19"/>
  <c r="D148" i="19"/>
  <c r="D144" i="19"/>
  <c r="D174" i="19"/>
  <c r="D170" i="19"/>
  <c r="D166" i="19"/>
  <c r="D162" i="19"/>
  <c r="D158" i="19"/>
  <c r="D154" i="19"/>
  <c r="D150" i="19"/>
  <c r="D146" i="19"/>
  <c r="D35" i="26"/>
  <c r="B76" i="26" s="1"/>
  <c r="D34" i="26"/>
  <c r="B75" i="26" s="1"/>
  <c r="D33" i="26"/>
  <c r="B74" i="26" s="1"/>
  <c r="D32" i="26"/>
  <c r="B73" i="26" s="1"/>
  <c r="D31" i="26"/>
  <c r="B72" i="26" s="1"/>
  <c r="D30" i="26"/>
  <c r="B71" i="26" s="1"/>
  <c r="D29" i="26"/>
  <c r="B70" i="26" s="1"/>
  <c r="D28" i="26"/>
  <c r="B69" i="26" s="1"/>
  <c r="D27" i="26"/>
  <c r="B68" i="26" s="1"/>
  <c r="D26" i="26"/>
  <c r="B67" i="26" s="1"/>
  <c r="D25" i="26"/>
  <c r="B66" i="26" s="1"/>
  <c r="D24" i="26"/>
  <c r="B65" i="26" s="1"/>
  <c r="D23" i="26"/>
  <c r="B64" i="26" s="1"/>
  <c r="D22" i="26"/>
  <c r="B63" i="26" s="1"/>
  <c r="D21" i="26"/>
  <c r="B62" i="26" s="1"/>
  <c r="D20" i="26"/>
  <c r="B61" i="26" s="1"/>
  <c r="D19" i="26"/>
  <c r="B60" i="26" s="1"/>
  <c r="D18" i="26"/>
  <c r="B59" i="26" s="1"/>
  <c r="D17" i="26"/>
  <c r="B58" i="26" s="1"/>
  <c r="D16" i="26"/>
  <c r="B57" i="26" s="1"/>
  <c r="D15" i="26"/>
  <c r="B56" i="26" s="1"/>
  <c r="D14" i="26"/>
  <c r="B55" i="26" s="1"/>
  <c r="D13" i="26"/>
  <c r="B54" i="26" s="1"/>
  <c r="D12" i="26"/>
  <c r="B53" i="26" s="1"/>
  <c r="D11" i="26"/>
  <c r="B52" i="26" s="1"/>
  <c r="D10" i="26"/>
  <c r="B51" i="26" s="1"/>
  <c r="D9" i="26"/>
  <c r="B50" i="26" s="1"/>
  <c r="D8" i="26"/>
  <c r="B49" i="26" s="1"/>
  <c r="D7" i="26"/>
  <c r="B48" i="26" s="1"/>
  <c r="D6" i="26"/>
  <c r="B47" i="26" s="1"/>
  <c r="D88" i="19"/>
  <c r="D87" i="19"/>
  <c r="D86" i="19"/>
  <c r="D85" i="19"/>
  <c r="D84" i="19"/>
  <c r="D83" i="19"/>
  <c r="D82" i="19"/>
  <c r="D81" i="19"/>
  <c r="D80" i="19"/>
  <c r="D79" i="19"/>
  <c r="D78" i="19"/>
  <c r="D77" i="19"/>
  <c r="D76" i="19"/>
  <c r="D75" i="19"/>
  <c r="D74" i="19"/>
  <c r="D73" i="19"/>
  <c r="D72" i="19"/>
  <c r="D71" i="19"/>
  <c r="D70" i="19"/>
  <c r="D69" i="19"/>
  <c r="D68" i="19"/>
  <c r="D67" i="19"/>
  <c r="D66" i="19"/>
  <c r="D65" i="19"/>
  <c r="D64" i="19"/>
  <c r="D63" i="19"/>
  <c r="D62" i="19"/>
  <c r="D61" i="19"/>
  <c r="D60" i="19"/>
  <c r="D59" i="19"/>
  <c r="D58" i="19"/>
  <c r="D57" i="19"/>
  <c r="D90" i="19"/>
  <c r="D89" i="19"/>
  <c r="C68" i="24"/>
  <c r="C67" i="24"/>
  <c r="C66" i="24"/>
  <c r="C65" i="24"/>
  <c r="C62" i="24"/>
  <c r="C61" i="24"/>
  <c r="C60" i="24"/>
  <c r="C59" i="24"/>
  <c r="C56" i="24"/>
  <c r="C55" i="24"/>
  <c r="C54" i="24"/>
  <c r="C53" i="24"/>
  <c r="C50" i="24"/>
  <c r="C49" i="24"/>
  <c r="C48" i="24"/>
  <c r="C47" i="24"/>
  <c r="C44" i="24"/>
  <c r="C43" i="24"/>
  <c r="C42" i="24"/>
  <c r="C41" i="24"/>
  <c r="C38" i="24"/>
  <c r="C37" i="24"/>
  <c r="C36" i="24"/>
  <c r="C35" i="24"/>
  <c r="C32" i="24"/>
  <c r="C31" i="24"/>
  <c r="C30" i="24"/>
  <c r="C29" i="24"/>
  <c r="C26" i="24"/>
  <c r="C25" i="24"/>
  <c r="C24" i="24"/>
  <c r="C23" i="24"/>
  <c r="C20" i="24"/>
  <c r="C19" i="24"/>
  <c r="C18" i="24"/>
  <c r="C17" i="24"/>
  <c r="C14" i="24"/>
  <c r="C13" i="24"/>
  <c r="C12" i="24"/>
  <c r="C11" i="24"/>
  <c r="C8" i="24"/>
  <c r="C7" i="24"/>
  <c r="C5" i="24"/>
  <c r="Z25" i="19" l="1"/>
  <c r="M6" i="19" s="1"/>
  <c r="Z24" i="19"/>
  <c r="M5" i="19" s="1"/>
  <c r="Y24" i="19"/>
  <c r="L5" i="19" s="1"/>
  <c r="Y25" i="19"/>
  <c r="L6" i="19" s="1"/>
  <c r="N69" i="24"/>
  <c r="N70" i="24"/>
  <c r="N63" i="24"/>
  <c r="N64" i="24"/>
  <c r="N57" i="24"/>
  <c r="N58" i="24"/>
  <c r="N51" i="24"/>
  <c r="N52" i="24"/>
  <c r="N45" i="24"/>
  <c r="N46" i="24"/>
  <c r="N39" i="24"/>
  <c r="N40" i="24"/>
  <c r="N33" i="24"/>
  <c r="N34" i="24"/>
  <c r="N27" i="24"/>
  <c r="N28" i="24"/>
  <c r="N21" i="24"/>
  <c r="N22" i="24"/>
  <c r="H69" i="24"/>
  <c r="H70" i="24"/>
  <c r="H63" i="24"/>
  <c r="H64" i="24"/>
  <c r="H57" i="24"/>
  <c r="H58" i="24"/>
  <c r="H51" i="24"/>
  <c r="H52" i="24"/>
  <c r="H45" i="24"/>
  <c r="H46" i="24"/>
  <c r="H39" i="24"/>
  <c r="H40" i="24"/>
  <c r="H33" i="24"/>
  <c r="H34" i="24"/>
  <c r="H27" i="24"/>
  <c r="H28" i="24"/>
  <c r="H21" i="24"/>
  <c r="H22" i="24"/>
  <c r="N15" i="24"/>
  <c r="N16" i="24"/>
  <c r="H15" i="24"/>
  <c r="H16" i="24"/>
  <c r="A59" i="24"/>
  <c r="N9" i="24"/>
  <c r="N10" i="24"/>
  <c r="H9" i="24"/>
  <c r="H10" i="24"/>
  <c r="B10" i="24"/>
  <c r="C10" i="24" s="1"/>
  <c r="B9" i="24"/>
  <c r="C9" i="24" s="1"/>
  <c r="P3" i="24"/>
  <c r="R70" i="24" l="1"/>
  <c r="R69" i="24"/>
  <c r="R68" i="24"/>
  <c r="R67" i="24"/>
  <c r="R66" i="24"/>
  <c r="R65" i="24"/>
  <c r="R64" i="24"/>
  <c r="R63" i="24"/>
  <c r="R62" i="24"/>
  <c r="R61" i="24"/>
  <c r="R60" i="24"/>
  <c r="R59" i="24"/>
  <c r="R58" i="24"/>
  <c r="R57" i="24"/>
  <c r="R56" i="24"/>
  <c r="R55" i="24"/>
  <c r="R54" i="24"/>
  <c r="R53" i="24"/>
  <c r="R52" i="24"/>
  <c r="R51" i="24"/>
  <c r="R50" i="24"/>
  <c r="R49" i="24"/>
  <c r="R48" i="24"/>
  <c r="R47" i="24"/>
  <c r="R46" i="24"/>
  <c r="R45" i="24"/>
  <c r="R44" i="24"/>
  <c r="R43" i="24"/>
  <c r="R42" i="24"/>
  <c r="R41" i="24"/>
  <c r="R40" i="24"/>
  <c r="R39" i="24"/>
  <c r="R38" i="24"/>
  <c r="R37" i="24"/>
  <c r="R36" i="24"/>
  <c r="R35" i="24"/>
  <c r="R34" i="24"/>
  <c r="R33" i="24"/>
  <c r="R32" i="24"/>
  <c r="R31" i="24"/>
  <c r="R30" i="24"/>
  <c r="R29" i="24"/>
  <c r="R28" i="24"/>
  <c r="R27" i="24"/>
  <c r="R26" i="24"/>
  <c r="R25" i="24"/>
  <c r="R24" i="24"/>
  <c r="R23" i="24"/>
  <c r="R22" i="24"/>
  <c r="R21" i="24"/>
  <c r="R20" i="24"/>
  <c r="R19" i="24"/>
  <c r="R18" i="24"/>
  <c r="R16" i="24"/>
  <c r="R15" i="24"/>
  <c r="R14" i="24"/>
  <c r="R13" i="24"/>
  <c r="R12" i="24"/>
  <c r="R11" i="24"/>
  <c r="R10" i="24"/>
  <c r="R9" i="24"/>
  <c r="R8" i="24"/>
  <c r="R7" i="24"/>
  <c r="R6" i="24"/>
  <c r="R5" i="24"/>
  <c r="P6" i="24"/>
  <c r="P7" i="24"/>
  <c r="P8" i="24"/>
  <c r="Q7" i="24"/>
  <c r="Q5" i="24"/>
  <c r="Q10" i="24"/>
  <c r="P9" i="24"/>
  <c r="Q9" i="24"/>
  <c r="P10" i="24"/>
  <c r="Q8" i="24"/>
  <c r="P5" i="24"/>
  <c r="Q6" i="24"/>
  <c r="M24" i="19"/>
  <c r="H70" i="19" s="1"/>
  <c r="M35" i="19"/>
  <c r="H81" i="19" s="1"/>
  <c r="M20" i="19"/>
  <c r="H66" i="19" s="1"/>
  <c r="M31" i="19"/>
  <c r="H77" i="19" s="1"/>
  <c r="M42" i="19"/>
  <c r="H88" i="19" s="1"/>
  <c r="M19" i="19"/>
  <c r="H65" i="19" s="1"/>
  <c r="M30" i="19"/>
  <c r="H76" i="19" s="1"/>
  <c r="M40" i="19"/>
  <c r="H86" i="19" s="1"/>
  <c r="M15" i="19"/>
  <c r="H61" i="19" s="1"/>
  <c r="M26" i="19"/>
  <c r="H72" i="19" s="1"/>
  <c r="M36" i="19"/>
  <c r="H82" i="19" s="1"/>
  <c r="M14" i="19"/>
  <c r="H60" i="19" s="1"/>
  <c r="M13" i="19"/>
  <c r="H59" i="19" s="1"/>
  <c r="M29" i="19"/>
  <c r="H75" i="19" s="1"/>
  <c r="M39" i="19"/>
  <c r="H85" i="19" s="1"/>
  <c r="M18" i="19"/>
  <c r="H64" i="19" s="1"/>
  <c r="M10" i="19"/>
  <c r="H56" i="19" s="1"/>
  <c r="M22" i="19"/>
  <c r="H68" i="19" s="1"/>
  <c r="M21" i="19"/>
  <c r="H67" i="19" s="1"/>
  <c r="M28" i="19"/>
  <c r="H74" i="19" s="1"/>
  <c r="M11" i="19"/>
  <c r="H57" i="19" s="1"/>
  <c r="M41" i="19"/>
  <c r="H87" i="19" s="1"/>
  <c r="M27" i="19"/>
  <c r="H73" i="19" s="1"/>
  <c r="M17" i="19"/>
  <c r="H63" i="19" s="1"/>
  <c r="M33" i="19"/>
  <c r="H79" i="19" s="1"/>
  <c r="M34" i="19"/>
  <c r="H80" i="19" s="1"/>
  <c r="M12" i="19"/>
  <c r="H58" i="19" s="1"/>
  <c r="M38" i="19"/>
  <c r="H84" i="19" s="1"/>
  <c r="M16" i="19"/>
  <c r="H62" i="19" s="1"/>
  <c r="M37" i="19"/>
  <c r="H83" i="19" s="1"/>
  <c r="M32" i="19"/>
  <c r="H78" i="19" s="1"/>
  <c r="M25" i="19"/>
  <c r="H71" i="19" s="1"/>
  <c r="M23" i="19"/>
  <c r="H69" i="19" s="1"/>
  <c r="P13" i="19"/>
  <c r="G146" i="19" s="1"/>
  <c r="P17" i="19"/>
  <c r="G150" i="19" s="1"/>
  <c r="P21" i="19"/>
  <c r="G154" i="19" s="1"/>
  <c r="P25" i="19"/>
  <c r="G158" i="19" s="1"/>
  <c r="P29" i="19"/>
  <c r="G162" i="19" s="1"/>
  <c r="P33" i="19"/>
  <c r="G166" i="19" s="1"/>
  <c r="P37" i="19"/>
  <c r="G170" i="19" s="1"/>
  <c r="P41" i="19"/>
  <c r="G174" i="19" s="1"/>
  <c r="P14" i="19"/>
  <c r="G147" i="19" s="1"/>
  <c r="P18" i="19"/>
  <c r="G151" i="19" s="1"/>
  <c r="P22" i="19"/>
  <c r="G155" i="19" s="1"/>
  <c r="P26" i="19"/>
  <c r="G159" i="19" s="1"/>
  <c r="P30" i="19"/>
  <c r="G163" i="19" s="1"/>
  <c r="P34" i="19"/>
  <c r="G167" i="19" s="1"/>
  <c r="P38" i="19"/>
  <c r="G171" i="19" s="1"/>
  <c r="P42" i="19"/>
  <c r="G175" i="19" s="1"/>
  <c r="P16" i="19"/>
  <c r="G149" i="19" s="1"/>
  <c r="P24" i="19"/>
  <c r="G157" i="19" s="1"/>
  <c r="P32" i="19"/>
  <c r="G165" i="19" s="1"/>
  <c r="P40" i="19"/>
  <c r="G173" i="19" s="1"/>
  <c r="P15" i="19"/>
  <c r="G148" i="19" s="1"/>
  <c r="P31" i="19"/>
  <c r="G164" i="19" s="1"/>
  <c r="P11" i="19"/>
  <c r="G144" i="19" s="1"/>
  <c r="P19" i="19"/>
  <c r="G152" i="19" s="1"/>
  <c r="P27" i="19"/>
  <c r="G160" i="19" s="1"/>
  <c r="P35" i="19"/>
  <c r="G168" i="19" s="1"/>
  <c r="P10" i="19"/>
  <c r="G143" i="19" s="1"/>
  <c r="P23" i="19"/>
  <c r="G156" i="19" s="1"/>
  <c r="P39" i="19"/>
  <c r="G172" i="19" s="1"/>
  <c r="P12" i="19"/>
  <c r="G145" i="19" s="1"/>
  <c r="P20" i="19"/>
  <c r="G153" i="19" s="1"/>
  <c r="P28" i="19"/>
  <c r="G161" i="19" s="1"/>
  <c r="P36" i="19"/>
  <c r="G169" i="19" s="1"/>
  <c r="L20" i="19"/>
  <c r="G66" i="19" s="1"/>
  <c r="L31" i="19"/>
  <c r="G77" i="19" s="1"/>
  <c r="L41" i="19"/>
  <c r="G87" i="19" s="1"/>
  <c r="L11" i="19"/>
  <c r="G57" i="19" s="1"/>
  <c r="L21" i="19"/>
  <c r="G67" i="19" s="1"/>
  <c r="L32" i="19"/>
  <c r="G78" i="19" s="1"/>
  <c r="L10" i="19"/>
  <c r="G56" i="19" s="1"/>
  <c r="L15" i="19"/>
  <c r="G61" i="19" s="1"/>
  <c r="L25" i="19"/>
  <c r="G71" i="19" s="1"/>
  <c r="L36" i="19"/>
  <c r="G82" i="19" s="1"/>
  <c r="L16" i="19"/>
  <c r="G62" i="19" s="1"/>
  <c r="L27" i="19"/>
  <c r="G73" i="19" s="1"/>
  <c r="L37" i="19"/>
  <c r="G83" i="19" s="1"/>
  <c r="L14" i="19"/>
  <c r="G60" i="19" s="1"/>
  <c r="L30" i="19"/>
  <c r="G76" i="19" s="1"/>
  <c r="L29" i="19"/>
  <c r="G75" i="19" s="1"/>
  <c r="L33" i="19"/>
  <c r="G79" i="19" s="1"/>
  <c r="L12" i="19"/>
  <c r="G58" i="19" s="1"/>
  <c r="L38" i="19"/>
  <c r="G84" i="19" s="1"/>
  <c r="L19" i="19"/>
  <c r="G65" i="19" s="1"/>
  <c r="L42" i="19"/>
  <c r="G88" i="19" s="1"/>
  <c r="L35" i="19"/>
  <c r="G81" i="19" s="1"/>
  <c r="L39" i="19"/>
  <c r="G85" i="19" s="1"/>
  <c r="L18" i="19"/>
  <c r="G64" i="19" s="1"/>
  <c r="L34" i="19"/>
  <c r="G80" i="19" s="1"/>
  <c r="L24" i="19"/>
  <c r="G70" i="19" s="1"/>
  <c r="L28" i="19"/>
  <c r="G74" i="19" s="1"/>
  <c r="L22" i="19"/>
  <c r="G68" i="19" s="1"/>
  <c r="L40" i="19"/>
  <c r="G86" i="19" s="1"/>
  <c r="L23" i="19"/>
  <c r="G69" i="19" s="1"/>
  <c r="L26" i="19"/>
  <c r="G72" i="19" s="1"/>
  <c r="L13" i="19"/>
  <c r="G59" i="19" s="1"/>
  <c r="L17" i="19"/>
  <c r="G63" i="19" s="1"/>
  <c r="Q14" i="19"/>
  <c r="H147" i="19" s="1"/>
  <c r="Q18" i="19"/>
  <c r="H151" i="19" s="1"/>
  <c r="Q22" i="19"/>
  <c r="H155" i="19" s="1"/>
  <c r="Q26" i="19"/>
  <c r="H159" i="19" s="1"/>
  <c r="Q30" i="19"/>
  <c r="H163" i="19" s="1"/>
  <c r="Q34" i="19"/>
  <c r="H167" i="19" s="1"/>
  <c r="Q38" i="19"/>
  <c r="H171" i="19" s="1"/>
  <c r="Q42" i="19"/>
  <c r="H175" i="19" s="1"/>
  <c r="Q11" i="19"/>
  <c r="H144" i="19" s="1"/>
  <c r="Q15" i="19"/>
  <c r="H148" i="19" s="1"/>
  <c r="Q19" i="19"/>
  <c r="H152" i="19" s="1"/>
  <c r="Q23" i="19"/>
  <c r="H156" i="19" s="1"/>
  <c r="Q27" i="19"/>
  <c r="H160" i="19" s="1"/>
  <c r="Q31" i="19"/>
  <c r="H164" i="19" s="1"/>
  <c r="Q35" i="19"/>
  <c r="H168" i="19" s="1"/>
  <c r="Q39" i="19"/>
  <c r="H172" i="19" s="1"/>
  <c r="Q10" i="19"/>
  <c r="H143" i="19" s="1"/>
  <c r="Q17" i="19"/>
  <c r="H150" i="19" s="1"/>
  <c r="Q25" i="19"/>
  <c r="H158" i="19" s="1"/>
  <c r="Q33" i="19"/>
  <c r="H166" i="19" s="1"/>
  <c r="Q41" i="19"/>
  <c r="H174" i="19" s="1"/>
  <c r="Q16" i="19"/>
  <c r="H149" i="19" s="1"/>
  <c r="Q12" i="19"/>
  <c r="H145" i="19" s="1"/>
  <c r="Q20" i="19"/>
  <c r="H153" i="19" s="1"/>
  <c r="Q28" i="19"/>
  <c r="H161" i="19" s="1"/>
  <c r="Q36" i="19"/>
  <c r="H169" i="19" s="1"/>
  <c r="Q24" i="19"/>
  <c r="H157" i="19" s="1"/>
  <c r="Q40" i="19"/>
  <c r="H173" i="19" s="1"/>
  <c r="Q13" i="19"/>
  <c r="H146" i="19" s="1"/>
  <c r="Q21" i="19"/>
  <c r="H154" i="19" s="1"/>
  <c r="Q29" i="19"/>
  <c r="H162" i="19" s="1"/>
  <c r="Q37" i="19"/>
  <c r="H170" i="19" s="1"/>
  <c r="Q32" i="19"/>
  <c r="H165" i="19" s="1"/>
  <c r="V3" i="24"/>
  <c r="B15" i="24"/>
  <c r="C15" i="24" s="1"/>
  <c r="B16" i="24"/>
  <c r="C16" i="24" s="1"/>
  <c r="V8" i="24" l="1"/>
  <c r="V7" i="24"/>
  <c r="W6" i="24"/>
  <c r="V6" i="24"/>
  <c r="V5" i="24"/>
  <c r="W5" i="24"/>
  <c r="W10" i="24"/>
  <c r="V10" i="24"/>
  <c r="V9" i="24"/>
  <c r="W7" i="24"/>
  <c r="W8" i="24"/>
  <c r="W9" i="24"/>
  <c r="AB3" i="24"/>
  <c r="B22" i="24"/>
  <c r="C22" i="24" s="1"/>
  <c r="B21" i="24"/>
  <c r="C21" i="24" s="1"/>
  <c r="V21" i="24" l="1"/>
  <c r="AB8" i="24"/>
  <c r="AB5" i="24"/>
  <c r="AC10" i="24"/>
  <c r="AB6" i="24"/>
  <c r="AB21" i="24"/>
  <c r="AC9" i="24"/>
  <c r="AC8" i="24"/>
  <c r="AB9" i="24"/>
  <c r="AC7" i="24"/>
  <c r="AC6" i="24"/>
  <c r="AB10" i="24"/>
  <c r="AB7" i="24"/>
  <c r="AC5" i="24"/>
  <c r="AH3" i="24"/>
  <c r="B27" i="24"/>
  <c r="C27" i="24" s="1"/>
  <c r="B28" i="24"/>
  <c r="C28" i="24" s="1"/>
  <c r="M29" i="5"/>
  <c r="E29" i="5"/>
  <c r="F29" i="5"/>
  <c r="G29" i="5"/>
  <c r="H29" i="5"/>
  <c r="I29" i="5"/>
  <c r="J29" i="5"/>
  <c r="K29" i="5"/>
  <c r="L29" i="5"/>
  <c r="D29" i="5"/>
  <c r="M23" i="5"/>
  <c r="E23" i="5"/>
  <c r="F23" i="5"/>
  <c r="G23" i="5"/>
  <c r="H23" i="5"/>
  <c r="I23" i="5"/>
  <c r="J23" i="5"/>
  <c r="K23" i="5"/>
  <c r="L23" i="5"/>
  <c r="D23" i="25"/>
  <c r="M23" i="25"/>
  <c r="H23" i="25"/>
  <c r="I23" i="25"/>
  <c r="J23" i="25"/>
  <c r="K23" i="25"/>
  <c r="L23" i="25"/>
  <c r="Q62" i="24" l="1"/>
  <c r="Q60" i="24"/>
  <c r="P62" i="24"/>
  <c r="P60" i="24"/>
  <c r="Q61" i="24"/>
  <c r="P61" i="24"/>
  <c r="Q59" i="24"/>
  <c r="P59" i="24"/>
  <c r="V62" i="24"/>
  <c r="V60" i="24"/>
  <c r="W61" i="24"/>
  <c r="V61" i="24"/>
  <c r="W62" i="24"/>
  <c r="W59" i="24"/>
  <c r="V59" i="24"/>
  <c r="W60" i="24"/>
  <c r="AC61" i="24"/>
  <c r="AC62" i="24"/>
  <c r="AC60" i="24"/>
  <c r="AB62" i="24"/>
  <c r="AC59" i="24"/>
  <c r="AB59" i="24"/>
  <c r="AB60" i="24"/>
  <c r="AB61" i="24"/>
  <c r="Q56" i="24"/>
  <c r="Q54" i="24"/>
  <c r="P56" i="24"/>
  <c r="P54" i="24"/>
  <c r="Q53" i="24"/>
  <c r="P53" i="24"/>
  <c r="Q55" i="24"/>
  <c r="P55" i="24"/>
  <c r="V56" i="24"/>
  <c r="V54" i="24"/>
  <c r="W55" i="24"/>
  <c r="W53" i="24"/>
  <c r="V55" i="24"/>
  <c r="V53" i="24"/>
  <c r="W54" i="24"/>
  <c r="W56" i="24"/>
  <c r="AC55" i="24"/>
  <c r="AC53" i="24"/>
  <c r="AB55" i="24"/>
  <c r="AB53" i="24"/>
  <c r="AC56" i="24"/>
  <c r="AC54" i="24"/>
  <c r="AB56" i="24"/>
  <c r="AB54" i="24"/>
  <c r="Q49" i="24"/>
  <c r="Q47" i="24"/>
  <c r="P49" i="24"/>
  <c r="P47" i="24"/>
  <c r="Q50" i="24"/>
  <c r="Q48" i="24"/>
  <c r="P50" i="24"/>
  <c r="P48" i="24"/>
  <c r="W50" i="24"/>
  <c r="W48" i="24"/>
  <c r="V50" i="24"/>
  <c r="V48" i="24"/>
  <c r="W49" i="24"/>
  <c r="W47" i="24"/>
  <c r="V49" i="24"/>
  <c r="V47" i="24"/>
  <c r="AC49" i="24"/>
  <c r="AC47" i="24"/>
  <c r="AB49" i="24"/>
  <c r="AB47" i="24"/>
  <c r="AC50" i="24"/>
  <c r="AC48" i="24"/>
  <c r="AB50" i="24"/>
  <c r="AB48" i="24"/>
  <c r="Q43" i="24"/>
  <c r="P43" i="24"/>
  <c r="P44" i="24"/>
  <c r="Q44" i="24"/>
  <c r="Q42" i="24"/>
  <c r="Q41" i="24"/>
  <c r="P41" i="24"/>
  <c r="P42" i="24"/>
  <c r="W44" i="24"/>
  <c r="V44" i="24"/>
  <c r="W43" i="24"/>
  <c r="V43" i="24"/>
  <c r="W41" i="24"/>
  <c r="V42" i="24"/>
  <c r="V41" i="24"/>
  <c r="W42" i="24"/>
  <c r="AC43" i="24"/>
  <c r="AB43" i="24"/>
  <c r="AC44" i="24"/>
  <c r="AC42" i="24"/>
  <c r="AB42" i="24"/>
  <c r="AB44" i="24"/>
  <c r="AB41" i="24"/>
  <c r="AC41" i="24"/>
  <c r="Q38" i="24"/>
  <c r="Q36" i="24"/>
  <c r="P38" i="24"/>
  <c r="P36" i="24"/>
  <c r="Q37" i="24"/>
  <c r="Q35" i="24"/>
  <c r="P37" i="24"/>
  <c r="P35" i="24"/>
  <c r="W37" i="24"/>
  <c r="W35" i="24"/>
  <c r="W38" i="24"/>
  <c r="W36" i="24"/>
  <c r="V35" i="24"/>
  <c r="V36" i="24"/>
  <c r="V37" i="24"/>
  <c r="V38" i="24"/>
  <c r="AB38" i="24"/>
  <c r="AB36" i="24"/>
  <c r="AB37" i="24"/>
  <c r="AB35" i="24"/>
  <c r="AC35" i="24"/>
  <c r="AC36" i="24"/>
  <c r="AC37" i="24"/>
  <c r="AC38" i="24"/>
  <c r="Q32" i="24"/>
  <c r="Q30" i="24"/>
  <c r="P32" i="24"/>
  <c r="P30" i="24"/>
  <c r="P31" i="24"/>
  <c r="P29" i="24"/>
  <c r="Q31" i="24"/>
  <c r="Q29" i="24"/>
  <c r="W31" i="24"/>
  <c r="W32" i="24"/>
  <c r="V32" i="24"/>
  <c r="W30" i="24"/>
  <c r="V30" i="24"/>
  <c r="W29" i="24"/>
  <c r="V31" i="24"/>
  <c r="V29" i="24"/>
  <c r="AB30" i="24"/>
  <c r="AC29" i="24"/>
  <c r="AC31" i="24"/>
  <c r="AB31" i="24"/>
  <c r="AC32" i="24"/>
  <c r="AB32" i="24"/>
  <c r="AC30" i="24"/>
  <c r="AB29" i="24"/>
  <c r="P25" i="24"/>
  <c r="P23" i="24"/>
  <c r="Q26" i="24"/>
  <c r="Q24" i="24"/>
  <c r="P26" i="24"/>
  <c r="P24" i="24"/>
  <c r="Q25" i="24"/>
  <c r="Q23" i="24"/>
  <c r="W26" i="24"/>
  <c r="W24" i="24"/>
  <c r="V26" i="24"/>
  <c r="V24" i="24"/>
  <c r="W25" i="24"/>
  <c r="W23" i="24"/>
  <c r="V25" i="24"/>
  <c r="V23" i="24"/>
  <c r="AC25" i="24"/>
  <c r="AC23" i="24"/>
  <c r="AC26" i="24"/>
  <c r="AC24" i="24"/>
  <c r="AB25" i="24"/>
  <c r="AB23" i="24"/>
  <c r="AB26" i="24"/>
  <c r="AB24" i="24"/>
  <c r="Q19" i="24"/>
  <c r="Q17" i="24"/>
  <c r="P19" i="24"/>
  <c r="P17" i="24"/>
  <c r="Q20" i="24"/>
  <c r="Q18" i="24"/>
  <c r="P20" i="24"/>
  <c r="P18" i="24"/>
  <c r="W20" i="24"/>
  <c r="W18" i="24"/>
  <c r="V20" i="24"/>
  <c r="V18" i="24"/>
  <c r="W19" i="24"/>
  <c r="W17" i="24"/>
  <c r="V19" i="24"/>
  <c r="V17" i="24"/>
  <c r="Q21" i="24"/>
  <c r="P21" i="24"/>
  <c r="W21" i="24"/>
  <c r="Q22" i="24"/>
  <c r="P22" i="24"/>
  <c r="W22" i="24"/>
  <c r="V22" i="24"/>
  <c r="AB22" i="24"/>
  <c r="AB20" i="24"/>
  <c r="AB18" i="24"/>
  <c r="AC21" i="24"/>
  <c r="AC19" i="24"/>
  <c r="AC17" i="24"/>
  <c r="AB19" i="24"/>
  <c r="AB17" i="24"/>
  <c r="AC22" i="24"/>
  <c r="AC20" i="24"/>
  <c r="AC18" i="24"/>
  <c r="Q68" i="24"/>
  <c r="Q66" i="24"/>
  <c r="P68" i="24"/>
  <c r="P66" i="24"/>
  <c r="Q67" i="24"/>
  <c r="Q65" i="24"/>
  <c r="P65" i="24"/>
  <c r="P67" i="24"/>
  <c r="V68" i="24"/>
  <c r="V66" i="24"/>
  <c r="W67" i="24"/>
  <c r="W65" i="24"/>
  <c r="V67" i="24"/>
  <c r="V65" i="24"/>
  <c r="W66" i="24"/>
  <c r="W68" i="24"/>
  <c r="AC67" i="24"/>
  <c r="AC65" i="24"/>
  <c r="AB67" i="24"/>
  <c r="AB65" i="24"/>
  <c r="AC68" i="24"/>
  <c r="AC66" i="24"/>
  <c r="AB68" i="24"/>
  <c r="AB66" i="24"/>
  <c r="Q13" i="24"/>
  <c r="Q11" i="24"/>
  <c r="P13" i="24"/>
  <c r="Q14" i="24"/>
  <c r="Q12" i="24"/>
  <c r="P14" i="24"/>
  <c r="P12" i="24"/>
  <c r="P11" i="24"/>
  <c r="Q16" i="24"/>
  <c r="P16" i="24"/>
  <c r="Q15" i="24"/>
  <c r="P15" i="24"/>
  <c r="W16" i="24"/>
  <c r="W14" i="24"/>
  <c r="V16" i="24"/>
  <c r="V14" i="24"/>
  <c r="V12" i="24"/>
  <c r="W15" i="24"/>
  <c r="W13" i="24"/>
  <c r="W11" i="24"/>
  <c r="V15" i="24"/>
  <c r="V13" i="24"/>
  <c r="V11" i="24"/>
  <c r="W12" i="24"/>
  <c r="AB16" i="24"/>
  <c r="AB14" i="24"/>
  <c r="AB12" i="24"/>
  <c r="AC15" i="24"/>
  <c r="AC13" i="24"/>
  <c r="AC11" i="24"/>
  <c r="AB15" i="24"/>
  <c r="AB13" i="24"/>
  <c r="AB11" i="24"/>
  <c r="AC16" i="24"/>
  <c r="AC14" i="24"/>
  <c r="AC12" i="24"/>
  <c r="Q28" i="24"/>
  <c r="P28" i="24"/>
  <c r="W28" i="24"/>
  <c r="V28" i="24"/>
  <c r="AC28" i="24"/>
  <c r="AB28" i="24"/>
  <c r="P27" i="24"/>
  <c r="Q27" i="24"/>
  <c r="W27" i="24"/>
  <c r="V27" i="24"/>
  <c r="AC27" i="24"/>
  <c r="AB27" i="24"/>
  <c r="AI68" i="24"/>
  <c r="AI66" i="24"/>
  <c r="AH68" i="24"/>
  <c r="AH66" i="24"/>
  <c r="AH62" i="24"/>
  <c r="AH60" i="24"/>
  <c r="AI67" i="24"/>
  <c r="AI65" i="24"/>
  <c r="AH67" i="24"/>
  <c r="AH65" i="24"/>
  <c r="AH61" i="24"/>
  <c r="AI56" i="24"/>
  <c r="AI54" i="24"/>
  <c r="AH56" i="24"/>
  <c r="AH54" i="24"/>
  <c r="AI60" i="24"/>
  <c r="AI61" i="24"/>
  <c r="AI59" i="24"/>
  <c r="AI55" i="24"/>
  <c r="AI53" i="24"/>
  <c r="AH59" i="24"/>
  <c r="AH49" i="24"/>
  <c r="AH47" i="24"/>
  <c r="AH43" i="24"/>
  <c r="AH53" i="24"/>
  <c r="AI62" i="24"/>
  <c r="AI50" i="24"/>
  <c r="AI48" i="24"/>
  <c r="AI44" i="24"/>
  <c r="AI42" i="24"/>
  <c r="AH55" i="24"/>
  <c r="AH50" i="24"/>
  <c r="AH48" i="24"/>
  <c r="AH38" i="24"/>
  <c r="AH36" i="24"/>
  <c r="AH32" i="24"/>
  <c r="AH30" i="24"/>
  <c r="AI41" i="24"/>
  <c r="AI37" i="24"/>
  <c r="AI35" i="24"/>
  <c r="AH41" i="24"/>
  <c r="AH37" i="24"/>
  <c r="AH35" i="24"/>
  <c r="AI47" i="24"/>
  <c r="AI43" i="24"/>
  <c r="AI38" i="24"/>
  <c r="AI36" i="24"/>
  <c r="AH42" i="24"/>
  <c r="AI31" i="24"/>
  <c r="AH31" i="24"/>
  <c r="AI49" i="24"/>
  <c r="AH28" i="24"/>
  <c r="AH26" i="24"/>
  <c r="AH24" i="24"/>
  <c r="AI32" i="24"/>
  <c r="AI30" i="24"/>
  <c r="AH44" i="24"/>
  <c r="AH29" i="24"/>
  <c r="AH27" i="24"/>
  <c r="AH25" i="24"/>
  <c r="AI26" i="24"/>
  <c r="AI21" i="24"/>
  <c r="AI19" i="24"/>
  <c r="AI17" i="24"/>
  <c r="AI15" i="24"/>
  <c r="AI13" i="24"/>
  <c r="AI11" i="24"/>
  <c r="AI27" i="24"/>
  <c r="AH19" i="24"/>
  <c r="AH17" i="24"/>
  <c r="AH15" i="24"/>
  <c r="AH13" i="24"/>
  <c r="AH11" i="24"/>
  <c r="AI28" i="24"/>
  <c r="AI29" i="24"/>
  <c r="AI22" i="24"/>
  <c r="AI20" i="24"/>
  <c r="AI18" i="24"/>
  <c r="AI16" i="24"/>
  <c r="AI14" i="24"/>
  <c r="AI12" i="24"/>
  <c r="AH22" i="24"/>
  <c r="AH20" i="24"/>
  <c r="AH18" i="24"/>
  <c r="AH16" i="24"/>
  <c r="AH14" i="24"/>
  <c r="AH12" i="24"/>
  <c r="AI24" i="24"/>
  <c r="AI23" i="24"/>
  <c r="AI25" i="24"/>
  <c r="AH23" i="24"/>
  <c r="AH7" i="24"/>
  <c r="AI8" i="24"/>
  <c r="AH5" i="24"/>
  <c r="AH10" i="24"/>
  <c r="AI9" i="24"/>
  <c r="AI6" i="24"/>
  <c r="AH9" i="24"/>
  <c r="AH8" i="24"/>
  <c r="AI7" i="24"/>
  <c r="AH6" i="24"/>
  <c r="AI5" i="24"/>
  <c r="AH21" i="24"/>
  <c r="AI10" i="24"/>
  <c r="G23" i="25"/>
  <c r="F23" i="25"/>
  <c r="E23" i="25"/>
  <c r="B34" i="24"/>
  <c r="C34" i="24" s="1"/>
  <c r="B33" i="24"/>
  <c r="C33" i="24" s="1"/>
  <c r="AN3" i="24"/>
  <c r="A53" i="22"/>
  <c r="H187" i="19"/>
  <c r="I187" i="19"/>
  <c r="H188" i="19"/>
  <c r="I188" i="19"/>
  <c r="H189" i="19"/>
  <c r="I189" i="19"/>
  <c r="H190" i="19"/>
  <c r="I190" i="19"/>
  <c r="H191" i="19"/>
  <c r="I191" i="19"/>
  <c r="H192" i="19"/>
  <c r="C230" i="19" s="1"/>
  <c r="I192" i="19"/>
  <c r="D230" i="19" s="1"/>
  <c r="H193" i="19"/>
  <c r="C231" i="19" s="1"/>
  <c r="I193" i="19"/>
  <c r="D231" i="19" s="1"/>
  <c r="H194" i="19"/>
  <c r="C232" i="19" s="1"/>
  <c r="I194" i="19"/>
  <c r="D232" i="19" s="1"/>
  <c r="H195" i="19"/>
  <c r="C233" i="19" s="1"/>
  <c r="I195" i="19"/>
  <c r="D233" i="19" s="1"/>
  <c r="H196" i="19"/>
  <c r="C234" i="19" s="1"/>
  <c r="I196" i="19"/>
  <c r="D234" i="19" s="1"/>
  <c r="H197" i="19"/>
  <c r="C235" i="19" s="1"/>
  <c r="I197" i="19"/>
  <c r="D235" i="19" s="1"/>
  <c r="H198" i="19"/>
  <c r="C236" i="19" s="1"/>
  <c r="I198" i="19"/>
  <c r="D236" i="19" s="1"/>
  <c r="H199" i="19"/>
  <c r="C237" i="19" s="1"/>
  <c r="I199" i="19"/>
  <c r="D237" i="19" s="1"/>
  <c r="H200" i="19"/>
  <c r="C238" i="19" s="1"/>
  <c r="I200" i="19"/>
  <c r="D238" i="19" s="1"/>
  <c r="H201" i="19"/>
  <c r="C239" i="19" s="1"/>
  <c r="I201" i="19"/>
  <c r="D239" i="19" s="1"/>
  <c r="H202" i="19"/>
  <c r="C240" i="19" s="1"/>
  <c r="I202" i="19"/>
  <c r="D240" i="19" s="1"/>
  <c r="H203" i="19"/>
  <c r="C241" i="19" s="1"/>
  <c r="I203" i="19"/>
  <c r="D241" i="19" s="1"/>
  <c r="H204" i="19"/>
  <c r="C242" i="19" s="1"/>
  <c r="I204" i="19"/>
  <c r="D242" i="19" s="1"/>
  <c r="H205" i="19"/>
  <c r="C243" i="19" s="1"/>
  <c r="I205" i="19"/>
  <c r="D243" i="19" s="1"/>
  <c r="H206" i="19"/>
  <c r="C244" i="19" s="1"/>
  <c r="I206" i="19"/>
  <c r="D244" i="19" s="1"/>
  <c r="H207" i="19"/>
  <c r="C245" i="19" s="1"/>
  <c r="I207" i="19"/>
  <c r="D245" i="19" s="1"/>
  <c r="H208" i="19"/>
  <c r="C246" i="19" s="1"/>
  <c r="I208" i="19"/>
  <c r="D246" i="19" s="1"/>
  <c r="H209" i="19"/>
  <c r="C247" i="19" s="1"/>
  <c r="I209" i="19"/>
  <c r="D247" i="19" s="1"/>
  <c r="H210" i="19"/>
  <c r="C248" i="19" s="1"/>
  <c r="I210" i="19"/>
  <c r="D248" i="19" s="1"/>
  <c r="H211" i="19"/>
  <c r="C249" i="19" s="1"/>
  <c r="I211" i="19"/>
  <c r="D249" i="19" s="1"/>
  <c r="H212" i="19"/>
  <c r="C250" i="19" s="1"/>
  <c r="I212" i="19"/>
  <c r="D250" i="19" s="1"/>
  <c r="H213" i="19"/>
  <c r="C251" i="19" s="1"/>
  <c r="I213" i="19"/>
  <c r="D251" i="19" s="1"/>
  <c r="H214" i="19"/>
  <c r="C252" i="19" s="1"/>
  <c r="I214" i="19"/>
  <c r="D252" i="19" s="1"/>
  <c r="H215" i="19"/>
  <c r="C253" i="19" s="1"/>
  <c r="I215" i="19"/>
  <c r="D253" i="19" s="1"/>
  <c r="H216" i="19"/>
  <c r="C254" i="19" s="1"/>
  <c r="I216" i="19"/>
  <c r="D254" i="19" s="1"/>
  <c r="H217" i="19"/>
  <c r="C255" i="19" s="1"/>
  <c r="I217" i="19"/>
  <c r="D255" i="19" s="1"/>
  <c r="H218" i="19"/>
  <c r="C256" i="19" s="1"/>
  <c r="I218" i="19"/>
  <c r="D256" i="19" s="1"/>
  <c r="H219" i="19"/>
  <c r="C257" i="19" s="1"/>
  <c r="I219" i="19"/>
  <c r="D257" i="19" s="1"/>
  <c r="H220" i="19"/>
  <c r="C258" i="19" s="1"/>
  <c r="I220" i="19"/>
  <c r="D258" i="19" s="1"/>
  <c r="H221" i="19"/>
  <c r="C259" i="19" s="1"/>
  <c r="I221" i="19"/>
  <c r="D259" i="19" s="1"/>
  <c r="G188" i="19"/>
  <c r="G189" i="19"/>
  <c r="G190" i="19"/>
  <c r="G191" i="19"/>
  <c r="G192" i="19"/>
  <c r="B230" i="19" s="1"/>
  <c r="G193" i="19"/>
  <c r="B231" i="19" s="1"/>
  <c r="U22" i="24" s="1"/>
  <c r="G194" i="19"/>
  <c r="B232" i="19" s="1"/>
  <c r="AA18" i="24" s="1"/>
  <c r="G195" i="19"/>
  <c r="B233" i="19" s="1"/>
  <c r="AG32" i="24" s="1"/>
  <c r="G196" i="19"/>
  <c r="B234" i="19" s="1"/>
  <c r="AM32" i="24" s="1"/>
  <c r="G197" i="19"/>
  <c r="B235" i="19" s="1"/>
  <c r="G198" i="19"/>
  <c r="B236" i="19" s="1"/>
  <c r="G199" i="19"/>
  <c r="B237" i="19" s="1"/>
  <c r="G200" i="19"/>
  <c r="B238" i="19" s="1"/>
  <c r="G201" i="19"/>
  <c r="B239" i="19" s="1"/>
  <c r="G202" i="19"/>
  <c r="B240" i="19" s="1"/>
  <c r="G203" i="19"/>
  <c r="B241" i="19" s="1"/>
  <c r="G204" i="19"/>
  <c r="B242" i="19" s="1"/>
  <c r="G205" i="19"/>
  <c r="B243" i="19" s="1"/>
  <c r="G206" i="19"/>
  <c r="B244" i="19" s="1"/>
  <c r="G207" i="19"/>
  <c r="B245" i="19" s="1"/>
  <c r="G208" i="19"/>
  <c r="B246" i="19" s="1"/>
  <c r="G209" i="19"/>
  <c r="B247" i="19" s="1"/>
  <c r="G210" i="19"/>
  <c r="B248" i="19" s="1"/>
  <c r="G211" i="19"/>
  <c r="B249" i="19" s="1"/>
  <c r="G212" i="19"/>
  <c r="B250" i="19" s="1"/>
  <c r="G213" i="19"/>
  <c r="B251" i="19" s="1"/>
  <c r="G214" i="19"/>
  <c r="B252" i="19" s="1"/>
  <c r="G215" i="19"/>
  <c r="B253" i="19" s="1"/>
  <c r="G216" i="19"/>
  <c r="B254" i="19" s="1"/>
  <c r="G217" i="19"/>
  <c r="B255" i="19" s="1"/>
  <c r="G218" i="19"/>
  <c r="B256" i="19" s="1"/>
  <c r="G219" i="19"/>
  <c r="B257" i="19" s="1"/>
  <c r="G220" i="19"/>
  <c r="B258" i="19" s="1"/>
  <c r="G221" i="19"/>
  <c r="B259" i="19" s="1"/>
  <c r="G187" i="19"/>
  <c r="A65" i="24"/>
  <c r="A53" i="24"/>
  <c r="A47" i="24"/>
  <c r="A41" i="24"/>
  <c r="A35" i="24"/>
  <c r="A29" i="24"/>
  <c r="A23" i="24"/>
  <c r="A17" i="24"/>
  <c r="A11" i="24"/>
  <c r="Q33" i="24" l="1"/>
  <c r="P33" i="24"/>
  <c r="W33" i="24"/>
  <c r="V33" i="24"/>
  <c r="AB33" i="24"/>
  <c r="AC33" i="24"/>
  <c r="AI33" i="24"/>
  <c r="AH33" i="24"/>
  <c r="Q34" i="24"/>
  <c r="P34" i="24"/>
  <c r="W34" i="24"/>
  <c r="V34" i="24"/>
  <c r="AB34" i="24"/>
  <c r="AC34" i="24"/>
  <c r="AH34" i="24"/>
  <c r="AI34" i="24"/>
  <c r="AS21" i="24"/>
  <c r="AO67" i="24"/>
  <c r="AO65" i="24"/>
  <c r="AO61" i="24"/>
  <c r="AN67" i="24"/>
  <c r="AN65" i="24"/>
  <c r="AN61" i="24"/>
  <c r="AO68" i="24"/>
  <c r="AO66" i="24"/>
  <c r="AO62" i="24"/>
  <c r="AO60" i="24"/>
  <c r="AO59" i="24"/>
  <c r="AO55" i="24"/>
  <c r="AO53" i="24"/>
  <c r="AN66" i="24"/>
  <c r="AN60" i="24"/>
  <c r="AN59" i="24"/>
  <c r="AN55" i="24"/>
  <c r="AN53" i="24"/>
  <c r="AN68" i="24"/>
  <c r="AO50" i="24"/>
  <c r="AO48" i="24"/>
  <c r="AO44" i="24"/>
  <c r="AO42" i="24"/>
  <c r="AN50" i="24"/>
  <c r="AN48" i="24"/>
  <c r="AN44" i="24"/>
  <c r="AN42" i="24"/>
  <c r="AN62" i="24"/>
  <c r="AO54" i="24"/>
  <c r="AN54" i="24"/>
  <c r="AO56" i="24"/>
  <c r="AO49" i="24"/>
  <c r="AO47" i="24"/>
  <c r="AN56" i="24"/>
  <c r="AN49" i="24"/>
  <c r="AN47" i="24"/>
  <c r="AN43" i="24"/>
  <c r="AO41" i="24"/>
  <c r="AO37" i="24"/>
  <c r="AO35" i="24"/>
  <c r="AO33" i="24"/>
  <c r="AO31" i="24"/>
  <c r="AN41" i="24"/>
  <c r="AN37" i="24"/>
  <c r="AN35" i="24"/>
  <c r="AN33" i="24"/>
  <c r="AN31" i="24"/>
  <c r="AO43" i="24"/>
  <c r="AO38" i="24"/>
  <c r="AO36" i="24"/>
  <c r="AO34" i="24"/>
  <c r="AN38" i="24"/>
  <c r="AN36" i="24"/>
  <c r="AN34" i="24"/>
  <c r="AN28" i="24"/>
  <c r="AN26" i="24"/>
  <c r="AN24" i="24"/>
  <c r="AO32" i="24"/>
  <c r="AN32" i="24"/>
  <c r="AO30" i="24"/>
  <c r="AO29" i="24"/>
  <c r="AO27" i="24"/>
  <c r="AO25" i="24"/>
  <c r="AO23" i="24"/>
  <c r="AN30" i="24"/>
  <c r="AN29" i="24"/>
  <c r="AN27" i="24"/>
  <c r="AN25" i="24"/>
  <c r="AN23" i="24"/>
  <c r="AO28" i="24"/>
  <c r="AO26" i="24"/>
  <c r="AO24" i="24"/>
  <c r="AO22" i="24"/>
  <c r="AO20" i="24"/>
  <c r="AO18" i="24"/>
  <c r="AO16" i="24"/>
  <c r="AO14" i="24"/>
  <c r="AO12" i="24"/>
  <c r="AN22" i="24"/>
  <c r="AN20" i="24"/>
  <c r="AN18" i="24"/>
  <c r="AN16" i="24"/>
  <c r="AN14" i="24"/>
  <c r="AN13" i="24"/>
  <c r="AN11" i="24"/>
  <c r="AO21" i="24"/>
  <c r="AO19" i="24"/>
  <c r="AO17" i="24"/>
  <c r="AO15" i="24"/>
  <c r="AO13" i="24"/>
  <c r="AO11" i="24"/>
  <c r="AN15" i="24"/>
  <c r="AN19" i="24"/>
  <c r="AN17" i="24"/>
  <c r="AN12" i="24"/>
  <c r="AO7" i="24"/>
  <c r="AO6" i="24"/>
  <c r="AO10" i="24"/>
  <c r="AO5" i="24"/>
  <c r="AN10" i="24"/>
  <c r="AN9" i="24"/>
  <c r="AN8" i="24"/>
  <c r="AO8" i="24"/>
  <c r="AN5" i="24"/>
  <c r="AN6" i="24"/>
  <c r="AO9" i="24"/>
  <c r="AN21" i="24"/>
  <c r="AN7" i="24"/>
  <c r="D53" i="22"/>
  <c r="E53" i="22"/>
  <c r="C53" i="22"/>
  <c r="U35" i="24"/>
  <c r="AS35" i="24"/>
  <c r="AS22" i="24"/>
  <c r="U28" i="24"/>
  <c r="U17" i="24"/>
  <c r="AS28" i="24"/>
  <c r="AM19" i="24"/>
  <c r="U21" i="24"/>
  <c r="AS19" i="24"/>
  <c r="AA23" i="24"/>
  <c r="AS23" i="24"/>
  <c r="U23" i="24"/>
  <c r="U18" i="24"/>
  <c r="AS18" i="24"/>
  <c r="AM27" i="24"/>
  <c r="AA24" i="24"/>
  <c r="AM24" i="24"/>
  <c r="AA32" i="24"/>
  <c r="AM35" i="24"/>
  <c r="AG17" i="24"/>
  <c r="AS27" i="24"/>
  <c r="AM23" i="24"/>
  <c r="AG5" i="24"/>
  <c r="AG6" i="24"/>
  <c r="AG8" i="24"/>
  <c r="AG7" i="24"/>
  <c r="AG9" i="24"/>
  <c r="AG10" i="24"/>
  <c r="AG65" i="24"/>
  <c r="AG11" i="24"/>
  <c r="AG12" i="24"/>
  <c r="AG13" i="24"/>
  <c r="AG14" i="24"/>
  <c r="AG16" i="24"/>
  <c r="AG15" i="24"/>
  <c r="AG66" i="24"/>
  <c r="AG60" i="24"/>
  <c r="AG54" i="24"/>
  <c r="AG67" i="24"/>
  <c r="AG61" i="24"/>
  <c r="AG55" i="24"/>
  <c r="AG49" i="24"/>
  <c r="AG68" i="24"/>
  <c r="AG62" i="24"/>
  <c r="AG56" i="24"/>
  <c r="AG50" i="24"/>
  <c r="AG59" i="24"/>
  <c r="AG47" i="24"/>
  <c r="AG42" i="24"/>
  <c r="AG36" i="24"/>
  <c r="AG29" i="24"/>
  <c r="AG53" i="24"/>
  <c r="AG48" i="24"/>
  <c r="AG43" i="24"/>
  <c r="AG37" i="24"/>
  <c r="AG30" i="24"/>
  <c r="AG25" i="24"/>
  <c r="AG28" i="24"/>
  <c r="AG27" i="24"/>
  <c r="AG20" i="24"/>
  <c r="AG44" i="24"/>
  <c r="AG38" i="24"/>
  <c r="AG31" i="24"/>
  <c r="AG26" i="24"/>
  <c r="AG41" i="24"/>
  <c r="AA6" i="24"/>
  <c r="AA7" i="24"/>
  <c r="AA5" i="24"/>
  <c r="AA8" i="24"/>
  <c r="AA9" i="24"/>
  <c r="AA10" i="24"/>
  <c r="AA65" i="24"/>
  <c r="AA66" i="24"/>
  <c r="AA60" i="24"/>
  <c r="AA54" i="24"/>
  <c r="AA11" i="24"/>
  <c r="AA12" i="24"/>
  <c r="AA13" i="24"/>
  <c r="AA14" i="24"/>
  <c r="AA16" i="24"/>
  <c r="AA15" i="24"/>
  <c r="AA67" i="24"/>
  <c r="AA61" i="24"/>
  <c r="AA55" i="24"/>
  <c r="AA49" i="24"/>
  <c r="AA68" i="24"/>
  <c r="AA62" i="24"/>
  <c r="AA56" i="24"/>
  <c r="AA50" i="24"/>
  <c r="AA42" i="24"/>
  <c r="AA36" i="24"/>
  <c r="AA29" i="24"/>
  <c r="AA59" i="24"/>
  <c r="AA43" i="24"/>
  <c r="AA37" i="24"/>
  <c r="AA30" i="24"/>
  <c r="AA25" i="24"/>
  <c r="AA20" i="24"/>
  <c r="AA22" i="24"/>
  <c r="AA21" i="24"/>
  <c r="AA53" i="24"/>
  <c r="AA47" i="24"/>
  <c r="AA44" i="24"/>
  <c r="AA38" i="24"/>
  <c r="AA31" i="24"/>
  <c r="AA26" i="24"/>
  <c r="AA28" i="24"/>
  <c r="AA27" i="24"/>
  <c r="AA48" i="24"/>
  <c r="AA41" i="24"/>
  <c r="AS6" i="24"/>
  <c r="AS7" i="24"/>
  <c r="AS5" i="24"/>
  <c r="AS8" i="24"/>
  <c r="AS10" i="24"/>
  <c r="AS9" i="24"/>
  <c r="AS65" i="24"/>
  <c r="AS66" i="24"/>
  <c r="AS60" i="24"/>
  <c r="AS54" i="24"/>
  <c r="AS67" i="24"/>
  <c r="AS61" i="24"/>
  <c r="AS55" i="24"/>
  <c r="AS49" i="24"/>
  <c r="AS43" i="24"/>
  <c r="AS11" i="24"/>
  <c r="AS12" i="24"/>
  <c r="AS13" i="24"/>
  <c r="AS14" i="24"/>
  <c r="AS16" i="24"/>
  <c r="AS15" i="24"/>
  <c r="AS68" i="24"/>
  <c r="AS62" i="24"/>
  <c r="AS56" i="24"/>
  <c r="AS50" i="24"/>
  <c r="AS44" i="24"/>
  <c r="AS47" i="24"/>
  <c r="AS36" i="24"/>
  <c r="AS29" i="24"/>
  <c r="AS48" i="24"/>
  <c r="AS37" i="24"/>
  <c r="AS30" i="24"/>
  <c r="AS25" i="24"/>
  <c r="AS20" i="24"/>
  <c r="AS59" i="24"/>
  <c r="AS41" i="24"/>
  <c r="AS38" i="24"/>
  <c r="AS31" i="24"/>
  <c r="AS26" i="24"/>
  <c r="AS53" i="24"/>
  <c r="AS42" i="24"/>
  <c r="U6" i="24"/>
  <c r="U7" i="24"/>
  <c r="U5" i="24"/>
  <c r="U8" i="24"/>
  <c r="U10" i="24"/>
  <c r="U9" i="24"/>
  <c r="U65" i="24"/>
  <c r="U66" i="24"/>
  <c r="U60" i="24"/>
  <c r="U54" i="24"/>
  <c r="U67" i="24"/>
  <c r="U61" i="24"/>
  <c r="U55" i="24"/>
  <c r="U49" i="24"/>
  <c r="U11" i="24"/>
  <c r="U12" i="24"/>
  <c r="U13" i="24"/>
  <c r="U14" i="24"/>
  <c r="U16" i="24"/>
  <c r="U15" i="24"/>
  <c r="U68" i="24"/>
  <c r="U62" i="24"/>
  <c r="U56" i="24"/>
  <c r="U50" i="24"/>
  <c r="U47" i="24"/>
  <c r="U42" i="24"/>
  <c r="U36" i="24"/>
  <c r="U29" i="24"/>
  <c r="U48" i="24"/>
  <c r="U43" i="24"/>
  <c r="U37" i="24"/>
  <c r="U30" i="24"/>
  <c r="U25" i="24"/>
  <c r="U20" i="24"/>
  <c r="U59" i="24"/>
  <c r="U44" i="24"/>
  <c r="U38" i="24"/>
  <c r="U31" i="24"/>
  <c r="U26" i="24"/>
  <c r="U53" i="24"/>
  <c r="U41" i="24"/>
  <c r="U27" i="24"/>
  <c r="U19" i="24"/>
  <c r="AM21" i="24"/>
  <c r="AG22" i="24"/>
  <c r="AG19" i="24"/>
  <c r="AM18" i="24"/>
  <c r="AS17" i="24"/>
  <c r="U24" i="24"/>
  <c r="AM28" i="24"/>
  <c r="AG24" i="24"/>
  <c r="AS24" i="24"/>
  <c r="AA35" i="24"/>
  <c r="AG21" i="24"/>
  <c r="AA17" i="24"/>
  <c r="AM6" i="24"/>
  <c r="AM7" i="24"/>
  <c r="AM8" i="24"/>
  <c r="AM5" i="24"/>
  <c r="AM10" i="24"/>
  <c r="AM9" i="24"/>
  <c r="AM11" i="24"/>
  <c r="AM12" i="24"/>
  <c r="AM13" i="24"/>
  <c r="AM14" i="24"/>
  <c r="AM16" i="24"/>
  <c r="AM15" i="24"/>
  <c r="AM65" i="24"/>
  <c r="AM66" i="24"/>
  <c r="AM60" i="24"/>
  <c r="AM54" i="24"/>
  <c r="AM67" i="24"/>
  <c r="AM61" i="24"/>
  <c r="AM55" i="24"/>
  <c r="AM49" i="24"/>
  <c r="AM43" i="24"/>
  <c r="AM68" i="24"/>
  <c r="AM62" i="24"/>
  <c r="AM56" i="24"/>
  <c r="AM50" i="24"/>
  <c r="AM53" i="24"/>
  <c r="AM41" i="24"/>
  <c r="AM36" i="24"/>
  <c r="AM29" i="24"/>
  <c r="AM42" i="24"/>
  <c r="AM37" i="24"/>
  <c r="AM30" i="24"/>
  <c r="AM25" i="24"/>
  <c r="AM20" i="24"/>
  <c r="AM47" i="24"/>
  <c r="AM44" i="24"/>
  <c r="AM38" i="24"/>
  <c r="AM31" i="24"/>
  <c r="AM26" i="24"/>
  <c r="AM59" i="24"/>
  <c r="AM48" i="24"/>
  <c r="AM22" i="24"/>
  <c r="AA19" i="24"/>
  <c r="AG18" i="24"/>
  <c r="AM17" i="24"/>
  <c r="AG23" i="24"/>
  <c r="U32" i="24"/>
  <c r="AS32" i="24"/>
  <c r="AG35" i="24"/>
  <c r="AS33" i="24"/>
  <c r="AM33" i="24"/>
  <c r="AG33" i="24"/>
  <c r="AA33" i="24"/>
  <c r="U33" i="24"/>
  <c r="AS34" i="24"/>
  <c r="AM34" i="24"/>
  <c r="AG34" i="24"/>
  <c r="AA34" i="24"/>
  <c r="U34" i="24"/>
  <c r="B39" i="24"/>
  <c r="C39" i="24" s="1"/>
  <c r="B40" i="24"/>
  <c r="C40" i="24" s="1"/>
  <c r="AT3" i="24"/>
  <c r="A54" i="22"/>
  <c r="Q40" i="24" l="1"/>
  <c r="P40" i="24"/>
  <c r="W40" i="24"/>
  <c r="V40" i="24"/>
  <c r="AB40" i="24"/>
  <c r="AC40" i="24"/>
  <c r="AH40" i="24"/>
  <c r="AI40" i="24"/>
  <c r="AO40" i="24"/>
  <c r="AN40" i="24"/>
  <c r="Q39" i="24"/>
  <c r="P39" i="24"/>
  <c r="W39" i="24"/>
  <c r="V39" i="24"/>
  <c r="AB39" i="24"/>
  <c r="AC39" i="24"/>
  <c r="AI39" i="24"/>
  <c r="AH39" i="24"/>
  <c r="AO39" i="24"/>
  <c r="AN39" i="24"/>
  <c r="AT67" i="24"/>
  <c r="AT65" i="24"/>
  <c r="AT61" i="24"/>
  <c r="AU68" i="24"/>
  <c r="AU66" i="24"/>
  <c r="AU62" i="24"/>
  <c r="AU60" i="24"/>
  <c r="AT68" i="24"/>
  <c r="AT66" i="24"/>
  <c r="AT62" i="24"/>
  <c r="AT60" i="24"/>
  <c r="AT59" i="24"/>
  <c r="AT55" i="24"/>
  <c r="AT53" i="24"/>
  <c r="AU65" i="24"/>
  <c r="AU67" i="24"/>
  <c r="AU61" i="24"/>
  <c r="AU56" i="24"/>
  <c r="AU54" i="24"/>
  <c r="AT56" i="24"/>
  <c r="AT54" i="24"/>
  <c r="AU53" i="24"/>
  <c r="AU49" i="24"/>
  <c r="AU47" i="24"/>
  <c r="AU43" i="24"/>
  <c r="AT49" i="24"/>
  <c r="AT47" i="24"/>
  <c r="AT43" i="24"/>
  <c r="AU55" i="24"/>
  <c r="AU50" i="24"/>
  <c r="AU48" i="24"/>
  <c r="AU44" i="24"/>
  <c r="AT50" i="24"/>
  <c r="AT48" i="24"/>
  <c r="AT44" i="24"/>
  <c r="AT42" i="24"/>
  <c r="AU59" i="24"/>
  <c r="AU42" i="24"/>
  <c r="AU40" i="24"/>
  <c r="AU38" i="24"/>
  <c r="AU36" i="24"/>
  <c r="AU34" i="24"/>
  <c r="AU32" i="24"/>
  <c r="AU30" i="24"/>
  <c r="AU41" i="24"/>
  <c r="AU39" i="24"/>
  <c r="AU37" i="24"/>
  <c r="AU35" i="24"/>
  <c r="AU33" i="24"/>
  <c r="AT36" i="24"/>
  <c r="AU29" i="24"/>
  <c r="AU27" i="24"/>
  <c r="AU25" i="24"/>
  <c r="AU23" i="24"/>
  <c r="AT37" i="24"/>
  <c r="AT30" i="24"/>
  <c r="AT29" i="24"/>
  <c r="AT27" i="24"/>
  <c r="AT25" i="24"/>
  <c r="AT23" i="24"/>
  <c r="AT38" i="24"/>
  <c r="AT39" i="24"/>
  <c r="AT40" i="24"/>
  <c r="AU31" i="24"/>
  <c r="AU28" i="24"/>
  <c r="AU26" i="24"/>
  <c r="AU24" i="24"/>
  <c r="AT41" i="24"/>
  <c r="AT33" i="24"/>
  <c r="AT31" i="24"/>
  <c r="AT28" i="24"/>
  <c r="AT26" i="24"/>
  <c r="AT24" i="24"/>
  <c r="AT34" i="24"/>
  <c r="AT35" i="24"/>
  <c r="AT32" i="24"/>
  <c r="AU21" i="24"/>
  <c r="AU19" i="24"/>
  <c r="AU17" i="24"/>
  <c r="AU15" i="24"/>
  <c r="AU13" i="24"/>
  <c r="AT19" i="24"/>
  <c r="AT17" i="24"/>
  <c r="AT15" i="24"/>
  <c r="AT13" i="24"/>
  <c r="AT11" i="24"/>
  <c r="AU16" i="24"/>
  <c r="AU14" i="24"/>
  <c r="AU12" i="24"/>
  <c r="AU22" i="24"/>
  <c r="AU20" i="24"/>
  <c r="AU18" i="24"/>
  <c r="AT22" i="24"/>
  <c r="AT20" i="24"/>
  <c r="AT18" i="24"/>
  <c r="AT16" i="24"/>
  <c r="AT14" i="24"/>
  <c r="AT12" i="24"/>
  <c r="AU11" i="24"/>
  <c r="AT10" i="24"/>
  <c r="AT21" i="24"/>
  <c r="AU10" i="24"/>
  <c r="AT9" i="24"/>
  <c r="AT8" i="24"/>
  <c r="AU6" i="24"/>
  <c r="AU5" i="24"/>
  <c r="AT7" i="24"/>
  <c r="AT6" i="24"/>
  <c r="AU9" i="24"/>
  <c r="AU7" i="24"/>
  <c r="AT5" i="24"/>
  <c r="AU8" i="24"/>
  <c r="C54" i="22"/>
  <c r="D54" i="22"/>
  <c r="E54" i="22"/>
  <c r="AY18" i="24"/>
  <c r="AY35" i="24"/>
  <c r="AY24" i="24"/>
  <c r="AY32" i="24"/>
  <c r="AY23" i="24"/>
  <c r="AY17" i="24"/>
  <c r="AY5" i="24"/>
  <c r="AY6" i="24"/>
  <c r="AY7" i="24"/>
  <c r="AY8" i="24"/>
  <c r="AY9" i="24"/>
  <c r="AY10" i="24"/>
  <c r="AY65" i="24"/>
  <c r="AY66" i="24"/>
  <c r="AY60" i="24"/>
  <c r="AY54" i="24"/>
  <c r="AY11" i="24"/>
  <c r="AY12" i="24"/>
  <c r="AY13" i="24"/>
  <c r="AY14" i="24"/>
  <c r="AY16" i="24"/>
  <c r="AY15" i="24"/>
  <c r="AY67" i="24"/>
  <c r="AY61" i="24"/>
  <c r="AY55" i="24"/>
  <c r="AY49" i="24"/>
  <c r="AY43" i="24"/>
  <c r="AY68" i="24"/>
  <c r="AY62" i="24"/>
  <c r="AY56" i="24"/>
  <c r="AY50" i="24"/>
  <c r="AY44" i="24"/>
  <c r="AY41" i="24"/>
  <c r="AY36" i="24"/>
  <c r="AY29" i="24"/>
  <c r="AY59" i="24"/>
  <c r="AY42" i="24"/>
  <c r="AY37" i="24"/>
  <c r="AY30" i="24"/>
  <c r="AY25" i="24"/>
  <c r="AY20" i="24"/>
  <c r="AY22" i="24"/>
  <c r="AY21" i="24"/>
  <c r="AY53" i="24"/>
  <c r="AY47" i="24"/>
  <c r="AY38" i="24"/>
  <c r="AY31" i="24"/>
  <c r="AY26" i="24"/>
  <c r="AY28" i="24"/>
  <c r="AY27" i="24"/>
  <c r="AY48" i="24"/>
  <c r="AY19" i="24"/>
  <c r="AY33" i="24"/>
  <c r="AY34" i="24"/>
  <c r="AY40" i="24"/>
  <c r="AS40" i="24"/>
  <c r="AM40" i="24"/>
  <c r="AG40" i="24"/>
  <c r="AA40" i="24"/>
  <c r="U40" i="24"/>
  <c r="AY39" i="24"/>
  <c r="AS39" i="24"/>
  <c r="AM39" i="24"/>
  <c r="AG39" i="24"/>
  <c r="AA39" i="24"/>
  <c r="U39" i="24"/>
  <c r="B46" i="24"/>
  <c r="C46" i="24" s="1"/>
  <c r="B45" i="24"/>
  <c r="C45" i="24" s="1"/>
  <c r="AZ3" i="24"/>
  <c r="A55" i="22"/>
  <c r="M18" i="25"/>
  <c r="M17" i="25"/>
  <c r="L18" i="25"/>
  <c r="L17" i="25"/>
  <c r="K18" i="25"/>
  <c r="K17" i="25"/>
  <c r="J18" i="25"/>
  <c r="J17" i="25"/>
  <c r="I18" i="25"/>
  <c r="I17" i="25"/>
  <c r="H18" i="25"/>
  <c r="H17" i="25"/>
  <c r="G18" i="25"/>
  <c r="G17" i="25"/>
  <c r="F18" i="25"/>
  <c r="F17" i="25"/>
  <c r="E18" i="25"/>
  <c r="E17" i="25"/>
  <c r="D18" i="25"/>
  <c r="D17" i="25"/>
  <c r="C18" i="25"/>
  <c r="C17" i="25"/>
  <c r="H6" i="24"/>
  <c r="N6" i="24"/>
  <c r="H7" i="24"/>
  <c r="N7" i="24"/>
  <c r="H8" i="24"/>
  <c r="N8" i="24"/>
  <c r="H11" i="24"/>
  <c r="N11" i="24"/>
  <c r="H12" i="24"/>
  <c r="N12" i="24"/>
  <c r="H13" i="24"/>
  <c r="N13" i="24"/>
  <c r="H14" i="24"/>
  <c r="N14" i="24"/>
  <c r="H17" i="24"/>
  <c r="N17" i="24"/>
  <c r="H18" i="24"/>
  <c r="N18" i="24"/>
  <c r="H19" i="24"/>
  <c r="N19" i="24"/>
  <c r="H20" i="24"/>
  <c r="N20" i="24"/>
  <c r="H23" i="24"/>
  <c r="N23" i="24"/>
  <c r="H24" i="24"/>
  <c r="N24" i="24"/>
  <c r="H25" i="24"/>
  <c r="N25" i="24"/>
  <c r="H26" i="24"/>
  <c r="N26" i="24"/>
  <c r="H29" i="24"/>
  <c r="N29" i="24"/>
  <c r="H30" i="24"/>
  <c r="N30" i="24"/>
  <c r="H31" i="24"/>
  <c r="N31" i="24"/>
  <c r="H32" i="24"/>
  <c r="N32" i="24"/>
  <c r="H35" i="24"/>
  <c r="N35" i="24"/>
  <c r="H36" i="24"/>
  <c r="N36" i="24"/>
  <c r="H37" i="24"/>
  <c r="N37" i="24"/>
  <c r="H38" i="24"/>
  <c r="N38" i="24"/>
  <c r="H41" i="24"/>
  <c r="N41" i="24"/>
  <c r="H42" i="24"/>
  <c r="N42" i="24"/>
  <c r="H43" i="24"/>
  <c r="N43" i="24"/>
  <c r="H44" i="24"/>
  <c r="N44" i="24"/>
  <c r="H47" i="24"/>
  <c r="N47" i="24"/>
  <c r="H48" i="24"/>
  <c r="N48" i="24"/>
  <c r="H49" i="24"/>
  <c r="N49" i="24"/>
  <c r="H50" i="24"/>
  <c r="N50" i="24"/>
  <c r="H53" i="24"/>
  <c r="N53" i="24"/>
  <c r="H54" i="24"/>
  <c r="N54" i="24"/>
  <c r="H55" i="24"/>
  <c r="N55" i="24"/>
  <c r="H56" i="24"/>
  <c r="N56" i="24"/>
  <c r="H59" i="24"/>
  <c r="N59" i="24"/>
  <c r="H60" i="24"/>
  <c r="N60" i="24"/>
  <c r="H61" i="24"/>
  <c r="N61" i="24"/>
  <c r="H62" i="24"/>
  <c r="N62" i="24"/>
  <c r="H65" i="24"/>
  <c r="N65" i="24"/>
  <c r="H66" i="24"/>
  <c r="N66" i="24"/>
  <c r="H67" i="24"/>
  <c r="N67" i="24"/>
  <c r="H68" i="24"/>
  <c r="N68" i="24"/>
  <c r="Q45" i="24" l="1"/>
  <c r="P45" i="24"/>
  <c r="W45" i="24"/>
  <c r="V45" i="24"/>
  <c r="AC45" i="24"/>
  <c r="AB45" i="24"/>
  <c r="AH45" i="24"/>
  <c r="AI45" i="24"/>
  <c r="AN45" i="24"/>
  <c r="AO45" i="24"/>
  <c r="AU45" i="24"/>
  <c r="AT45" i="24"/>
  <c r="Q46" i="24"/>
  <c r="P46" i="24"/>
  <c r="W46" i="24"/>
  <c r="V46" i="24"/>
  <c r="AC46" i="24"/>
  <c r="AB46" i="24"/>
  <c r="AI46" i="24"/>
  <c r="AH46" i="24"/>
  <c r="AO46" i="24"/>
  <c r="AN46" i="24"/>
  <c r="AU46" i="24"/>
  <c r="AT46" i="24"/>
  <c r="BA68" i="24"/>
  <c r="BA66" i="24"/>
  <c r="BA62" i="24"/>
  <c r="BA60" i="24"/>
  <c r="AZ68" i="24"/>
  <c r="AZ66" i="24"/>
  <c r="BA67" i="24"/>
  <c r="BA65" i="24"/>
  <c r="BA61" i="24"/>
  <c r="AZ67" i="24"/>
  <c r="AZ65" i="24"/>
  <c r="BA56" i="24"/>
  <c r="BA54" i="24"/>
  <c r="AZ60" i="24"/>
  <c r="AZ56" i="24"/>
  <c r="AZ54" i="24"/>
  <c r="AZ61" i="24"/>
  <c r="AZ62" i="24"/>
  <c r="BA59" i="24"/>
  <c r="BA55" i="24"/>
  <c r="BA53" i="24"/>
  <c r="AZ59" i="24"/>
  <c r="AZ55" i="24"/>
  <c r="AZ53" i="24"/>
  <c r="BA50" i="24"/>
  <c r="BA48" i="24"/>
  <c r="BA46" i="24"/>
  <c r="BA44" i="24"/>
  <c r="BA42" i="24"/>
  <c r="AZ50" i="24"/>
  <c r="AZ48" i="24"/>
  <c r="AZ46" i="24"/>
  <c r="AZ44" i="24"/>
  <c r="AZ42" i="24"/>
  <c r="BA49" i="24"/>
  <c r="BA47" i="24"/>
  <c r="BA45" i="24"/>
  <c r="BA43" i="24"/>
  <c r="AZ43" i="24"/>
  <c r="AZ41" i="24"/>
  <c r="AZ39" i="24"/>
  <c r="AZ37" i="24"/>
  <c r="AZ35" i="24"/>
  <c r="AZ33" i="24"/>
  <c r="AZ47" i="24"/>
  <c r="AZ49" i="24"/>
  <c r="AZ45" i="24"/>
  <c r="AZ40" i="24"/>
  <c r="AZ38" i="24"/>
  <c r="AZ36" i="24"/>
  <c r="AZ34" i="24"/>
  <c r="BA37" i="24"/>
  <c r="AZ30" i="24"/>
  <c r="BA38" i="24"/>
  <c r="BA31" i="24"/>
  <c r="BA28" i="24"/>
  <c r="BA26" i="24"/>
  <c r="BA24" i="24"/>
  <c r="BA39" i="24"/>
  <c r="AZ31" i="24"/>
  <c r="BA40" i="24"/>
  <c r="BA41" i="24"/>
  <c r="BA33" i="24"/>
  <c r="BA34" i="24"/>
  <c r="BA32" i="24"/>
  <c r="BA29" i="24"/>
  <c r="BA27" i="24"/>
  <c r="BA25" i="24"/>
  <c r="BA23" i="24"/>
  <c r="BA35" i="24"/>
  <c r="AZ32" i="24"/>
  <c r="BA36" i="24"/>
  <c r="BA30" i="24"/>
  <c r="AZ28" i="24"/>
  <c r="AZ19" i="24"/>
  <c r="AZ17" i="24"/>
  <c r="AZ15" i="24"/>
  <c r="AZ13" i="24"/>
  <c r="AZ11" i="24"/>
  <c r="AZ29" i="24"/>
  <c r="AZ23" i="24"/>
  <c r="BA22" i="24"/>
  <c r="BA20" i="24"/>
  <c r="BA18" i="24"/>
  <c r="BA16" i="24"/>
  <c r="BA14" i="24"/>
  <c r="BA12" i="24"/>
  <c r="AZ24" i="24"/>
  <c r="AZ22" i="24"/>
  <c r="AZ20" i="24"/>
  <c r="AZ18" i="24"/>
  <c r="AZ16" i="24"/>
  <c r="AZ14" i="24"/>
  <c r="AZ12" i="24"/>
  <c r="AZ25" i="24"/>
  <c r="AZ26" i="24"/>
  <c r="AZ27" i="24"/>
  <c r="BA21" i="24"/>
  <c r="BA19" i="24"/>
  <c r="BA17" i="24"/>
  <c r="BA15" i="24"/>
  <c r="BA13" i="24"/>
  <c r="BA11" i="24"/>
  <c r="AZ8" i="24"/>
  <c r="AZ21" i="24"/>
  <c r="BA6" i="24"/>
  <c r="AZ9" i="24"/>
  <c r="AZ6" i="24"/>
  <c r="BA5" i="24"/>
  <c r="AZ7" i="24"/>
  <c r="BA10" i="24"/>
  <c r="BA9" i="24"/>
  <c r="AZ5" i="24"/>
  <c r="AZ10" i="24"/>
  <c r="BA8" i="24"/>
  <c r="BA7" i="24"/>
  <c r="C55" i="22"/>
  <c r="D55" i="22"/>
  <c r="E55" i="22"/>
  <c r="BE24" i="24"/>
  <c r="BE17" i="24"/>
  <c r="BE21" i="24"/>
  <c r="BE32" i="24"/>
  <c r="BE19" i="24"/>
  <c r="BE6" i="24"/>
  <c r="BE7" i="24"/>
  <c r="BE8" i="24"/>
  <c r="BE5" i="24"/>
  <c r="BE9" i="24"/>
  <c r="BE10" i="24"/>
  <c r="BE65" i="24"/>
  <c r="BE11" i="24"/>
  <c r="BE12" i="24"/>
  <c r="BE13" i="24"/>
  <c r="BE14" i="24"/>
  <c r="BE16" i="24"/>
  <c r="BE15" i="24"/>
  <c r="BE66" i="24"/>
  <c r="BE60" i="24"/>
  <c r="BE54" i="24"/>
  <c r="BE67" i="24"/>
  <c r="BE61" i="24"/>
  <c r="BE55" i="24"/>
  <c r="BE49" i="24"/>
  <c r="BE43" i="24"/>
  <c r="BE68" i="24"/>
  <c r="BE62" i="24"/>
  <c r="BE56" i="24"/>
  <c r="BE50" i="24"/>
  <c r="BE44" i="24"/>
  <c r="BE59" i="24"/>
  <c r="BE47" i="24"/>
  <c r="BE36" i="24"/>
  <c r="BE29" i="24"/>
  <c r="BE53" i="24"/>
  <c r="BE48" i="24"/>
  <c r="BE37" i="24"/>
  <c r="BE30" i="24"/>
  <c r="BE25" i="24"/>
  <c r="BE28" i="24"/>
  <c r="BE27" i="24"/>
  <c r="BE20" i="24"/>
  <c r="BE41" i="24"/>
  <c r="BE38" i="24"/>
  <c r="BE31" i="24"/>
  <c r="BE26" i="24"/>
  <c r="BE42" i="24"/>
  <c r="BE22" i="24"/>
  <c r="BE18" i="24"/>
  <c r="BE23" i="24"/>
  <c r="BE35" i="24"/>
  <c r="BE33" i="24"/>
  <c r="BE34" i="24"/>
  <c r="BE40" i="24"/>
  <c r="BE39" i="24"/>
  <c r="BE45" i="24"/>
  <c r="AY45" i="24"/>
  <c r="AS45" i="24"/>
  <c r="AM45" i="24"/>
  <c r="AG45" i="24"/>
  <c r="AA45" i="24"/>
  <c r="U45" i="24"/>
  <c r="BE46" i="24"/>
  <c r="AY46" i="24"/>
  <c r="AS46" i="24"/>
  <c r="AM46" i="24"/>
  <c r="AG46" i="24"/>
  <c r="AA46" i="24"/>
  <c r="U46" i="24"/>
  <c r="B51" i="24"/>
  <c r="C51" i="24" s="1"/>
  <c r="B52" i="24"/>
  <c r="C52" i="24" s="1"/>
  <c r="A56" i="22"/>
  <c r="BF3" i="24"/>
  <c r="A57" i="22"/>
  <c r="M2" i="25"/>
  <c r="L2" i="25"/>
  <c r="K2" i="25"/>
  <c r="J2" i="25"/>
  <c r="I2" i="25"/>
  <c r="H2" i="25"/>
  <c r="G2" i="25"/>
  <c r="F2" i="25"/>
  <c r="E2" i="25"/>
  <c r="D2" i="25"/>
  <c r="C2" i="25"/>
  <c r="B2" i="25"/>
  <c r="H5" i="24"/>
  <c r="N5" i="24"/>
  <c r="A5" i="24"/>
  <c r="Q52" i="24" l="1"/>
  <c r="P52" i="24"/>
  <c r="V52" i="24"/>
  <c r="W52" i="24"/>
  <c r="AC52" i="24"/>
  <c r="AB52" i="24"/>
  <c r="AI52" i="24"/>
  <c r="AH52" i="24"/>
  <c r="AO52" i="24"/>
  <c r="AN52" i="24"/>
  <c r="AU52" i="24"/>
  <c r="AT52" i="24"/>
  <c r="BA52" i="24"/>
  <c r="AZ52" i="24"/>
  <c r="Q51" i="24"/>
  <c r="P51" i="24"/>
  <c r="W51" i="24"/>
  <c r="V51" i="24"/>
  <c r="AC51" i="24"/>
  <c r="AB51" i="24"/>
  <c r="AI51" i="24"/>
  <c r="AH51" i="24"/>
  <c r="AO51" i="24"/>
  <c r="AN51" i="24"/>
  <c r="AT51" i="24"/>
  <c r="AU51" i="24"/>
  <c r="BA51" i="24"/>
  <c r="AZ51" i="24"/>
  <c r="BG67" i="24"/>
  <c r="BG65" i="24"/>
  <c r="BF67" i="24"/>
  <c r="BF65" i="24"/>
  <c r="BF61" i="24"/>
  <c r="BG68" i="24"/>
  <c r="BG66" i="24"/>
  <c r="BF68" i="24"/>
  <c r="BF66" i="24"/>
  <c r="BF62" i="24"/>
  <c r="BF60" i="24"/>
  <c r="BG61" i="24"/>
  <c r="BG59" i="24"/>
  <c r="BG55" i="24"/>
  <c r="BG53" i="24"/>
  <c r="BG51" i="24"/>
  <c r="BG62" i="24"/>
  <c r="BF59" i="24"/>
  <c r="BF55" i="24"/>
  <c r="BF53" i="24"/>
  <c r="BF51" i="24"/>
  <c r="BG56" i="24"/>
  <c r="BG54" i="24"/>
  <c r="BG52" i="24"/>
  <c r="BF54" i="24"/>
  <c r="BF50" i="24"/>
  <c r="BF48" i="24"/>
  <c r="BF46" i="24"/>
  <c r="BF44" i="24"/>
  <c r="BF42" i="24"/>
  <c r="BF56" i="24"/>
  <c r="BG49" i="24"/>
  <c r="BG47" i="24"/>
  <c r="BG45" i="24"/>
  <c r="BG43" i="24"/>
  <c r="BF49" i="24"/>
  <c r="BF47" i="24"/>
  <c r="BG60" i="24"/>
  <c r="BF52" i="24"/>
  <c r="BF41" i="24"/>
  <c r="BF39" i="24"/>
  <c r="BF37" i="24"/>
  <c r="BF35" i="24"/>
  <c r="BF33" i="24"/>
  <c r="BF31" i="24"/>
  <c r="BG46" i="24"/>
  <c r="BG44" i="24"/>
  <c r="BG40" i="24"/>
  <c r="BG38" i="24"/>
  <c r="BG36" i="24"/>
  <c r="BG34" i="24"/>
  <c r="BG48" i="24"/>
  <c r="BF45" i="24"/>
  <c r="BF40" i="24"/>
  <c r="BF38" i="24"/>
  <c r="BF36" i="24"/>
  <c r="BF34" i="24"/>
  <c r="BG50" i="24"/>
  <c r="BG41" i="24"/>
  <c r="BG39" i="24"/>
  <c r="BG37" i="24"/>
  <c r="BG35" i="24"/>
  <c r="BG33" i="24"/>
  <c r="BG31" i="24"/>
  <c r="BF43" i="24"/>
  <c r="BG32" i="24"/>
  <c r="BF32" i="24"/>
  <c r="BF29" i="24"/>
  <c r="BF27" i="24"/>
  <c r="BF25" i="24"/>
  <c r="BF23" i="24"/>
  <c r="BG30" i="24"/>
  <c r="BF30" i="24"/>
  <c r="BG42" i="24"/>
  <c r="BF28" i="24"/>
  <c r="BF26" i="24"/>
  <c r="BF24" i="24"/>
  <c r="BG29" i="24"/>
  <c r="BG22" i="24"/>
  <c r="BG20" i="24"/>
  <c r="BG18" i="24"/>
  <c r="BG16" i="24"/>
  <c r="BG14" i="24"/>
  <c r="BG12" i="24"/>
  <c r="BF22" i="24"/>
  <c r="BF20" i="24"/>
  <c r="BF18" i="24"/>
  <c r="BF16" i="24"/>
  <c r="BF14" i="24"/>
  <c r="BF12" i="24"/>
  <c r="BG23" i="24"/>
  <c r="BG24" i="24"/>
  <c r="BG25" i="24"/>
  <c r="BG21" i="24"/>
  <c r="BG19" i="24"/>
  <c r="BG17" i="24"/>
  <c r="BG15" i="24"/>
  <c r="BG13" i="24"/>
  <c r="BG11" i="24"/>
  <c r="BG26" i="24"/>
  <c r="BF19" i="24"/>
  <c r="BF17" i="24"/>
  <c r="BF15" i="24"/>
  <c r="BF13" i="24"/>
  <c r="BF11" i="24"/>
  <c r="BG27" i="24"/>
  <c r="BG28" i="24"/>
  <c r="BF7" i="24"/>
  <c r="BG6" i="24"/>
  <c r="BF10" i="24"/>
  <c r="BF5" i="24"/>
  <c r="BF6" i="24"/>
  <c r="BG9" i="24"/>
  <c r="BG10" i="24"/>
  <c r="BG7" i="24"/>
  <c r="BF21" i="24"/>
  <c r="BF8" i="24"/>
  <c r="BF9" i="24"/>
  <c r="BG8" i="24"/>
  <c r="BG5" i="24"/>
  <c r="C57" i="22"/>
  <c r="D57" i="22"/>
  <c r="E57" i="22"/>
  <c r="BK32" i="24"/>
  <c r="BK19" i="24"/>
  <c r="BK21" i="24"/>
  <c r="BK28" i="24"/>
  <c r="BK24" i="24"/>
  <c r="BK35" i="24"/>
  <c r="BK23" i="24"/>
  <c r="BK22" i="24"/>
  <c r="BK18" i="24"/>
  <c r="BK27" i="24"/>
  <c r="BK6" i="24"/>
  <c r="BK8" i="24"/>
  <c r="BK7" i="24"/>
  <c r="BK5" i="24"/>
  <c r="BK10" i="24"/>
  <c r="BK9" i="24"/>
  <c r="BK11" i="24"/>
  <c r="BK12" i="24"/>
  <c r="BK13" i="24"/>
  <c r="BK14" i="24"/>
  <c r="BK16" i="24"/>
  <c r="BK15" i="24"/>
  <c r="BK65" i="24"/>
  <c r="BK66" i="24"/>
  <c r="BK60" i="24"/>
  <c r="BK54" i="24"/>
  <c r="BK67" i="24"/>
  <c r="BK61" i="24"/>
  <c r="BK55" i="24"/>
  <c r="BK49" i="24"/>
  <c r="BK43" i="24"/>
  <c r="BK68" i="24"/>
  <c r="BK62" i="24"/>
  <c r="BK56" i="24"/>
  <c r="BK50" i="24"/>
  <c r="BK44" i="24"/>
  <c r="BK53" i="24"/>
  <c r="BK41" i="24"/>
  <c r="BK36" i="24"/>
  <c r="BK29" i="24"/>
  <c r="BK42" i="24"/>
  <c r="BK37" i="24"/>
  <c r="BK30" i="24"/>
  <c r="BK25" i="24"/>
  <c r="BK20" i="24"/>
  <c r="BK47" i="24"/>
  <c r="BK38" i="24"/>
  <c r="BK31" i="24"/>
  <c r="BK26" i="24"/>
  <c r="BK59" i="24"/>
  <c r="BK48" i="24"/>
  <c r="BK17" i="24"/>
  <c r="BK33" i="24"/>
  <c r="BK34" i="24"/>
  <c r="BK40" i="24"/>
  <c r="BK39" i="24"/>
  <c r="BK45" i="24"/>
  <c r="BK46" i="24"/>
  <c r="C56" i="22"/>
  <c r="D56" i="22"/>
  <c r="E56" i="22"/>
  <c r="BK52" i="24"/>
  <c r="BE52" i="24"/>
  <c r="AY52" i="24"/>
  <c r="AS52" i="24"/>
  <c r="AM52" i="24"/>
  <c r="AG52" i="24"/>
  <c r="AA52" i="24"/>
  <c r="U52" i="24"/>
  <c r="BK51" i="24"/>
  <c r="BE51" i="24"/>
  <c r="AY51" i="24"/>
  <c r="AS51" i="24"/>
  <c r="AM51" i="24"/>
  <c r="AG51" i="24"/>
  <c r="AA51" i="24"/>
  <c r="U51" i="24"/>
  <c r="B58" i="24"/>
  <c r="C58" i="24" s="1"/>
  <c r="B57" i="24"/>
  <c r="C57" i="24" s="1"/>
  <c r="BL3" i="24"/>
  <c r="A58" i="22"/>
  <c r="A56" i="23"/>
  <c r="Q57" i="24" l="1"/>
  <c r="P57" i="24"/>
  <c r="W57" i="24"/>
  <c r="V57" i="24"/>
  <c r="AC57" i="24"/>
  <c r="AB57" i="24"/>
  <c r="AI57" i="24"/>
  <c r="AH57" i="24"/>
  <c r="AO57" i="24"/>
  <c r="AN57" i="24"/>
  <c r="AT57" i="24"/>
  <c r="AU57" i="24"/>
  <c r="BA57" i="24"/>
  <c r="AZ57" i="24"/>
  <c r="BG57" i="24"/>
  <c r="BF57" i="24"/>
  <c r="Q58" i="24"/>
  <c r="P58" i="24"/>
  <c r="V58" i="24"/>
  <c r="W58" i="24"/>
  <c r="AC58" i="24"/>
  <c r="AB58" i="24"/>
  <c r="AI58" i="24"/>
  <c r="AH58" i="24"/>
  <c r="AO58" i="24"/>
  <c r="AN58" i="24"/>
  <c r="AU58" i="24"/>
  <c r="AT58" i="24"/>
  <c r="BA58" i="24"/>
  <c r="AZ58" i="24"/>
  <c r="BG58" i="24"/>
  <c r="BF58" i="24"/>
  <c r="BM68" i="24"/>
  <c r="BM66" i="24"/>
  <c r="BM62" i="24"/>
  <c r="BM60" i="24"/>
  <c r="BL68" i="24"/>
  <c r="BL66" i="24"/>
  <c r="BL62" i="24"/>
  <c r="BL60" i="24"/>
  <c r="BM67" i="24"/>
  <c r="BM65" i="24"/>
  <c r="BM61" i="24"/>
  <c r="BL61" i="24"/>
  <c r="BL65" i="24"/>
  <c r="BL67" i="24"/>
  <c r="BM58" i="24"/>
  <c r="BM56" i="24"/>
  <c r="BM54" i="24"/>
  <c r="BM52" i="24"/>
  <c r="BL58" i="24"/>
  <c r="BL56" i="24"/>
  <c r="BL54" i="24"/>
  <c r="BL52" i="24"/>
  <c r="BM55" i="24"/>
  <c r="BM49" i="24"/>
  <c r="BM47" i="24"/>
  <c r="BM45" i="24"/>
  <c r="BM43" i="24"/>
  <c r="BL55" i="24"/>
  <c r="BL49" i="24"/>
  <c r="BL47" i="24"/>
  <c r="BL45" i="24"/>
  <c r="BL43" i="24"/>
  <c r="BM57" i="24"/>
  <c r="BL57" i="24"/>
  <c r="BM59" i="24"/>
  <c r="BM51" i="24"/>
  <c r="BM50" i="24"/>
  <c r="BM48" i="24"/>
  <c r="BM46" i="24"/>
  <c r="BL59" i="24"/>
  <c r="BL51" i="24"/>
  <c r="BL50" i="24"/>
  <c r="BL48" i="24"/>
  <c r="BL46" i="24"/>
  <c r="BL44" i="24"/>
  <c r="BM53" i="24"/>
  <c r="BM40" i="24"/>
  <c r="BM38" i="24"/>
  <c r="BM36" i="24"/>
  <c r="BM34" i="24"/>
  <c r="BM32" i="24"/>
  <c r="BM30" i="24"/>
  <c r="BL40" i="24"/>
  <c r="BL38" i="24"/>
  <c r="BL36" i="24"/>
  <c r="BL34" i="24"/>
  <c r="BL32" i="24"/>
  <c r="BL30" i="24"/>
  <c r="BM42" i="24"/>
  <c r="BM41" i="24"/>
  <c r="BM39" i="24"/>
  <c r="BM37" i="24"/>
  <c r="BM35" i="24"/>
  <c r="BM33" i="24"/>
  <c r="BL42" i="24"/>
  <c r="BL41" i="24"/>
  <c r="BL39" i="24"/>
  <c r="BL37" i="24"/>
  <c r="BL35" i="24"/>
  <c r="BL33" i="24"/>
  <c r="BL53" i="24"/>
  <c r="BL29" i="24"/>
  <c r="BL27" i="24"/>
  <c r="BL25" i="24"/>
  <c r="BL23" i="24"/>
  <c r="BM28" i="24"/>
  <c r="BM26" i="24"/>
  <c r="BM24" i="24"/>
  <c r="BL28" i="24"/>
  <c r="BL26" i="24"/>
  <c r="BL24" i="24"/>
  <c r="BM31" i="24"/>
  <c r="BM44" i="24"/>
  <c r="BL31" i="24"/>
  <c r="BM29" i="24"/>
  <c r="BM27" i="24"/>
  <c r="BM25" i="24"/>
  <c r="BM23" i="24"/>
  <c r="BM21" i="24"/>
  <c r="BM19" i="24"/>
  <c r="BM17" i="24"/>
  <c r="BM15" i="24"/>
  <c r="BM13" i="24"/>
  <c r="BM11" i="24"/>
  <c r="BL19" i="24"/>
  <c r="BL17" i="24"/>
  <c r="BL15" i="24"/>
  <c r="BL13" i="24"/>
  <c r="BM22" i="24"/>
  <c r="BM20" i="24"/>
  <c r="BM18" i="24"/>
  <c r="BM16" i="24"/>
  <c r="BM14" i="24"/>
  <c r="BM12" i="24"/>
  <c r="BL14" i="24"/>
  <c r="BL22" i="24"/>
  <c r="BL20" i="24"/>
  <c r="BL18" i="24"/>
  <c r="BL16" i="24"/>
  <c r="BL12" i="24"/>
  <c r="BL11" i="24"/>
  <c r="BM7" i="24"/>
  <c r="BL8" i="24"/>
  <c r="BL5" i="24"/>
  <c r="BM10" i="24"/>
  <c r="BL6" i="24"/>
  <c r="BL10" i="24"/>
  <c r="BL9" i="24"/>
  <c r="BL7" i="24"/>
  <c r="BM9" i="24"/>
  <c r="BM8" i="24"/>
  <c r="BM6" i="24"/>
  <c r="BL21" i="24"/>
  <c r="BM5" i="24"/>
  <c r="E56" i="23"/>
  <c r="F56" i="23"/>
  <c r="G56" i="23"/>
  <c r="H56" i="23"/>
  <c r="I56" i="23"/>
  <c r="C58" i="22"/>
  <c r="D58" i="22"/>
  <c r="E58" i="22"/>
  <c r="BQ35" i="24"/>
  <c r="BQ19" i="24"/>
  <c r="BQ22" i="24"/>
  <c r="BQ23" i="24"/>
  <c r="BQ18" i="24"/>
  <c r="BQ27" i="24"/>
  <c r="BQ28" i="24"/>
  <c r="BQ5" i="24"/>
  <c r="BQ6" i="24"/>
  <c r="BQ7" i="24"/>
  <c r="BQ8" i="24"/>
  <c r="BQ10" i="24"/>
  <c r="BQ9" i="24"/>
  <c r="BQ65" i="24"/>
  <c r="BQ66" i="24"/>
  <c r="BQ60" i="24"/>
  <c r="BQ54" i="24"/>
  <c r="BQ67" i="24"/>
  <c r="BQ61" i="24"/>
  <c r="BQ55" i="24"/>
  <c r="BQ49" i="24"/>
  <c r="BQ43" i="24"/>
  <c r="BQ11" i="24"/>
  <c r="BQ12" i="24"/>
  <c r="BQ13" i="24"/>
  <c r="BQ14" i="24"/>
  <c r="BQ16" i="24"/>
  <c r="BQ15" i="24"/>
  <c r="BQ68" i="24"/>
  <c r="BQ62" i="24"/>
  <c r="BQ56" i="24"/>
  <c r="BQ50" i="24"/>
  <c r="BQ44" i="24"/>
  <c r="BQ47" i="24"/>
  <c r="BQ36" i="24"/>
  <c r="BQ29" i="24"/>
  <c r="BQ48" i="24"/>
  <c r="BQ37" i="24"/>
  <c r="BQ30" i="24"/>
  <c r="BQ25" i="24"/>
  <c r="BQ20" i="24"/>
  <c r="BQ59" i="24"/>
  <c r="BQ41" i="24"/>
  <c r="BQ38" i="24"/>
  <c r="BQ31" i="24"/>
  <c r="BQ26" i="24"/>
  <c r="BQ53" i="24"/>
  <c r="BQ42" i="24"/>
  <c r="BQ21" i="24"/>
  <c r="BQ17" i="24"/>
  <c r="BQ24" i="24"/>
  <c r="BQ32" i="24"/>
  <c r="BQ33" i="24"/>
  <c r="BQ34" i="24"/>
  <c r="BQ40" i="24"/>
  <c r="BQ39" i="24"/>
  <c r="BQ45" i="24"/>
  <c r="BQ46" i="24"/>
  <c r="BQ52" i="24"/>
  <c r="BQ51" i="24"/>
  <c r="BQ57" i="24"/>
  <c r="BK57" i="24"/>
  <c r="BE57" i="24"/>
  <c r="AY57" i="24"/>
  <c r="AS57" i="24"/>
  <c r="AM57" i="24"/>
  <c r="AG57" i="24"/>
  <c r="AA57" i="24"/>
  <c r="U57" i="24"/>
  <c r="BQ58" i="24"/>
  <c r="BK58" i="24"/>
  <c r="BE58" i="24"/>
  <c r="AY58" i="24"/>
  <c r="AS58" i="24"/>
  <c r="AM58" i="24"/>
  <c r="AG58" i="24"/>
  <c r="AA58" i="24"/>
  <c r="U58" i="24"/>
  <c r="B63" i="24"/>
  <c r="C63" i="24" s="1"/>
  <c r="B64" i="24"/>
  <c r="C64" i="24" s="1"/>
  <c r="BR3" i="24"/>
  <c r="A59" i="22"/>
  <c r="A57" i="23"/>
  <c r="C3" i="5"/>
  <c r="C4" i="5" s="1"/>
  <c r="D14" i="5"/>
  <c r="E14" i="5"/>
  <c r="F14" i="5"/>
  <c r="G14" i="5"/>
  <c r="H14" i="5"/>
  <c r="I14" i="5"/>
  <c r="J14" i="5"/>
  <c r="K14" i="5"/>
  <c r="L14" i="5"/>
  <c r="M14" i="5"/>
  <c r="X70" i="24" l="1"/>
  <c r="X69" i="24"/>
  <c r="X68" i="24"/>
  <c r="X67" i="24"/>
  <c r="X66" i="24"/>
  <c r="X65" i="24"/>
  <c r="X64" i="24"/>
  <c r="X63" i="24"/>
  <c r="X62" i="24"/>
  <c r="X61" i="24"/>
  <c r="X60" i="24"/>
  <c r="X59" i="24"/>
  <c r="X58" i="24"/>
  <c r="X57" i="24"/>
  <c r="X56" i="24"/>
  <c r="X55" i="24"/>
  <c r="X54" i="24"/>
  <c r="X53" i="24"/>
  <c r="X52" i="24"/>
  <c r="X51" i="24"/>
  <c r="X50" i="24"/>
  <c r="X49" i="24"/>
  <c r="X48" i="24"/>
  <c r="X47" i="24"/>
  <c r="X46" i="24"/>
  <c r="X45" i="24"/>
  <c r="X44" i="24"/>
  <c r="X43" i="24"/>
  <c r="X42" i="24"/>
  <c r="X41" i="24"/>
  <c r="X40" i="24"/>
  <c r="X39" i="24"/>
  <c r="X38" i="24"/>
  <c r="X37" i="24"/>
  <c r="X36" i="24"/>
  <c r="X35" i="24"/>
  <c r="X34" i="24"/>
  <c r="X33" i="24"/>
  <c r="X32" i="24"/>
  <c r="X31" i="24"/>
  <c r="X30" i="24"/>
  <c r="X29" i="24"/>
  <c r="X28" i="24"/>
  <c r="X27" i="24"/>
  <c r="X26" i="24"/>
  <c r="X25" i="24"/>
  <c r="X24" i="24"/>
  <c r="X23" i="24"/>
  <c r="X22" i="24"/>
  <c r="X21" i="24"/>
  <c r="X20" i="24"/>
  <c r="X19" i="24"/>
  <c r="X18" i="24"/>
  <c r="X17" i="24"/>
  <c r="X16" i="24"/>
  <c r="X15" i="24"/>
  <c r="X14" i="24"/>
  <c r="X13" i="24"/>
  <c r="X12" i="24"/>
  <c r="X11" i="24"/>
  <c r="X10" i="24"/>
  <c r="X9" i="24"/>
  <c r="X8" i="24"/>
  <c r="X7" i="24"/>
  <c r="X6" i="24"/>
  <c r="X5" i="24"/>
  <c r="Q64" i="24"/>
  <c r="P64" i="24"/>
  <c r="V64" i="24"/>
  <c r="W64" i="24"/>
  <c r="AC64" i="24"/>
  <c r="AB64" i="24"/>
  <c r="AI64" i="24"/>
  <c r="AH64" i="24"/>
  <c r="AO64" i="24"/>
  <c r="AN64" i="24"/>
  <c r="AU64" i="24"/>
  <c r="AT64" i="24"/>
  <c r="BA64" i="24"/>
  <c r="AZ64" i="24"/>
  <c r="BG64" i="24"/>
  <c r="BF64" i="24"/>
  <c r="BM64" i="24"/>
  <c r="BL64" i="24"/>
  <c r="Q63" i="24"/>
  <c r="P63" i="24"/>
  <c r="W63" i="24"/>
  <c r="V63" i="24"/>
  <c r="AC63" i="24"/>
  <c r="AB63" i="24"/>
  <c r="AI63" i="24"/>
  <c r="AH63" i="24"/>
  <c r="AO63" i="24"/>
  <c r="AN63" i="24"/>
  <c r="AT63" i="24"/>
  <c r="AU63" i="24"/>
  <c r="BA63" i="24"/>
  <c r="AZ63" i="24"/>
  <c r="BG63" i="24"/>
  <c r="BF63" i="24"/>
  <c r="BM63" i="24"/>
  <c r="BL63" i="24"/>
  <c r="BR68" i="24"/>
  <c r="BR66" i="24"/>
  <c r="BR64" i="24"/>
  <c r="BR62" i="24"/>
  <c r="BR60" i="24"/>
  <c r="BS67" i="24"/>
  <c r="BS65" i="24"/>
  <c r="BS63" i="24"/>
  <c r="BS61" i="24"/>
  <c r="BR67" i="24"/>
  <c r="BR65" i="24"/>
  <c r="BR63" i="24"/>
  <c r="BR61" i="24"/>
  <c r="BS64" i="24"/>
  <c r="BS62" i="24"/>
  <c r="BR58" i="24"/>
  <c r="BR56" i="24"/>
  <c r="BR54" i="24"/>
  <c r="BR52" i="24"/>
  <c r="BS66" i="24"/>
  <c r="BS68" i="24"/>
  <c r="BS59" i="24"/>
  <c r="BS57" i="24"/>
  <c r="BS55" i="24"/>
  <c r="BS53" i="24"/>
  <c r="BS51" i="24"/>
  <c r="BR59" i="24"/>
  <c r="BR57" i="24"/>
  <c r="BR55" i="24"/>
  <c r="BR53" i="24"/>
  <c r="BR51" i="24"/>
  <c r="BS60" i="24"/>
  <c r="BS56" i="24"/>
  <c r="BS50" i="24"/>
  <c r="BS48" i="24"/>
  <c r="BS46" i="24"/>
  <c r="BS44" i="24"/>
  <c r="BS42" i="24"/>
  <c r="BR50" i="24"/>
  <c r="BR48" i="24"/>
  <c r="BR46" i="24"/>
  <c r="BR44" i="24"/>
  <c r="BR42" i="24"/>
  <c r="BS58" i="24"/>
  <c r="BS52" i="24"/>
  <c r="BS49" i="24"/>
  <c r="BS47" i="24"/>
  <c r="BS45" i="24"/>
  <c r="BS43" i="24"/>
  <c r="BR49" i="24"/>
  <c r="BR47" i="24"/>
  <c r="BR45" i="24"/>
  <c r="BR43" i="24"/>
  <c r="BS41" i="24"/>
  <c r="BS39" i="24"/>
  <c r="BS37" i="24"/>
  <c r="BS35" i="24"/>
  <c r="BS33" i="24"/>
  <c r="BS31" i="24"/>
  <c r="BS54" i="24"/>
  <c r="BS40" i="24"/>
  <c r="BS38" i="24"/>
  <c r="BS36" i="24"/>
  <c r="BS34" i="24"/>
  <c r="BR39" i="24"/>
  <c r="BS30" i="24"/>
  <c r="BS28" i="24"/>
  <c r="BS26" i="24"/>
  <c r="BS24" i="24"/>
  <c r="BR40" i="24"/>
  <c r="BR30" i="24"/>
  <c r="BR28" i="24"/>
  <c r="BR26" i="24"/>
  <c r="BR24" i="24"/>
  <c r="BR41" i="24"/>
  <c r="BR33" i="24"/>
  <c r="BR34" i="24"/>
  <c r="BR31" i="24"/>
  <c r="BR35" i="24"/>
  <c r="BS29" i="24"/>
  <c r="BS27" i="24"/>
  <c r="BS25" i="24"/>
  <c r="BS23" i="24"/>
  <c r="BR36" i="24"/>
  <c r="BR29" i="24"/>
  <c r="BR27" i="24"/>
  <c r="BR25" i="24"/>
  <c r="BR23" i="24"/>
  <c r="BR37" i="24"/>
  <c r="BS32" i="24"/>
  <c r="BR38" i="24"/>
  <c r="BR32" i="24"/>
  <c r="BS22" i="24"/>
  <c r="BS20" i="24"/>
  <c r="BS18" i="24"/>
  <c r="BS16" i="24"/>
  <c r="BS14" i="24"/>
  <c r="BR22" i="24"/>
  <c r="BR20" i="24"/>
  <c r="BR18" i="24"/>
  <c r="BR16" i="24"/>
  <c r="BR14" i="24"/>
  <c r="BR12" i="24"/>
  <c r="BS13" i="24"/>
  <c r="BS11" i="24"/>
  <c r="BS21" i="24"/>
  <c r="BS19" i="24"/>
  <c r="BS17" i="24"/>
  <c r="BS15" i="24"/>
  <c r="BR19" i="24"/>
  <c r="BR17" i="24"/>
  <c r="BR15" i="24"/>
  <c r="BR13" i="24"/>
  <c r="BR11" i="24"/>
  <c r="BS12" i="24"/>
  <c r="BR6" i="24"/>
  <c r="BR5" i="24"/>
  <c r="BS6" i="24"/>
  <c r="BS7" i="24"/>
  <c r="BR21" i="24"/>
  <c r="BR10" i="24"/>
  <c r="BR9" i="24"/>
  <c r="BS8" i="24"/>
  <c r="BS5" i="24"/>
  <c r="BR8" i="24"/>
  <c r="BR7" i="24"/>
  <c r="BS10" i="24"/>
  <c r="BS9" i="24"/>
  <c r="E57" i="23"/>
  <c r="F57" i="23"/>
  <c r="G57" i="23"/>
  <c r="H57" i="23"/>
  <c r="I57" i="23"/>
  <c r="C59" i="22"/>
  <c r="D59" i="22"/>
  <c r="E59" i="22"/>
  <c r="BW18" i="24"/>
  <c r="BW23" i="24"/>
  <c r="BW24" i="24"/>
  <c r="BW32" i="24"/>
  <c r="BW6" i="24"/>
  <c r="BW7" i="24"/>
  <c r="BW8" i="24"/>
  <c r="BW5" i="24"/>
  <c r="BW9" i="24"/>
  <c r="BW10" i="24"/>
  <c r="BW65" i="24"/>
  <c r="BW66" i="24"/>
  <c r="BW60" i="24"/>
  <c r="BW54" i="24"/>
  <c r="BW11" i="24"/>
  <c r="BW12" i="24"/>
  <c r="BW13" i="24"/>
  <c r="BW14" i="24"/>
  <c r="BW16" i="24"/>
  <c r="BW15" i="24"/>
  <c r="BW67" i="24"/>
  <c r="BW61" i="24"/>
  <c r="BW55" i="24"/>
  <c r="BW49" i="24"/>
  <c r="BW43" i="24"/>
  <c r="BW68" i="24"/>
  <c r="BW62" i="24"/>
  <c r="BW56" i="24"/>
  <c r="BW50" i="24"/>
  <c r="BW44" i="24"/>
  <c r="BW41" i="24"/>
  <c r="BW36" i="24"/>
  <c r="BW29" i="24"/>
  <c r="BW59" i="24"/>
  <c r="BW42" i="24"/>
  <c r="BW37" i="24"/>
  <c r="BW30" i="24"/>
  <c r="BW25" i="24"/>
  <c r="BW20" i="24"/>
  <c r="BW22" i="24"/>
  <c r="BW21" i="24"/>
  <c r="BW53" i="24"/>
  <c r="BW47" i="24"/>
  <c r="BW38" i="24"/>
  <c r="BW31" i="24"/>
  <c r="BW26" i="24"/>
  <c r="BW28" i="24"/>
  <c r="BW27" i="24"/>
  <c r="BW48" i="24"/>
  <c r="BW17" i="24"/>
  <c r="BW35" i="24"/>
  <c r="BW19" i="24"/>
  <c r="BW33" i="24"/>
  <c r="BW34" i="24"/>
  <c r="BW40" i="24"/>
  <c r="BW39" i="24"/>
  <c r="BW45" i="24"/>
  <c r="BW46" i="24"/>
  <c r="BW52" i="24"/>
  <c r="BW51" i="24"/>
  <c r="BW57" i="24"/>
  <c r="BW58" i="24"/>
  <c r="BW64" i="24"/>
  <c r="BQ64" i="24"/>
  <c r="BK64" i="24"/>
  <c r="BE64" i="24"/>
  <c r="AY64" i="24"/>
  <c r="AS64" i="24"/>
  <c r="AM64" i="24"/>
  <c r="AG64" i="24"/>
  <c r="AA64" i="24"/>
  <c r="U64" i="24"/>
  <c r="BW63" i="24"/>
  <c r="BQ63" i="24"/>
  <c r="BK63" i="24"/>
  <c r="BE63" i="24"/>
  <c r="AY63" i="24"/>
  <c r="AS63" i="24"/>
  <c r="AM63" i="24"/>
  <c r="AG63" i="24"/>
  <c r="AA63" i="24"/>
  <c r="U63" i="24"/>
  <c r="B70" i="24"/>
  <c r="C70" i="24" s="1"/>
  <c r="B69" i="24"/>
  <c r="C69" i="24" s="1"/>
  <c r="BX3" i="24"/>
  <c r="A60" i="22"/>
  <c r="A58" i="23"/>
  <c r="AD70" i="24" l="1"/>
  <c r="AD69" i="24"/>
  <c r="AD68" i="24"/>
  <c r="AD67" i="24"/>
  <c r="AD66" i="24"/>
  <c r="AD65" i="24"/>
  <c r="AD64" i="24"/>
  <c r="AD63" i="24"/>
  <c r="AD62" i="24"/>
  <c r="AD61" i="24"/>
  <c r="AD60" i="24"/>
  <c r="AD59" i="24"/>
  <c r="AD58" i="24"/>
  <c r="AD57" i="24"/>
  <c r="AD56" i="24"/>
  <c r="AD55" i="24"/>
  <c r="AD54" i="24"/>
  <c r="AD53" i="24"/>
  <c r="AD52" i="24"/>
  <c r="AD51" i="24"/>
  <c r="AD50" i="24"/>
  <c r="AD49" i="24"/>
  <c r="AD48" i="24"/>
  <c r="AD47" i="24"/>
  <c r="AD46" i="24"/>
  <c r="AD45" i="24"/>
  <c r="AD44" i="24"/>
  <c r="AD43" i="24"/>
  <c r="AD42" i="24"/>
  <c r="AD41" i="24"/>
  <c r="AD40" i="24"/>
  <c r="AD39" i="24"/>
  <c r="AD38" i="24"/>
  <c r="AD37" i="24"/>
  <c r="AD36" i="24"/>
  <c r="AD35" i="24"/>
  <c r="AD34" i="24"/>
  <c r="AD33" i="24"/>
  <c r="AD32" i="24"/>
  <c r="AD31" i="24"/>
  <c r="AD30" i="24"/>
  <c r="AD29" i="24"/>
  <c r="AD28" i="24"/>
  <c r="AD27" i="24"/>
  <c r="AD26" i="24"/>
  <c r="AD25" i="24"/>
  <c r="AD24" i="24"/>
  <c r="AD23" i="24"/>
  <c r="AD22" i="24"/>
  <c r="AD21" i="24"/>
  <c r="AD20" i="24"/>
  <c r="AD19" i="24"/>
  <c r="AD18" i="24"/>
  <c r="AD17" i="24"/>
  <c r="AD16" i="24"/>
  <c r="AD15" i="24"/>
  <c r="AD14" i="24"/>
  <c r="AD13" i="24"/>
  <c r="AD12" i="24"/>
  <c r="AD11" i="24"/>
  <c r="AD10" i="24"/>
  <c r="AD9" i="24"/>
  <c r="AD8" i="24"/>
  <c r="AD7" i="24"/>
  <c r="AD6" i="24"/>
  <c r="AD5" i="24"/>
  <c r="Q69" i="24"/>
  <c r="P69" i="24"/>
  <c r="W69" i="24"/>
  <c r="V69" i="24"/>
  <c r="AC69" i="24"/>
  <c r="AB69" i="24"/>
  <c r="AI69" i="24"/>
  <c r="AH69" i="24"/>
  <c r="AO69" i="24"/>
  <c r="AN69" i="24"/>
  <c r="AT69" i="24"/>
  <c r="AU69" i="24"/>
  <c r="BA69" i="24"/>
  <c r="AZ69" i="24"/>
  <c r="BG69" i="24"/>
  <c r="BF69" i="24"/>
  <c r="BM69" i="24"/>
  <c r="BL69" i="24"/>
  <c r="BS69" i="24"/>
  <c r="BR69" i="24"/>
  <c r="Q70" i="24"/>
  <c r="P70" i="24"/>
  <c r="V70" i="24"/>
  <c r="W70" i="24"/>
  <c r="AC70" i="24"/>
  <c r="AB70" i="24"/>
  <c r="AI70" i="24"/>
  <c r="AH70" i="24"/>
  <c r="AO70" i="24"/>
  <c r="AN70" i="24"/>
  <c r="AU70" i="24"/>
  <c r="AT70" i="24"/>
  <c r="BA70" i="24"/>
  <c r="AZ70" i="24"/>
  <c r="BG70" i="24"/>
  <c r="BF70" i="24"/>
  <c r="BM70" i="24"/>
  <c r="BL70" i="24"/>
  <c r="BR70" i="24"/>
  <c r="BS70" i="24"/>
  <c r="BY69" i="24"/>
  <c r="BY67" i="24"/>
  <c r="BY65" i="24"/>
  <c r="BY63" i="24"/>
  <c r="BY61" i="24"/>
  <c r="BX69" i="24"/>
  <c r="BX67" i="24"/>
  <c r="BX65" i="24"/>
  <c r="BX63" i="24"/>
  <c r="BY70" i="24"/>
  <c r="BY68" i="24"/>
  <c r="BY66" i="24"/>
  <c r="BY64" i="24"/>
  <c r="BY62" i="24"/>
  <c r="BY60" i="24"/>
  <c r="BX70" i="24"/>
  <c r="BX68" i="24"/>
  <c r="BX66" i="24"/>
  <c r="BX64" i="24"/>
  <c r="BY59" i="24"/>
  <c r="BY57" i="24"/>
  <c r="BY55" i="24"/>
  <c r="BY53" i="24"/>
  <c r="BY51" i="24"/>
  <c r="BX59" i="24"/>
  <c r="BX57" i="24"/>
  <c r="BX55" i="24"/>
  <c r="BX53" i="24"/>
  <c r="BX51" i="24"/>
  <c r="BX60" i="24"/>
  <c r="BY58" i="24"/>
  <c r="BY56" i="24"/>
  <c r="BY54" i="24"/>
  <c r="BY52" i="24"/>
  <c r="BX58" i="24"/>
  <c r="BX56" i="24"/>
  <c r="BX54" i="24"/>
  <c r="BX52" i="24"/>
  <c r="BX62" i="24"/>
  <c r="BY49" i="24"/>
  <c r="BY47" i="24"/>
  <c r="BY45" i="24"/>
  <c r="BY43" i="24"/>
  <c r="BX49" i="24"/>
  <c r="BX47" i="24"/>
  <c r="BX45" i="24"/>
  <c r="BX43" i="24"/>
  <c r="BX61" i="24"/>
  <c r="BY50" i="24"/>
  <c r="BY48" i="24"/>
  <c r="BY46" i="24"/>
  <c r="BY44" i="24"/>
  <c r="BY42" i="24"/>
  <c r="BX44" i="24"/>
  <c r="BX48" i="24"/>
  <c r="BX42" i="24"/>
  <c r="BX40" i="24"/>
  <c r="BX38" i="24"/>
  <c r="BX36" i="24"/>
  <c r="BX34" i="24"/>
  <c r="BX50" i="24"/>
  <c r="BX41" i="24"/>
  <c r="BX39" i="24"/>
  <c r="BX37" i="24"/>
  <c r="BX35" i="24"/>
  <c r="BX33" i="24"/>
  <c r="BX46" i="24"/>
  <c r="BY40" i="24"/>
  <c r="BY41" i="24"/>
  <c r="BY33" i="24"/>
  <c r="BY31" i="24"/>
  <c r="BY29" i="24"/>
  <c r="BY27" i="24"/>
  <c r="BY25" i="24"/>
  <c r="BY23" i="24"/>
  <c r="BY34" i="24"/>
  <c r="BX31" i="24"/>
  <c r="BY35" i="24"/>
  <c r="BY36" i="24"/>
  <c r="BY32" i="24"/>
  <c r="BY37" i="24"/>
  <c r="BX32" i="24"/>
  <c r="BY30" i="24"/>
  <c r="BY28" i="24"/>
  <c r="BY26" i="24"/>
  <c r="BY24" i="24"/>
  <c r="BY38" i="24"/>
  <c r="BX30" i="24"/>
  <c r="BY39" i="24"/>
  <c r="BX23" i="24"/>
  <c r="BX22" i="24"/>
  <c r="BX20" i="24"/>
  <c r="BX18" i="24"/>
  <c r="BX16" i="24"/>
  <c r="BX14" i="24"/>
  <c r="BX12" i="24"/>
  <c r="BX24" i="24"/>
  <c r="BX25" i="24"/>
  <c r="BX26" i="24"/>
  <c r="BY21" i="24"/>
  <c r="BY19" i="24"/>
  <c r="BY17" i="24"/>
  <c r="BY15" i="24"/>
  <c r="BY13" i="24"/>
  <c r="BY11" i="24"/>
  <c r="BX27" i="24"/>
  <c r="BX19" i="24"/>
  <c r="BX17" i="24"/>
  <c r="BX15" i="24"/>
  <c r="BX13" i="24"/>
  <c r="BX11" i="24"/>
  <c r="BX28" i="24"/>
  <c r="BX29" i="24"/>
  <c r="BY22" i="24"/>
  <c r="BY20" i="24"/>
  <c r="BY18" i="24"/>
  <c r="BY16" i="24"/>
  <c r="BY14" i="24"/>
  <c r="BY12" i="24"/>
  <c r="BX6" i="24"/>
  <c r="BY9" i="24"/>
  <c r="BX21" i="24"/>
  <c r="BY8" i="24"/>
  <c r="BX9" i="24"/>
  <c r="BY7" i="24"/>
  <c r="BY6" i="24"/>
  <c r="BX10" i="24"/>
  <c r="BX7" i="24"/>
  <c r="BY5" i="24"/>
  <c r="BX8" i="24"/>
  <c r="BX5" i="24"/>
  <c r="BY10" i="24"/>
  <c r="E58" i="23"/>
  <c r="F58" i="23"/>
  <c r="G58" i="23"/>
  <c r="H58" i="23"/>
  <c r="I58" i="23"/>
  <c r="C60" i="22"/>
  <c r="D60" i="22"/>
  <c r="E60" i="22"/>
  <c r="CC6" i="24"/>
  <c r="CC7" i="24"/>
  <c r="CC5" i="24"/>
  <c r="CC8" i="24"/>
  <c r="CC9" i="24"/>
  <c r="CC10" i="24"/>
  <c r="CC65" i="24"/>
  <c r="CC11" i="24"/>
  <c r="CC12" i="24"/>
  <c r="CC13" i="24"/>
  <c r="CC14" i="24"/>
  <c r="CC16" i="24"/>
  <c r="CC15" i="24"/>
  <c r="CC66" i="24"/>
  <c r="CC60" i="24"/>
  <c r="CC54" i="24"/>
  <c r="CC67" i="24"/>
  <c r="CC61" i="24"/>
  <c r="CC55" i="24"/>
  <c r="CC49" i="24"/>
  <c r="CC43" i="24"/>
  <c r="CC68" i="24"/>
  <c r="CC62" i="24"/>
  <c r="CC56" i="24"/>
  <c r="CC50" i="24"/>
  <c r="CC44" i="24"/>
  <c r="CC59" i="24"/>
  <c r="CC47" i="24"/>
  <c r="CC36" i="24"/>
  <c r="CC29" i="24"/>
  <c r="CC53" i="24"/>
  <c r="CC48" i="24"/>
  <c r="CC37" i="24"/>
  <c r="CC30" i="24"/>
  <c r="CC25" i="24"/>
  <c r="CC28" i="24"/>
  <c r="CC27" i="24"/>
  <c r="CC20" i="24"/>
  <c r="CC41" i="24"/>
  <c r="CC38" i="24"/>
  <c r="CC31" i="24"/>
  <c r="CC26" i="24"/>
  <c r="CC42" i="24"/>
  <c r="CC22" i="24"/>
  <c r="CC17" i="24"/>
  <c r="CC32" i="24"/>
  <c r="CC19" i="24"/>
  <c r="CC24" i="24"/>
  <c r="CC21" i="24"/>
  <c r="CC18" i="24"/>
  <c r="CC23" i="24"/>
  <c r="CC35" i="24"/>
  <c r="CC33" i="24"/>
  <c r="CC34" i="24"/>
  <c r="CC40" i="24"/>
  <c r="CC39" i="24"/>
  <c r="CC45" i="24"/>
  <c r="CC46" i="24"/>
  <c r="CC52" i="24"/>
  <c r="CC51" i="24"/>
  <c r="CC57" i="24"/>
  <c r="CC58" i="24"/>
  <c r="CC64" i="24"/>
  <c r="CC63" i="24"/>
  <c r="CC69" i="24"/>
  <c r="BW69" i="24"/>
  <c r="BQ69" i="24"/>
  <c r="BK69" i="24"/>
  <c r="BE69" i="24"/>
  <c r="AY69" i="24"/>
  <c r="AS69" i="24"/>
  <c r="AM69" i="24"/>
  <c r="AG69" i="24"/>
  <c r="AA69" i="24"/>
  <c r="U69" i="24"/>
  <c r="CC70" i="24"/>
  <c r="BW70" i="24"/>
  <c r="BQ70" i="24"/>
  <c r="BK70" i="24"/>
  <c r="BE70" i="24"/>
  <c r="AY70" i="24"/>
  <c r="AS70" i="24"/>
  <c r="AM70" i="24"/>
  <c r="AG70" i="24"/>
  <c r="AA70" i="24"/>
  <c r="U70" i="24"/>
  <c r="CD3" i="24"/>
  <c r="A61" i="22"/>
  <c r="A59" i="23"/>
  <c r="AJ70" i="24" l="1"/>
  <c r="AJ69" i="24"/>
  <c r="AJ68" i="24"/>
  <c r="AJ67" i="24"/>
  <c r="AJ66" i="24"/>
  <c r="AJ65" i="24"/>
  <c r="AJ64" i="24"/>
  <c r="AJ63" i="24"/>
  <c r="AJ62" i="24"/>
  <c r="AJ61" i="24"/>
  <c r="AJ60" i="24"/>
  <c r="AJ59" i="24"/>
  <c r="AJ58" i="24"/>
  <c r="AJ57" i="24"/>
  <c r="AJ56" i="24"/>
  <c r="AJ55" i="24"/>
  <c r="AJ54" i="24"/>
  <c r="AJ53" i="24"/>
  <c r="AJ52" i="24"/>
  <c r="AJ51" i="24"/>
  <c r="AJ50" i="24"/>
  <c r="AJ49" i="24"/>
  <c r="AJ48" i="24"/>
  <c r="AJ47" i="24"/>
  <c r="AJ46" i="24"/>
  <c r="AJ45" i="24"/>
  <c r="AJ44" i="24"/>
  <c r="AJ43" i="24"/>
  <c r="AJ42" i="24"/>
  <c r="AJ41" i="24"/>
  <c r="AJ40" i="24"/>
  <c r="AJ39" i="24"/>
  <c r="AJ38" i="24"/>
  <c r="AJ37" i="24"/>
  <c r="AJ36" i="24"/>
  <c r="AJ35" i="24"/>
  <c r="AJ34" i="24"/>
  <c r="AJ33" i="24"/>
  <c r="AJ32" i="24"/>
  <c r="AJ31" i="24"/>
  <c r="AJ30" i="24"/>
  <c r="AJ29" i="24"/>
  <c r="AJ28" i="24"/>
  <c r="AJ27" i="24"/>
  <c r="AJ26" i="24"/>
  <c r="AJ25" i="24"/>
  <c r="AJ24" i="24"/>
  <c r="AJ23" i="24"/>
  <c r="AJ22" i="24"/>
  <c r="AJ21" i="24"/>
  <c r="AJ20" i="24"/>
  <c r="AJ19" i="24"/>
  <c r="AJ18" i="24"/>
  <c r="AJ17" i="24"/>
  <c r="AJ16" i="24"/>
  <c r="AJ15" i="24"/>
  <c r="AJ14" i="24"/>
  <c r="AJ13" i="24"/>
  <c r="AJ12" i="24"/>
  <c r="AJ11" i="24"/>
  <c r="AJ10" i="24"/>
  <c r="AJ9" i="24"/>
  <c r="AJ8" i="24"/>
  <c r="AJ7" i="24"/>
  <c r="AJ6" i="24"/>
  <c r="AJ5" i="24"/>
  <c r="CE70" i="24"/>
  <c r="CE68" i="24"/>
  <c r="CE66" i="24"/>
  <c r="CE64" i="24"/>
  <c r="CD70" i="24"/>
  <c r="CD68" i="24"/>
  <c r="CD66" i="24"/>
  <c r="CD64" i="24"/>
  <c r="CD62" i="24"/>
  <c r="CD60" i="24"/>
  <c r="CE69" i="24"/>
  <c r="CE67" i="24"/>
  <c r="CE65" i="24"/>
  <c r="CE63" i="24"/>
  <c r="CD69" i="24"/>
  <c r="CD67" i="24"/>
  <c r="CD65" i="24"/>
  <c r="CD63" i="24"/>
  <c r="CD61" i="24"/>
  <c r="CE58" i="24"/>
  <c r="CE56" i="24"/>
  <c r="CE54" i="24"/>
  <c r="CE52" i="24"/>
  <c r="CD58" i="24"/>
  <c r="CD56" i="24"/>
  <c r="CD54" i="24"/>
  <c r="CD52" i="24"/>
  <c r="CE60" i="24"/>
  <c r="CE61" i="24"/>
  <c r="CE59" i="24"/>
  <c r="CE57" i="24"/>
  <c r="CE55" i="24"/>
  <c r="CE53" i="24"/>
  <c r="CE51" i="24"/>
  <c r="CE62" i="24"/>
  <c r="CD57" i="24"/>
  <c r="CD49" i="24"/>
  <c r="CD47" i="24"/>
  <c r="CD45" i="24"/>
  <c r="CD43" i="24"/>
  <c r="CD59" i="24"/>
  <c r="CD51" i="24"/>
  <c r="CE48" i="24"/>
  <c r="CE46" i="24"/>
  <c r="CE44" i="24"/>
  <c r="CE42" i="24"/>
  <c r="CD53" i="24"/>
  <c r="CE50" i="24"/>
  <c r="CD48" i="24"/>
  <c r="CD46" i="24"/>
  <c r="CD50" i="24"/>
  <c r="CD55" i="24"/>
  <c r="CD44" i="24"/>
  <c r="CD40" i="24"/>
  <c r="CD38" i="24"/>
  <c r="CD36" i="24"/>
  <c r="CD34" i="24"/>
  <c r="CD32" i="24"/>
  <c r="CD30" i="24"/>
  <c r="CE45" i="24"/>
  <c r="CD42" i="24"/>
  <c r="CE49" i="24"/>
  <c r="CE41" i="24"/>
  <c r="CE39" i="24"/>
  <c r="CE37" i="24"/>
  <c r="CE35" i="24"/>
  <c r="CE33" i="24"/>
  <c r="CD41" i="24"/>
  <c r="CD39" i="24"/>
  <c r="CD37" i="24"/>
  <c r="CD35" i="24"/>
  <c r="CD33" i="24"/>
  <c r="CE43" i="24"/>
  <c r="CE40" i="24"/>
  <c r="CE38" i="24"/>
  <c r="CE36" i="24"/>
  <c r="CE34" i="24"/>
  <c r="CE32" i="24"/>
  <c r="CD28" i="24"/>
  <c r="CD26" i="24"/>
  <c r="CD24" i="24"/>
  <c r="CE30" i="24"/>
  <c r="CE47" i="24"/>
  <c r="CE31" i="24"/>
  <c r="CD31" i="24"/>
  <c r="CD29" i="24"/>
  <c r="CD27" i="24"/>
  <c r="CD25" i="24"/>
  <c r="CD23" i="24"/>
  <c r="CE24" i="24"/>
  <c r="CE21" i="24"/>
  <c r="CE19" i="24"/>
  <c r="CE17" i="24"/>
  <c r="CE15" i="24"/>
  <c r="CE13" i="24"/>
  <c r="CE11" i="24"/>
  <c r="CE25" i="24"/>
  <c r="CD19" i="24"/>
  <c r="CD17" i="24"/>
  <c r="CD15" i="24"/>
  <c r="CD13" i="24"/>
  <c r="CD11" i="24"/>
  <c r="CE26" i="24"/>
  <c r="CE27" i="24"/>
  <c r="CE28" i="24"/>
  <c r="CE22" i="24"/>
  <c r="CE20" i="24"/>
  <c r="CE18" i="24"/>
  <c r="CE16" i="24"/>
  <c r="CE14" i="24"/>
  <c r="CE12" i="24"/>
  <c r="CE29" i="24"/>
  <c r="CD22" i="24"/>
  <c r="CD20" i="24"/>
  <c r="CD18" i="24"/>
  <c r="CD16" i="24"/>
  <c r="CD14" i="24"/>
  <c r="CD12" i="24"/>
  <c r="CE23" i="24"/>
  <c r="CD7" i="24"/>
  <c r="CD10" i="24"/>
  <c r="CE9" i="24"/>
  <c r="CE6" i="24"/>
  <c r="CD9" i="24"/>
  <c r="CD8" i="24"/>
  <c r="CE7" i="24"/>
  <c r="CD6" i="24"/>
  <c r="CE5" i="24"/>
  <c r="CD5" i="24"/>
  <c r="CE10" i="24"/>
  <c r="CD21" i="24"/>
  <c r="CE8" i="24"/>
  <c r="E59" i="23"/>
  <c r="F59" i="23"/>
  <c r="G59" i="23"/>
  <c r="H59" i="23"/>
  <c r="I59" i="23"/>
  <c r="C61" i="22"/>
  <c r="D61" i="22"/>
  <c r="E61" i="22"/>
  <c r="CI32" i="24"/>
  <c r="CI19" i="24"/>
  <c r="CI21" i="24"/>
  <c r="CI22" i="24"/>
  <c r="CI27" i="24"/>
  <c r="CI24" i="24"/>
  <c r="CI35" i="24"/>
  <c r="CI23" i="24"/>
  <c r="CI18" i="24"/>
  <c r="CI28" i="24"/>
  <c r="CI6" i="24"/>
  <c r="CI7" i="24"/>
  <c r="CI8" i="24"/>
  <c r="CI5" i="24"/>
  <c r="CI10" i="24"/>
  <c r="CI9" i="24"/>
  <c r="CI11" i="24"/>
  <c r="CI12" i="24"/>
  <c r="CI13" i="24"/>
  <c r="CI14" i="24"/>
  <c r="CI16" i="24"/>
  <c r="CI15" i="24"/>
  <c r="CI65" i="24"/>
  <c r="CI66" i="24"/>
  <c r="CI60" i="24"/>
  <c r="CI54" i="24"/>
  <c r="CI67" i="24"/>
  <c r="CI61" i="24"/>
  <c r="CI55" i="24"/>
  <c r="CI49" i="24"/>
  <c r="CI43" i="24"/>
  <c r="CI68" i="24"/>
  <c r="CI62" i="24"/>
  <c r="CI56" i="24"/>
  <c r="CI50" i="24"/>
  <c r="CI44" i="24"/>
  <c r="CI53" i="24"/>
  <c r="CI41" i="24"/>
  <c r="CI36" i="24"/>
  <c r="CI29" i="24"/>
  <c r="CI42" i="24"/>
  <c r="CI37" i="24"/>
  <c r="CI30" i="24"/>
  <c r="CI25" i="24"/>
  <c r="CI20" i="24"/>
  <c r="CI47" i="24"/>
  <c r="CI38" i="24"/>
  <c r="CI31" i="24"/>
  <c r="CI26" i="24"/>
  <c r="CI59" i="24"/>
  <c r="CI48" i="24"/>
  <c r="CI17" i="24"/>
  <c r="CI33" i="24"/>
  <c r="CI34" i="24"/>
  <c r="CI40" i="24"/>
  <c r="CI39" i="24"/>
  <c r="CI45" i="24"/>
  <c r="CI46" i="24"/>
  <c r="CI52" i="24"/>
  <c r="CI51" i="24"/>
  <c r="CI57" i="24"/>
  <c r="CI58" i="24"/>
  <c r="CI64" i="24"/>
  <c r="CI63" i="24"/>
  <c r="CI69" i="24"/>
  <c r="CI70" i="24"/>
  <c r="CJ3" i="24"/>
  <c r="A62" i="22"/>
  <c r="A60" i="23"/>
  <c r="AP70" i="24" l="1"/>
  <c r="AP69" i="24"/>
  <c r="AP68" i="24"/>
  <c r="AP67" i="24"/>
  <c r="AP66" i="24"/>
  <c r="AP65" i="24"/>
  <c r="AP64" i="24"/>
  <c r="AP63" i="24"/>
  <c r="AP62" i="24"/>
  <c r="AP61" i="24"/>
  <c r="AP60" i="24"/>
  <c r="AP59" i="24"/>
  <c r="AP58" i="24"/>
  <c r="AP57" i="24"/>
  <c r="AP56" i="24"/>
  <c r="AP55" i="24"/>
  <c r="AP54" i="24"/>
  <c r="AP53" i="24"/>
  <c r="AP52" i="24"/>
  <c r="AP51" i="24"/>
  <c r="AP50" i="24"/>
  <c r="AP49" i="24"/>
  <c r="AP48" i="24"/>
  <c r="AP47" i="24"/>
  <c r="AP46" i="24"/>
  <c r="AP45" i="24"/>
  <c r="AP44" i="24"/>
  <c r="AP43" i="24"/>
  <c r="AP42" i="24"/>
  <c r="AP41" i="24"/>
  <c r="AP40" i="24"/>
  <c r="AP39" i="24"/>
  <c r="AP38" i="24"/>
  <c r="AP37" i="24"/>
  <c r="AP36" i="24"/>
  <c r="AP35" i="24"/>
  <c r="AP34" i="24"/>
  <c r="AP33" i="24"/>
  <c r="AP32" i="24"/>
  <c r="AP31" i="24"/>
  <c r="AP30" i="24"/>
  <c r="AP29" i="24"/>
  <c r="AP28" i="24"/>
  <c r="AP27" i="24"/>
  <c r="AP26" i="24"/>
  <c r="AP25" i="24"/>
  <c r="AP24" i="24"/>
  <c r="AP23" i="24"/>
  <c r="AP22" i="24"/>
  <c r="AP21" i="24"/>
  <c r="AP20" i="24"/>
  <c r="AP19" i="24"/>
  <c r="AP18" i="24"/>
  <c r="AP17" i="24"/>
  <c r="AP16" i="24"/>
  <c r="AP15" i="24"/>
  <c r="AP14" i="24"/>
  <c r="AP13" i="24"/>
  <c r="AP12" i="24"/>
  <c r="AP11" i="24"/>
  <c r="AP10" i="24"/>
  <c r="AP9" i="24"/>
  <c r="AP8" i="24"/>
  <c r="AP7" i="24"/>
  <c r="AP6" i="24"/>
  <c r="AP5" i="24"/>
  <c r="CK69" i="24"/>
  <c r="CK67" i="24"/>
  <c r="CK65" i="24"/>
  <c r="CK63" i="24"/>
  <c r="CK61" i="24"/>
  <c r="CJ69" i="24"/>
  <c r="CJ67" i="24"/>
  <c r="CJ65" i="24"/>
  <c r="CJ63" i="24"/>
  <c r="CJ61" i="24"/>
  <c r="CK70" i="24"/>
  <c r="CK68" i="24"/>
  <c r="CK66" i="24"/>
  <c r="CK64" i="24"/>
  <c r="CK62" i="24"/>
  <c r="CK60" i="24"/>
  <c r="CJ66" i="24"/>
  <c r="CJ68" i="24"/>
  <c r="CJ70" i="24"/>
  <c r="CJ60" i="24"/>
  <c r="CK59" i="24"/>
  <c r="CK57" i="24"/>
  <c r="CK55" i="24"/>
  <c r="CK53" i="24"/>
  <c r="CK51" i="24"/>
  <c r="CJ59" i="24"/>
  <c r="CJ57" i="24"/>
  <c r="CJ55" i="24"/>
  <c r="CJ53" i="24"/>
  <c r="CJ51" i="24"/>
  <c r="CJ62" i="24"/>
  <c r="CK58" i="24"/>
  <c r="CK48" i="24"/>
  <c r="CK46" i="24"/>
  <c r="CK44" i="24"/>
  <c r="CK42" i="24"/>
  <c r="CJ58" i="24"/>
  <c r="CK50" i="24"/>
  <c r="CJ48" i="24"/>
  <c r="CJ46" i="24"/>
  <c r="CJ44" i="24"/>
  <c r="CJ42" i="24"/>
  <c r="CK52" i="24"/>
  <c r="CJ50" i="24"/>
  <c r="CJ64" i="24"/>
  <c r="CJ52" i="24"/>
  <c r="CK54" i="24"/>
  <c r="CK49" i="24"/>
  <c r="CK47" i="24"/>
  <c r="CK45" i="24"/>
  <c r="CJ54" i="24"/>
  <c r="CJ49" i="24"/>
  <c r="CJ47" i="24"/>
  <c r="CJ45" i="24"/>
  <c r="CJ43" i="24"/>
  <c r="CK56" i="24"/>
  <c r="CJ56" i="24"/>
  <c r="CK41" i="24"/>
  <c r="CK39" i="24"/>
  <c r="CK37" i="24"/>
  <c r="CK35" i="24"/>
  <c r="CK33" i="24"/>
  <c r="CK31" i="24"/>
  <c r="CJ41" i="24"/>
  <c r="CJ39" i="24"/>
  <c r="CJ37" i="24"/>
  <c r="CJ35" i="24"/>
  <c r="CJ33" i="24"/>
  <c r="CJ31" i="24"/>
  <c r="CK40" i="24"/>
  <c r="CK38" i="24"/>
  <c r="CK36" i="24"/>
  <c r="CK34" i="24"/>
  <c r="CK32" i="24"/>
  <c r="CJ40" i="24"/>
  <c r="CJ38" i="24"/>
  <c r="CJ36" i="24"/>
  <c r="CJ34" i="24"/>
  <c r="CJ32" i="24"/>
  <c r="CJ28" i="24"/>
  <c r="CJ26" i="24"/>
  <c r="CJ24" i="24"/>
  <c r="CK43" i="24"/>
  <c r="CK30" i="24"/>
  <c r="CJ30" i="24"/>
  <c r="CK29" i="24"/>
  <c r="CK27" i="24"/>
  <c r="CK25" i="24"/>
  <c r="CK23" i="24"/>
  <c r="CJ29" i="24"/>
  <c r="CJ27" i="24"/>
  <c r="CJ25" i="24"/>
  <c r="CJ23" i="24"/>
  <c r="CK28" i="24"/>
  <c r="CK26" i="24"/>
  <c r="CK24" i="24"/>
  <c r="CK22" i="24"/>
  <c r="CK20" i="24"/>
  <c r="CK18" i="24"/>
  <c r="CK16" i="24"/>
  <c r="CK14" i="24"/>
  <c r="CK12" i="24"/>
  <c r="CJ22" i="24"/>
  <c r="CJ20" i="24"/>
  <c r="CJ18" i="24"/>
  <c r="CJ16" i="24"/>
  <c r="CJ14" i="24"/>
  <c r="CJ15" i="24"/>
  <c r="CJ13" i="24"/>
  <c r="CJ11" i="24"/>
  <c r="CK21" i="24"/>
  <c r="CK19" i="24"/>
  <c r="CK17" i="24"/>
  <c r="CK15" i="24"/>
  <c r="CK13" i="24"/>
  <c r="CK11" i="24"/>
  <c r="CJ19" i="24"/>
  <c r="CJ17" i="24"/>
  <c r="CJ12" i="24"/>
  <c r="CK10" i="24"/>
  <c r="CK5" i="24"/>
  <c r="CJ10" i="24"/>
  <c r="CK6" i="24"/>
  <c r="CJ5" i="24"/>
  <c r="CK8" i="24"/>
  <c r="CK9" i="24"/>
  <c r="CJ9" i="24"/>
  <c r="CJ21" i="24"/>
  <c r="CJ7" i="24"/>
  <c r="CJ8" i="24"/>
  <c r="CK7" i="24"/>
  <c r="CJ6" i="24"/>
  <c r="E60" i="23"/>
  <c r="F60" i="23"/>
  <c r="G60" i="23"/>
  <c r="H60" i="23"/>
  <c r="I60" i="23"/>
  <c r="C62" i="22"/>
  <c r="D62" i="22"/>
  <c r="E62" i="22"/>
  <c r="CO35" i="24"/>
  <c r="CO21" i="24"/>
  <c r="CO28" i="24"/>
  <c r="CO19" i="24"/>
  <c r="CO23" i="24"/>
  <c r="CO18" i="24"/>
  <c r="CO27" i="24"/>
  <c r="CO5" i="24"/>
  <c r="CO6" i="24"/>
  <c r="CO7" i="24"/>
  <c r="CO8" i="24"/>
  <c r="CO10" i="24"/>
  <c r="CO9" i="24"/>
  <c r="CO65" i="24"/>
  <c r="CO66" i="24"/>
  <c r="CO60" i="24"/>
  <c r="CO54" i="24"/>
  <c r="CO67" i="24"/>
  <c r="CO61" i="24"/>
  <c r="CO55" i="24"/>
  <c r="CO49" i="24"/>
  <c r="CO43" i="24"/>
  <c r="CO11" i="24"/>
  <c r="CO12" i="24"/>
  <c r="CO13" i="24"/>
  <c r="CO14" i="24"/>
  <c r="CO16" i="24"/>
  <c r="CO15" i="24"/>
  <c r="CO68" i="24"/>
  <c r="CO62" i="24"/>
  <c r="CO56" i="24"/>
  <c r="CO50" i="24"/>
  <c r="CO44" i="24"/>
  <c r="CO47" i="24"/>
  <c r="CO36" i="24"/>
  <c r="CO29" i="24"/>
  <c r="CO48" i="24"/>
  <c r="CO37" i="24"/>
  <c r="CO30" i="24"/>
  <c r="CO25" i="24"/>
  <c r="CO20" i="24"/>
  <c r="CO59" i="24"/>
  <c r="CO41" i="24"/>
  <c r="CO38" i="24"/>
  <c r="CO31" i="24"/>
  <c r="CO26" i="24"/>
  <c r="CO53" i="24"/>
  <c r="CO42" i="24"/>
  <c r="CO22" i="24"/>
  <c r="CO17" i="24"/>
  <c r="CO24" i="24"/>
  <c r="CO32" i="24"/>
  <c r="CO33" i="24"/>
  <c r="CO34" i="24"/>
  <c r="CO40" i="24"/>
  <c r="CO39" i="24"/>
  <c r="CO45" i="24"/>
  <c r="CO46" i="24"/>
  <c r="CO52" i="24"/>
  <c r="CO51" i="24"/>
  <c r="CO57" i="24"/>
  <c r="CO58" i="24"/>
  <c r="CO64" i="24"/>
  <c r="CO63" i="24"/>
  <c r="CO69" i="24"/>
  <c r="CO70" i="24"/>
  <c r="CP3" i="24"/>
  <c r="A63" i="22"/>
  <c r="A61" i="23"/>
  <c r="CR70" i="24" l="1"/>
  <c r="CR69" i="24"/>
  <c r="CR68" i="24"/>
  <c r="CR67" i="24"/>
  <c r="CR66" i="24"/>
  <c r="CR65" i="24"/>
  <c r="CR64" i="24"/>
  <c r="CR63" i="24"/>
  <c r="CR62" i="24"/>
  <c r="CR61" i="24"/>
  <c r="CR60" i="24"/>
  <c r="CR59" i="24"/>
  <c r="CR58" i="24"/>
  <c r="CR57" i="24"/>
  <c r="CR56" i="24"/>
  <c r="CR55" i="24"/>
  <c r="CR54" i="24"/>
  <c r="CR53" i="24"/>
  <c r="CR52" i="24"/>
  <c r="CR51" i="24"/>
  <c r="CR50" i="24"/>
  <c r="CR49" i="24"/>
  <c r="CR48" i="24"/>
  <c r="CR47" i="24"/>
  <c r="CR46" i="24"/>
  <c r="CR45" i="24"/>
  <c r="CR44" i="24"/>
  <c r="CR43" i="24"/>
  <c r="CR42" i="24"/>
  <c r="CR41" i="24"/>
  <c r="CR40" i="24"/>
  <c r="CR39" i="24"/>
  <c r="CR38" i="24"/>
  <c r="CR37" i="24"/>
  <c r="CR36" i="24"/>
  <c r="CR35" i="24"/>
  <c r="CR34" i="24"/>
  <c r="CR33" i="24"/>
  <c r="CR32" i="24"/>
  <c r="CR31" i="24"/>
  <c r="CR30" i="24"/>
  <c r="CR29" i="24"/>
  <c r="CR28" i="24"/>
  <c r="CR27" i="24"/>
  <c r="CR26" i="24"/>
  <c r="CR25" i="24"/>
  <c r="CR24" i="24"/>
  <c r="CR23" i="24"/>
  <c r="CR22" i="24"/>
  <c r="CR21" i="24"/>
  <c r="CR20" i="24"/>
  <c r="CR19" i="24"/>
  <c r="CR18" i="24"/>
  <c r="CR17" i="24"/>
  <c r="CR16" i="24"/>
  <c r="CR15" i="24"/>
  <c r="CR14" i="24"/>
  <c r="CR13" i="24"/>
  <c r="CR12" i="24"/>
  <c r="CR11" i="24"/>
  <c r="CR10" i="24"/>
  <c r="CR9" i="24"/>
  <c r="CR8" i="24"/>
  <c r="CR7" i="24"/>
  <c r="CR6" i="24"/>
  <c r="CR5" i="24"/>
  <c r="AV70" i="24"/>
  <c r="AV69" i="24"/>
  <c r="AV68" i="24"/>
  <c r="AV67" i="24"/>
  <c r="AV66" i="24"/>
  <c r="AV65" i="24"/>
  <c r="AV64" i="24"/>
  <c r="AV63" i="24"/>
  <c r="AV62" i="24"/>
  <c r="AV61" i="24"/>
  <c r="AV60" i="24"/>
  <c r="AV59" i="24"/>
  <c r="AV58" i="24"/>
  <c r="AV57" i="24"/>
  <c r="AV56" i="24"/>
  <c r="AV55" i="24"/>
  <c r="AV54" i="24"/>
  <c r="AV53" i="24"/>
  <c r="AV52" i="24"/>
  <c r="AV51" i="24"/>
  <c r="AV50" i="24"/>
  <c r="AV49" i="24"/>
  <c r="AV48" i="24"/>
  <c r="AV47" i="24"/>
  <c r="AV46" i="24"/>
  <c r="AV45" i="24"/>
  <c r="AV44" i="24"/>
  <c r="AV43" i="24"/>
  <c r="AV42" i="24"/>
  <c r="AV41" i="24"/>
  <c r="AV40" i="24"/>
  <c r="AV39" i="24"/>
  <c r="AV38" i="24"/>
  <c r="AV37" i="24"/>
  <c r="AV36" i="24"/>
  <c r="AV35" i="24"/>
  <c r="AV34" i="24"/>
  <c r="AV33" i="24"/>
  <c r="AV32" i="24"/>
  <c r="AV31" i="24"/>
  <c r="AV30" i="24"/>
  <c r="AV29" i="24"/>
  <c r="AV28" i="24"/>
  <c r="AV27" i="24"/>
  <c r="AV26" i="24"/>
  <c r="AV25" i="24"/>
  <c r="AV24" i="24"/>
  <c r="AV23" i="24"/>
  <c r="AV22" i="24"/>
  <c r="AV21" i="24"/>
  <c r="AV20" i="24"/>
  <c r="AV19" i="24"/>
  <c r="AV18" i="24"/>
  <c r="AV17" i="24"/>
  <c r="AV16" i="24"/>
  <c r="AV15" i="24"/>
  <c r="AV14" i="24"/>
  <c r="AV13" i="24"/>
  <c r="AV12" i="24"/>
  <c r="AV11" i="24"/>
  <c r="AV10" i="24"/>
  <c r="AV9" i="24"/>
  <c r="AV8" i="24"/>
  <c r="AV7" i="24"/>
  <c r="AV6" i="24"/>
  <c r="AV5" i="24"/>
  <c r="CP69" i="24"/>
  <c r="CP67" i="24"/>
  <c r="CP65" i="24"/>
  <c r="CP63" i="24"/>
  <c r="CP61" i="24"/>
  <c r="CQ70" i="24"/>
  <c r="CQ68" i="24"/>
  <c r="CQ66" i="24"/>
  <c r="CQ64" i="24"/>
  <c r="CQ62" i="24"/>
  <c r="CQ60" i="24"/>
  <c r="CP70" i="24"/>
  <c r="CP68" i="24"/>
  <c r="CP66" i="24"/>
  <c r="CP64" i="24"/>
  <c r="CP62" i="24"/>
  <c r="CP60" i="24"/>
  <c r="CQ67" i="24"/>
  <c r="CP59" i="24"/>
  <c r="CP57" i="24"/>
  <c r="CP55" i="24"/>
  <c r="CP53" i="24"/>
  <c r="CP51" i="24"/>
  <c r="CQ69" i="24"/>
  <c r="CQ61" i="24"/>
  <c r="CQ58" i="24"/>
  <c r="CQ56" i="24"/>
  <c r="CQ54" i="24"/>
  <c r="CQ52" i="24"/>
  <c r="CQ50" i="24"/>
  <c r="CP58" i="24"/>
  <c r="CP56" i="24"/>
  <c r="CP54" i="24"/>
  <c r="CP52" i="24"/>
  <c r="CP50" i="24"/>
  <c r="CQ65" i="24"/>
  <c r="CQ59" i="24"/>
  <c r="CQ51" i="24"/>
  <c r="CQ49" i="24"/>
  <c r="CQ47" i="24"/>
  <c r="CQ45" i="24"/>
  <c r="CQ43" i="24"/>
  <c r="CP49" i="24"/>
  <c r="CP47" i="24"/>
  <c r="CP45" i="24"/>
  <c r="CP43" i="24"/>
  <c r="CQ53" i="24"/>
  <c r="CQ63" i="24"/>
  <c r="CQ55" i="24"/>
  <c r="CQ48" i="24"/>
  <c r="CQ46" i="24"/>
  <c r="CQ44" i="24"/>
  <c r="CP48" i="24"/>
  <c r="CP46" i="24"/>
  <c r="CP44" i="24"/>
  <c r="CP42" i="24"/>
  <c r="CQ57" i="24"/>
  <c r="CQ40" i="24"/>
  <c r="CQ38" i="24"/>
  <c r="CQ36" i="24"/>
  <c r="CQ34" i="24"/>
  <c r="CQ32" i="24"/>
  <c r="CQ30" i="24"/>
  <c r="CQ41" i="24"/>
  <c r="CQ39" i="24"/>
  <c r="CQ37" i="24"/>
  <c r="CQ35" i="24"/>
  <c r="CQ33" i="24"/>
  <c r="CQ42" i="24"/>
  <c r="CP34" i="24"/>
  <c r="CP32" i="24"/>
  <c r="CQ29" i="24"/>
  <c r="CQ27" i="24"/>
  <c r="CQ25" i="24"/>
  <c r="CQ23" i="24"/>
  <c r="CP35" i="24"/>
  <c r="CP29" i="24"/>
  <c r="CP27" i="24"/>
  <c r="CP25" i="24"/>
  <c r="CP23" i="24"/>
  <c r="CP36" i="24"/>
  <c r="CQ31" i="24"/>
  <c r="CP37" i="24"/>
  <c r="CP31" i="24"/>
  <c r="CP38" i="24"/>
  <c r="CQ28" i="24"/>
  <c r="CQ26" i="24"/>
  <c r="CQ24" i="24"/>
  <c r="CP39" i="24"/>
  <c r="CP28" i="24"/>
  <c r="CP26" i="24"/>
  <c r="CP24" i="24"/>
  <c r="CP40" i="24"/>
  <c r="CP41" i="24"/>
  <c r="CP33" i="24"/>
  <c r="CP30" i="24"/>
  <c r="CQ21" i="24"/>
  <c r="CQ19" i="24"/>
  <c r="CQ17" i="24"/>
  <c r="CQ15" i="24"/>
  <c r="CQ13" i="24"/>
  <c r="CP19" i="24"/>
  <c r="CP17" i="24"/>
  <c r="CP15" i="24"/>
  <c r="CP13" i="24"/>
  <c r="CP11" i="24"/>
  <c r="CQ12" i="24"/>
  <c r="CQ22" i="24"/>
  <c r="CQ20" i="24"/>
  <c r="CQ18" i="24"/>
  <c r="CQ16" i="24"/>
  <c r="CQ14" i="24"/>
  <c r="CP22" i="24"/>
  <c r="CP20" i="24"/>
  <c r="CP18" i="24"/>
  <c r="CP16" i="24"/>
  <c r="CP14" i="24"/>
  <c r="CP12" i="24"/>
  <c r="CQ11" i="24"/>
  <c r="CP21" i="24"/>
  <c r="CP9" i="24"/>
  <c r="CQ10" i="24"/>
  <c r="CP8" i="24"/>
  <c r="CQ6" i="24"/>
  <c r="CQ5" i="24"/>
  <c r="CP7" i="24"/>
  <c r="CP6" i="24"/>
  <c r="CP5" i="24"/>
  <c r="CQ8" i="24"/>
  <c r="CP10" i="24"/>
  <c r="CQ7" i="24"/>
  <c r="CQ9" i="24"/>
  <c r="E61" i="23"/>
  <c r="F61" i="23"/>
  <c r="G61" i="23"/>
  <c r="H61" i="23"/>
  <c r="I61" i="23"/>
  <c r="C63" i="22"/>
  <c r="D63" i="22"/>
  <c r="E63" i="22"/>
  <c r="CU5" i="24"/>
  <c r="CU6" i="24"/>
  <c r="CU7" i="24"/>
  <c r="CU8" i="24"/>
  <c r="CU9" i="24"/>
  <c r="CU10" i="24"/>
  <c r="CU11" i="24"/>
  <c r="CU12" i="24"/>
  <c r="CU13" i="24"/>
  <c r="CU14" i="24"/>
  <c r="CU16" i="24"/>
  <c r="CU15" i="24"/>
  <c r="CU65" i="24"/>
  <c r="CU66" i="24"/>
  <c r="CU67" i="24"/>
  <c r="CU68" i="24"/>
  <c r="CU59" i="24"/>
  <c r="CU60" i="24"/>
  <c r="CU61" i="24"/>
  <c r="CU62" i="24"/>
  <c r="CU53" i="24"/>
  <c r="CU54" i="24"/>
  <c r="CU55" i="24"/>
  <c r="CU56" i="24"/>
  <c r="CU47" i="24"/>
  <c r="CU48" i="24"/>
  <c r="CU49" i="24"/>
  <c r="CU50" i="24"/>
  <c r="CU41" i="24"/>
  <c r="CU42" i="24"/>
  <c r="CU43" i="24"/>
  <c r="CU44" i="24"/>
  <c r="CU35" i="24"/>
  <c r="CU36" i="24"/>
  <c r="CU37" i="24"/>
  <c r="CU38" i="24"/>
  <c r="CU29" i="24"/>
  <c r="CU30" i="24"/>
  <c r="CU31" i="24"/>
  <c r="CU32" i="24"/>
  <c r="CU23" i="24"/>
  <c r="CU24" i="24"/>
  <c r="CU25" i="24"/>
  <c r="CU26" i="24"/>
  <c r="CU27" i="24"/>
  <c r="CU28" i="24"/>
  <c r="CU17" i="24"/>
  <c r="CU18" i="24"/>
  <c r="CU19" i="24"/>
  <c r="CU20" i="24"/>
  <c r="CU21" i="24"/>
  <c r="CU22" i="24"/>
  <c r="CU33" i="24"/>
  <c r="CU34" i="24"/>
  <c r="CU40" i="24"/>
  <c r="CU39" i="24"/>
  <c r="CU45" i="24"/>
  <c r="CU46" i="24"/>
  <c r="CU52" i="24"/>
  <c r="CU51" i="24"/>
  <c r="CU57" i="24"/>
  <c r="CU58" i="24"/>
  <c r="CU64" i="24"/>
  <c r="CU63" i="24"/>
  <c r="CU69" i="24"/>
  <c r="CU70" i="24"/>
  <c r="CV3" i="24"/>
  <c r="A64" i="22"/>
  <c r="A62" i="23"/>
  <c r="CX70" i="24" l="1"/>
  <c r="CX69" i="24"/>
  <c r="CX68" i="24"/>
  <c r="CX67" i="24"/>
  <c r="CX66" i="24"/>
  <c r="CX65" i="24"/>
  <c r="CX64" i="24"/>
  <c r="CX63" i="24"/>
  <c r="CX62" i="24"/>
  <c r="CX61" i="24"/>
  <c r="CX60" i="24"/>
  <c r="CX59" i="24"/>
  <c r="CX58" i="24"/>
  <c r="CX57" i="24"/>
  <c r="CX56" i="24"/>
  <c r="CX55" i="24"/>
  <c r="CX54" i="24"/>
  <c r="CX53" i="24"/>
  <c r="CX52" i="24"/>
  <c r="CX51" i="24"/>
  <c r="CX50" i="24"/>
  <c r="CX49" i="24"/>
  <c r="CX48" i="24"/>
  <c r="CX47" i="24"/>
  <c r="CX46" i="24"/>
  <c r="CX45" i="24"/>
  <c r="CX44" i="24"/>
  <c r="CX43" i="24"/>
  <c r="CX42" i="24"/>
  <c r="CX41" i="24"/>
  <c r="CX40" i="24"/>
  <c r="CX39" i="24"/>
  <c r="CX38" i="24"/>
  <c r="CX37" i="24"/>
  <c r="CX36" i="24"/>
  <c r="CX35" i="24"/>
  <c r="CX34" i="24"/>
  <c r="CX33" i="24"/>
  <c r="CX32" i="24"/>
  <c r="CX31" i="24"/>
  <c r="CX30" i="24"/>
  <c r="CX29" i="24"/>
  <c r="CX28" i="24"/>
  <c r="CX27" i="24"/>
  <c r="CX26" i="24"/>
  <c r="CX25" i="24"/>
  <c r="CX24" i="24"/>
  <c r="CX23" i="24"/>
  <c r="CX22" i="24"/>
  <c r="CX21" i="24"/>
  <c r="CX20" i="24"/>
  <c r="CX19" i="24"/>
  <c r="CX18" i="24"/>
  <c r="CX17" i="24"/>
  <c r="CX16" i="24"/>
  <c r="CX15" i="24"/>
  <c r="CX14" i="24"/>
  <c r="CX13" i="24"/>
  <c r="CX12" i="24"/>
  <c r="CX11" i="24"/>
  <c r="CX10" i="24"/>
  <c r="CX9" i="24"/>
  <c r="CX8" i="24"/>
  <c r="CX7" i="24"/>
  <c r="CX6" i="24"/>
  <c r="CX5" i="24"/>
  <c r="BB70" i="24"/>
  <c r="BB69" i="24"/>
  <c r="BB68" i="24"/>
  <c r="BB67" i="24"/>
  <c r="BB66" i="24"/>
  <c r="BB65" i="24"/>
  <c r="BB64" i="24"/>
  <c r="BB63" i="24"/>
  <c r="BB62" i="24"/>
  <c r="BB61" i="24"/>
  <c r="BB60" i="24"/>
  <c r="BB59" i="24"/>
  <c r="BB58" i="24"/>
  <c r="BB57" i="24"/>
  <c r="BB56" i="24"/>
  <c r="BB55" i="24"/>
  <c r="BB54" i="24"/>
  <c r="BB53" i="24"/>
  <c r="BB52" i="24"/>
  <c r="BB51" i="24"/>
  <c r="BB50" i="24"/>
  <c r="BB49" i="24"/>
  <c r="BB48" i="24"/>
  <c r="BB47" i="24"/>
  <c r="BB46" i="24"/>
  <c r="BB45" i="24"/>
  <c r="BB44" i="24"/>
  <c r="BB43" i="24"/>
  <c r="BB42" i="24"/>
  <c r="BB41" i="24"/>
  <c r="BB40" i="24"/>
  <c r="BB39" i="24"/>
  <c r="BB38" i="24"/>
  <c r="BB37" i="24"/>
  <c r="BB36" i="24"/>
  <c r="BB35" i="24"/>
  <c r="BB34" i="24"/>
  <c r="BB33" i="24"/>
  <c r="BB32" i="24"/>
  <c r="BB31" i="24"/>
  <c r="BB30" i="24"/>
  <c r="BB29" i="24"/>
  <c r="BB28" i="24"/>
  <c r="BB27" i="24"/>
  <c r="BB26" i="24"/>
  <c r="BB25" i="24"/>
  <c r="BB24" i="24"/>
  <c r="BB23" i="24"/>
  <c r="BB22" i="24"/>
  <c r="BB21" i="24"/>
  <c r="BB20" i="24"/>
  <c r="BB19" i="24"/>
  <c r="BB18" i="24"/>
  <c r="BB17" i="24"/>
  <c r="BB16" i="24"/>
  <c r="BB15" i="24"/>
  <c r="BB14" i="24"/>
  <c r="BB13" i="24"/>
  <c r="BB12" i="24"/>
  <c r="BB11" i="24"/>
  <c r="BB10" i="24"/>
  <c r="BB9" i="24"/>
  <c r="BB8" i="24"/>
  <c r="BB7" i="24"/>
  <c r="BB6" i="24"/>
  <c r="BB5" i="24"/>
  <c r="CW70" i="24"/>
  <c r="CW68" i="24"/>
  <c r="CW66" i="24"/>
  <c r="CW64" i="24"/>
  <c r="CW62" i="24"/>
  <c r="CW60" i="24"/>
  <c r="CV70" i="24"/>
  <c r="CV68" i="24"/>
  <c r="CV66" i="24"/>
  <c r="CV64" i="24"/>
  <c r="CW69" i="24"/>
  <c r="CW67" i="24"/>
  <c r="CW65" i="24"/>
  <c r="CW63" i="24"/>
  <c r="CW61" i="24"/>
  <c r="CW59" i="24"/>
  <c r="CV69" i="24"/>
  <c r="CV67" i="24"/>
  <c r="CV65" i="24"/>
  <c r="CV63" i="24"/>
  <c r="CV60" i="24"/>
  <c r="CW58" i="24"/>
  <c r="CW56" i="24"/>
  <c r="CW54" i="24"/>
  <c r="CW52" i="24"/>
  <c r="CW50" i="24"/>
  <c r="CV61" i="24"/>
  <c r="CV58" i="24"/>
  <c r="CV56" i="24"/>
  <c r="CV54" i="24"/>
  <c r="CV52" i="24"/>
  <c r="CV50" i="24"/>
  <c r="CV62" i="24"/>
  <c r="CW57" i="24"/>
  <c r="CW55" i="24"/>
  <c r="CW53" i="24"/>
  <c r="CW51" i="24"/>
  <c r="CV57" i="24"/>
  <c r="CV55" i="24"/>
  <c r="CV53" i="24"/>
  <c r="CV51" i="24"/>
  <c r="CV59" i="24"/>
  <c r="CW48" i="24"/>
  <c r="CW46" i="24"/>
  <c r="CW44" i="24"/>
  <c r="CW42" i="24"/>
  <c r="CV48" i="24"/>
  <c r="CV46" i="24"/>
  <c r="CV44" i="24"/>
  <c r="CV42" i="24"/>
  <c r="CW49" i="24"/>
  <c r="CW47" i="24"/>
  <c r="CW45" i="24"/>
  <c r="CW43" i="24"/>
  <c r="CV45" i="24"/>
  <c r="CV47" i="24"/>
  <c r="CV41" i="24"/>
  <c r="CV39" i="24"/>
  <c r="CV37" i="24"/>
  <c r="CV35" i="24"/>
  <c r="CV33" i="24"/>
  <c r="CV43" i="24"/>
  <c r="CV40" i="24"/>
  <c r="CV38" i="24"/>
  <c r="CV36" i="24"/>
  <c r="CV34" i="24"/>
  <c r="CW35" i="24"/>
  <c r="CV31" i="24"/>
  <c r="CW36" i="24"/>
  <c r="CW28" i="24"/>
  <c r="CW26" i="24"/>
  <c r="CW24" i="24"/>
  <c r="CV49" i="24"/>
  <c r="CW37" i="24"/>
  <c r="CW38" i="24"/>
  <c r="CW39" i="24"/>
  <c r="CW40" i="24"/>
  <c r="CW30" i="24"/>
  <c r="CW29" i="24"/>
  <c r="CW27" i="24"/>
  <c r="CW25" i="24"/>
  <c r="CW23" i="24"/>
  <c r="CW41" i="24"/>
  <c r="CW33" i="24"/>
  <c r="CW32" i="24"/>
  <c r="CV30" i="24"/>
  <c r="CW34" i="24"/>
  <c r="CV32" i="24"/>
  <c r="CW31" i="24"/>
  <c r="CV26" i="24"/>
  <c r="CV19" i="24"/>
  <c r="CV17" i="24"/>
  <c r="CV15" i="24"/>
  <c r="CV13" i="24"/>
  <c r="CV11" i="24"/>
  <c r="CV27" i="24"/>
  <c r="CV28" i="24"/>
  <c r="CV29" i="24"/>
  <c r="CW22" i="24"/>
  <c r="CW20" i="24"/>
  <c r="CW18" i="24"/>
  <c r="CW16" i="24"/>
  <c r="CW14" i="24"/>
  <c r="CW12" i="24"/>
  <c r="CV22" i="24"/>
  <c r="CV20" i="24"/>
  <c r="CV18" i="24"/>
  <c r="CV16" i="24"/>
  <c r="CV14" i="24"/>
  <c r="CV12" i="24"/>
  <c r="CV23" i="24"/>
  <c r="CV24" i="24"/>
  <c r="CV25" i="24"/>
  <c r="CW21" i="24"/>
  <c r="CW19" i="24"/>
  <c r="CW17" i="24"/>
  <c r="CW15" i="24"/>
  <c r="CW13" i="24"/>
  <c r="CW11" i="24"/>
  <c r="CV21" i="24"/>
  <c r="CV9" i="24"/>
  <c r="CV6" i="24"/>
  <c r="CW5" i="24"/>
  <c r="CV7" i="24"/>
  <c r="CW10" i="24"/>
  <c r="CW9" i="24"/>
  <c r="CV5" i="24"/>
  <c r="CV10" i="24"/>
  <c r="CW8" i="24"/>
  <c r="CW7" i="24"/>
  <c r="CV8" i="24"/>
  <c r="CW6" i="24"/>
  <c r="E62" i="23"/>
  <c r="F62" i="23"/>
  <c r="G62" i="23"/>
  <c r="H62" i="23"/>
  <c r="I62" i="23"/>
  <c r="C64" i="22"/>
  <c r="D64" i="22"/>
  <c r="E64" i="22"/>
  <c r="DA5" i="24"/>
  <c r="DA6" i="24"/>
  <c r="DA7" i="24"/>
  <c r="DA8" i="24"/>
  <c r="DA9" i="24"/>
  <c r="DA10" i="24"/>
  <c r="DA11" i="24"/>
  <c r="DA12" i="24"/>
  <c r="DA13" i="24"/>
  <c r="DA14" i="24"/>
  <c r="DA16" i="24"/>
  <c r="DA15" i="24"/>
  <c r="DA65" i="24"/>
  <c r="DA66" i="24"/>
  <c r="DA67" i="24"/>
  <c r="DA68" i="24"/>
  <c r="DA59" i="24"/>
  <c r="DA60" i="24"/>
  <c r="DA61" i="24"/>
  <c r="DA62" i="24"/>
  <c r="DA53" i="24"/>
  <c r="DA54" i="24"/>
  <c r="DA55" i="24"/>
  <c r="DA56" i="24"/>
  <c r="DA47" i="24"/>
  <c r="DA48" i="24"/>
  <c r="DA49" i="24"/>
  <c r="DA50" i="24"/>
  <c r="DA41" i="24"/>
  <c r="DA42" i="24"/>
  <c r="DA43" i="24"/>
  <c r="DA44" i="24"/>
  <c r="DA35" i="24"/>
  <c r="DA36" i="24"/>
  <c r="DA37" i="24"/>
  <c r="DA38" i="24"/>
  <c r="DA29" i="24"/>
  <c r="DA30" i="24"/>
  <c r="DA31" i="24"/>
  <c r="DA32" i="24"/>
  <c r="DA23" i="24"/>
  <c r="DA24" i="24"/>
  <c r="DA25" i="24"/>
  <c r="DA26" i="24"/>
  <c r="DA27" i="24"/>
  <c r="DA28" i="24"/>
  <c r="DA17" i="24"/>
  <c r="DA18" i="24"/>
  <c r="DA19" i="24"/>
  <c r="DA20" i="24"/>
  <c r="DA21" i="24"/>
  <c r="DA22" i="24"/>
  <c r="DA33" i="24"/>
  <c r="DA34" i="24"/>
  <c r="DA40" i="24"/>
  <c r="DA39" i="24"/>
  <c r="DA45" i="24"/>
  <c r="DA46" i="24"/>
  <c r="DA52" i="24"/>
  <c r="DA51" i="24"/>
  <c r="DA57" i="24"/>
  <c r="DA58" i="24"/>
  <c r="DA64" i="24"/>
  <c r="DA63" i="24"/>
  <c r="DA69" i="24"/>
  <c r="DA70" i="24"/>
  <c r="DB3" i="24"/>
  <c r="A65" i="22"/>
  <c r="A63" i="23"/>
  <c r="DD70" i="24" l="1"/>
  <c r="DD69" i="24"/>
  <c r="DD68" i="24"/>
  <c r="DD67" i="24"/>
  <c r="DD66" i="24"/>
  <c r="DD65" i="24"/>
  <c r="DD64" i="24"/>
  <c r="DD63" i="24"/>
  <c r="DD62" i="24"/>
  <c r="DD61" i="24"/>
  <c r="DD60" i="24"/>
  <c r="DD59" i="24"/>
  <c r="DD58" i="24"/>
  <c r="DD57" i="24"/>
  <c r="DD56" i="24"/>
  <c r="DD55" i="24"/>
  <c r="DD54" i="24"/>
  <c r="DD53" i="24"/>
  <c r="DD52" i="24"/>
  <c r="DD51" i="24"/>
  <c r="DD50" i="24"/>
  <c r="DD49" i="24"/>
  <c r="DD48" i="24"/>
  <c r="DD47" i="24"/>
  <c r="DD46" i="24"/>
  <c r="DD45" i="24"/>
  <c r="DD44" i="24"/>
  <c r="DD43" i="24"/>
  <c r="DD42" i="24"/>
  <c r="DD41" i="24"/>
  <c r="DD40" i="24"/>
  <c r="DD39" i="24"/>
  <c r="DD38" i="24"/>
  <c r="DD37" i="24"/>
  <c r="DD36" i="24"/>
  <c r="DD35" i="24"/>
  <c r="DD34" i="24"/>
  <c r="DD33" i="24"/>
  <c r="DD32" i="24"/>
  <c r="DD31" i="24"/>
  <c r="DD30" i="24"/>
  <c r="DD29" i="24"/>
  <c r="DD28" i="24"/>
  <c r="DD27" i="24"/>
  <c r="DD26" i="24"/>
  <c r="DD25" i="24"/>
  <c r="DD24" i="24"/>
  <c r="DD23" i="24"/>
  <c r="DD22" i="24"/>
  <c r="DD21" i="24"/>
  <c r="DD20" i="24"/>
  <c r="DD19" i="24"/>
  <c r="DD18" i="24"/>
  <c r="DD17" i="24"/>
  <c r="DD16" i="24"/>
  <c r="DD15" i="24"/>
  <c r="DD14" i="24"/>
  <c r="DD13" i="24"/>
  <c r="DD12" i="24"/>
  <c r="DD11" i="24"/>
  <c r="DD10" i="24"/>
  <c r="DD9" i="24"/>
  <c r="DD8" i="24"/>
  <c r="DD7" i="24"/>
  <c r="DD6" i="24"/>
  <c r="DD5" i="24"/>
  <c r="BH70" i="24"/>
  <c r="BH69" i="24"/>
  <c r="BH68" i="24"/>
  <c r="BH67" i="24"/>
  <c r="BH66" i="24"/>
  <c r="BH65" i="24"/>
  <c r="BH64" i="24"/>
  <c r="BH63" i="24"/>
  <c r="BH62" i="24"/>
  <c r="BH61" i="24"/>
  <c r="BH60" i="24"/>
  <c r="BH59" i="24"/>
  <c r="BH58" i="24"/>
  <c r="BH57" i="24"/>
  <c r="BH56" i="24"/>
  <c r="BH55" i="24"/>
  <c r="BH54" i="24"/>
  <c r="BH53" i="24"/>
  <c r="BH52" i="24"/>
  <c r="BH51" i="24"/>
  <c r="BH50" i="24"/>
  <c r="BH49" i="24"/>
  <c r="BH48" i="24"/>
  <c r="BH47" i="24"/>
  <c r="BH46" i="24"/>
  <c r="BH45" i="24"/>
  <c r="BH44" i="24"/>
  <c r="BH43" i="24"/>
  <c r="BH42" i="24"/>
  <c r="BH41" i="24"/>
  <c r="BH40" i="24"/>
  <c r="BH39" i="24"/>
  <c r="BH38" i="24"/>
  <c r="BH37" i="24"/>
  <c r="BH36" i="24"/>
  <c r="BH35" i="24"/>
  <c r="BH34" i="24"/>
  <c r="BH33" i="24"/>
  <c r="BH32" i="24"/>
  <c r="BH31" i="24"/>
  <c r="BH30" i="24"/>
  <c r="BH29" i="24"/>
  <c r="BH28" i="24"/>
  <c r="BH27" i="24"/>
  <c r="BH26" i="24"/>
  <c r="BH25" i="24"/>
  <c r="BH24" i="24"/>
  <c r="BH23" i="24"/>
  <c r="BH22" i="24"/>
  <c r="BH21" i="24"/>
  <c r="BH20" i="24"/>
  <c r="BH19" i="24"/>
  <c r="BH18" i="24"/>
  <c r="BH17" i="24"/>
  <c r="BH16" i="24"/>
  <c r="BH15" i="24"/>
  <c r="BH14" i="24"/>
  <c r="BH13" i="24"/>
  <c r="BH12" i="24"/>
  <c r="BH11" i="24"/>
  <c r="BH10" i="24"/>
  <c r="BH9" i="24"/>
  <c r="BH8" i="24"/>
  <c r="BH7" i="24"/>
  <c r="BH6" i="24"/>
  <c r="BH5" i="24"/>
  <c r="DC69" i="24"/>
  <c r="DC67" i="24"/>
  <c r="DC65" i="24"/>
  <c r="DC63" i="24"/>
  <c r="DB69" i="24"/>
  <c r="DB67" i="24"/>
  <c r="DB65" i="24"/>
  <c r="DB63" i="24"/>
  <c r="DB61" i="24"/>
  <c r="DB59" i="24"/>
  <c r="DC70" i="24"/>
  <c r="DC68" i="24"/>
  <c r="DC66" i="24"/>
  <c r="DC64" i="24"/>
  <c r="DB70" i="24"/>
  <c r="DB68" i="24"/>
  <c r="DB66" i="24"/>
  <c r="DB64" i="24"/>
  <c r="DB62" i="24"/>
  <c r="DB60" i="24"/>
  <c r="DC61" i="24"/>
  <c r="DC62" i="24"/>
  <c r="DC57" i="24"/>
  <c r="DC55" i="24"/>
  <c r="DC53" i="24"/>
  <c r="DC51" i="24"/>
  <c r="DB57" i="24"/>
  <c r="DB55" i="24"/>
  <c r="DB53" i="24"/>
  <c r="DB51" i="24"/>
  <c r="DC59" i="24"/>
  <c r="DC58" i="24"/>
  <c r="DC56" i="24"/>
  <c r="DC54" i="24"/>
  <c r="DC52" i="24"/>
  <c r="DC50" i="24"/>
  <c r="DB52" i="24"/>
  <c r="DB48" i="24"/>
  <c r="DB46" i="24"/>
  <c r="DB44" i="24"/>
  <c r="DB42" i="24"/>
  <c r="DC60" i="24"/>
  <c r="DB54" i="24"/>
  <c r="DC49" i="24"/>
  <c r="DC47" i="24"/>
  <c r="DC45" i="24"/>
  <c r="DC43" i="24"/>
  <c r="DB56" i="24"/>
  <c r="DB49" i="24"/>
  <c r="DB47" i="24"/>
  <c r="DB45" i="24"/>
  <c r="DB58" i="24"/>
  <c r="DB50" i="24"/>
  <c r="DC46" i="24"/>
  <c r="DB41" i="24"/>
  <c r="DB39" i="24"/>
  <c r="DB37" i="24"/>
  <c r="DB35" i="24"/>
  <c r="DB33" i="24"/>
  <c r="DB31" i="24"/>
  <c r="DC48" i="24"/>
  <c r="DC40" i="24"/>
  <c r="DC38" i="24"/>
  <c r="DC36" i="24"/>
  <c r="DC34" i="24"/>
  <c r="DC32" i="24"/>
  <c r="DB43" i="24"/>
  <c r="DB40" i="24"/>
  <c r="DB38" i="24"/>
  <c r="DB36" i="24"/>
  <c r="DB34" i="24"/>
  <c r="DB32" i="24"/>
  <c r="DC44" i="24"/>
  <c r="DC42" i="24"/>
  <c r="DC41" i="24"/>
  <c r="DC39" i="24"/>
  <c r="DC37" i="24"/>
  <c r="DC35" i="24"/>
  <c r="DC33" i="24"/>
  <c r="DC30" i="24"/>
  <c r="DB30" i="24"/>
  <c r="DB29" i="24"/>
  <c r="DB27" i="24"/>
  <c r="DB25" i="24"/>
  <c r="DB23" i="24"/>
  <c r="DC31" i="24"/>
  <c r="DB28" i="24"/>
  <c r="DB26" i="24"/>
  <c r="DB24" i="24"/>
  <c r="DC27" i="24"/>
  <c r="DC22" i="24"/>
  <c r="DC20" i="24"/>
  <c r="DC18" i="24"/>
  <c r="DC16" i="24"/>
  <c r="DC14" i="24"/>
  <c r="DC12" i="24"/>
  <c r="DC28" i="24"/>
  <c r="DB22" i="24"/>
  <c r="DB20" i="24"/>
  <c r="DB18" i="24"/>
  <c r="DB16" i="24"/>
  <c r="DB14" i="24"/>
  <c r="DB12" i="24"/>
  <c r="DC29" i="24"/>
  <c r="DC23" i="24"/>
  <c r="DC21" i="24"/>
  <c r="DC19" i="24"/>
  <c r="DC17" i="24"/>
  <c r="DC15" i="24"/>
  <c r="DC13" i="24"/>
  <c r="DC11" i="24"/>
  <c r="DC24" i="24"/>
  <c r="DB19" i="24"/>
  <c r="DB17" i="24"/>
  <c r="DB15" i="24"/>
  <c r="DB13" i="24"/>
  <c r="DB11" i="24"/>
  <c r="DC25" i="24"/>
  <c r="DC26" i="24"/>
  <c r="DB10" i="24"/>
  <c r="DB5" i="24"/>
  <c r="DC9" i="24"/>
  <c r="DB6" i="24"/>
  <c r="DC10" i="24"/>
  <c r="DC7" i="24"/>
  <c r="DB21" i="24"/>
  <c r="DB9" i="24"/>
  <c r="DC8" i="24"/>
  <c r="DB8" i="24"/>
  <c r="DC5" i="24"/>
  <c r="DB7" i="24"/>
  <c r="DC6" i="24"/>
  <c r="E63" i="23"/>
  <c r="F63" i="23"/>
  <c r="G63" i="23"/>
  <c r="H63" i="23"/>
  <c r="I63" i="23"/>
  <c r="C65" i="22"/>
  <c r="D65" i="22"/>
  <c r="E65" i="22"/>
  <c r="DG5" i="24"/>
  <c r="DG6" i="24"/>
  <c r="DG7" i="24"/>
  <c r="DG8" i="24"/>
  <c r="DG9" i="24"/>
  <c r="DG10" i="24"/>
  <c r="DG11" i="24"/>
  <c r="DG12" i="24"/>
  <c r="DG13" i="24"/>
  <c r="DG14" i="24"/>
  <c r="DG16" i="24"/>
  <c r="DG15" i="24"/>
  <c r="DG65" i="24"/>
  <c r="DG66" i="24"/>
  <c r="DG67" i="24"/>
  <c r="DG68" i="24"/>
  <c r="DG59" i="24"/>
  <c r="DG60" i="24"/>
  <c r="DG61" i="24"/>
  <c r="DG62" i="24"/>
  <c r="DG53" i="24"/>
  <c r="DG54" i="24"/>
  <c r="DG55" i="24"/>
  <c r="DG56" i="24"/>
  <c r="DG47" i="24"/>
  <c r="DG48" i="24"/>
  <c r="DG49" i="24"/>
  <c r="DG50" i="24"/>
  <c r="DG41" i="24"/>
  <c r="DG42" i="24"/>
  <c r="DG43" i="24"/>
  <c r="DG44" i="24"/>
  <c r="DG35" i="24"/>
  <c r="DG36" i="24"/>
  <c r="DG37" i="24"/>
  <c r="DG38" i="24"/>
  <c r="DG29" i="24"/>
  <c r="DG30" i="24"/>
  <c r="DG31" i="24"/>
  <c r="DG32" i="24"/>
  <c r="DG23" i="24"/>
  <c r="DG24" i="24"/>
  <c r="DG25" i="24"/>
  <c r="DG26" i="24"/>
  <c r="DG27" i="24"/>
  <c r="DG28" i="24"/>
  <c r="DG17" i="24"/>
  <c r="DG18" i="24"/>
  <c r="DG19" i="24"/>
  <c r="DG20" i="24"/>
  <c r="DG21" i="24"/>
  <c r="DG22" i="24"/>
  <c r="DG33" i="24"/>
  <c r="DG34" i="24"/>
  <c r="DG40" i="24"/>
  <c r="DG39" i="24"/>
  <c r="DG45" i="24"/>
  <c r="DG46" i="24"/>
  <c r="DG52" i="24"/>
  <c r="DG51" i="24"/>
  <c r="DG57" i="24"/>
  <c r="DG58" i="24"/>
  <c r="DG64" i="24"/>
  <c r="DG63" i="24"/>
  <c r="DG69" i="24"/>
  <c r="DG70" i="24"/>
  <c r="DH3" i="24"/>
  <c r="A66" i="22"/>
  <c r="A64" i="23"/>
  <c r="DJ70" i="24" l="1"/>
  <c r="DJ69" i="24"/>
  <c r="DJ68" i="24"/>
  <c r="DJ67" i="24"/>
  <c r="DJ66" i="24"/>
  <c r="DJ65" i="24"/>
  <c r="DJ64" i="24"/>
  <c r="DJ63" i="24"/>
  <c r="DJ62" i="24"/>
  <c r="DJ61" i="24"/>
  <c r="DJ60" i="24"/>
  <c r="DJ59" i="24"/>
  <c r="DJ58" i="24"/>
  <c r="DJ57" i="24"/>
  <c r="DJ56" i="24"/>
  <c r="DJ55" i="24"/>
  <c r="DJ54" i="24"/>
  <c r="DJ53" i="24"/>
  <c r="DJ52" i="24"/>
  <c r="DJ51" i="24"/>
  <c r="DJ50" i="24"/>
  <c r="DJ49" i="24"/>
  <c r="DJ48" i="24"/>
  <c r="DJ47" i="24"/>
  <c r="DJ46" i="24"/>
  <c r="DJ45" i="24"/>
  <c r="DJ44" i="24"/>
  <c r="DJ43" i="24"/>
  <c r="DJ42" i="24"/>
  <c r="DJ41" i="24"/>
  <c r="DJ40" i="24"/>
  <c r="DJ39" i="24"/>
  <c r="DJ38" i="24"/>
  <c r="DJ37" i="24"/>
  <c r="DJ36" i="24"/>
  <c r="DJ35" i="24"/>
  <c r="DJ34" i="24"/>
  <c r="DJ33" i="24"/>
  <c r="DJ32" i="24"/>
  <c r="DJ31" i="24"/>
  <c r="DJ30" i="24"/>
  <c r="DJ29" i="24"/>
  <c r="DJ28" i="24"/>
  <c r="DJ27" i="24"/>
  <c r="DJ26" i="24"/>
  <c r="DJ25" i="24"/>
  <c r="DJ24" i="24"/>
  <c r="DJ23" i="24"/>
  <c r="DJ22" i="24"/>
  <c r="DJ21" i="24"/>
  <c r="DJ20" i="24"/>
  <c r="DJ19" i="24"/>
  <c r="DJ18" i="24"/>
  <c r="DJ17" i="24"/>
  <c r="DJ16" i="24"/>
  <c r="DJ15" i="24"/>
  <c r="DJ14" i="24"/>
  <c r="DJ13" i="24"/>
  <c r="DJ12" i="24"/>
  <c r="DJ11" i="24"/>
  <c r="DJ10" i="24"/>
  <c r="DJ9" i="24"/>
  <c r="DJ8" i="24"/>
  <c r="DJ7" i="24"/>
  <c r="DJ6" i="24"/>
  <c r="DJ5" i="24"/>
  <c r="BN70" i="24"/>
  <c r="BN69" i="24"/>
  <c r="BN68" i="24"/>
  <c r="BN67" i="24"/>
  <c r="BN66" i="24"/>
  <c r="BN65" i="24"/>
  <c r="BN64" i="24"/>
  <c r="BN63" i="24"/>
  <c r="BN62" i="24"/>
  <c r="BN61" i="24"/>
  <c r="BN60" i="24"/>
  <c r="BN59" i="24"/>
  <c r="BN58" i="24"/>
  <c r="BN57" i="24"/>
  <c r="BN56" i="24"/>
  <c r="BN55" i="24"/>
  <c r="BN54" i="24"/>
  <c r="BN53" i="24"/>
  <c r="BN52" i="24"/>
  <c r="BN51" i="24"/>
  <c r="BN50" i="24"/>
  <c r="BN49" i="24"/>
  <c r="BN48" i="24"/>
  <c r="BN47" i="24"/>
  <c r="BN46" i="24"/>
  <c r="BN45" i="24"/>
  <c r="BN44" i="24"/>
  <c r="BN43" i="24"/>
  <c r="BN42" i="24"/>
  <c r="BN41" i="24"/>
  <c r="BN40" i="24"/>
  <c r="BN39" i="24"/>
  <c r="BN38" i="24"/>
  <c r="BN37" i="24"/>
  <c r="BN36" i="24"/>
  <c r="BN35" i="24"/>
  <c r="BN34" i="24"/>
  <c r="BN33" i="24"/>
  <c r="BN32" i="24"/>
  <c r="BN31" i="24"/>
  <c r="BN30" i="24"/>
  <c r="BN29" i="24"/>
  <c r="BN28" i="24"/>
  <c r="BN27" i="24"/>
  <c r="BN26" i="24"/>
  <c r="BN25" i="24"/>
  <c r="BN24" i="24"/>
  <c r="BN23" i="24"/>
  <c r="BN22" i="24"/>
  <c r="BN21" i="24"/>
  <c r="BN20" i="24"/>
  <c r="BN19" i="24"/>
  <c r="BN18" i="24"/>
  <c r="BN17" i="24"/>
  <c r="BN16" i="24"/>
  <c r="BN15" i="24"/>
  <c r="BN14" i="24"/>
  <c r="BN13" i="24"/>
  <c r="BN12" i="24"/>
  <c r="BN11" i="24"/>
  <c r="BN10" i="24"/>
  <c r="BN9" i="24"/>
  <c r="BN8" i="24"/>
  <c r="BN7" i="24"/>
  <c r="BN6" i="24"/>
  <c r="BN5" i="24"/>
  <c r="DI70" i="24"/>
  <c r="DI68" i="24"/>
  <c r="DI66" i="24"/>
  <c r="DI64" i="24"/>
  <c r="DI62" i="24"/>
  <c r="DI60" i="24"/>
  <c r="DH70" i="24"/>
  <c r="DH68" i="24"/>
  <c r="DH66" i="24"/>
  <c r="DH64" i="24"/>
  <c r="DH62" i="24"/>
  <c r="DH60" i="24"/>
  <c r="DI69" i="24"/>
  <c r="DI67" i="24"/>
  <c r="DI65" i="24"/>
  <c r="DI63" i="24"/>
  <c r="DI61" i="24"/>
  <c r="DI59" i="24"/>
  <c r="DH69" i="24"/>
  <c r="DI58" i="24"/>
  <c r="DI56" i="24"/>
  <c r="DI54" i="24"/>
  <c r="DI52" i="24"/>
  <c r="DI50" i="24"/>
  <c r="DH58" i="24"/>
  <c r="DH56" i="24"/>
  <c r="DH54" i="24"/>
  <c r="DH52" i="24"/>
  <c r="DH50" i="24"/>
  <c r="DH59" i="24"/>
  <c r="DH63" i="24"/>
  <c r="DH65" i="24"/>
  <c r="DI53" i="24"/>
  <c r="DI49" i="24"/>
  <c r="DI47" i="24"/>
  <c r="DI45" i="24"/>
  <c r="DI43" i="24"/>
  <c r="DH53" i="24"/>
  <c r="DH49" i="24"/>
  <c r="DH47" i="24"/>
  <c r="DH45" i="24"/>
  <c r="DH43" i="24"/>
  <c r="DI55" i="24"/>
  <c r="DH55" i="24"/>
  <c r="DI57" i="24"/>
  <c r="DI48" i="24"/>
  <c r="DI46" i="24"/>
  <c r="DH67" i="24"/>
  <c r="DH61" i="24"/>
  <c r="DH57" i="24"/>
  <c r="DH48" i="24"/>
  <c r="DH46" i="24"/>
  <c r="DH44" i="24"/>
  <c r="DI51" i="24"/>
  <c r="DI40" i="24"/>
  <c r="DI38" i="24"/>
  <c r="DI36" i="24"/>
  <c r="DI34" i="24"/>
  <c r="DI32" i="24"/>
  <c r="DI30" i="24"/>
  <c r="DH51" i="24"/>
  <c r="DH40" i="24"/>
  <c r="DH38" i="24"/>
  <c r="DH36" i="24"/>
  <c r="DH34" i="24"/>
  <c r="DH32" i="24"/>
  <c r="DH30" i="24"/>
  <c r="DI42" i="24"/>
  <c r="DI44" i="24"/>
  <c r="DH42" i="24"/>
  <c r="DI41" i="24"/>
  <c r="DI39" i="24"/>
  <c r="DI37" i="24"/>
  <c r="DI35" i="24"/>
  <c r="DI33" i="24"/>
  <c r="DH41" i="24"/>
  <c r="DH39" i="24"/>
  <c r="DH37" i="24"/>
  <c r="DH35" i="24"/>
  <c r="DH33" i="24"/>
  <c r="DH29" i="24"/>
  <c r="DH27" i="24"/>
  <c r="DH25" i="24"/>
  <c r="DH23" i="24"/>
  <c r="DI31" i="24"/>
  <c r="DI28" i="24"/>
  <c r="DI26" i="24"/>
  <c r="DI24" i="24"/>
  <c r="DH31" i="24"/>
  <c r="DH28" i="24"/>
  <c r="DH26" i="24"/>
  <c r="DH24" i="24"/>
  <c r="DI29" i="24"/>
  <c r="DI27" i="24"/>
  <c r="DI25" i="24"/>
  <c r="DI23" i="24"/>
  <c r="DI21" i="24"/>
  <c r="DI19" i="24"/>
  <c r="DI17" i="24"/>
  <c r="DI15" i="24"/>
  <c r="DI13" i="24"/>
  <c r="DI11" i="24"/>
  <c r="DH19" i="24"/>
  <c r="DH17" i="24"/>
  <c r="DH15" i="24"/>
  <c r="DH13" i="24"/>
  <c r="DH12" i="24"/>
  <c r="DI22" i="24"/>
  <c r="DI20" i="24"/>
  <c r="DI18" i="24"/>
  <c r="DI16" i="24"/>
  <c r="DI14" i="24"/>
  <c r="DI12" i="24"/>
  <c r="DH14" i="24"/>
  <c r="DH22" i="24"/>
  <c r="DH20" i="24"/>
  <c r="DH18" i="24"/>
  <c r="DH16" i="24"/>
  <c r="DH11" i="24"/>
  <c r="DI9" i="24"/>
  <c r="DH10" i="24"/>
  <c r="DI8" i="24"/>
  <c r="DH6" i="24"/>
  <c r="DI6" i="24"/>
  <c r="DI5" i="24"/>
  <c r="DH7" i="24"/>
  <c r="DH8" i="24"/>
  <c r="DH9" i="24"/>
  <c r="DH21" i="24"/>
  <c r="DI7" i="24"/>
  <c r="DI10" i="24"/>
  <c r="DH5" i="24"/>
  <c r="E64" i="23"/>
  <c r="F64" i="23"/>
  <c r="G64" i="23"/>
  <c r="H64" i="23"/>
  <c r="I64" i="23"/>
  <c r="C66" i="22"/>
  <c r="D66" i="22"/>
  <c r="E66" i="22"/>
  <c r="DM5" i="24"/>
  <c r="DM6" i="24"/>
  <c r="DM7" i="24"/>
  <c r="DM8" i="24"/>
  <c r="DM9" i="24"/>
  <c r="DM10" i="24"/>
  <c r="DM11" i="24"/>
  <c r="DM12" i="24"/>
  <c r="DM13" i="24"/>
  <c r="DM14" i="24"/>
  <c r="DM16" i="24"/>
  <c r="DM15" i="24"/>
  <c r="DM65" i="24"/>
  <c r="DM66" i="24"/>
  <c r="DM67" i="24"/>
  <c r="DM68" i="24"/>
  <c r="DM59" i="24"/>
  <c r="DM60" i="24"/>
  <c r="DM61" i="24"/>
  <c r="DM62" i="24"/>
  <c r="DM53" i="24"/>
  <c r="DM54" i="24"/>
  <c r="DM55" i="24"/>
  <c r="DM56" i="24"/>
  <c r="DM47" i="24"/>
  <c r="DM48" i="24"/>
  <c r="DM49" i="24"/>
  <c r="DM50" i="24"/>
  <c r="DM41" i="24"/>
  <c r="DM42" i="24"/>
  <c r="DM43" i="24"/>
  <c r="DM44" i="24"/>
  <c r="DM35" i="24"/>
  <c r="DM36" i="24"/>
  <c r="DM37" i="24"/>
  <c r="DM38" i="24"/>
  <c r="DM29" i="24"/>
  <c r="DM30" i="24"/>
  <c r="DM31" i="24"/>
  <c r="DM32" i="24"/>
  <c r="DM23" i="24"/>
  <c r="DM24" i="24"/>
  <c r="DM25" i="24"/>
  <c r="DM26" i="24"/>
  <c r="DM27" i="24"/>
  <c r="DM28" i="24"/>
  <c r="DM17" i="24"/>
  <c r="DM18" i="24"/>
  <c r="DM19" i="24"/>
  <c r="DM20" i="24"/>
  <c r="DM21" i="24"/>
  <c r="DM22" i="24"/>
  <c r="DM33" i="24"/>
  <c r="DM34" i="24"/>
  <c r="DM40" i="24"/>
  <c r="DM39" i="24"/>
  <c r="DM45" i="24"/>
  <c r="DM46" i="24"/>
  <c r="DM52" i="24"/>
  <c r="DM51" i="24"/>
  <c r="DM57" i="24"/>
  <c r="DM58" i="24"/>
  <c r="DM64" i="24"/>
  <c r="DM63" i="24"/>
  <c r="DM69" i="24"/>
  <c r="DM70" i="24"/>
  <c r="DN3" i="24"/>
  <c r="A67" i="22"/>
  <c r="A65" i="23"/>
  <c r="L7" i="6"/>
  <c r="DP70" i="24" l="1"/>
  <c r="DP69" i="24"/>
  <c r="DP68" i="24"/>
  <c r="DP67" i="24"/>
  <c r="DP66" i="24"/>
  <c r="DP65" i="24"/>
  <c r="DP64" i="24"/>
  <c r="DP63" i="24"/>
  <c r="DP62" i="24"/>
  <c r="DP61" i="24"/>
  <c r="DP60" i="24"/>
  <c r="DP59" i="24"/>
  <c r="DP58" i="24"/>
  <c r="DP57" i="24"/>
  <c r="DP56" i="24"/>
  <c r="DP55" i="24"/>
  <c r="DP54" i="24"/>
  <c r="DP53" i="24"/>
  <c r="DP52" i="24"/>
  <c r="DP51" i="24"/>
  <c r="DP50" i="24"/>
  <c r="DP49" i="24"/>
  <c r="DP48" i="24"/>
  <c r="DP47" i="24"/>
  <c r="DP46" i="24"/>
  <c r="DP45" i="24"/>
  <c r="DP44" i="24"/>
  <c r="DP43" i="24"/>
  <c r="DP42" i="24"/>
  <c r="DP41" i="24"/>
  <c r="DP40" i="24"/>
  <c r="DP39" i="24"/>
  <c r="DP38" i="24"/>
  <c r="DP37" i="24"/>
  <c r="DP36" i="24"/>
  <c r="DP35" i="24"/>
  <c r="DP34" i="24"/>
  <c r="DP33" i="24"/>
  <c r="DP32" i="24"/>
  <c r="DP31" i="24"/>
  <c r="DP30" i="24"/>
  <c r="DP29" i="24"/>
  <c r="DP28" i="24"/>
  <c r="DP27" i="24"/>
  <c r="DP26" i="24"/>
  <c r="DP25" i="24"/>
  <c r="DP24" i="24"/>
  <c r="DP23" i="24"/>
  <c r="DP22" i="24"/>
  <c r="DP21" i="24"/>
  <c r="DP20" i="24"/>
  <c r="DP19" i="24"/>
  <c r="DP18" i="24"/>
  <c r="DP17" i="24"/>
  <c r="DP16" i="24"/>
  <c r="DP15" i="24"/>
  <c r="DP14" i="24"/>
  <c r="DP13" i="24"/>
  <c r="DP12" i="24"/>
  <c r="DP11" i="24"/>
  <c r="DP10" i="24"/>
  <c r="DP9" i="24"/>
  <c r="DP8" i="24"/>
  <c r="DP7" i="24"/>
  <c r="DP6" i="24"/>
  <c r="DP5" i="24"/>
  <c r="BT70" i="24"/>
  <c r="BT69" i="24"/>
  <c r="BT68" i="24"/>
  <c r="BT67" i="24"/>
  <c r="BT66" i="24"/>
  <c r="BT65" i="24"/>
  <c r="BT64" i="24"/>
  <c r="BT63" i="24"/>
  <c r="BT62" i="24"/>
  <c r="BT61" i="24"/>
  <c r="BT60" i="24"/>
  <c r="BT59" i="24"/>
  <c r="BT58" i="24"/>
  <c r="BT57" i="24"/>
  <c r="BT56" i="24"/>
  <c r="BT55" i="24"/>
  <c r="BT54" i="24"/>
  <c r="BT53" i="24"/>
  <c r="BT52" i="24"/>
  <c r="BT51" i="24"/>
  <c r="BT50" i="24"/>
  <c r="BT49" i="24"/>
  <c r="BT48" i="24"/>
  <c r="BT47" i="24"/>
  <c r="BT46" i="24"/>
  <c r="BT45" i="24"/>
  <c r="BT44" i="24"/>
  <c r="BT43" i="24"/>
  <c r="BT42" i="24"/>
  <c r="BT41" i="24"/>
  <c r="BT40" i="24"/>
  <c r="BT39" i="24"/>
  <c r="BT38" i="24"/>
  <c r="BT37" i="24"/>
  <c r="BT36" i="24"/>
  <c r="BT35" i="24"/>
  <c r="BT34" i="24"/>
  <c r="BT33" i="24"/>
  <c r="BT32" i="24"/>
  <c r="BT31" i="24"/>
  <c r="BT30" i="24"/>
  <c r="BT29" i="24"/>
  <c r="BT28" i="24"/>
  <c r="BT27" i="24"/>
  <c r="BT26" i="24"/>
  <c r="BT25" i="24"/>
  <c r="BT24" i="24"/>
  <c r="BT23" i="24"/>
  <c r="BT22" i="24"/>
  <c r="BT21" i="24"/>
  <c r="BT20" i="24"/>
  <c r="BT19" i="24"/>
  <c r="BT18" i="24"/>
  <c r="BT17" i="24"/>
  <c r="BT16" i="24"/>
  <c r="BT15" i="24"/>
  <c r="BT14" i="24"/>
  <c r="BT13" i="24"/>
  <c r="BT12" i="24"/>
  <c r="BT11" i="24"/>
  <c r="BT10" i="24"/>
  <c r="BT9" i="24"/>
  <c r="BT8" i="24"/>
  <c r="BT7" i="24"/>
  <c r="BT6" i="24"/>
  <c r="BT5" i="24"/>
  <c r="DN70" i="24"/>
  <c r="DN68" i="24"/>
  <c r="DN66" i="24"/>
  <c r="DN64" i="24"/>
  <c r="DN62" i="24"/>
  <c r="DN60" i="24"/>
  <c r="DO69" i="24"/>
  <c r="DO67" i="24"/>
  <c r="DO65" i="24"/>
  <c r="DO63" i="24"/>
  <c r="DO61" i="24"/>
  <c r="DO59" i="24"/>
  <c r="DN69" i="24"/>
  <c r="DN67" i="24"/>
  <c r="DN65" i="24"/>
  <c r="DN63" i="24"/>
  <c r="DN61" i="24"/>
  <c r="DN59" i="24"/>
  <c r="DO70" i="24"/>
  <c r="DN58" i="24"/>
  <c r="DN56" i="24"/>
  <c r="DN54" i="24"/>
  <c r="DN52" i="24"/>
  <c r="DN50" i="24"/>
  <c r="DO57" i="24"/>
  <c r="DO55" i="24"/>
  <c r="DO53" i="24"/>
  <c r="DO51" i="24"/>
  <c r="DO60" i="24"/>
  <c r="DN57" i="24"/>
  <c r="DN55" i="24"/>
  <c r="DN53" i="24"/>
  <c r="DN51" i="24"/>
  <c r="DO64" i="24"/>
  <c r="DO54" i="24"/>
  <c r="DO48" i="24"/>
  <c r="DO46" i="24"/>
  <c r="DO44" i="24"/>
  <c r="DO42" i="24"/>
  <c r="DN48" i="24"/>
  <c r="DN46" i="24"/>
  <c r="DN44" i="24"/>
  <c r="DN42" i="24"/>
  <c r="DO68" i="24"/>
  <c r="DO56" i="24"/>
  <c r="DO58" i="24"/>
  <c r="DO50" i="24"/>
  <c r="DO49" i="24"/>
  <c r="DO47" i="24"/>
  <c r="DO45" i="24"/>
  <c r="DO43" i="24"/>
  <c r="DO66" i="24"/>
  <c r="DN49" i="24"/>
  <c r="DN47" i="24"/>
  <c r="DN45" i="24"/>
  <c r="DN43" i="24"/>
  <c r="DO62" i="24"/>
  <c r="DO41" i="24"/>
  <c r="DO39" i="24"/>
  <c r="DO37" i="24"/>
  <c r="DO35" i="24"/>
  <c r="DO33" i="24"/>
  <c r="DO31" i="24"/>
  <c r="DO40" i="24"/>
  <c r="DO38" i="24"/>
  <c r="DO36" i="24"/>
  <c r="DO34" i="24"/>
  <c r="DO32" i="24"/>
  <c r="DO52" i="24"/>
  <c r="DN37" i="24"/>
  <c r="DO28" i="24"/>
  <c r="DO26" i="24"/>
  <c r="DO24" i="24"/>
  <c r="DN38" i="24"/>
  <c r="DN31" i="24"/>
  <c r="DN28" i="24"/>
  <c r="DN26" i="24"/>
  <c r="DN24" i="24"/>
  <c r="DN39" i="24"/>
  <c r="DN40" i="24"/>
  <c r="DN32" i="24"/>
  <c r="DN41" i="24"/>
  <c r="DN33" i="24"/>
  <c r="DO29" i="24"/>
  <c r="DO27" i="24"/>
  <c r="DO25" i="24"/>
  <c r="DO23" i="24"/>
  <c r="DN34" i="24"/>
  <c r="DN29" i="24"/>
  <c r="DN27" i="24"/>
  <c r="DN25" i="24"/>
  <c r="DN23" i="24"/>
  <c r="DN35" i="24"/>
  <c r="DO30" i="24"/>
  <c r="DN36" i="24"/>
  <c r="DN30" i="24"/>
  <c r="DO22" i="24"/>
  <c r="DO20" i="24"/>
  <c r="DO18" i="24"/>
  <c r="DO16" i="24"/>
  <c r="DO14" i="24"/>
  <c r="DO12" i="24"/>
  <c r="DN22" i="24"/>
  <c r="DN20" i="24"/>
  <c r="DN18" i="24"/>
  <c r="DN16" i="24"/>
  <c r="DN14" i="24"/>
  <c r="DN12" i="24"/>
  <c r="DO21" i="24"/>
  <c r="DO19" i="24"/>
  <c r="DO17" i="24"/>
  <c r="DO15" i="24"/>
  <c r="DO13" i="24"/>
  <c r="DO11" i="24"/>
  <c r="DN19" i="24"/>
  <c r="DN17" i="24"/>
  <c r="DN15" i="24"/>
  <c r="DN13" i="24"/>
  <c r="DN11" i="24"/>
  <c r="DO7" i="24"/>
  <c r="DN10" i="24"/>
  <c r="DN21" i="24"/>
  <c r="DN9" i="24"/>
  <c r="DO6" i="24"/>
  <c r="DO9" i="24"/>
  <c r="DO8" i="24"/>
  <c r="DO5" i="24"/>
  <c r="DN8" i="24"/>
  <c r="DN7" i="24"/>
  <c r="DN5" i="24"/>
  <c r="DO10" i="24"/>
  <c r="DN6" i="24"/>
  <c r="E65" i="23"/>
  <c r="F65" i="23"/>
  <c r="G65" i="23"/>
  <c r="H65" i="23"/>
  <c r="I65" i="23"/>
  <c r="C67" i="22"/>
  <c r="D67" i="22"/>
  <c r="E67" i="22"/>
  <c r="DS5" i="24"/>
  <c r="DS6" i="24"/>
  <c r="DS7" i="24"/>
  <c r="DS8" i="24"/>
  <c r="DS9" i="24"/>
  <c r="DS10" i="24"/>
  <c r="DS11" i="24"/>
  <c r="DS12" i="24"/>
  <c r="DS13" i="24"/>
  <c r="DS14" i="24"/>
  <c r="DS16" i="24"/>
  <c r="DS15" i="24"/>
  <c r="DS65" i="24"/>
  <c r="DS66" i="24"/>
  <c r="DS67" i="24"/>
  <c r="DS68" i="24"/>
  <c r="DS59" i="24"/>
  <c r="DS60" i="24"/>
  <c r="DS61" i="24"/>
  <c r="DS62" i="24"/>
  <c r="DS53" i="24"/>
  <c r="DS54" i="24"/>
  <c r="DS55" i="24"/>
  <c r="DS56" i="24"/>
  <c r="DS47" i="24"/>
  <c r="DS48" i="24"/>
  <c r="DS49" i="24"/>
  <c r="DS50" i="24"/>
  <c r="DS41" i="24"/>
  <c r="DS42" i="24"/>
  <c r="DS43" i="24"/>
  <c r="DS44" i="24"/>
  <c r="DS35" i="24"/>
  <c r="DS36" i="24"/>
  <c r="DS37" i="24"/>
  <c r="DS38" i="24"/>
  <c r="DS29" i="24"/>
  <c r="DS30" i="24"/>
  <c r="DS31" i="24"/>
  <c r="DS32" i="24"/>
  <c r="DS23" i="24"/>
  <c r="DS24" i="24"/>
  <c r="DS25" i="24"/>
  <c r="DS26" i="24"/>
  <c r="DS27" i="24"/>
  <c r="DS28" i="24"/>
  <c r="DS17" i="24"/>
  <c r="DS18" i="24"/>
  <c r="DS19" i="24"/>
  <c r="DS20" i="24"/>
  <c r="DS21" i="24"/>
  <c r="DS22" i="24"/>
  <c r="DS33" i="24"/>
  <c r="DS34" i="24"/>
  <c r="DS40" i="24"/>
  <c r="DS39" i="24"/>
  <c r="DS45" i="24"/>
  <c r="DS46" i="24"/>
  <c r="DS52" i="24"/>
  <c r="DS51" i="24"/>
  <c r="DS57" i="24"/>
  <c r="DS58" i="24"/>
  <c r="DS64" i="24"/>
  <c r="DS63" i="24"/>
  <c r="DS69" i="24"/>
  <c r="DS70" i="24"/>
  <c r="DT3" i="24"/>
  <c r="A68" i="22"/>
  <c r="A66" i="23"/>
  <c r="L6" i="6"/>
  <c r="DV70" i="24" l="1"/>
  <c r="DV69" i="24"/>
  <c r="DV68" i="24"/>
  <c r="DV67" i="24"/>
  <c r="DV66" i="24"/>
  <c r="DV65" i="24"/>
  <c r="DV64" i="24"/>
  <c r="DV63" i="24"/>
  <c r="DV62" i="24"/>
  <c r="DV61" i="24"/>
  <c r="DV60" i="24"/>
  <c r="DV59" i="24"/>
  <c r="DV58" i="24"/>
  <c r="DV57" i="24"/>
  <c r="DV56" i="24"/>
  <c r="DV55" i="24"/>
  <c r="DV54" i="24"/>
  <c r="DV53" i="24"/>
  <c r="DV52" i="24"/>
  <c r="DV51" i="24"/>
  <c r="DV50" i="24"/>
  <c r="DV49" i="24"/>
  <c r="DV48" i="24"/>
  <c r="DV47" i="24"/>
  <c r="DV46" i="24"/>
  <c r="DV45" i="24"/>
  <c r="DV44" i="24"/>
  <c r="DV43" i="24"/>
  <c r="DV42" i="24"/>
  <c r="DV41" i="24"/>
  <c r="DV40" i="24"/>
  <c r="DV39" i="24"/>
  <c r="DV38" i="24"/>
  <c r="DV37" i="24"/>
  <c r="DV36" i="24"/>
  <c r="DV35" i="24"/>
  <c r="DV34" i="24"/>
  <c r="DV33" i="24"/>
  <c r="DV32" i="24"/>
  <c r="DV31" i="24"/>
  <c r="DV30" i="24"/>
  <c r="DV29" i="24"/>
  <c r="DV28" i="24"/>
  <c r="DV27" i="24"/>
  <c r="DV26" i="24"/>
  <c r="DV25" i="24"/>
  <c r="DV24" i="24"/>
  <c r="DV23" i="24"/>
  <c r="DV22" i="24"/>
  <c r="DV21" i="24"/>
  <c r="DV20" i="24"/>
  <c r="DV19" i="24"/>
  <c r="DV18" i="24"/>
  <c r="DV17" i="24"/>
  <c r="DV16" i="24"/>
  <c r="DV15" i="24"/>
  <c r="DV14" i="24"/>
  <c r="DV13" i="24"/>
  <c r="DV12" i="24"/>
  <c r="DV11" i="24"/>
  <c r="DV10" i="24"/>
  <c r="DV9" i="24"/>
  <c r="DV8" i="24"/>
  <c r="DV7" i="24"/>
  <c r="DV6" i="24"/>
  <c r="DV5" i="24"/>
  <c r="BZ70" i="24"/>
  <c r="BZ69" i="24"/>
  <c r="BZ68" i="24"/>
  <c r="BZ67" i="24"/>
  <c r="BZ66" i="24"/>
  <c r="BZ65" i="24"/>
  <c r="BZ64" i="24"/>
  <c r="BZ63" i="24"/>
  <c r="BZ62" i="24"/>
  <c r="BZ61" i="24"/>
  <c r="BZ60" i="24"/>
  <c r="BZ59" i="24"/>
  <c r="BZ58" i="24"/>
  <c r="BZ57" i="24"/>
  <c r="BZ56" i="24"/>
  <c r="BZ55" i="24"/>
  <c r="BZ54" i="24"/>
  <c r="BZ53" i="24"/>
  <c r="BZ52" i="24"/>
  <c r="BZ51" i="24"/>
  <c r="BZ50" i="24"/>
  <c r="BZ49" i="24"/>
  <c r="BZ48" i="24"/>
  <c r="BZ47" i="24"/>
  <c r="BZ46" i="24"/>
  <c r="BZ45" i="24"/>
  <c r="BZ44" i="24"/>
  <c r="BZ43" i="24"/>
  <c r="BZ42" i="24"/>
  <c r="BZ41" i="24"/>
  <c r="BZ40" i="24"/>
  <c r="BZ39" i="24"/>
  <c r="BZ38" i="24"/>
  <c r="BZ37" i="24"/>
  <c r="BZ36" i="24"/>
  <c r="BZ35" i="24"/>
  <c r="BZ34" i="24"/>
  <c r="BZ33" i="24"/>
  <c r="BZ32" i="24"/>
  <c r="BZ31" i="24"/>
  <c r="BZ30" i="24"/>
  <c r="BZ29" i="24"/>
  <c r="BZ28" i="24"/>
  <c r="BZ27" i="24"/>
  <c r="BZ26" i="24"/>
  <c r="BZ25" i="24"/>
  <c r="BZ24" i="24"/>
  <c r="BZ23" i="24"/>
  <c r="BZ22" i="24"/>
  <c r="BZ21" i="24"/>
  <c r="BZ20" i="24"/>
  <c r="BZ19" i="24"/>
  <c r="BZ18" i="24"/>
  <c r="BZ17" i="24"/>
  <c r="BZ16" i="24"/>
  <c r="BZ15" i="24"/>
  <c r="BZ14" i="24"/>
  <c r="BZ13" i="24"/>
  <c r="BZ12" i="24"/>
  <c r="BZ11" i="24"/>
  <c r="BZ10" i="24"/>
  <c r="BZ9" i="24"/>
  <c r="BZ8" i="24"/>
  <c r="BZ7" i="24"/>
  <c r="BZ6" i="24"/>
  <c r="BZ5" i="24"/>
  <c r="DU69" i="24"/>
  <c r="DU67" i="24"/>
  <c r="DU65" i="24"/>
  <c r="DU63" i="24"/>
  <c r="DU61" i="24"/>
  <c r="DU59" i="24"/>
  <c r="DT69" i="24"/>
  <c r="DT67" i="24"/>
  <c r="DT65" i="24"/>
  <c r="DT63" i="24"/>
  <c r="DU70" i="24"/>
  <c r="DU68" i="24"/>
  <c r="DU66" i="24"/>
  <c r="DU64" i="24"/>
  <c r="DU62" i="24"/>
  <c r="DU60" i="24"/>
  <c r="DT70" i="24"/>
  <c r="DT68" i="24"/>
  <c r="DT66" i="24"/>
  <c r="DT64" i="24"/>
  <c r="DU57" i="24"/>
  <c r="DU55" i="24"/>
  <c r="DU53" i="24"/>
  <c r="DU51" i="24"/>
  <c r="DT57" i="24"/>
  <c r="DT55" i="24"/>
  <c r="DT53" i="24"/>
  <c r="DT51" i="24"/>
  <c r="DT59" i="24"/>
  <c r="DT60" i="24"/>
  <c r="DU58" i="24"/>
  <c r="DU56" i="24"/>
  <c r="DU54" i="24"/>
  <c r="DU52" i="24"/>
  <c r="DU50" i="24"/>
  <c r="DT61" i="24"/>
  <c r="DT58" i="24"/>
  <c r="DT56" i="24"/>
  <c r="DT54" i="24"/>
  <c r="DT52" i="24"/>
  <c r="DT50" i="24"/>
  <c r="DU49" i="24"/>
  <c r="DU47" i="24"/>
  <c r="DU45" i="24"/>
  <c r="DU43" i="24"/>
  <c r="DT49" i="24"/>
  <c r="DT47" i="24"/>
  <c r="DT45" i="24"/>
  <c r="DT43" i="24"/>
  <c r="DT62" i="24"/>
  <c r="DU48" i="24"/>
  <c r="DU46" i="24"/>
  <c r="DU44" i="24"/>
  <c r="DU42" i="24"/>
  <c r="DT48" i="24"/>
  <c r="DT44" i="24"/>
  <c r="DT40" i="24"/>
  <c r="DT38" i="24"/>
  <c r="DT36" i="24"/>
  <c r="DT34" i="24"/>
  <c r="DT32" i="24"/>
  <c r="DT46" i="24"/>
  <c r="DT41" i="24"/>
  <c r="DT39" i="24"/>
  <c r="DT37" i="24"/>
  <c r="DT35" i="24"/>
  <c r="DT33" i="24"/>
  <c r="DU38" i="24"/>
  <c r="DT31" i="24"/>
  <c r="DU39" i="24"/>
  <c r="DU29" i="24"/>
  <c r="DU27" i="24"/>
  <c r="DU25" i="24"/>
  <c r="DU23" i="24"/>
  <c r="DU40" i="24"/>
  <c r="DU32" i="24"/>
  <c r="DU41" i="24"/>
  <c r="DU33" i="24"/>
  <c r="DU30" i="24"/>
  <c r="DT42" i="24"/>
  <c r="DU34" i="24"/>
  <c r="DT30" i="24"/>
  <c r="DU35" i="24"/>
  <c r="DU28" i="24"/>
  <c r="DU26" i="24"/>
  <c r="DU24" i="24"/>
  <c r="DU36" i="24"/>
  <c r="DU37" i="24"/>
  <c r="DU31" i="24"/>
  <c r="DT29" i="24"/>
  <c r="DT22" i="24"/>
  <c r="DT20" i="24"/>
  <c r="DT18" i="24"/>
  <c r="DT16" i="24"/>
  <c r="DT14" i="24"/>
  <c r="DT12" i="24"/>
  <c r="DT23" i="24"/>
  <c r="DT24" i="24"/>
  <c r="DU21" i="24"/>
  <c r="DU19" i="24"/>
  <c r="DU17" i="24"/>
  <c r="DU15" i="24"/>
  <c r="DU13" i="24"/>
  <c r="DU11" i="24"/>
  <c r="DT25" i="24"/>
  <c r="DT19" i="24"/>
  <c r="DT17" i="24"/>
  <c r="DT15" i="24"/>
  <c r="DT13" i="24"/>
  <c r="DT11" i="24"/>
  <c r="DT26" i="24"/>
  <c r="DT27" i="24"/>
  <c r="DT28" i="24"/>
  <c r="DU22" i="24"/>
  <c r="DU20" i="24"/>
  <c r="DU18" i="24"/>
  <c r="DU16" i="24"/>
  <c r="DU14" i="24"/>
  <c r="DU12" i="24"/>
  <c r="DT21" i="24"/>
  <c r="DT9" i="24"/>
  <c r="DU7" i="24"/>
  <c r="DU6" i="24"/>
  <c r="DT10" i="24"/>
  <c r="DT7" i="24"/>
  <c r="DU5" i="24"/>
  <c r="DT8" i="24"/>
  <c r="DT5" i="24"/>
  <c r="DU10" i="24"/>
  <c r="DT6" i="24"/>
  <c r="DU9" i="24"/>
  <c r="DU8" i="24"/>
  <c r="E66" i="23"/>
  <c r="F66" i="23"/>
  <c r="G66" i="23"/>
  <c r="H66" i="23"/>
  <c r="I66" i="23"/>
  <c r="C68" i="22"/>
  <c r="D68" i="22"/>
  <c r="E68" i="22"/>
  <c r="DY5" i="24"/>
  <c r="DY6" i="24"/>
  <c r="DY7" i="24"/>
  <c r="DY8" i="24"/>
  <c r="DY9" i="24"/>
  <c r="DY10" i="24"/>
  <c r="DY11" i="24"/>
  <c r="DY12" i="24"/>
  <c r="DY13" i="24"/>
  <c r="DY14" i="24"/>
  <c r="DY16" i="24"/>
  <c r="DY15" i="24"/>
  <c r="DY65" i="24"/>
  <c r="DY66" i="24"/>
  <c r="DY67" i="24"/>
  <c r="DY68" i="24"/>
  <c r="DY59" i="24"/>
  <c r="DY60" i="24"/>
  <c r="DY61" i="24"/>
  <c r="DY62" i="24"/>
  <c r="DY53" i="24"/>
  <c r="DY54" i="24"/>
  <c r="DY55" i="24"/>
  <c r="DY56" i="24"/>
  <c r="DY47" i="24"/>
  <c r="DY48" i="24"/>
  <c r="DY49" i="24"/>
  <c r="DY50" i="24"/>
  <c r="DY41" i="24"/>
  <c r="DY42" i="24"/>
  <c r="DY43" i="24"/>
  <c r="DY44" i="24"/>
  <c r="DY35" i="24"/>
  <c r="DY36" i="24"/>
  <c r="DY37" i="24"/>
  <c r="DY38" i="24"/>
  <c r="DY29" i="24"/>
  <c r="DY30" i="24"/>
  <c r="DY31" i="24"/>
  <c r="DY32" i="24"/>
  <c r="DY23" i="24"/>
  <c r="DY24" i="24"/>
  <c r="DY25" i="24"/>
  <c r="DY26" i="24"/>
  <c r="DY27" i="24"/>
  <c r="DY28" i="24"/>
  <c r="DY17" i="24"/>
  <c r="DY18" i="24"/>
  <c r="DY19" i="24"/>
  <c r="DY20" i="24"/>
  <c r="DY21" i="24"/>
  <c r="DY22" i="24"/>
  <c r="DY33" i="24"/>
  <c r="DY34" i="24"/>
  <c r="DY40" i="24"/>
  <c r="DY39" i="24"/>
  <c r="DY45" i="24"/>
  <c r="DY46" i="24"/>
  <c r="DY52" i="24"/>
  <c r="DY51" i="24"/>
  <c r="DY57" i="24"/>
  <c r="DY58" i="24"/>
  <c r="DY64" i="24"/>
  <c r="DY63" i="24"/>
  <c r="DY69" i="24"/>
  <c r="DY70" i="24"/>
  <c r="DZ3" i="24"/>
  <c r="A69" i="22"/>
  <c r="A67" i="23"/>
  <c r="L5" i="6"/>
  <c r="L4" i="6"/>
  <c r="EB70" i="24" l="1"/>
  <c r="EB69" i="24"/>
  <c r="EB68" i="24"/>
  <c r="EB67" i="24"/>
  <c r="EB66" i="24"/>
  <c r="EB65" i="24"/>
  <c r="EB64" i="24"/>
  <c r="EB63" i="24"/>
  <c r="EB62" i="24"/>
  <c r="EB61" i="24"/>
  <c r="EB60" i="24"/>
  <c r="EB59" i="24"/>
  <c r="EB58" i="24"/>
  <c r="EB57" i="24"/>
  <c r="EB56" i="24"/>
  <c r="EB55" i="24"/>
  <c r="EB54" i="24"/>
  <c r="EB53" i="24"/>
  <c r="EB52" i="24"/>
  <c r="EB51" i="24"/>
  <c r="EB50" i="24"/>
  <c r="EB49" i="24"/>
  <c r="EB48" i="24"/>
  <c r="EB47" i="24"/>
  <c r="EB46" i="24"/>
  <c r="EB45" i="24"/>
  <c r="EB44" i="24"/>
  <c r="EB43" i="24"/>
  <c r="EB42" i="24"/>
  <c r="EB41" i="24"/>
  <c r="EB40" i="24"/>
  <c r="EB39" i="24"/>
  <c r="EB38" i="24"/>
  <c r="EB37" i="24"/>
  <c r="EB36" i="24"/>
  <c r="EB35" i="24"/>
  <c r="EB34" i="24"/>
  <c r="EB33" i="24"/>
  <c r="EB32" i="24"/>
  <c r="EB31" i="24"/>
  <c r="EB30" i="24"/>
  <c r="EB29" i="24"/>
  <c r="EB28" i="24"/>
  <c r="EB27" i="24"/>
  <c r="EB26" i="24"/>
  <c r="EB25" i="24"/>
  <c r="EB24" i="24"/>
  <c r="EB23" i="24"/>
  <c r="EB22" i="24"/>
  <c r="EB21" i="24"/>
  <c r="EB20" i="24"/>
  <c r="EB19" i="24"/>
  <c r="EB18" i="24"/>
  <c r="EB17" i="24"/>
  <c r="EB16" i="24"/>
  <c r="EB15" i="24"/>
  <c r="EB14" i="24"/>
  <c r="EB13" i="24"/>
  <c r="EB12" i="24"/>
  <c r="EB11" i="24"/>
  <c r="EB10" i="24"/>
  <c r="EB9" i="24"/>
  <c r="EB8" i="24"/>
  <c r="EB7" i="24"/>
  <c r="EB6" i="24"/>
  <c r="EB5" i="24"/>
  <c r="CF70" i="24"/>
  <c r="CF69" i="24"/>
  <c r="CF68" i="24"/>
  <c r="CF67" i="24"/>
  <c r="CF66" i="24"/>
  <c r="CF65" i="24"/>
  <c r="CF64" i="24"/>
  <c r="CF63" i="24"/>
  <c r="CF62" i="24"/>
  <c r="CF61" i="24"/>
  <c r="CF60" i="24"/>
  <c r="CF59" i="24"/>
  <c r="CF58" i="24"/>
  <c r="CF57" i="24"/>
  <c r="CF56" i="24"/>
  <c r="CF55" i="24"/>
  <c r="CF54" i="24"/>
  <c r="CF53" i="24"/>
  <c r="CF52" i="24"/>
  <c r="CF51" i="24"/>
  <c r="CF50" i="24"/>
  <c r="CF49" i="24"/>
  <c r="CF48" i="24"/>
  <c r="CF47" i="24"/>
  <c r="CF46" i="24"/>
  <c r="CF45" i="24"/>
  <c r="CF44" i="24"/>
  <c r="CF43" i="24"/>
  <c r="CF42" i="24"/>
  <c r="CF41" i="24"/>
  <c r="CF40" i="24"/>
  <c r="CF39" i="24"/>
  <c r="CF38" i="24"/>
  <c r="CF37" i="24"/>
  <c r="CF36" i="24"/>
  <c r="CF35" i="24"/>
  <c r="CF34" i="24"/>
  <c r="CF33" i="24"/>
  <c r="CF32" i="24"/>
  <c r="CF31" i="24"/>
  <c r="CF30" i="24"/>
  <c r="CF29" i="24"/>
  <c r="CF28" i="24"/>
  <c r="CF27" i="24"/>
  <c r="CF26" i="24"/>
  <c r="CF25" i="24"/>
  <c r="CF24" i="24"/>
  <c r="CF23" i="24"/>
  <c r="CF22" i="24"/>
  <c r="CF21" i="24"/>
  <c r="CF20" i="24"/>
  <c r="CF19" i="24"/>
  <c r="CF18" i="24"/>
  <c r="CF17" i="24"/>
  <c r="CF16" i="24"/>
  <c r="CF15" i="24"/>
  <c r="CF14" i="24"/>
  <c r="CF13" i="24"/>
  <c r="CF12" i="24"/>
  <c r="CF11" i="24"/>
  <c r="CF10" i="24"/>
  <c r="CF9" i="24"/>
  <c r="CF8" i="24"/>
  <c r="CF7" i="24"/>
  <c r="CF6" i="24"/>
  <c r="CF5" i="24"/>
  <c r="EA70" i="24"/>
  <c r="EA68" i="24"/>
  <c r="EA66" i="24"/>
  <c r="EA64" i="24"/>
  <c r="DZ70" i="24"/>
  <c r="DZ68" i="24"/>
  <c r="DZ66" i="24"/>
  <c r="DZ64" i="24"/>
  <c r="DZ62" i="24"/>
  <c r="DZ60" i="24"/>
  <c r="EA69" i="24"/>
  <c r="EA67" i="24"/>
  <c r="EA65" i="24"/>
  <c r="EA63" i="24"/>
  <c r="DZ69" i="24"/>
  <c r="DZ67" i="24"/>
  <c r="DZ65" i="24"/>
  <c r="DZ63" i="24"/>
  <c r="DZ61" i="24"/>
  <c r="DZ59" i="24"/>
  <c r="EA59" i="24"/>
  <c r="EA58" i="24"/>
  <c r="EA56" i="24"/>
  <c r="EA54" i="24"/>
  <c r="EA52" i="24"/>
  <c r="EA50" i="24"/>
  <c r="EA60" i="24"/>
  <c r="DZ58" i="24"/>
  <c r="DZ56" i="24"/>
  <c r="DZ54" i="24"/>
  <c r="DZ52" i="24"/>
  <c r="DZ50" i="24"/>
  <c r="EA61" i="24"/>
  <c r="EA62" i="24"/>
  <c r="EA57" i="24"/>
  <c r="EA55" i="24"/>
  <c r="EA53" i="24"/>
  <c r="EA51" i="24"/>
  <c r="DZ55" i="24"/>
  <c r="DZ49" i="24"/>
  <c r="DZ47" i="24"/>
  <c r="DZ45" i="24"/>
  <c r="DZ43" i="24"/>
  <c r="DZ41" i="24"/>
  <c r="DZ57" i="24"/>
  <c r="EA48" i="24"/>
  <c r="EA46" i="24"/>
  <c r="EA44" i="24"/>
  <c r="EA42" i="24"/>
  <c r="DZ51" i="24"/>
  <c r="DZ48" i="24"/>
  <c r="DZ46" i="24"/>
  <c r="DZ53" i="24"/>
  <c r="EA49" i="24"/>
  <c r="DZ42" i="24"/>
  <c r="DZ40" i="24"/>
  <c r="DZ38" i="24"/>
  <c r="DZ36" i="24"/>
  <c r="DZ34" i="24"/>
  <c r="DZ32" i="24"/>
  <c r="DZ30" i="24"/>
  <c r="EA43" i="24"/>
  <c r="EA39" i="24"/>
  <c r="EA37" i="24"/>
  <c r="EA35" i="24"/>
  <c r="EA33" i="24"/>
  <c r="EA41" i="24"/>
  <c r="DZ39" i="24"/>
  <c r="DZ37" i="24"/>
  <c r="DZ35" i="24"/>
  <c r="DZ33" i="24"/>
  <c r="EA47" i="24"/>
  <c r="EA40" i="24"/>
  <c r="EA38" i="24"/>
  <c r="EA36" i="24"/>
  <c r="EA34" i="24"/>
  <c r="EA32" i="24"/>
  <c r="EA45" i="24"/>
  <c r="EA30" i="24"/>
  <c r="DZ28" i="24"/>
  <c r="DZ26" i="24"/>
  <c r="DZ24" i="24"/>
  <c r="DZ44" i="24"/>
  <c r="EA31" i="24"/>
  <c r="DZ31" i="24"/>
  <c r="EA29" i="24"/>
  <c r="DZ29" i="24"/>
  <c r="DZ27" i="24"/>
  <c r="DZ25" i="24"/>
  <c r="DZ23" i="24"/>
  <c r="EA21" i="24"/>
  <c r="EA19" i="24"/>
  <c r="EA17" i="24"/>
  <c r="EA15" i="24"/>
  <c r="EA13" i="24"/>
  <c r="EA11" i="24"/>
  <c r="EA23" i="24"/>
  <c r="DZ19" i="24"/>
  <c r="DZ17" i="24"/>
  <c r="DZ15" i="24"/>
  <c r="DZ13" i="24"/>
  <c r="DZ11" i="24"/>
  <c r="EA24" i="24"/>
  <c r="EA25" i="24"/>
  <c r="EA26" i="24"/>
  <c r="EA20" i="24"/>
  <c r="EA18" i="24"/>
  <c r="EA16" i="24"/>
  <c r="EA14" i="24"/>
  <c r="EA12" i="24"/>
  <c r="EA27" i="24"/>
  <c r="EA22" i="24"/>
  <c r="DZ20" i="24"/>
  <c r="DZ18" i="24"/>
  <c r="DZ16" i="24"/>
  <c r="DZ14" i="24"/>
  <c r="DZ12" i="24"/>
  <c r="EA28" i="24"/>
  <c r="DZ22" i="24"/>
  <c r="DZ9" i="24"/>
  <c r="DZ8" i="24"/>
  <c r="EA7" i="24"/>
  <c r="DZ6" i="24"/>
  <c r="EA5" i="24"/>
  <c r="EA10" i="24"/>
  <c r="DZ5" i="24"/>
  <c r="DZ21" i="24"/>
  <c r="EA8" i="24"/>
  <c r="DZ10" i="24"/>
  <c r="EA9" i="24"/>
  <c r="DZ7" i="24"/>
  <c r="EA6" i="24"/>
  <c r="E67" i="23"/>
  <c r="F67" i="23"/>
  <c r="G67" i="23"/>
  <c r="H67" i="23"/>
  <c r="I67" i="23"/>
  <c r="C69" i="22"/>
  <c r="D69" i="22"/>
  <c r="E69" i="22"/>
  <c r="EE5" i="24"/>
  <c r="EE6" i="24"/>
  <c r="EE7" i="24"/>
  <c r="EE8" i="24"/>
  <c r="EE9" i="24"/>
  <c r="EE10" i="24"/>
  <c r="EE11" i="24"/>
  <c r="EE12" i="24"/>
  <c r="EE13" i="24"/>
  <c r="EE14" i="24"/>
  <c r="EE16" i="24"/>
  <c r="EE15" i="24"/>
  <c r="EE65" i="24"/>
  <c r="EE66" i="24"/>
  <c r="EE67" i="24"/>
  <c r="EE68" i="24"/>
  <c r="EE59" i="24"/>
  <c r="EE60" i="24"/>
  <c r="EE61" i="24"/>
  <c r="EE62" i="24"/>
  <c r="EE53" i="24"/>
  <c r="EE54" i="24"/>
  <c r="EE55" i="24"/>
  <c r="EE56" i="24"/>
  <c r="EE47" i="24"/>
  <c r="EE48" i="24"/>
  <c r="EE49" i="24"/>
  <c r="EE50" i="24"/>
  <c r="EE41" i="24"/>
  <c r="EE42" i="24"/>
  <c r="EE43" i="24"/>
  <c r="EE44" i="24"/>
  <c r="EE35" i="24"/>
  <c r="EE36" i="24"/>
  <c r="EE37" i="24"/>
  <c r="EE38" i="24"/>
  <c r="EE29" i="24"/>
  <c r="EE30" i="24"/>
  <c r="EE31" i="24"/>
  <c r="EE32" i="24"/>
  <c r="EE23" i="24"/>
  <c r="EE24" i="24"/>
  <c r="EE25" i="24"/>
  <c r="EE26" i="24"/>
  <c r="EE27" i="24"/>
  <c r="EE28" i="24"/>
  <c r="EE17" i="24"/>
  <c r="EE18" i="24"/>
  <c r="EE19" i="24"/>
  <c r="EE20" i="24"/>
  <c r="EE21" i="24"/>
  <c r="EE22" i="24"/>
  <c r="EE33" i="24"/>
  <c r="EE34" i="24"/>
  <c r="EE40" i="24"/>
  <c r="EE39" i="24"/>
  <c r="EE45" i="24"/>
  <c r="EE46" i="24"/>
  <c r="EE52" i="24"/>
  <c r="EE51" i="24"/>
  <c r="EE57" i="24"/>
  <c r="EE58" i="24"/>
  <c r="EE64" i="24"/>
  <c r="EE63" i="24"/>
  <c r="EE69" i="24"/>
  <c r="EE70" i="24"/>
  <c r="A70" i="22"/>
  <c r="A68" i="23"/>
  <c r="CL70" i="24" l="1"/>
  <c r="CL69" i="24"/>
  <c r="CL68" i="24"/>
  <c r="CL67" i="24"/>
  <c r="CL66" i="24"/>
  <c r="CL65" i="24"/>
  <c r="CL64" i="24"/>
  <c r="CL63" i="24"/>
  <c r="CL62" i="24"/>
  <c r="CL61" i="24"/>
  <c r="CL60" i="24"/>
  <c r="CL59" i="24"/>
  <c r="CL58" i="24"/>
  <c r="CL57" i="24"/>
  <c r="CL56" i="24"/>
  <c r="CL55" i="24"/>
  <c r="CL54" i="24"/>
  <c r="CL53" i="24"/>
  <c r="CL52" i="24"/>
  <c r="CL51" i="24"/>
  <c r="CL50" i="24"/>
  <c r="CL49" i="24"/>
  <c r="CL48" i="24"/>
  <c r="CL47" i="24"/>
  <c r="CL46" i="24"/>
  <c r="CL45" i="24"/>
  <c r="CL44" i="24"/>
  <c r="CL43" i="24"/>
  <c r="CL42" i="24"/>
  <c r="CL41" i="24"/>
  <c r="CL40" i="24"/>
  <c r="CL39" i="24"/>
  <c r="CL38" i="24"/>
  <c r="CL37" i="24"/>
  <c r="CL36" i="24"/>
  <c r="CL35" i="24"/>
  <c r="CL34" i="24"/>
  <c r="CL33" i="24"/>
  <c r="CL32" i="24"/>
  <c r="CL31" i="24"/>
  <c r="CL30" i="24"/>
  <c r="CL29" i="24"/>
  <c r="CL28" i="24"/>
  <c r="CL27" i="24"/>
  <c r="CL26" i="24"/>
  <c r="CL25" i="24"/>
  <c r="CL24" i="24"/>
  <c r="CL23" i="24"/>
  <c r="CL22" i="24"/>
  <c r="CL21" i="24"/>
  <c r="CL20" i="24"/>
  <c r="CL19" i="24"/>
  <c r="CL18" i="24"/>
  <c r="CL17" i="24"/>
  <c r="CL16" i="24"/>
  <c r="CL15" i="24"/>
  <c r="CL14" i="24"/>
  <c r="CL13" i="24"/>
  <c r="CL12" i="24"/>
  <c r="CL11" i="24"/>
  <c r="CL10" i="24"/>
  <c r="CL9" i="24"/>
  <c r="CL8" i="24"/>
  <c r="CL7" i="24"/>
  <c r="CL6" i="24"/>
  <c r="CL5" i="24"/>
  <c r="E68" i="23"/>
  <c r="F68" i="23"/>
  <c r="G68" i="23"/>
  <c r="H68" i="23"/>
  <c r="I68" i="23"/>
  <c r="C70" i="22"/>
  <c r="D70" i="22"/>
  <c r="E70" i="22"/>
  <c r="J63" i="24"/>
  <c r="D63" i="24"/>
  <c r="K63" i="24"/>
  <c r="E63" i="24"/>
  <c r="O63" i="24"/>
  <c r="I63" i="24"/>
  <c r="J21" i="24"/>
  <c r="D21" i="24"/>
  <c r="K21" i="24"/>
  <c r="E21" i="24"/>
  <c r="I21" i="24"/>
  <c r="O21" i="24"/>
  <c r="J64" i="24"/>
  <c r="D64" i="24"/>
  <c r="K64" i="24"/>
  <c r="E64" i="24"/>
  <c r="O64" i="24"/>
  <c r="I64" i="24"/>
  <c r="J22" i="24"/>
  <c r="D22" i="24"/>
  <c r="K22" i="24"/>
  <c r="E22" i="24"/>
  <c r="O22" i="24"/>
  <c r="I22" i="24"/>
  <c r="J16" i="24"/>
  <c r="D16" i="24"/>
  <c r="K16" i="24"/>
  <c r="E16" i="24"/>
  <c r="O16" i="24"/>
  <c r="I16" i="24"/>
  <c r="J15" i="24"/>
  <c r="D15" i="24"/>
  <c r="K15" i="24"/>
  <c r="E15" i="24"/>
  <c r="O15" i="24"/>
  <c r="I15" i="24"/>
  <c r="J9" i="24"/>
  <c r="D9" i="24"/>
  <c r="K9" i="24"/>
  <c r="E9" i="24"/>
  <c r="O9" i="24"/>
  <c r="I9" i="24"/>
  <c r="J10" i="24"/>
  <c r="D10" i="24"/>
  <c r="K10" i="24"/>
  <c r="E10" i="24"/>
  <c r="I10" i="24"/>
  <c r="O10" i="24"/>
  <c r="J27" i="24"/>
  <c r="D27" i="24"/>
  <c r="K27" i="24"/>
  <c r="E27" i="24"/>
  <c r="O27" i="24"/>
  <c r="I27" i="24"/>
  <c r="J28" i="24"/>
  <c r="D28" i="24"/>
  <c r="K28" i="24"/>
  <c r="E28" i="24"/>
  <c r="O28" i="24"/>
  <c r="I28" i="24"/>
  <c r="J33" i="24"/>
  <c r="D33" i="24"/>
  <c r="K33" i="24"/>
  <c r="E33" i="24"/>
  <c r="O33" i="24"/>
  <c r="I33" i="24"/>
  <c r="J34" i="24"/>
  <c r="D34" i="24"/>
  <c r="K34" i="24"/>
  <c r="E34" i="24"/>
  <c r="O34" i="24"/>
  <c r="I34" i="24"/>
  <c r="J39" i="24"/>
  <c r="D39" i="24"/>
  <c r="K39" i="24"/>
  <c r="E39" i="24"/>
  <c r="O39" i="24"/>
  <c r="I39" i="24"/>
  <c r="J40" i="24"/>
  <c r="D40" i="24"/>
  <c r="K40" i="24"/>
  <c r="E40" i="24"/>
  <c r="O40" i="24"/>
  <c r="I40" i="24"/>
  <c r="J45" i="24"/>
  <c r="D45" i="24"/>
  <c r="K45" i="24"/>
  <c r="E45" i="24"/>
  <c r="O45" i="24"/>
  <c r="I45" i="24"/>
  <c r="J46" i="24"/>
  <c r="D46" i="24"/>
  <c r="K46" i="24"/>
  <c r="E46" i="24"/>
  <c r="O46" i="24"/>
  <c r="I46" i="24"/>
  <c r="J51" i="24"/>
  <c r="D51" i="24"/>
  <c r="K51" i="24"/>
  <c r="E51" i="24"/>
  <c r="O51" i="24"/>
  <c r="I51" i="24"/>
  <c r="J52" i="24"/>
  <c r="D52" i="24"/>
  <c r="K52" i="24"/>
  <c r="E52" i="24"/>
  <c r="O52" i="24"/>
  <c r="I52" i="24"/>
  <c r="J57" i="24"/>
  <c r="D57" i="24"/>
  <c r="K57" i="24"/>
  <c r="E57" i="24"/>
  <c r="O57" i="24"/>
  <c r="I57" i="24"/>
  <c r="J58" i="24"/>
  <c r="D58" i="24"/>
  <c r="K58" i="24"/>
  <c r="E58" i="24"/>
  <c r="O58" i="24"/>
  <c r="I58" i="24"/>
  <c r="J69" i="24"/>
  <c r="D69" i="24"/>
  <c r="K69" i="24"/>
  <c r="E69" i="24"/>
  <c r="O69" i="24"/>
  <c r="I69" i="24"/>
  <c r="J70" i="24"/>
  <c r="D70" i="24"/>
  <c r="K70" i="24"/>
  <c r="E70" i="24"/>
  <c r="I70" i="24"/>
  <c r="O70" i="24"/>
  <c r="A71" i="22"/>
  <c r="A69" i="23"/>
  <c r="W36" i="16"/>
  <c r="V36" i="16"/>
  <c r="U36" i="16"/>
  <c r="T36" i="16"/>
  <c r="S36" i="16"/>
  <c r="R36" i="16"/>
  <c r="Q36" i="16"/>
  <c r="P36" i="16"/>
  <c r="O36" i="16"/>
  <c r="N36" i="16"/>
  <c r="M36" i="16"/>
  <c r="L36" i="16"/>
  <c r="K36" i="16"/>
  <c r="J36" i="16"/>
  <c r="I36" i="16"/>
  <c r="H36" i="16"/>
  <c r="G36" i="16"/>
  <c r="F36" i="16"/>
  <c r="W33" i="16"/>
  <c r="V33" i="16"/>
  <c r="U33" i="16"/>
  <c r="T33" i="16"/>
  <c r="S33" i="16"/>
  <c r="R33" i="16"/>
  <c r="Q33" i="16"/>
  <c r="P33" i="16"/>
  <c r="O33" i="16"/>
  <c r="N33" i="16"/>
  <c r="M33" i="16"/>
  <c r="L33" i="16"/>
  <c r="K33" i="16"/>
  <c r="J33" i="16"/>
  <c r="I33" i="16"/>
  <c r="H33" i="16"/>
  <c r="G33" i="16"/>
  <c r="F33" i="16"/>
  <c r="W30" i="16"/>
  <c r="V30" i="16"/>
  <c r="U30" i="16"/>
  <c r="T30" i="16"/>
  <c r="S30" i="16"/>
  <c r="R30" i="16"/>
  <c r="Q30" i="16"/>
  <c r="P30" i="16"/>
  <c r="O30" i="16"/>
  <c r="N30" i="16"/>
  <c r="M30" i="16"/>
  <c r="L30" i="16"/>
  <c r="K30" i="16"/>
  <c r="J30" i="16"/>
  <c r="I30" i="16"/>
  <c r="H30" i="16"/>
  <c r="G30" i="16"/>
  <c r="F30" i="16"/>
  <c r="E69" i="23" l="1"/>
  <c r="F69" i="23"/>
  <c r="G69" i="23"/>
  <c r="H69" i="23"/>
  <c r="I69" i="23"/>
  <c r="C71" i="22"/>
  <c r="D71" i="22"/>
  <c r="E71" i="22"/>
  <c r="A72" i="22"/>
  <c r="A70" i="23"/>
  <c r="W27" i="16"/>
  <c r="V27" i="16"/>
  <c r="U27" i="16"/>
  <c r="T27" i="16"/>
  <c r="S27" i="16"/>
  <c r="R27" i="16"/>
  <c r="Q27" i="16"/>
  <c r="P27" i="16"/>
  <c r="O27" i="16"/>
  <c r="N27" i="16"/>
  <c r="M27" i="16"/>
  <c r="L27" i="16"/>
  <c r="K27" i="16"/>
  <c r="J27" i="16"/>
  <c r="I27" i="16"/>
  <c r="H27" i="16"/>
  <c r="G27" i="16"/>
  <c r="F27" i="16"/>
  <c r="E37" i="16"/>
  <c r="D37" i="16" s="1"/>
  <c r="M9" i="25" s="1"/>
  <c r="E36" i="16"/>
  <c r="D36" i="16" s="1"/>
  <c r="E35" i="16"/>
  <c r="E34" i="16"/>
  <c r="E33" i="16"/>
  <c r="D33" i="16" s="1"/>
  <c r="E32" i="16"/>
  <c r="E31" i="16"/>
  <c r="E30" i="16"/>
  <c r="D30" i="16" s="1"/>
  <c r="E29" i="16"/>
  <c r="E28" i="16"/>
  <c r="E27" i="16"/>
  <c r="E26" i="16"/>
  <c r="F26" i="16" s="1"/>
  <c r="G26" i="16" s="1"/>
  <c r="H26" i="16" s="1"/>
  <c r="I26" i="16" s="1"/>
  <c r="J26" i="16" s="1"/>
  <c r="K26" i="16" s="1"/>
  <c r="L26" i="16" s="1"/>
  <c r="M26" i="16" s="1"/>
  <c r="N26" i="16" s="1"/>
  <c r="O26" i="16" s="1"/>
  <c r="P26" i="16" s="1"/>
  <c r="Q26" i="16" s="1"/>
  <c r="R26" i="16" s="1"/>
  <c r="S26" i="16" s="1"/>
  <c r="T26" i="16" s="1"/>
  <c r="U26" i="16" s="1"/>
  <c r="V26" i="16" s="1"/>
  <c r="W26" i="16" s="1"/>
  <c r="X26" i="16" s="1"/>
  <c r="E25" i="16"/>
  <c r="E24" i="16"/>
  <c r="E23" i="16"/>
  <c r="F23" i="16" s="1"/>
  <c r="G23" i="16" s="1"/>
  <c r="H23" i="16" s="1"/>
  <c r="I23" i="16" s="1"/>
  <c r="J23" i="16" s="1"/>
  <c r="K23" i="16" s="1"/>
  <c r="L23" i="16" s="1"/>
  <c r="M23" i="16" s="1"/>
  <c r="N23" i="16" s="1"/>
  <c r="O23" i="16" s="1"/>
  <c r="P23" i="16" s="1"/>
  <c r="Q23" i="16" s="1"/>
  <c r="R23" i="16" s="1"/>
  <c r="S23" i="16" s="1"/>
  <c r="T23" i="16" s="1"/>
  <c r="U23" i="16" s="1"/>
  <c r="V23" i="16" s="1"/>
  <c r="W23" i="16" s="1"/>
  <c r="X23" i="16" s="1"/>
  <c r="F29" i="16" l="1"/>
  <c r="F32" i="16"/>
  <c r="F35" i="16"/>
  <c r="E70" i="23"/>
  <c r="F70" i="23"/>
  <c r="G70" i="23"/>
  <c r="H70" i="23"/>
  <c r="I70" i="23"/>
  <c r="C72" i="22"/>
  <c r="D72" i="22"/>
  <c r="E72" i="22"/>
  <c r="A73" i="22"/>
  <c r="D26" i="16"/>
  <c r="J7" i="25" s="1"/>
  <c r="D27" i="16"/>
  <c r="J8" i="25" s="1"/>
  <c r="A71" i="23"/>
  <c r="C26" i="16"/>
  <c r="J3" i="25" s="1"/>
  <c r="C27" i="16"/>
  <c r="J4" i="25" s="1"/>
  <c r="D28" i="16"/>
  <c r="J9" i="25" s="1"/>
  <c r="C28" i="16"/>
  <c r="J5" i="25" s="1"/>
  <c r="K8" i="25"/>
  <c r="C30" i="16"/>
  <c r="K4" i="25" s="1"/>
  <c r="D31" i="16"/>
  <c r="K9" i="25" s="1"/>
  <c r="C31" i="16"/>
  <c r="K5" i="25" s="1"/>
  <c r="L8" i="25"/>
  <c r="C33" i="16"/>
  <c r="L4" i="25" s="1"/>
  <c r="D34" i="16"/>
  <c r="L9" i="25" s="1"/>
  <c r="C34" i="16"/>
  <c r="L5" i="25" s="1"/>
  <c r="M8" i="25"/>
  <c r="C36" i="16"/>
  <c r="M4" i="25" s="1"/>
  <c r="C37" i="16"/>
  <c r="M5" i="25" s="1"/>
  <c r="A35" i="16"/>
  <c r="A32" i="16"/>
  <c r="A29" i="16"/>
  <c r="A26" i="16"/>
  <c r="F21" i="16"/>
  <c r="W24" i="16"/>
  <c r="V24" i="16"/>
  <c r="U24" i="16"/>
  <c r="T24" i="16"/>
  <c r="S24" i="16"/>
  <c r="R24" i="16"/>
  <c r="Q24" i="16"/>
  <c r="P24" i="16"/>
  <c r="O24" i="16"/>
  <c r="N24" i="16"/>
  <c r="M24" i="16"/>
  <c r="L24" i="16"/>
  <c r="K24" i="16"/>
  <c r="J24" i="16"/>
  <c r="I24" i="16"/>
  <c r="H24" i="16"/>
  <c r="G24" i="16"/>
  <c r="F24" i="16"/>
  <c r="W21" i="16"/>
  <c r="V21" i="16"/>
  <c r="U21" i="16"/>
  <c r="T21" i="16"/>
  <c r="S21" i="16"/>
  <c r="R21" i="16"/>
  <c r="Q21" i="16"/>
  <c r="P21" i="16"/>
  <c r="O21" i="16"/>
  <c r="N21" i="16"/>
  <c r="M21" i="16"/>
  <c r="L21" i="16"/>
  <c r="K21" i="16"/>
  <c r="J21" i="16"/>
  <c r="I21" i="16"/>
  <c r="H21" i="16"/>
  <c r="G21" i="16"/>
  <c r="E13" i="16"/>
  <c r="W12" i="16"/>
  <c r="V12" i="16"/>
  <c r="U12" i="16"/>
  <c r="T12" i="16"/>
  <c r="S12" i="16"/>
  <c r="R12" i="16"/>
  <c r="Q12" i="16"/>
  <c r="P12" i="16"/>
  <c r="O12" i="16"/>
  <c r="N12" i="16"/>
  <c r="M12" i="16"/>
  <c r="L12" i="16"/>
  <c r="K12" i="16"/>
  <c r="J12" i="16"/>
  <c r="I12" i="16"/>
  <c r="H12" i="16"/>
  <c r="G12" i="16"/>
  <c r="F12" i="16"/>
  <c r="E12" i="16"/>
  <c r="E11" i="16"/>
  <c r="F11" i="16" s="1"/>
  <c r="G11" i="16" s="1"/>
  <c r="H11" i="16" s="1"/>
  <c r="I11" i="16" s="1"/>
  <c r="J11" i="16" s="1"/>
  <c r="K11" i="16" s="1"/>
  <c r="L11" i="16" s="1"/>
  <c r="M11" i="16" s="1"/>
  <c r="N11" i="16" s="1"/>
  <c r="O11" i="16" s="1"/>
  <c r="P11" i="16" s="1"/>
  <c r="Q11" i="16" s="1"/>
  <c r="R11" i="16" s="1"/>
  <c r="S11" i="16" s="1"/>
  <c r="T11" i="16" s="1"/>
  <c r="U11" i="16" s="1"/>
  <c r="V11" i="16" s="1"/>
  <c r="W11" i="16" s="1"/>
  <c r="X11" i="16" s="1"/>
  <c r="A11" i="16"/>
  <c r="W18" i="16"/>
  <c r="V18" i="16"/>
  <c r="U18" i="16"/>
  <c r="T18" i="16"/>
  <c r="S18" i="16"/>
  <c r="R18" i="16"/>
  <c r="Q18" i="16"/>
  <c r="P18" i="16"/>
  <c r="O18" i="16"/>
  <c r="N18" i="16"/>
  <c r="M18" i="16"/>
  <c r="L18" i="16"/>
  <c r="K18" i="16"/>
  <c r="J18" i="16"/>
  <c r="I18" i="16"/>
  <c r="H18" i="16"/>
  <c r="G18" i="16"/>
  <c r="F18" i="16"/>
  <c r="W15" i="16"/>
  <c r="V15" i="16"/>
  <c r="U15" i="16"/>
  <c r="T15" i="16"/>
  <c r="S15" i="16"/>
  <c r="R15" i="16"/>
  <c r="Q15" i="16"/>
  <c r="P15" i="16"/>
  <c r="O15" i="16"/>
  <c r="N15" i="16"/>
  <c r="M15" i="16"/>
  <c r="L15" i="16"/>
  <c r="K15" i="16"/>
  <c r="J15" i="16"/>
  <c r="I15" i="16"/>
  <c r="H15" i="16"/>
  <c r="G15" i="16"/>
  <c r="F15" i="16"/>
  <c r="G35" i="16" l="1"/>
  <c r="G32" i="16"/>
  <c r="G29" i="16"/>
  <c r="E71" i="23"/>
  <c r="F71" i="23"/>
  <c r="G71" i="23"/>
  <c r="H71" i="23"/>
  <c r="I71" i="23"/>
  <c r="C73" i="22"/>
  <c r="D73" i="22"/>
  <c r="E73" i="22"/>
  <c r="A74" i="22"/>
  <c r="D24" i="16"/>
  <c r="I8" i="25" s="1"/>
  <c r="D23" i="16"/>
  <c r="I7" i="25" s="1"/>
  <c r="D11" i="16"/>
  <c r="E7" i="25" s="1"/>
  <c r="D12" i="16"/>
  <c r="E8" i="25" s="1"/>
  <c r="J6" i="25"/>
  <c r="J10" i="25"/>
  <c r="A72" i="23"/>
  <c r="W9" i="16"/>
  <c r="V9" i="16"/>
  <c r="U9" i="16"/>
  <c r="T9" i="16"/>
  <c r="S9" i="16"/>
  <c r="R9" i="16"/>
  <c r="Q9" i="16"/>
  <c r="P9" i="16"/>
  <c r="O9" i="16"/>
  <c r="N9" i="16"/>
  <c r="M9" i="16"/>
  <c r="L9" i="16"/>
  <c r="K9" i="16"/>
  <c r="J9" i="16"/>
  <c r="I9" i="16"/>
  <c r="H9" i="16"/>
  <c r="G9" i="16"/>
  <c r="F9" i="16"/>
  <c r="H29" i="16" l="1"/>
  <c r="H32" i="16"/>
  <c r="H35" i="16"/>
  <c r="E72" i="23"/>
  <c r="F72" i="23"/>
  <c r="G72" i="23"/>
  <c r="H72" i="23"/>
  <c r="I72" i="23"/>
  <c r="C74" i="22"/>
  <c r="D74" i="22"/>
  <c r="E74" i="22"/>
  <c r="A75" i="22"/>
  <c r="A73" i="23"/>
  <c r="E22" i="16"/>
  <c r="D22" i="16" s="1"/>
  <c r="H9" i="25" s="1"/>
  <c r="E21" i="16"/>
  <c r="E20" i="16"/>
  <c r="F20" i="16" s="1"/>
  <c r="G20" i="16" s="1"/>
  <c r="H20" i="16" s="1"/>
  <c r="I20" i="16" s="1"/>
  <c r="J20" i="16" s="1"/>
  <c r="K20" i="16" s="1"/>
  <c r="L20" i="16" s="1"/>
  <c r="M20" i="16" s="1"/>
  <c r="N20" i="16" s="1"/>
  <c r="O20" i="16" s="1"/>
  <c r="P20" i="16" s="1"/>
  <c r="Q20" i="16" s="1"/>
  <c r="R20" i="16" s="1"/>
  <c r="S20" i="16" s="1"/>
  <c r="T20" i="16" s="1"/>
  <c r="U20" i="16" s="1"/>
  <c r="V20" i="16" s="1"/>
  <c r="W20" i="16" s="1"/>
  <c r="X20" i="16" s="1"/>
  <c r="E19" i="16"/>
  <c r="D19" i="16" s="1"/>
  <c r="G9" i="25" s="1"/>
  <c r="E18" i="16"/>
  <c r="E17" i="16"/>
  <c r="F17" i="16" s="1"/>
  <c r="G17" i="16" s="1"/>
  <c r="H17" i="16" s="1"/>
  <c r="I17" i="16" s="1"/>
  <c r="J17" i="16" s="1"/>
  <c r="K17" i="16" s="1"/>
  <c r="L17" i="16" s="1"/>
  <c r="M17" i="16" s="1"/>
  <c r="N17" i="16" s="1"/>
  <c r="O17" i="16" s="1"/>
  <c r="P17" i="16" s="1"/>
  <c r="Q17" i="16" s="1"/>
  <c r="R17" i="16" s="1"/>
  <c r="S17" i="16" s="1"/>
  <c r="T17" i="16" s="1"/>
  <c r="U17" i="16" s="1"/>
  <c r="V17" i="16" s="1"/>
  <c r="W17" i="16" s="1"/>
  <c r="X17" i="16" s="1"/>
  <c r="E16" i="16"/>
  <c r="D16" i="16" s="1"/>
  <c r="F9" i="25" s="1"/>
  <c r="E15" i="16"/>
  <c r="E14" i="16"/>
  <c r="F14" i="16" s="1"/>
  <c r="G14" i="16" s="1"/>
  <c r="H14" i="16" s="1"/>
  <c r="I14" i="16" s="1"/>
  <c r="J14" i="16" s="1"/>
  <c r="K14" i="16" s="1"/>
  <c r="L14" i="16" s="1"/>
  <c r="M14" i="16" s="1"/>
  <c r="N14" i="16" s="1"/>
  <c r="O14" i="16" s="1"/>
  <c r="P14" i="16" s="1"/>
  <c r="Q14" i="16" s="1"/>
  <c r="R14" i="16" s="1"/>
  <c r="S14" i="16" s="1"/>
  <c r="T14" i="16" s="1"/>
  <c r="U14" i="16" s="1"/>
  <c r="V14" i="16" s="1"/>
  <c r="W14" i="16" s="1"/>
  <c r="X14" i="16" s="1"/>
  <c r="E10" i="16"/>
  <c r="D10" i="16" s="1"/>
  <c r="D9" i="25" s="1"/>
  <c r="D25" i="16"/>
  <c r="I9" i="25" s="1"/>
  <c r="I10" i="25" s="1"/>
  <c r="D13" i="16"/>
  <c r="E9" i="25" s="1"/>
  <c r="E10" i="25" s="1"/>
  <c r="I35" i="16" l="1"/>
  <c r="I32" i="16"/>
  <c r="I29" i="16"/>
  <c r="E73" i="23"/>
  <c r="F73" i="23"/>
  <c r="G73" i="23"/>
  <c r="H73" i="23"/>
  <c r="I73" i="23"/>
  <c r="C75" i="22"/>
  <c r="D75" i="22"/>
  <c r="E75" i="22"/>
  <c r="A76" i="22"/>
  <c r="D20" i="16"/>
  <c r="H7" i="25" s="1"/>
  <c r="D21" i="16"/>
  <c r="H8" i="25" s="1"/>
  <c r="D14" i="16"/>
  <c r="F7" i="25" s="1"/>
  <c r="D15" i="16"/>
  <c r="F8" i="25" s="1"/>
  <c r="D17" i="16"/>
  <c r="G7" i="25" s="1"/>
  <c r="D18" i="16"/>
  <c r="G8" i="25" s="1"/>
  <c r="A74" i="23"/>
  <c r="E9" i="16"/>
  <c r="E8" i="16"/>
  <c r="F8" i="16" s="1"/>
  <c r="G8" i="16" s="1"/>
  <c r="H8" i="16" s="1"/>
  <c r="I8" i="16" s="1"/>
  <c r="J8" i="16" s="1"/>
  <c r="K8" i="16" s="1"/>
  <c r="L8" i="16" s="1"/>
  <c r="M8" i="16" s="1"/>
  <c r="N8" i="16" s="1"/>
  <c r="O8" i="16" s="1"/>
  <c r="P8" i="16" s="1"/>
  <c r="Q8" i="16" s="1"/>
  <c r="R8" i="16" s="1"/>
  <c r="S8" i="16" s="1"/>
  <c r="T8" i="16" s="1"/>
  <c r="U8" i="16" s="1"/>
  <c r="V8" i="16" s="1"/>
  <c r="W8" i="16" s="1"/>
  <c r="X8" i="16" s="1"/>
  <c r="A23" i="16"/>
  <c r="A20" i="16"/>
  <c r="A17" i="16"/>
  <c r="A14" i="16"/>
  <c r="A8" i="16"/>
  <c r="C25" i="16"/>
  <c r="I5" i="25" s="1"/>
  <c r="C23" i="16"/>
  <c r="I3" i="25" s="1"/>
  <c r="C22" i="16"/>
  <c r="H5" i="25" s="1"/>
  <c r="C20" i="16"/>
  <c r="H3" i="25" s="1"/>
  <c r="C19" i="16"/>
  <c r="G5" i="25" s="1"/>
  <c r="C17" i="16"/>
  <c r="G3" i="25" s="1"/>
  <c r="C14" i="16"/>
  <c r="C11" i="16"/>
  <c r="E6" i="16"/>
  <c r="E7" i="16"/>
  <c r="E5" i="16"/>
  <c r="E4" i="16"/>
  <c r="F4" i="16" s="1"/>
  <c r="G4" i="16" s="1"/>
  <c r="H4" i="16" s="1"/>
  <c r="A5" i="16"/>
  <c r="J29" i="16" l="1"/>
  <c r="J32" i="16"/>
  <c r="J35" i="16"/>
  <c r="E74" i="23"/>
  <c r="F74" i="23"/>
  <c r="G74" i="23"/>
  <c r="H74" i="23"/>
  <c r="I74" i="23"/>
  <c r="C76" i="22"/>
  <c r="D76" i="22"/>
  <c r="E76" i="22"/>
  <c r="J8" i="24"/>
  <c r="A77" i="22"/>
  <c r="F10" i="25"/>
  <c r="H10" i="25"/>
  <c r="G10" i="25"/>
  <c r="D8" i="16"/>
  <c r="D7" i="25" s="1"/>
  <c r="D9" i="16"/>
  <c r="D8" i="25" s="1"/>
  <c r="D62" i="24"/>
  <c r="I56" i="24"/>
  <c r="E55" i="24"/>
  <c r="D50" i="24"/>
  <c r="D26" i="24"/>
  <c r="I20" i="24"/>
  <c r="K19" i="24"/>
  <c r="J14" i="24"/>
  <c r="D67" i="24"/>
  <c r="E60" i="24"/>
  <c r="J55" i="24"/>
  <c r="D43" i="24"/>
  <c r="D31" i="24"/>
  <c r="I25" i="24"/>
  <c r="K24" i="24"/>
  <c r="D19" i="24"/>
  <c r="E12" i="24"/>
  <c r="E65" i="24"/>
  <c r="J60" i="24"/>
  <c r="E53" i="24"/>
  <c r="J48" i="24"/>
  <c r="K41" i="24"/>
  <c r="J36" i="24"/>
  <c r="I30" i="24"/>
  <c r="E29" i="24"/>
  <c r="J24" i="24"/>
  <c r="K17" i="24"/>
  <c r="J12" i="24"/>
  <c r="E68" i="24"/>
  <c r="J65" i="24"/>
  <c r="E56" i="24"/>
  <c r="O47" i="24"/>
  <c r="E44" i="24"/>
  <c r="J41" i="24"/>
  <c r="O35" i="24"/>
  <c r="E32" i="24"/>
  <c r="K20" i="24"/>
  <c r="D17" i="24"/>
  <c r="D61" i="24"/>
  <c r="K54" i="24"/>
  <c r="J49" i="24"/>
  <c r="D37" i="24"/>
  <c r="E30" i="24"/>
  <c r="J25" i="24"/>
  <c r="E18" i="24"/>
  <c r="J13" i="24"/>
  <c r="D66" i="24"/>
  <c r="K59" i="24"/>
  <c r="D54" i="24"/>
  <c r="K47" i="24"/>
  <c r="D42" i="24"/>
  <c r="O36" i="24"/>
  <c r="J30" i="24"/>
  <c r="I24" i="24"/>
  <c r="E23" i="24"/>
  <c r="D18" i="24"/>
  <c r="E11" i="24"/>
  <c r="D68" i="24"/>
  <c r="E49" i="24"/>
  <c r="I38" i="24"/>
  <c r="D20" i="24"/>
  <c r="J59" i="24"/>
  <c r="K38" i="24"/>
  <c r="O29" i="24"/>
  <c r="D11" i="24"/>
  <c r="K37" i="24"/>
  <c r="J47" i="24"/>
  <c r="K26" i="24"/>
  <c r="D44" i="24"/>
  <c r="K25" i="24"/>
  <c r="O14" i="24"/>
  <c r="K14" i="24"/>
  <c r="O41" i="24"/>
  <c r="J23" i="24"/>
  <c r="O50" i="24"/>
  <c r="D32" i="24"/>
  <c r="K13" i="24"/>
  <c r="K5" i="24"/>
  <c r="D6" i="24"/>
  <c r="K7" i="24"/>
  <c r="J5" i="24"/>
  <c r="D8" i="24"/>
  <c r="J7" i="24"/>
  <c r="E6" i="24"/>
  <c r="E47" i="24"/>
  <c r="E3" i="25"/>
  <c r="F3" i="25"/>
  <c r="A75" i="23"/>
  <c r="C7" i="16"/>
  <c r="C5" i="25" s="1"/>
  <c r="D7" i="16"/>
  <c r="C9" i="25" s="1"/>
  <c r="C15" i="16"/>
  <c r="C18" i="16"/>
  <c r="G4" i="25" s="1"/>
  <c r="G6" i="25" s="1"/>
  <c r="C21" i="16"/>
  <c r="H4" i="25" s="1"/>
  <c r="H6" i="25" s="1"/>
  <c r="C9" i="16"/>
  <c r="C12" i="16"/>
  <c r="C8" i="16"/>
  <c r="C24" i="16"/>
  <c r="I4" i="25" s="1"/>
  <c r="I6" i="25" s="1"/>
  <c r="C16" i="16"/>
  <c r="F5" i="25" s="1"/>
  <c r="C13" i="16"/>
  <c r="C10" i="16"/>
  <c r="K35" i="16" l="1"/>
  <c r="K32" i="16"/>
  <c r="K29" i="16"/>
  <c r="E75" i="23"/>
  <c r="F75" i="23"/>
  <c r="G75" i="23"/>
  <c r="H75" i="23"/>
  <c r="I75" i="23"/>
  <c r="C77" i="22"/>
  <c r="D77" i="22"/>
  <c r="E77" i="22"/>
  <c r="K56" i="24"/>
  <c r="D25" i="24"/>
  <c r="A78" i="22"/>
  <c r="E8" i="24"/>
  <c r="K8" i="24"/>
  <c r="K50" i="24"/>
  <c r="E50" i="24"/>
  <c r="E36" i="24"/>
  <c r="K36" i="24"/>
  <c r="K67" i="24"/>
  <c r="E67" i="24"/>
  <c r="D10" i="25"/>
  <c r="E54" i="24"/>
  <c r="K68" i="24"/>
  <c r="K32" i="24"/>
  <c r="K65" i="24"/>
  <c r="K29" i="24"/>
  <c r="E25" i="24"/>
  <c r="K30" i="24"/>
  <c r="E37" i="24"/>
  <c r="E7" i="24"/>
  <c r="K6" i="24"/>
  <c r="K49" i="24"/>
  <c r="E61" i="24"/>
  <c r="K61" i="24"/>
  <c r="K48" i="24"/>
  <c r="E48" i="24"/>
  <c r="E26" i="24"/>
  <c r="E13" i="24"/>
  <c r="K53" i="24"/>
  <c r="E19" i="24"/>
  <c r="K31" i="24"/>
  <c r="E31" i="24"/>
  <c r="J32" i="24"/>
  <c r="J44" i="24"/>
  <c r="E41" i="24"/>
  <c r="K12" i="24"/>
  <c r="K18" i="24"/>
  <c r="E12" i="25" s="1"/>
  <c r="E62" i="24"/>
  <c r="K62" i="24"/>
  <c r="K42" i="24"/>
  <c r="E42" i="24"/>
  <c r="E66" i="24"/>
  <c r="K66" i="24"/>
  <c r="K43" i="24"/>
  <c r="E43" i="24"/>
  <c r="K55" i="24"/>
  <c r="E14" i="24"/>
  <c r="E38" i="24"/>
  <c r="K23" i="24"/>
  <c r="F12" i="25" s="1"/>
  <c r="E17" i="24"/>
  <c r="K11" i="24"/>
  <c r="K60" i="24"/>
  <c r="E35" i="24"/>
  <c r="K35" i="24"/>
  <c r="E20" i="24"/>
  <c r="E24" i="24"/>
  <c r="E5" i="24"/>
  <c r="E59" i="24"/>
  <c r="K44" i="24"/>
  <c r="J54" i="24"/>
  <c r="J19" i="24"/>
  <c r="J68" i="24"/>
  <c r="J18" i="24"/>
  <c r="D65" i="24"/>
  <c r="O30" i="24"/>
  <c r="D60" i="24"/>
  <c r="D5" i="24"/>
  <c r="D48" i="24"/>
  <c r="J61" i="24"/>
  <c r="J31" i="24"/>
  <c r="J17" i="24"/>
  <c r="J42" i="24"/>
  <c r="I35" i="24"/>
  <c r="D59" i="24"/>
  <c r="I36" i="24"/>
  <c r="D13" i="24"/>
  <c r="J62" i="24"/>
  <c r="D30" i="24"/>
  <c r="I50" i="24"/>
  <c r="I23" i="24"/>
  <c r="O23" i="24"/>
  <c r="J6" i="24"/>
  <c r="C11" i="25" s="1"/>
  <c r="I68" i="24"/>
  <c r="O68" i="24"/>
  <c r="O31" i="24"/>
  <c r="I31" i="24"/>
  <c r="D7" i="24"/>
  <c r="J20" i="24"/>
  <c r="O24" i="24"/>
  <c r="I61" i="24"/>
  <c r="O61" i="24"/>
  <c r="I26" i="24"/>
  <c r="O26" i="24"/>
  <c r="J37" i="24"/>
  <c r="D24" i="24"/>
  <c r="O43" i="24"/>
  <c r="I43" i="24"/>
  <c r="I67" i="24"/>
  <c r="O67" i="24"/>
  <c r="I54" i="24"/>
  <c r="O54" i="24"/>
  <c r="O7" i="24"/>
  <c r="I7" i="24"/>
  <c r="I60" i="24"/>
  <c r="O60" i="24"/>
  <c r="J53" i="24"/>
  <c r="D53" i="24"/>
  <c r="D14" i="24"/>
  <c r="D49" i="24"/>
  <c r="J26" i="24"/>
  <c r="F11" i="25" s="1"/>
  <c r="O25" i="24"/>
  <c r="O38" i="24"/>
  <c r="I55" i="24"/>
  <c r="O55" i="24"/>
  <c r="D56" i="24"/>
  <c r="J56" i="24"/>
  <c r="O53" i="24"/>
  <c r="I53" i="24"/>
  <c r="I13" i="24"/>
  <c r="O13" i="24"/>
  <c r="O11" i="24"/>
  <c r="I11" i="24"/>
  <c r="I6" i="24"/>
  <c r="O6" i="24"/>
  <c r="O66" i="24"/>
  <c r="I66" i="24"/>
  <c r="I32" i="24"/>
  <c r="O32" i="24"/>
  <c r="O37" i="24"/>
  <c r="I37" i="24"/>
  <c r="J29" i="24"/>
  <c r="D29" i="24"/>
  <c r="D35" i="24"/>
  <c r="J35" i="24"/>
  <c r="J11" i="24"/>
  <c r="D11" i="25" s="1"/>
  <c r="J66" i="24"/>
  <c r="J50" i="24"/>
  <c r="J11" i="25" s="1"/>
  <c r="J67" i="24"/>
  <c r="O20" i="24"/>
  <c r="I12" i="24"/>
  <c r="O12" i="24"/>
  <c r="I42" i="24"/>
  <c r="O42" i="24"/>
  <c r="O48" i="24"/>
  <c r="I48" i="24"/>
  <c r="I18" i="24"/>
  <c r="O18" i="24"/>
  <c r="D23" i="24"/>
  <c r="O65" i="24"/>
  <c r="I65" i="24"/>
  <c r="I59" i="24"/>
  <c r="O59" i="24"/>
  <c r="I62" i="24"/>
  <c r="O62" i="24"/>
  <c r="O19" i="24"/>
  <c r="I19" i="24"/>
  <c r="D38" i="24"/>
  <c r="J38" i="24"/>
  <c r="D36" i="24"/>
  <c r="D47" i="24"/>
  <c r="I47" i="24"/>
  <c r="D12" i="24"/>
  <c r="O56" i="24"/>
  <c r="J43" i="24"/>
  <c r="O17" i="24"/>
  <c r="I17" i="24"/>
  <c r="I8" i="24"/>
  <c r="O8" i="24"/>
  <c r="I44" i="24"/>
  <c r="O44" i="24"/>
  <c r="O49" i="24"/>
  <c r="I49" i="24"/>
  <c r="I5" i="24"/>
  <c r="O5" i="24"/>
  <c r="D55" i="24"/>
  <c r="I29" i="24"/>
  <c r="D41" i="24"/>
  <c r="I14" i="24"/>
  <c r="I41" i="24"/>
  <c r="F4" i="25"/>
  <c r="F6" i="25" s="1"/>
  <c r="E4" i="25"/>
  <c r="D3" i="25"/>
  <c r="D4" i="25"/>
  <c r="E5" i="25"/>
  <c r="D5" i="25"/>
  <c r="A76" i="23"/>
  <c r="L29" i="16" l="1"/>
  <c r="L32" i="16"/>
  <c r="L35" i="16"/>
  <c r="E76" i="23"/>
  <c r="F76" i="23"/>
  <c r="G76" i="23"/>
  <c r="H76" i="23"/>
  <c r="I76" i="23"/>
  <c r="C78" i="22"/>
  <c r="D78" i="22"/>
  <c r="E78" i="22"/>
  <c r="G15" i="25"/>
  <c r="H15" i="25"/>
  <c r="L12" i="25"/>
  <c r="E15" i="25"/>
  <c r="M15" i="25"/>
  <c r="H12" i="25"/>
  <c r="D12" i="25"/>
  <c r="C12" i="25"/>
  <c r="C15" i="25"/>
  <c r="J12" i="25"/>
  <c r="G11" i="25"/>
  <c r="M11" i="25"/>
  <c r="H11" i="25"/>
  <c r="K11" i="25"/>
  <c r="I11" i="25"/>
  <c r="E11" i="25"/>
  <c r="L11" i="25"/>
  <c r="I12" i="25"/>
  <c r="K12" i="25"/>
  <c r="G12" i="25"/>
  <c r="M12" i="25"/>
  <c r="L15" i="25"/>
  <c r="J15" i="25"/>
  <c r="I15" i="25"/>
  <c r="D15" i="25"/>
  <c r="K15" i="25"/>
  <c r="F15" i="25"/>
  <c r="A79" i="22"/>
  <c r="D6" i="25"/>
  <c r="E6" i="25"/>
  <c r="A77" i="23"/>
  <c r="M35" i="16" l="1"/>
  <c r="M32" i="16"/>
  <c r="M29" i="16"/>
  <c r="E77" i="23"/>
  <c r="F77" i="23"/>
  <c r="G77" i="23"/>
  <c r="H77" i="23"/>
  <c r="I77" i="23"/>
  <c r="C79" i="22"/>
  <c r="D79" i="22"/>
  <c r="E79" i="22"/>
  <c r="R17" i="24"/>
  <c r="A80" i="22"/>
  <c r="A78" i="23"/>
  <c r="C13" i="15"/>
  <c r="C12" i="15"/>
  <c r="N29" i="16" l="1"/>
  <c r="N32" i="16"/>
  <c r="N35" i="16"/>
  <c r="E78" i="23"/>
  <c r="F78" i="23"/>
  <c r="G78" i="23"/>
  <c r="H78" i="23"/>
  <c r="I78" i="23"/>
  <c r="C80" i="22"/>
  <c r="D80" i="22"/>
  <c r="E80" i="22"/>
  <c r="A81" i="22"/>
  <c r="A79" i="23"/>
  <c r="C29" i="4"/>
  <c r="S70" i="24" l="1"/>
  <c r="S69" i="24"/>
  <c r="S68" i="24"/>
  <c r="S67" i="24"/>
  <c r="S66" i="24"/>
  <c r="S65" i="24"/>
  <c r="S64" i="24"/>
  <c r="S63" i="24"/>
  <c r="S62" i="24"/>
  <c r="S61" i="24"/>
  <c r="S60" i="24"/>
  <c r="S59" i="24"/>
  <c r="S58" i="24"/>
  <c r="S57" i="24"/>
  <c r="S56" i="24"/>
  <c r="S55" i="24"/>
  <c r="S54" i="24"/>
  <c r="S53" i="24"/>
  <c r="S52" i="24"/>
  <c r="S51" i="24"/>
  <c r="S50" i="24"/>
  <c r="S49" i="24"/>
  <c r="S48" i="24"/>
  <c r="S47" i="24"/>
  <c r="S46" i="24"/>
  <c r="S45" i="24"/>
  <c r="S44" i="24"/>
  <c r="S43" i="24"/>
  <c r="S42" i="24"/>
  <c r="S41" i="24"/>
  <c r="S40" i="24"/>
  <c r="S39" i="24"/>
  <c r="S38" i="24"/>
  <c r="S37" i="24"/>
  <c r="S36" i="24"/>
  <c r="S35" i="24"/>
  <c r="S34" i="24"/>
  <c r="S33" i="24"/>
  <c r="S32" i="24"/>
  <c r="S31" i="24"/>
  <c r="S30" i="24"/>
  <c r="S29" i="24"/>
  <c r="S28" i="24"/>
  <c r="S27" i="24"/>
  <c r="S26" i="24"/>
  <c r="S25" i="24"/>
  <c r="S24" i="24"/>
  <c r="S23" i="24"/>
  <c r="S22" i="24"/>
  <c r="S21" i="24"/>
  <c r="S20" i="24"/>
  <c r="S19" i="24"/>
  <c r="S18" i="24"/>
  <c r="S17" i="24"/>
  <c r="S16" i="24"/>
  <c r="S15" i="24"/>
  <c r="S14" i="24"/>
  <c r="S13" i="24"/>
  <c r="S12" i="24"/>
  <c r="S11" i="24"/>
  <c r="S10" i="24"/>
  <c r="S9" i="24"/>
  <c r="S5" i="24"/>
  <c r="S8" i="24"/>
  <c r="S7" i="24"/>
  <c r="S6" i="24"/>
  <c r="O35" i="16"/>
  <c r="O32" i="16"/>
  <c r="O29" i="16"/>
  <c r="E79" i="23"/>
  <c r="F79" i="23"/>
  <c r="G79" i="23"/>
  <c r="H79" i="23"/>
  <c r="I79" i="23"/>
  <c r="C81" i="22"/>
  <c r="D81" i="22"/>
  <c r="E81" i="22"/>
  <c r="A82" i="22"/>
  <c r="A80" i="23"/>
  <c r="P29" i="16" l="1"/>
  <c r="P32" i="16"/>
  <c r="P35" i="16"/>
  <c r="C82" i="22"/>
  <c r="D82" i="22"/>
  <c r="E82" i="22"/>
  <c r="E80" i="23"/>
  <c r="F80" i="23"/>
  <c r="G80" i="23"/>
  <c r="H80" i="23"/>
  <c r="I80" i="23"/>
  <c r="A83" i="22"/>
  <c r="A81" i="23"/>
  <c r="Q32" i="16" l="1"/>
  <c r="R32" i="16" s="1"/>
  <c r="S32" i="16" s="1"/>
  <c r="T32" i="16" s="1"/>
  <c r="U32" i="16" s="1"/>
  <c r="V32" i="16" s="1"/>
  <c r="W32" i="16" s="1"/>
  <c r="X32" i="16" s="1"/>
  <c r="C32" i="16" s="1"/>
  <c r="L3" i="25" s="1"/>
  <c r="L6" i="25" s="1"/>
  <c r="Q35" i="16"/>
  <c r="R35" i="16" s="1"/>
  <c r="S35" i="16" s="1"/>
  <c r="T35" i="16" s="1"/>
  <c r="U35" i="16" s="1"/>
  <c r="V35" i="16" s="1"/>
  <c r="W35" i="16" s="1"/>
  <c r="X35" i="16" s="1"/>
  <c r="C35" i="16" s="1"/>
  <c r="M3" i="25" s="1"/>
  <c r="M6" i="25" s="1"/>
  <c r="Q29" i="16"/>
  <c r="R29" i="16" s="1"/>
  <c r="S29" i="16" s="1"/>
  <c r="T29" i="16" s="1"/>
  <c r="U29" i="16" s="1"/>
  <c r="V29" i="16" s="1"/>
  <c r="W29" i="16" s="1"/>
  <c r="X29" i="16" s="1"/>
  <c r="C29" i="16" s="1"/>
  <c r="K3" i="25" s="1"/>
  <c r="K6" i="25" s="1"/>
  <c r="C83" i="22"/>
  <c r="D83" i="22"/>
  <c r="E83" i="22"/>
  <c r="E81" i="23"/>
  <c r="F81" i="23"/>
  <c r="G81" i="23"/>
  <c r="H81" i="23"/>
  <c r="I81" i="23"/>
  <c r="A84" i="22"/>
  <c r="A82" i="23"/>
  <c r="D29" i="16" l="1"/>
  <c r="K7" i="25" s="1"/>
  <c r="K10" i="25" s="1"/>
  <c r="D32" i="16"/>
  <c r="L7" i="25" s="1"/>
  <c r="L10" i="25" s="1"/>
  <c r="D35" i="16"/>
  <c r="M7" i="25" s="1"/>
  <c r="M10" i="25" s="1"/>
  <c r="C84" i="22"/>
  <c r="D84" i="22"/>
  <c r="E84" i="22"/>
  <c r="E82" i="23"/>
  <c r="F82" i="23"/>
  <c r="G82" i="23"/>
  <c r="H82" i="23"/>
  <c r="I82" i="23"/>
  <c r="A83" i="23"/>
  <c r="L26" i="24"/>
  <c r="F53" i="24"/>
  <c r="A85" i="22"/>
  <c r="Y70" i="24" l="1"/>
  <c r="Y69" i="24"/>
  <c r="Y68" i="24"/>
  <c r="Y67" i="24"/>
  <c r="Y66" i="24"/>
  <c r="Y65" i="24"/>
  <c r="Y64" i="24"/>
  <c r="Y63" i="24"/>
  <c r="Y62" i="24"/>
  <c r="Y61" i="24"/>
  <c r="Y60" i="24"/>
  <c r="Y59" i="24"/>
  <c r="Y58" i="24"/>
  <c r="Y57" i="24"/>
  <c r="Y56" i="24"/>
  <c r="Y55" i="24"/>
  <c r="Y54" i="24"/>
  <c r="Y53" i="24"/>
  <c r="Y52" i="24"/>
  <c r="Y51" i="24"/>
  <c r="Y50" i="24"/>
  <c r="Y49" i="24"/>
  <c r="Y48" i="24"/>
  <c r="Y47" i="24"/>
  <c r="Y46" i="24"/>
  <c r="Y45" i="24"/>
  <c r="Y44" i="24"/>
  <c r="Y43" i="24"/>
  <c r="Y42" i="24"/>
  <c r="Y41" i="24"/>
  <c r="Y40" i="24"/>
  <c r="Y39" i="24"/>
  <c r="Y38" i="24"/>
  <c r="Y37" i="24"/>
  <c r="Y36" i="24"/>
  <c r="Y35" i="24"/>
  <c r="Y34" i="24"/>
  <c r="Y33" i="24"/>
  <c r="Y32" i="24"/>
  <c r="Y31" i="24"/>
  <c r="Y30" i="24"/>
  <c r="Y29" i="24"/>
  <c r="Y28" i="24"/>
  <c r="Y27" i="24"/>
  <c r="Y26" i="24"/>
  <c r="Y25" i="24"/>
  <c r="Y24" i="24"/>
  <c r="Y23" i="24"/>
  <c r="Y22" i="24"/>
  <c r="Y21" i="24"/>
  <c r="Y20" i="24"/>
  <c r="Y19" i="24"/>
  <c r="Y18" i="24"/>
  <c r="Y17" i="24"/>
  <c r="Y16" i="24"/>
  <c r="Y15" i="24"/>
  <c r="Y14" i="24"/>
  <c r="Y13" i="24"/>
  <c r="Y12" i="24"/>
  <c r="Y11" i="24"/>
  <c r="Y10" i="24"/>
  <c r="Y9" i="24"/>
  <c r="Y5" i="24"/>
  <c r="Y8" i="24"/>
  <c r="Y7" i="24"/>
  <c r="Y6" i="24"/>
  <c r="AE70" i="24"/>
  <c r="AE69" i="24"/>
  <c r="AE68" i="24"/>
  <c r="AE67" i="24"/>
  <c r="AE66" i="24"/>
  <c r="AE65" i="24"/>
  <c r="AE64" i="24"/>
  <c r="AE63" i="24"/>
  <c r="AE62" i="24"/>
  <c r="AE61" i="24"/>
  <c r="AE60" i="24"/>
  <c r="AE59" i="24"/>
  <c r="AE58" i="24"/>
  <c r="AE57" i="24"/>
  <c r="AE56" i="24"/>
  <c r="AE55" i="24"/>
  <c r="AE54" i="24"/>
  <c r="AE53" i="24"/>
  <c r="AE52" i="24"/>
  <c r="AE51" i="24"/>
  <c r="AE50" i="24"/>
  <c r="AE49" i="24"/>
  <c r="AE48" i="24"/>
  <c r="AE47" i="24"/>
  <c r="AE46" i="24"/>
  <c r="AE45" i="24"/>
  <c r="AE44" i="24"/>
  <c r="AE43" i="24"/>
  <c r="AE42" i="24"/>
  <c r="AE41" i="24"/>
  <c r="AE40" i="24"/>
  <c r="AE39" i="24"/>
  <c r="AE38" i="24"/>
  <c r="AE37" i="24"/>
  <c r="AE36" i="24"/>
  <c r="AE35" i="24"/>
  <c r="AE34" i="24"/>
  <c r="AE33" i="24"/>
  <c r="AE32" i="24"/>
  <c r="AE31" i="24"/>
  <c r="AE30" i="24"/>
  <c r="AE29" i="24"/>
  <c r="AE28" i="24"/>
  <c r="AE27" i="24"/>
  <c r="AE26" i="24"/>
  <c r="AE25" i="24"/>
  <c r="AE24" i="24"/>
  <c r="AE23" i="24"/>
  <c r="AE22" i="24"/>
  <c r="AE21" i="24"/>
  <c r="AE20" i="24"/>
  <c r="AE19" i="24"/>
  <c r="AE18" i="24"/>
  <c r="AE17" i="24"/>
  <c r="AE16" i="24"/>
  <c r="AE15" i="24"/>
  <c r="AE14" i="24"/>
  <c r="AE13" i="24"/>
  <c r="AE12" i="24"/>
  <c r="AE11" i="24"/>
  <c r="AE10" i="24"/>
  <c r="AE9" i="24"/>
  <c r="AE5" i="24"/>
  <c r="AE8" i="24"/>
  <c r="AE7" i="24"/>
  <c r="AE6" i="24"/>
  <c r="AK70" i="24"/>
  <c r="AK69" i="24"/>
  <c r="AK68" i="24"/>
  <c r="AK67" i="24"/>
  <c r="AK66" i="24"/>
  <c r="AK65" i="24"/>
  <c r="AK64" i="24"/>
  <c r="AK63" i="24"/>
  <c r="AK62" i="24"/>
  <c r="AK61" i="24"/>
  <c r="AK60" i="24"/>
  <c r="AK59" i="24"/>
  <c r="AK58" i="24"/>
  <c r="AK57" i="24"/>
  <c r="AK56" i="24"/>
  <c r="AK55" i="24"/>
  <c r="AK54" i="24"/>
  <c r="AK53" i="24"/>
  <c r="AK52" i="24"/>
  <c r="AK51" i="24"/>
  <c r="AK50" i="24"/>
  <c r="AK49" i="24"/>
  <c r="AK48" i="24"/>
  <c r="AK47" i="24"/>
  <c r="AK46" i="24"/>
  <c r="AK45" i="24"/>
  <c r="AK44" i="24"/>
  <c r="AK43" i="24"/>
  <c r="AK42" i="24"/>
  <c r="AK41" i="24"/>
  <c r="AK40" i="24"/>
  <c r="AK39" i="24"/>
  <c r="AK38" i="24"/>
  <c r="AK37" i="24"/>
  <c r="AK36" i="24"/>
  <c r="AK35" i="24"/>
  <c r="AK34" i="24"/>
  <c r="AK33" i="24"/>
  <c r="AK32" i="24"/>
  <c r="AK31" i="24"/>
  <c r="AK30" i="24"/>
  <c r="AK29" i="24"/>
  <c r="AK28" i="24"/>
  <c r="AK27" i="24"/>
  <c r="AK26" i="24"/>
  <c r="AK25" i="24"/>
  <c r="AK24" i="24"/>
  <c r="AK23" i="24"/>
  <c r="AK22" i="24"/>
  <c r="AK21" i="24"/>
  <c r="AK20" i="24"/>
  <c r="AK19" i="24"/>
  <c r="AK18" i="24"/>
  <c r="AK17" i="24"/>
  <c r="AK16" i="24"/>
  <c r="AK15" i="24"/>
  <c r="AK14" i="24"/>
  <c r="AK13" i="24"/>
  <c r="AK12" i="24"/>
  <c r="AK11" i="24"/>
  <c r="AK10" i="24"/>
  <c r="AK9" i="24"/>
  <c r="AK5" i="24"/>
  <c r="AK8" i="24"/>
  <c r="AK7" i="24"/>
  <c r="AK6" i="24"/>
  <c r="AQ70" i="24"/>
  <c r="AQ69" i="24"/>
  <c r="AQ68" i="24"/>
  <c r="AQ67" i="24"/>
  <c r="AQ66" i="24"/>
  <c r="AQ65" i="24"/>
  <c r="AQ64" i="24"/>
  <c r="AQ63" i="24"/>
  <c r="AQ62" i="24"/>
  <c r="AQ61" i="24"/>
  <c r="AQ60" i="24"/>
  <c r="AQ59" i="24"/>
  <c r="AQ58" i="24"/>
  <c r="AQ57" i="24"/>
  <c r="AQ56" i="24"/>
  <c r="AQ55" i="24"/>
  <c r="AQ54" i="24"/>
  <c r="AQ53" i="24"/>
  <c r="AQ52" i="24"/>
  <c r="AQ51" i="24"/>
  <c r="AQ50" i="24"/>
  <c r="AQ49" i="24"/>
  <c r="AQ48" i="24"/>
  <c r="AQ47" i="24"/>
  <c r="AQ46" i="24"/>
  <c r="AQ45" i="24"/>
  <c r="AQ44" i="24"/>
  <c r="AQ43" i="24"/>
  <c r="AQ42" i="24"/>
  <c r="AQ41" i="24"/>
  <c r="AQ40" i="24"/>
  <c r="AQ39" i="24"/>
  <c r="AQ38" i="24"/>
  <c r="AQ37" i="24"/>
  <c r="AQ36" i="24"/>
  <c r="AQ35" i="24"/>
  <c r="AQ34" i="24"/>
  <c r="AQ33" i="24"/>
  <c r="AQ32" i="24"/>
  <c r="AQ31" i="24"/>
  <c r="AQ30" i="24"/>
  <c r="AQ29" i="24"/>
  <c r="AQ28" i="24"/>
  <c r="AQ27" i="24"/>
  <c r="AQ26" i="24"/>
  <c r="AQ25" i="24"/>
  <c r="AQ24" i="24"/>
  <c r="AQ23" i="24"/>
  <c r="AQ22" i="24"/>
  <c r="AQ21" i="24"/>
  <c r="AQ20" i="24"/>
  <c r="AQ19" i="24"/>
  <c r="AQ18" i="24"/>
  <c r="AQ17" i="24"/>
  <c r="AQ16" i="24"/>
  <c r="AQ15" i="24"/>
  <c r="AQ14" i="24"/>
  <c r="AQ13" i="24"/>
  <c r="AQ12" i="24"/>
  <c r="AQ11" i="24"/>
  <c r="AQ10" i="24"/>
  <c r="AQ9" i="24"/>
  <c r="AQ5" i="24"/>
  <c r="AQ8" i="24"/>
  <c r="AQ7" i="24"/>
  <c r="AQ6" i="24"/>
  <c r="AW70" i="24"/>
  <c r="AW69" i="24"/>
  <c r="AW68" i="24"/>
  <c r="AW67" i="24"/>
  <c r="AW66" i="24"/>
  <c r="AW65" i="24"/>
  <c r="AW64" i="24"/>
  <c r="AW63" i="24"/>
  <c r="AW62" i="24"/>
  <c r="AW61" i="24"/>
  <c r="AW60" i="24"/>
  <c r="AW59" i="24"/>
  <c r="AW58" i="24"/>
  <c r="AW57" i="24"/>
  <c r="AW56" i="24"/>
  <c r="AW55" i="24"/>
  <c r="AW54" i="24"/>
  <c r="AW53" i="24"/>
  <c r="AW52" i="24"/>
  <c r="AW51" i="24"/>
  <c r="AW50" i="24"/>
  <c r="AW49" i="24"/>
  <c r="AW48" i="24"/>
  <c r="AW47" i="24"/>
  <c r="AW46" i="24"/>
  <c r="AW45" i="24"/>
  <c r="AW44" i="24"/>
  <c r="AW43" i="24"/>
  <c r="AW42" i="24"/>
  <c r="AW41" i="24"/>
  <c r="AW40" i="24"/>
  <c r="AW39" i="24"/>
  <c r="AW38" i="24"/>
  <c r="AW37" i="24"/>
  <c r="AW36" i="24"/>
  <c r="AW35" i="24"/>
  <c r="AW34" i="24"/>
  <c r="AW33" i="24"/>
  <c r="AW32" i="24"/>
  <c r="AW31" i="24"/>
  <c r="AW30" i="24"/>
  <c r="AW29" i="24"/>
  <c r="AW28" i="24"/>
  <c r="AW27" i="24"/>
  <c r="AW26" i="24"/>
  <c r="AW25" i="24"/>
  <c r="AW24" i="24"/>
  <c r="AW23" i="24"/>
  <c r="AW22" i="24"/>
  <c r="AW21" i="24"/>
  <c r="AW20" i="24"/>
  <c r="AW19" i="24"/>
  <c r="AW18" i="24"/>
  <c r="AW17" i="24"/>
  <c r="AW16" i="24"/>
  <c r="AW15" i="24"/>
  <c r="AW14" i="24"/>
  <c r="AW13" i="24"/>
  <c r="AW12" i="24"/>
  <c r="AW11" i="24"/>
  <c r="AW10" i="24"/>
  <c r="AW9" i="24"/>
  <c r="AW5" i="24"/>
  <c r="AW8" i="24"/>
  <c r="AW7" i="24"/>
  <c r="AW6" i="24"/>
  <c r="BC70" i="24"/>
  <c r="BC69" i="24"/>
  <c r="BC68" i="24"/>
  <c r="BC67" i="24"/>
  <c r="BC66" i="24"/>
  <c r="BC65" i="24"/>
  <c r="BC64" i="24"/>
  <c r="BC63" i="24"/>
  <c r="BC62" i="24"/>
  <c r="BC61" i="24"/>
  <c r="BC60" i="24"/>
  <c r="BC59" i="24"/>
  <c r="BC58" i="24"/>
  <c r="BC57" i="24"/>
  <c r="BC56" i="24"/>
  <c r="BC55" i="24"/>
  <c r="BC54" i="24"/>
  <c r="BC53" i="24"/>
  <c r="BC52" i="24"/>
  <c r="BC51" i="24"/>
  <c r="BC50" i="24"/>
  <c r="BC49" i="24"/>
  <c r="BC48" i="24"/>
  <c r="BC47" i="24"/>
  <c r="BC46" i="24"/>
  <c r="BC45" i="24"/>
  <c r="BC44" i="24"/>
  <c r="BC43" i="24"/>
  <c r="BC42" i="24"/>
  <c r="BC41" i="24"/>
  <c r="BC40" i="24"/>
  <c r="BC39" i="24"/>
  <c r="BC38" i="24"/>
  <c r="BC37" i="24"/>
  <c r="BC36" i="24"/>
  <c r="BC35" i="24"/>
  <c r="BC34" i="24"/>
  <c r="BC33" i="24"/>
  <c r="BC32" i="24"/>
  <c r="BC31" i="24"/>
  <c r="BC30" i="24"/>
  <c r="BC29" i="24"/>
  <c r="BC28" i="24"/>
  <c r="BC27" i="24"/>
  <c r="BC26" i="24"/>
  <c r="BC25" i="24"/>
  <c r="BC24" i="24"/>
  <c r="BC23" i="24"/>
  <c r="BC22" i="24"/>
  <c r="BC21" i="24"/>
  <c r="BC20" i="24"/>
  <c r="BC19" i="24"/>
  <c r="BC18" i="24"/>
  <c r="BC17" i="24"/>
  <c r="BC16" i="24"/>
  <c r="BC15" i="24"/>
  <c r="BC14" i="24"/>
  <c r="BC13" i="24"/>
  <c r="BC12" i="24"/>
  <c r="BC11" i="24"/>
  <c r="BC10" i="24"/>
  <c r="BC9" i="24"/>
  <c r="BC5" i="24"/>
  <c r="BC8" i="24"/>
  <c r="BC7" i="24"/>
  <c r="BC6" i="24"/>
  <c r="BI70" i="24"/>
  <c r="BI69" i="24"/>
  <c r="BI68" i="24"/>
  <c r="BI67" i="24"/>
  <c r="BI66" i="24"/>
  <c r="BI65" i="24"/>
  <c r="BI64" i="24"/>
  <c r="BI63" i="24"/>
  <c r="BI62" i="24"/>
  <c r="BI61" i="24"/>
  <c r="BI60" i="24"/>
  <c r="BI59" i="24"/>
  <c r="BI58" i="24"/>
  <c r="BI57" i="24"/>
  <c r="BI56" i="24"/>
  <c r="BI55" i="24"/>
  <c r="BI54" i="24"/>
  <c r="BI53" i="24"/>
  <c r="BI52" i="24"/>
  <c r="BI51" i="24"/>
  <c r="BI50" i="24"/>
  <c r="BI49" i="24"/>
  <c r="BI48" i="24"/>
  <c r="BI47" i="24"/>
  <c r="BI46" i="24"/>
  <c r="BI45" i="24"/>
  <c r="BI44" i="24"/>
  <c r="BI43" i="24"/>
  <c r="BI42" i="24"/>
  <c r="BI41" i="24"/>
  <c r="BI40" i="24"/>
  <c r="BI39" i="24"/>
  <c r="BI38" i="24"/>
  <c r="BI37" i="24"/>
  <c r="BI36" i="24"/>
  <c r="BI35" i="24"/>
  <c r="BI34" i="24"/>
  <c r="BI33" i="24"/>
  <c r="BI32" i="24"/>
  <c r="BI31" i="24"/>
  <c r="BI30" i="24"/>
  <c r="BI29" i="24"/>
  <c r="BI28" i="24"/>
  <c r="BI27" i="24"/>
  <c r="BI26" i="24"/>
  <c r="BI25" i="24"/>
  <c r="BI24" i="24"/>
  <c r="BI23" i="24"/>
  <c r="BI22" i="24"/>
  <c r="BI21" i="24"/>
  <c r="BI20" i="24"/>
  <c r="BI19" i="24"/>
  <c r="BI18" i="24"/>
  <c r="BI17" i="24"/>
  <c r="BI16" i="24"/>
  <c r="BI15" i="24"/>
  <c r="BI14" i="24"/>
  <c r="BI13" i="24"/>
  <c r="BI12" i="24"/>
  <c r="BI11" i="24"/>
  <c r="BI10" i="24"/>
  <c r="BI9" i="24"/>
  <c r="BI5" i="24"/>
  <c r="BI8" i="24"/>
  <c r="BI7" i="24"/>
  <c r="BI6" i="24"/>
  <c r="BO70" i="24"/>
  <c r="BO69" i="24"/>
  <c r="BO68" i="24"/>
  <c r="BO67" i="24"/>
  <c r="BO66" i="24"/>
  <c r="BO65" i="24"/>
  <c r="BO64" i="24"/>
  <c r="BO63" i="24"/>
  <c r="BO62" i="24"/>
  <c r="BO61" i="24"/>
  <c r="BO60" i="24"/>
  <c r="BO59" i="24"/>
  <c r="BO58" i="24"/>
  <c r="BO57" i="24"/>
  <c r="BO56" i="24"/>
  <c r="BO55" i="24"/>
  <c r="BO54" i="24"/>
  <c r="BO53" i="24"/>
  <c r="BO52" i="24"/>
  <c r="BO51" i="24"/>
  <c r="BO50" i="24"/>
  <c r="BO49" i="24"/>
  <c r="BO48" i="24"/>
  <c r="BO47" i="24"/>
  <c r="BO46" i="24"/>
  <c r="BO45" i="24"/>
  <c r="BO44" i="24"/>
  <c r="BO43" i="24"/>
  <c r="BO42" i="24"/>
  <c r="BO41" i="24"/>
  <c r="BO40" i="24"/>
  <c r="BO39" i="24"/>
  <c r="BO38" i="24"/>
  <c r="BO37" i="24"/>
  <c r="BO36" i="24"/>
  <c r="BO35" i="24"/>
  <c r="BO34" i="24"/>
  <c r="BO33" i="24"/>
  <c r="BO32" i="24"/>
  <c r="BO31" i="24"/>
  <c r="BO30" i="24"/>
  <c r="BO29" i="24"/>
  <c r="BO28" i="24"/>
  <c r="BO27" i="24"/>
  <c r="BO26" i="24"/>
  <c r="BO25" i="24"/>
  <c r="BO24" i="24"/>
  <c r="BO23" i="24"/>
  <c r="BO22" i="24"/>
  <c r="BO21" i="24"/>
  <c r="BO20" i="24"/>
  <c r="BO19" i="24"/>
  <c r="BO18" i="24"/>
  <c r="BO17" i="24"/>
  <c r="BO16" i="24"/>
  <c r="BO15" i="24"/>
  <c r="BO14" i="24"/>
  <c r="BO13" i="24"/>
  <c r="BO12" i="24"/>
  <c r="BO11" i="24"/>
  <c r="BO10" i="24"/>
  <c r="BO9" i="24"/>
  <c r="BO5" i="24"/>
  <c r="BO8" i="24"/>
  <c r="BO7" i="24"/>
  <c r="BO6" i="24"/>
  <c r="BU70" i="24"/>
  <c r="BU69" i="24"/>
  <c r="BU68" i="24"/>
  <c r="BU67" i="24"/>
  <c r="BU66" i="24"/>
  <c r="BU65" i="24"/>
  <c r="BU64" i="24"/>
  <c r="BU63" i="24"/>
  <c r="BU62" i="24"/>
  <c r="BU61" i="24"/>
  <c r="BU60" i="24"/>
  <c r="BU59" i="24"/>
  <c r="BU58" i="24"/>
  <c r="BU57" i="24"/>
  <c r="BU56" i="24"/>
  <c r="BU55" i="24"/>
  <c r="BU54" i="24"/>
  <c r="BU53" i="24"/>
  <c r="BU52" i="24"/>
  <c r="BU51" i="24"/>
  <c r="BU50" i="24"/>
  <c r="BU49" i="24"/>
  <c r="BU48" i="24"/>
  <c r="BU47" i="24"/>
  <c r="BU46" i="24"/>
  <c r="BU45" i="24"/>
  <c r="BU44" i="24"/>
  <c r="BU43" i="24"/>
  <c r="BU42" i="24"/>
  <c r="BU41" i="24"/>
  <c r="BU40" i="24"/>
  <c r="BU39" i="24"/>
  <c r="BU38" i="24"/>
  <c r="BU37" i="24"/>
  <c r="BU36" i="24"/>
  <c r="BU35" i="24"/>
  <c r="BU34" i="24"/>
  <c r="BU33" i="24"/>
  <c r="BU32" i="24"/>
  <c r="BU31" i="24"/>
  <c r="BU30" i="24"/>
  <c r="BU29" i="24"/>
  <c r="BU28" i="24"/>
  <c r="BU27" i="24"/>
  <c r="BU26" i="24"/>
  <c r="BU25" i="24"/>
  <c r="BU24" i="24"/>
  <c r="BU23" i="24"/>
  <c r="BU22" i="24"/>
  <c r="BU21" i="24"/>
  <c r="BU20" i="24"/>
  <c r="BU19" i="24"/>
  <c r="BU18" i="24"/>
  <c r="BU17" i="24"/>
  <c r="BU16" i="24"/>
  <c r="BU15" i="24"/>
  <c r="BU14" i="24"/>
  <c r="BU13" i="24"/>
  <c r="BU12" i="24"/>
  <c r="BU11" i="24"/>
  <c r="BU10" i="24"/>
  <c r="BU9" i="24"/>
  <c r="BU5" i="24"/>
  <c r="BU8" i="24"/>
  <c r="BU7" i="24"/>
  <c r="BU6" i="24"/>
  <c r="CA70" i="24"/>
  <c r="CA69" i="24"/>
  <c r="CA68" i="24"/>
  <c r="CA67" i="24"/>
  <c r="CA66" i="24"/>
  <c r="CA65" i="24"/>
  <c r="CA64" i="24"/>
  <c r="CA63" i="24"/>
  <c r="CA62" i="24"/>
  <c r="CA61" i="24"/>
  <c r="CA60" i="24"/>
  <c r="CA59" i="24"/>
  <c r="CA58" i="24"/>
  <c r="CA57" i="24"/>
  <c r="CA56" i="24"/>
  <c r="CA55" i="24"/>
  <c r="CA54" i="24"/>
  <c r="CA53" i="24"/>
  <c r="CA52" i="24"/>
  <c r="CA51" i="24"/>
  <c r="CA50" i="24"/>
  <c r="CA49" i="24"/>
  <c r="CA48" i="24"/>
  <c r="CA47" i="24"/>
  <c r="CA46" i="24"/>
  <c r="CA45" i="24"/>
  <c r="CA44" i="24"/>
  <c r="CA43" i="24"/>
  <c r="CA42" i="24"/>
  <c r="CA41" i="24"/>
  <c r="CA40" i="24"/>
  <c r="CA39" i="24"/>
  <c r="CA38" i="24"/>
  <c r="CA37" i="24"/>
  <c r="CA36" i="24"/>
  <c r="CA35" i="24"/>
  <c r="CA34" i="24"/>
  <c r="CA33" i="24"/>
  <c r="CA32" i="24"/>
  <c r="CA31" i="24"/>
  <c r="CA30" i="24"/>
  <c r="CA29" i="24"/>
  <c r="CA28" i="24"/>
  <c r="CA27" i="24"/>
  <c r="CA26" i="24"/>
  <c r="CA25" i="24"/>
  <c r="CA24" i="24"/>
  <c r="CA23" i="24"/>
  <c r="CA22" i="24"/>
  <c r="CA21" i="24"/>
  <c r="CA20" i="24"/>
  <c r="CA19" i="24"/>
  <c r="CA18" i="24"/>
  <c r="CA17" i="24"/>
  <c r="CA16" i="24"/>
  <c r="CA15" i="24"/>
  <c r="CA14" i="24"/>
  <c r="CA13" i="24"/>
  <c r="CA12" i="24"/>
  <c r="CA11" i="24"/>
  <c r="CA10" i="24"/>
  <c r="CA9" i="24"/>
  <c r="CA5" i="24"/>
  <c r="CA8" i="24"/>
  <c r="CA7" i="24"/>
  <c r="CA6" i="24"/>
  <c r="CG70" i="24"/>
  <c r="CG69" i="24"/>
  <c r="CG68" i="24"/>
  <c r="CG67" i="24"/>
  <c r="CG66" i="24"/>
  <c r="CG65" i="24"/>
  <c r="CG64" i="24"/>
  <c r="CG63" i="24"/>
  <c r="CG62" i="24"/>
  <c r="CG61" i="24"/>
  <c r="CG60" i="24"/>
  <c r="CG59" i="24"/>
  <c r="CG58" i="24"/>
  <c r="CG57" i="24"/>
  <c r="CG56" i="24"/>
  <c r="CG55" i="24"/>
  <c r="CG54" i="24"/>
  <c r="CG53" i="24"/>
  <c r="CG52" i="24"/>
  <c r="CG51" i="24"/>
  <c r="CG50" i="24"/>
  <c r="CG49" i="24"/>
  <c r="CG48" i="24"/>
  <c r="CG47" i="24"/>
  <c r="CG46" i="24"/>
  <c r="CG45" i="24"/>
  <c r="CG44" i="24"/>
  <c r="CG43" i="24"/>
  <c r="CG42" i="24"/>
  <c r="CG41" i="24"/>
  <c r="CG40" i="24"/>
  <c r="CG39" i="24"/>
  <c r="CG38" i="24"/>
  <c r="CG37" i="24"/>
  <c r="CG36" i="24"/>
  <c r="CG35" i="24"/>
  <c r="CG34" i="24"/>
  <c r="CG33" i="24"/>
  <c r="CG32" i="24"/>
  <c r="CG31" i="24"/>
  <c r="CG30" i="24"/>
  <c r="CG29" i="24"/>
  <c r="CG28" i="24"/>
  <c r="CG27" i="24"/>
  <c r="CG26" i="24"/>
  <c r="CG25" i="24"/>
  <c r="CG24" i="24"/>
  <c r="CG23" i="24"/>
  <c r="CG22" i="24"/>
  <c r="CG21" i="24"/>
  <c r="CG20" i="24"/>
  <c r="CG19" i="24"/>
  <c r="CG18" i="24"/>
  <c r="CG17" i="24"/>
  <c r="CG16" i="24"/>
  <c r="CG15" i="24"/>
  <c r="CG14" i="24"/>
  <c r="CG13" i="24"/>
  <c r="CG12" i="24"/>
  <c r="CG11" i="24"/>
  <c r="CG10" i="24"/>
  <c r="CG9" i="24"/>
  <c r="CG5" i="24"/>
  <c r="CG8" i="24"/>
  <c r="CG7" i="24"/>
  <c r="CG6" i="24"/>
  <c r="CM70" i="24"/>
  <c r="CM69" i="24"/>
  <c r="CM68" i="24"/>
  <c r="CM67" i="24"/>
  <c r="CM66" i="24"/>
  <c r="CM65" i="24"/>
  <c r="CM64" i="24"/>
  <c r="CM63" i="24"/>
  <c r="CM62" i="24"/>
  <c r="CM61" i="24"/>
  <c r="CM60" i="24"/>
  <c r="CM59" i="24"/>
  <c r="CM58" i="24"/>
  <c r="CM57" i="24"/>
  <c r="CM56" i="24"/>
  <c r="CM55" i="24"/>
  <c r="CM54" i="24"/>
  <c r="CM53" i="24"/>
  <c r="CM52" i="24"/>
  <c r="CM51" i="24"/>
  <c r="CM50" i="24"/>
  <c r="CM49" i="24"/>
  <c r="CM48" i="24"/>
  <c r="CM47" i="24"/>
  <c r="CM46" i="24"/>
  <c r="CM45" i="24"/>
  <c r="CM44" i="24"/>
  <c r="CM43" i="24"/>
  <c r="CM42" i="24"/>
  <c r="CM41" i="24"/>
  <c r="CM40" i="24"/>
  <c r="CM39" i="24"/>
  <c r="CM38" i="24"/>
  <c r="CM37" i="24"/>
  <c r="CM36" i="24"/>
  <c r="CM35" i="24"/>
  <c r="CM34" i="24"/>
  <c r="CM33" i="24"/>
  <c r="CM32" i="24"/>
  <c r="CM31" i="24"/>
  <c r="CM30" i="24"/>
  <c r="CM29" i="24"/>
  <c r="CM28" i="24"/>
  <c r="CM27" i="24"/>
  <c r="CM26" i="24"/>
  <c r="CM25" i="24"/>
  <c r="CM24" i="24"/>
  <c r="CM23" i="24"/>
  <c r="CM22" i="24"/>
  <c r="CM21" i="24"/>
  <c r="CM20" i="24"/>
  <c r="CM19" i="24"/>
  <c r="CM18" i="24"/>
  <c r="CM17" i="24"/>
  <c r="CM16" i="24"/>
  <c r="CM15" i="24"/>
  <c r="CM14" i="24"/>
  <c r="CM13" i="24"/>
  <c r="CM12" i="24"/>
  <c r="CM11" i="24"/>
  <c r="CM10" i="24"/>
  <c r="CM9" i="24"/>
  <c r="CM5" i="24"/>
  <c r="CM8" i="24"/>
  <c r="CM7" i="24"/>
  <c r="CM6" i="24"/>
  <c r="CS70" i="24"/>
  <c r="CS69" i="24"/>
  <c r="CS68" i="24"/>
  <c r="CS67" i="24"/>
  <c r="CS66" i="24"/>
  <c r="CS65" i="24"/>
  <c r="CS64" i="24"/>
  <c r="CS63" i="24"/>
  <c r="CS62" i="24"/>
  <c r="CS61" i="24"/>
  <c r="CS60" i="24"/>
  <c r="CS59" i="24"/>
  <c r="CS58" i="24"/>
  <c r="CS57" i="24"/>
  <c r="CS56" i="24"/>
  <c r="CS55" i="24"/>
  <c r="CS54" i="24"/>
  <c r="CS53" i="24"/>
  <c r="CS52" i="24"/>
  <c r="CS51" i="24"/>
  <c r="CS50" i="24"/>
  <c r="CS49" i="24"/>
  <c r="CS48" i="24"/>
  <c r="CS47" i="24"/>
  <c r="CS46" i="24"/>
  <c r="CS45" i="24"/>
  <c r="CS44" i="24"/>
  <c r="CS43" i="24"/>
  <c r="CS42" i="24"/>
  <c r="CS41" i="24"/>
  <c r="CS40" i="24"/>
  <c r="CS39" i="24"/>
  <c r="CS38" i="24"/>
  <c r="CS37" i="24"/>
  <c r="CS36" i="24"/>
  <c r="CS35" i="24"/>
  <c r="CS34" i="24"/>
  <c r="CS33" i="24"/>
  <c r="CS32" i="24"/>
  <c r="CS31" i="24"/>
  <c r="CS30" i="24"/>
  <c r="CS29" i="24"/>
  <c r="CS28" i="24"/>
  <c r="CS27" i="24"/>
  <c r="CS26" i="24"/>
  <c r="CS25" i="24"/>
  <c r="CS24" i="24"/>
  <c r="CS23" i="24"/>
  <c r="CS22" i="24"/>
  <c r="CS21" i="24"/>
  <c r="CS20" i="24"/>
  <c r="CS19" i="24"/>
  <c r="CS18" i="24"/>
  <c r="CS17" i="24"/>
  <c r="CS16" i="24"/>
  <c r="CS15" i="24"/>
  <c r="CS14" i="24"/>
  <c r="CS13" i="24"/>
  <c r="CS12" i="24"/>
  <c r="CS11" i="24"/>
  <c r="CS10" i="24"/>
  <c r="CS9" i="24"/>
  <c r="CS5" i="24"/>
  <c r="CS8" i="24"/>
  <c r="CS7" i="24"/>
  <c r="CS6" i="24"/>
  <c r="CY70" i="24"/>
  <c r="CY69" i="24"/>
  <c r="CY68" i="24"/>
  <c r="CY67" i="24"/>
  <c r="CY66" i="24"/>
  <c r="CY65" i="24"/>
  <c r="CY64" i="24"/>
  <c r="CY63" i="24"/>
  <c r="CY62" i="24"/>
  <c r="CY61" i="24"/>
  <c r="CY60" i="24"/>
  <c r="CY59" i="24"/>
  <c r="CY58" i="24"/>
  <c r="CY57" i="24"/>
  <c r="CY56" i="24"/>
  <c r="CY55" i="24"/>
  <c r="CY54" i="24"/>
  <c r="CY53" i="24"/>
  <c r="CY52" i="24"/>
  <c r="CY51" i="24"/>
  <c r="CY50" i="24"/>
  <c r="CY49" i="24"/>
  <c r="CY48" i="24"/>
  <c r="CY47" i="24"/>
  <c r="CY46" i="24"/>
  <c r="CY45" i="24"/>
  <c r="CY44" i="24"/>
  <c r="CY43" i="24"/>
  <c r="CY42" i="24"/>
  <c r="CY41" i="24"/>
  <c r="CY40" i="24"/>
  <c r="CY39" i="24"/>
  <c r="CY38" i="24"/>
  <c r="CY37" i="24"/>
  <c r="CY36" i="24"/>
  <c r="CY35" i="24"/>
  <c r="CY34" i="24"/>
  <c r="CY33" i="24"/>
  <c r="CY32" i="24"/>
  <c r="CY31" i="24"/>
  <c r="CY30" i="24"/>
  <c r="CY29" i="24"/>
  <c r="CY28" i="24"/>
  <c r="CY27" i="24"/>
  <c r="CY26" i="24"/>
  <c r="CY25" i="24"/>
  <c r="CY24" i="24"/>
  <c r="CY23" i="24"/>
  <c r="CY22" i="24"/>
  <c r="CY21" i="24"/>
  <c r="CY20" i="24"/>
  <c r="CY19" i="24"/>
  <c r="CY18" i="24"/>
  <c r="CY17" i="24"/>
  <c r="CY16" i="24"/>
  <c r="CY15" i="24"/>
  <c r="CY14" i="24"/>
  <c r="CY13" i="24"/>
  <c r="CY12" i="24"/>
  <c r="CY11" i="24"/>
  <c r="CY10" i="24"/>
  <c r="CY9" i="24"/>
  <c r="CY5" i="24"/>
  <c r="CY8" i="24"/>
  <c r="CY7" i="24"/>
  <c r="CY6" i="24"/>
  <c r="DE70" i="24"/>
  <c r="DE69" i="24"/>
  <c r="DE68" i="24"/>
  <c r="DE67" i="24"/>
  <c r="DE66" i="24"/>
  <c r="DE65" i="24"/>
  <c r="DE64" i="24"/>
  <c r="DE63" i="24"/>
  <c r="DE62" i="24"/>
  <c r="DE61" i="24"/>
  <c r="DE60" i="24"/>
  <c r="DE59" i="24"/>
  <c r="DE58" i="24"/>
  <c r="DE57" i="24"/>
  <c r="DE56" i="24"/>
  <c r="DE55" i="24"/>
  <c r="DE54" i="24"/>
  <c r="DE53" i="24"/>
  <c r="DE52" i="24"/>
  <c r="DE51" i="24"/>
  <c r="DE50" i="24"/>
  <c r="DE49" i="24"/>
  <c r="DE48" i="24"/>
  <c r="DE47" i="24"/>
  <c r="DE46" i="24"/>
  <c r="DE45" i="24"/>
  <c r="DE44" i="24"/>
  <c r="DE43" i="24"/>
  <c r="DE42" i="24"/>
  <c r="DE41" i="24"/>
  <c r="DE40" i="24"/>
  <c r="DE39" i="24"/>
  <c r="DE38" i="24"/>
  <c r="DE37" i="24"/>
  <c r="DE36" i="24"/>
  <c r="DE35" i="24"/>
  <c r="DE34" i="24"/>
  <c r="DE33" i="24"/>
  <c r="DE32" i="24"/>
  <c r="DE31" i="24"/>
  <c r="DE30" i="24"/>
  <c r="DE29" i="24"/>
  <c r="DE28" i="24"/>
  <c r="DE27" i="24"/>
  <c r="DE26" i="24"/>
  <c r="DE25" i="24"/>
  <c r="DE24" i="24"/>
  <c r="DE23" i="24"/>
  <c r="DE22" i="24"/>
  <c r="DE21" i="24"/>
  <c r="DE20" i="24"/>
  <c r="DE19" i="24"/>
  <c r="DE18" i="24"/>
  <c r="DE17" i="24"/>
  <c r="DE16" i="24"/>
  <c r="DE15" i="24"/>
  <c r="DE14" i="24"/>
  <c r="DE13" i="24"/>
  <c r="DE12" i="24"/>
  <c r="DE11" i="24"/>
  <c r="DE10" i="24"/>
  <c r="DE9" i="24"/>
  <c r="DE5" i="24"/>
  <c r="DE8" i="24"/>
  <c r="DE7" i="24"/>
  <c r="DE6" i="24"/>
  <c r="DK70" i="24"/>
  <c r="DK69" i="24"/>
  <c r="DK68" i="24"/>
  <c r="DK67" i="24"/>
  <c r="DK66" i="24"/>
  <c r="DK65" i="24"/>
  <c r="DK64" i="24"/>
  <c r="DK63" i="24"/>
  <c r="DK62" i="24"/>
  <c r="DK61" i="24"/>
  <c r="DK60" i="24"/>
  <c r="DK59" i="24"/>
  <c r="DK58" i="24"/>
  <c r="DK57" i="24"/>
  <c r="DK56" i="24"/>
  <c r="DK55" i="24"/>
  <c r="DK54" i="24"/>
  <c r="DK53" i="24"/>
  <c r="DK52" i="24"/>
  <c r="DK51" i="24"/>
  <c r="DK50" i="24"/>
  <c r="DK49" i="24"/>
  <c r="DK48" i="24"/>
  <c r="DK47" i="24"/>
  <c r="DK46" i="24"/>
  <c r="DK45" i="24"/>
  <c r="DK44" i="24"/>
  <c r="DK43" i="24"/>
  <c r="DK42" i="24"/>
  <c r="DK41" i="24"/>
  <c r="DK40" i="24"/>
  <c r="DK39" i="24"/>
  <c r="DK38" i="24"/>
  <c r="DK37" i="24"/>
  <c r="DK36" i="24"/>
  <c r="DK35" i="24"/>
  <c r="DK34" i="24"/>
  <c r="DK33" i="24"/>
  <c r="DK32" i="24"/>
  <c r="DK31" i="24"/>
  <c r="DK30" i="24"/>
  <c r="DK29" i="24"/>
  <c r="DK28" i="24"/>
  <c r="DK27" i="24"/>
  <c r="DK26" i="24"/>
  <c r="DK25" i="24"/>
  <c r="DK24" i="24"/>
  <c r="DK23" i="24"/>
  <c r="DK22" i="24"/>
  <c r="DK21" i="24"/>
  <c r="DK20" i="24"/>
  <c r="DK19" i="24"/>
  <c r="DK18" i="24"/>
  <c r="DK17" i="24"/>
  <c r="DK16" i="24"/>
  <c r="DK15" i="24"/>
  <c r="DK14" i="24"/>
  <c r="DK13" i="24"/>
  <c r="DK12" i="24"/>
  <c r="DK11" i="24"/>
  <c r="DK10" i="24"/>
  <c r="DK9" i="24"/>
  <c r="DK5" i="24"/>
  <c r="DK8" i="24"/>
  <c r="DK7" i="24"/>
  <c r="DK6" i="24"/>
  <c r="DQ70" i="24"/>
  <c r="DQ69" i="24"/>
  <c r="DQ68" i="24"/>
  <c r="DQ67" i="24"/>
  <c r="DQ66" i="24"/>
  <c r="DQ65" i="24"/>
  <c r="DQ64" i="24"/>
  <c r="DQ63" i="24"/>
  <c r="DQ62" i="24"/>
  <c r="DQ61" i="24"/>
  <c r="DQ60" i="24"/>
  <c r="DQ59" i="24"/>
  <c r="DQ58" i="24"/>
  <c r="DQ57" i="24"/>
  <c r="DQ56" i="24"/>
  <c r="DQ55" i="24"/>
  <c r="DQ54" i="24"/>
  <c r="DQ53" i="24"/>
  <c r="DQ52" i="24"/>
  <c r="DQ51" i="24"/>
  <c r="DQ50" i="24"/>
  <c r="DQ49" i="24"/>
  <c r="DQ48" i="24"/>
  <c r="DQ47" i="24"/>
  <c r="DQ46" i="24"/>
  <c r="DQ45" i="24"/>
  <c r="DQ44" i="24"/>
  <c r="DQ43" i="24"/>
  <c r="DQ42" i="24"/>
  <c r="DQ41" i="24"/>
  <c r="DQ40" i="24"/>
  <c r="DQ39" i="24"/>
  <c r="DQ38" i="24"/>
  <c r="DQ37" i="24"/>
  <c r="DQ36" i="24"/>
  <c r="DQ35" i="24"/>
  <c r="DQ34" i="24"/>
  <c r="DQ33" i="24"/>
  <c r="DQ32" i="24"/>
  <c r="DQ31" i="24"/>
  <c r="DQ30" i="24"/>
  <c r="DQ29" i="24"/>
  <c r="DQ28" i="24"/>
  <c r="DQ27" i="24"/>
  <c r="DQ26" i="24"/>
  <c r="DQ25" i="24"/>
  <c r="DQ24" i="24"/>
  <c r="DQ23" i="24"/>
  <c r="DQ22" i="24"/>
  <c r="DQ21" i="24"/>
  <c r="DQ20" i="24"/>
  <c r="DQ19" i="24"/>
  <c r="DQ18" i="24"/>
  <c r="DQ17" i="24"/>
  <c r="DQ16" i="24"/>
  <c r="DQ15" i="24"/>
  <c r="DQ14" i="24"/>
  <c r="DQ13" i="24"/>
  <c r="DQ12" i="24"/>
  <c r="DQ11" i="24"/>
  <c r="DQ10" i="24"/>
  <c r="DQ9" i="24"/>
  <c r="DQ5" i="24"/>
  <c r="DQ8" i="24"/>
  <c r="DQ7" i="24"/>
  <c r="DQ6" i="24"/>
  <c r="DW70" i="24"/>
  <c r="DW69" i="24"/>
  <c r="DW68" i="24"/>
  <c r="DW67" i="24"/>
  <c r="DW66" i="24"/>
  <c r="DW65" i="24"/>
  <c r="DW64" i="24"/>
  <c r="DW63" i="24"/>
  <c r="DW62" i="24"/>
  <c r="DW61" i="24"/>
  <c r="DW60" i="24"/>
  <c r="DW59" i="24"/>
  <c r="DW58" i="24"/>
  <c r="DW57" i="24"/>
  <c r="DW56" i="24"/>
  <c r="DW55" i="24"/>
  <c r="DW54" i="24"/>
  <c r="DW53" i="24"/>
  <c r="DW52" i="24"/>
  <c r="DW51" i="24"/>
  <c r="DW50" i="24"/>
  <c r="DW49" i="24"/>
  <c r="DW48" i="24"/>
  <c r="DW47" i="24"/>
  <c r="DW46" i="24"/>
  <c r="DW45" i="24"/>
  <c r="DW44" i="24"/>
  <c r="DW43" i="24"/>
  <c r="DW42" i="24"/>
  <c r="DW41" i="24"/>
  <c r="DW40" i="24"/>
  <c r="DW39" i="24"/>
  <c r="DW38" i="24"/>
  <c r="DW37" i="24"/>
  <c r="DW36" i="24"/>
  <c r="DW35" i="24"/>
  <c r="DW34" i="24"/>
  <c r="DW33" i="24"/>
  <c r="DW32" i="24"/>
  <c r="DW31" i="24"/>
  <c r="DW30" i="24"/>
  <c r="DW29" i="24"/>
  <c r="DW28" i="24"/>
  <c r="DW27" i="24"/>
  <c r="DW26" i="24"/>
  <c r="DW25" i="24"/>
  <c r="DW24" i="24"/>
  <c r="DW23" i="24"/>
  <c r="DW22" i="24"/>
  <c r="DW21" i="24"/>
  <c r="DW20" i="24"/>
  <c r="DW19" i="24"/>
  <c r="DW18" i="24"/>
  <c r="DW17" i="24"/>
  <c r="DW16" i="24"/>
  <c r="DW15" i="24"/>
  <c r="DW14" i="24"/>
  <c r="DW13" i="24"/>
  <c r="DW12" i="24"/>
  <c r="DW11" i="24"/>
  <c r="DW10" i="24"/>
  <c r="DW9" i="24"/>
  <c r="DW5" i="24"/>
  <c r="DW8" i="24"/>
  <c r="DW7" i="24"/>
  <c r="DW6" i="24"/>
  <c r="EC70" i="24"/>
  <c r="EC69" i="24"/>
  <c r="EC68" i="24"/>
  <c r="EC67" i="24"/>
  <c r="EC66" i="24"/>
  <c r="EC65" i="24"/>
  <c r="EC64" i="24"/>
  <c r="EC63" i="24"/>
  <c r="EC62" i="24"/>
  <c r="EC61" i="24"/>
  <c r="EC60" i="24"/>
  <c r="EC59" i="24"/>
  <c r="EC58" i="24"/>
  <c r="EC57" i="24"/>
  <c r="EC56" i="24"/>
  <c r="EC55" i="24"/>
  <c r="EC54" i="24"/>
  <c r="EC53" i="24"/>
  <c r="EC52" i="24"/>
  <c r="EC51" i="24"/>
  <c r="EC50" i="24"/>
  <c r="EC49" i="24"/>
  <c r="EC48" i="24"/>
  <c r="EC47" i="24"/>
  <c r="EC46" i="24"/>
  <c r="EC45" i="24"/>
  <c r="EC44" i="24"/>
  <c r="EC43" i="24"/>
  <c r="EC42" i="24"/>
  <c r="EC41" i="24"/>
  <c r="EC40" i="24"/>
  <c r="EC39" i="24"/>
  <c r="EC38" i="24"/>
  <c r="EC37" i="24"/>
  <c r="EC36" i="24"/>
  <c r="EC35" i="24"/>
  <c r="EC34" i="24"/>
  <c r="EC33" i="24"/>
  <c r="EC32" i="24"/>
  <c r="EC31" i="24"/>
  <c r="EC30" i="24"/>
  <c r="EC29" i="24"/>
  <c r="EC28" i="24"/>
  <c r="EC27" i="24"/>
  <c r="EC26" i="24"/>
  <c r="EC25" i="24"/>
  <c r="EC24" i="24"/>
  <c r="EC23" i="24"/>
  <c r="EC22" i="24"/>
  <c r="EC21" i="24"/>
  <c r="EC20" i="24"/>
  <c r="EC19" i="24"/>
  <c r="EC18" i="24"/>
  <c r="EC17" i="24"/>
  <c r="EC16" i="24"/>
  <c r="EC15" i="24"/>
  <c r="EC14" i="24"/>
  <c r="EC13" i="24"/>
  <c r="EC12" i="24"/>
  <c r="EC11" i="24"/>
  <c r="EC10" i="24"/>
  <c r="EC9" i="24"/>
  <c r="EC5" i="24"/>
  <c r="EC8" i="24"/>
  <c r="EC7" i="24"/>
  <c r="EC6" i="24"/>
  <c r="A84" i="23"/>
  <c r="E83" i="23"/>
  <c r="F83" i="23"/>
  <c r="G83" i="23"/>
  <c r="H83" i="23"/>
  <c r="I83" i="23"/>
  <c r="C85" i="22"/>
  <c r="D85" i="22"/>
  <c r="E85" i="22"/>
  <c r="L18" i="24"/>
  <c r="L55" i="24"/>
  <c r="F37" i="24"/>
  <c r="L17" i="24"/>
  <c r="L64" i="24"/>
  <c r="F30" i="24"/>
  <c r="F36" i="24"/>
  <c r="L24" i="24"/>
  <c r="L61" i="24"/>
  <c r="F65" i="24"/>
  <c r="L54" i="24"/>
  <c r="F11" i="24"/>
  <c r="L39" i="24"/>
  <c r="F66" i="24"/>
  <c r="L57" i="24"/>
  <c r="L35" i="24"/>
  <c r="L49" i="24"/>
  <c r="L48" i="24"/>
  <c r="L50" i="24"/>
  <c r="F59" i="24"/>
  <c r="L62" i="24"/>
  <c r="F14" i="24"/>
  <c r="L20" i="24"/>
  <c r="L42" i="24"/>
  <c r="F43" i="24"/>
  <c r="F44" i="24"/>
  <c r="F41" i="24"/>
  <c r="L38" i="24"/>
  <c r="F38" i="24"/>
  <c r="F26" i="24"/>
  <c r="L63" i="24"/>
  <c r="F63" i="24"/>
  <c r="L21" i="24"/>
  <c r="F21" i="24"/>
  <c r="F64" i="24"/>
  <c r="L22" i="24"/>
  <c r="F22" i="24"/>
  <c r="L16" i="24"/>
  <c r="F16" i="24"/>
  <c r="L15" i="24"/>
  <c r="F15" i="24"/>
  <c r="L9" i="24"/>
  <c r="F9" i="24"/>
  <c r="L10" i="24"/>
  <c r="F10" i="24"/>
  <c r="L27" i="24"/>
  <c r="F27" i="24"/>
  <c r="L28" i="24"/>
  <c r="F28" i="24"/>
  <c r="L33" i="24"/>
  <c r="F33" i="24"/>
  <c r="L34" i="24"/>
  <c r="F34" i="24"/>
  <c r="L40" i="24"/>
  <c r="F40" i="24"/>
  <c r="L45" i="24"/>
  <c r="F45" i="24"/>
  <c r="L46" i="24"/>
  <c r="F46" i="24"/>
  <c r="L51" i="24"/>
  <c r="F51" i="24"/>
  <c r="L52" i="24"/>
  <c r="F52" i="24"/>
  <c r="L58" i="24"/>
  <c r="F58" i="24"/>
  <c r="L69" i="24"/>
  <c r="L70" i="24"/>
  <c r="F70" i="24"/>
  <c r="L31" i="24"/>
  <c r="F48" i="24"/>
  <c r="L11" i="24"/>
  <c r="F50" i="24"/>
  <c r="F56" i="24"/>
  <c r="L44" i="24"/>
  <c r="F49" i="24"/>
  <c r="F42" i="24"/>
  <c r="L7" i="24"/>
  <c r="L37" i="24"/>
  <c r="F20" i="24"/>
  <c r="L14" i="24"/>
  <c r="F55" i="24"/>
  <c r="F25" i="24"/>
  <c r="F17" i="24"/>
  <c r="L36" i="24"/>
  <c r="L41" i="24"/>
  <c r="F5" i="24"/>
  <c r="L66" i="24"/>
  <c r="L30" i="24"/>
  <c r="L29" i="24"/>
  <c r="F62" i="24"/>
  <c r="L59" i="24"/>
  <c r="L68" i="24"/>
  <c r="L53" i="24"/>
  <c r="L6" i="24"/>
  <c r="F18" i="24"/>
  <c r="L43" i="24"/>
  <c r="C6" i="4"/>
  <c r="C9" i="4"/>
  <c r="C5" i="5" s="1"/>
  <c r="X6" i="16" l="1"/>
  <c r="F5" i="16"/>
  <c r="G5" i="16" s="1"/>
  <c r="H5" i="16" s="1"/>
  <c r="I5" i="16" s="1"/>
  <c r="J5" i="16" s="1"/>
  <c r="K5" i="16" s="1"/>
  <c r="L5" i="16" s="1"/>
  <c r="M5" i="16" s="1"/>
  <c r="N5" i="16" s="1"/>
  <c r="O5" i="16" s="1"/>
  <c r="P5" i="16" s="1"/>
  <c r="Q5" i="16" s="1"/>
  <c r="R5" i="16" s="1"/>
  <c r="S5" i="16" s="1"/>
  <c r="T5" i="16" s="1"/>
  <c r="U5" i="16" s="1"/>
  <c r="V5" i="16" s="1"/>
  <c r="W5" i="16" s="1"/>
  <c r="X5" i="16" s="1"/>
  <c r="G16" i="24"/>
  <c r="G45" i="24"/>
  <c r="A85" i="23"/>
  <c r="E84" i="23"/>
  <c r="F84" i="23"/>
  <c r="G84" i="23"/>
  <c r="H84" i="23"/>
  <c r="I84" i="23"/>
  <c r="F69" i="24"/>
  <c r="F29" i="24"/>
  <c r="F68" i="24"/>
  <c r="F31" i="24"/>
  <c r="L5" i="24"/>
  <c r="F7" i="24"/>
  <c r="F24" i="24"/>
  <c r="L65" i="24"/>
  <c r="F6" i="24"/>
  <c r="F35" i="24"/>
  <c r="F57" i="24"/>
  <c r="F39" i="24"/>
  <c r="F61" i="24"/>
  <c r="L25" i="24"/>
  <c r="F54" i="24"/>
  <c r="L56" i="24"/>
  <c r="K13" i="25" s="1"/>
  <c r="M63" i="24"/>
  <c r="G63" i="24"/>
  <c r="G64" i="24"/>
  <c r="G33" i="24"/>
  <c r="H13" i="25"/>
  <c r="I13" i="25"/>
  <c r="L32" i="24"/>
  <c r="G13" i="25" s="1"/>
  <c r="F32" i="24"/>
  <c r="L23" i="24"/>
  <c r="F23" i="24"/>
  <c r="F13" i="24"/>
  <c r="L13" i="24"/>
  <c r="F47" i="24"/>
  <c r="L47" i="24"/>
  <c r="J13" i="25" s="1"/>
  <c r="F19" i="24"/>
  <c r="L19" i="24"/>
  <c r="E13" i="25" s="1"/>
  <c r="L67" i="24"/>
  <c r="F67" i="24"/>
  <c r="L8" i="24"/>
  <c r="F8" i="24"/>
  <c r="F60" i="24"/>
  <c r="L60" i="24"/>
  <c r="L13" i="25" s="1"/>
  <c r="L12" i="24"/>
  <c r="F12" i="24"/>
  <c r="W6" i="16"/>
  <c r="V6" i="16"/>
  <c r="U6" i="16"/>
  <c r="T6" i="16"/>
  <c r="S6" i="16"/>
  <c r="R6" i="16"/>
  <c r="Q6" i="16"/>
  <c r="P6" i="16"/>
  <c r="O6" i="16"/>
  <c r="N6" i="16"/>
  <c r="M6" i="16"/>
  <c r="L6" i="16"/>
  <c r="K6" i="16"/>
  <c r="J6" i="16"/>
  <c r="I6" i="16"/>
  <c r="H6" i="16"/>
  <c r="G6" i="16"/>
  <c r="F6" i="16"/>
  <c r="C14" i="5"/>
  <c r="G69" i="24" l="1"/>
  <c r="G27" i="24"/>
  <c r="M51" i="24"/>
  <c r="G57" i="24"/>
  <c r="G39" i="24"/>
  <c r="G9" i="24"/>
  <c r="G51" i="24"/>
  <c r="A86" i="23"/>
  <c r="E85" i="23"/>
  <c r="F85" i="23"/>
  <c r="G85" i="23"/>
  <c r="H85" i="23"/>
  <c r="I85" i="23"/>
  <c r="C13" i="25"/>
  <c r="M13" i="25"/>
  <c r="F13" i="25"/>
  <c r="M69" i="24"/>
  <c r="M15" i="24"/>
  <c r="M22" i="24"/>
  <c r="M9" i="24"/>
  <c r="M46" i="24"/>
  <c r="M52" i="24"/>
  <c r="M70" i="24"/>
  <c r="M28" i="24"/>
  <c r="M10" i="24"/>
  <c r="M33" i="24"/>
  <c r="M64" i="24"/>
  <c r="M58" i="24"/>
  <c r="M45" i="24"/>
  <c r="M34" i="24"/>
  <c r="M40" i="24"/>
  <c r="M16" i="24"/>
  <c r="M21" i="24"/>
  <c r="M27" i="24"/>
  <c r="M39" i="24"/>
  <c r="M57" i="24"/>
  <c r="G70" i="24"/>
  <c r="G52" i="24"/>
  <c r="G40" i="24"/>
  <c r="G28" i="24"/>
  <c r="G15" i="24"/>
  <c r="G21" i="24"/>
  <c r="G58" i="24"/>
  <c r="G46" i="24"/>
  <c r="G34" i="24"/>
  <c r="G10" i="24"/>
  <c r="G22" i="24"/>
  <c r="D13" i="25"/>
  <c r="D6" i="16"/>
  <c r="C8" i="25" s="1"/>
  <c r="D5" i="16"/>
  <c r="C7" i="25" s="1"/>
  <c r="C5" i="16"/>
  <c r="C3" i="25" s="1"/>
  <c r="C6" i="16"/>
  <c r="C4" i="25" s="1"/>
  <c r="E86" i="23" l="1"/>
  <c r="F86" i="23"/>
  <c r="G86" i="23"/>
  <c r="H86" i="23"/>
  <c r="I86" i="23"/>
  <c r="C6" i="25"/>
  <c r="C10" i="25"/>
  <c r="I4" i="16"/>
  <c r="J4" i="16" s="1"/>
  <c r="K4" i="16" s="1"/>
  <c r="L4" i="16" s="1"/>
  <c r="M4" i="16" s="1"/>
  <c r="N4" i="16" s="1"/>
  <c r="O4" i="16" s="1"/>
  <c r="P4" i="16" s="1"/>
  <c r="Q4" i="16" s="1"/>
  <c r="R4" i="16" s="1"/>
  <c r="S4" i="16" s="1"/>
  <c r="T4" i="16" s="1"/>
  <c r="U4" i="16" s="1"/>
  <c r="V4" i="16" s="1"/>
  <c r="W4" i="16" s="1"/>
  <c r="X4" i="16" s="1"/>
  <c r="M19" i="24" l="1"/>
  <c r="G19" i="24"/>
  <c r="G38" i="24"/>
  <c r="M38" i="24"/>
  <c r="M8" i="24"/>
  <c r="G8" i="24"/>
  <c r="G20" i="24"/>
  <c r="M20" i="24"/>
  <c r="G65" i="24"/>
  <c r="M65" i="24"/>
  <c r="M66" i="24"/>
  <c r="G66" i="24"/>
  <c r="G25" i="24"/>
  <c r="M25" i="24"/>
  <c r="M37" i="24"/>
  <c r="G37" i="24"/>
  <c r="M12" i="24"/>
  <c r="G12" i="24"/>
  <c r="G43" i="24"/>
  <c r="M43" i="24"/>
  <c r="G17" i="24"/>
  <c r="M17" i="24"/>
  <c r="M61" i="24"/>
  <c r="G61" i="24"/>
  <c r="M36" i="24"/>
  <c r="G36" i="24"/>
  <c r="M29" i="24"/>
  <c r="G29" i="24"/>
  <c r="M6" i="24"/>
  <c r="G6" i="24"/>
  <c r="M24" i="24"/>
  <c r="G24" i="24"/>
  <c r="G41" i="24"/>
  <c r="M41" i="24"/>
  <c r="G48" i="24"/>
  <c r="M48" i="24"/>
  <c r="G60" i="24"/>
  <c r="M60" i="24"/>
  <c r="M18" i="24"/>
  <c r="G18" i="24"/>
  <c r="G14" i="24"/>
  <c r="M14" i="24"/>
  <c r="M56" i="24"/>
  <c r="G56" i="24"/>
  <c r="M50" i="24"/>
  <c r="G50" i="24"/>
  <c r="M54" i="24"/>
  <c r="G54" i="24"/>
  <c r="G35" i="24"/>
  <c r="M35" i="24"/>
  <c r="G59" i="24"/>
  <c r="M59" i="24"/>
  <c r="G44" i="24"/>
  <c r="M44" i="24"/>
  <c r="M31" i="24"/>
  <c r="G31" i="24"/>
  <c r="G42" i="24"/>
  <c r="M42" i="24"/>
  <c r="G23" i="24"/>
  <c r="M23" i="24"/>
  <c r="G26" i="24"/>
  <c r="M26" i="24"/>
  <c r="M7" i="24"/>
  <c r="G7" i="24"/>
  <c r="G53" i="24"/>
  <c r="M53" i="24"/>
  <c r="G68" i="24"/>
  <c r="M68" i="24"/>
  <c r="M47" i="24"/>
  <c r="G47" i="24"/>
  <c r="G30" i="24"/>
  <c r="M30" i="24"/>
  <c r="M13" i="24"/>
  <c r="G13" i="24"/>
  <c r="M55" i="24"/>
  <c r="G55" i="24"/>
  <c r="G5" i="24"/>
  <c r="M5" i="24"/>
  <c r="G49" i="24"/>
  <c r="M49" i="24"/>
  <c r="G11" i="24"/>
  <c r="M11" i="24"/>
  <c r="M62" i="24"/>
  <c r="G62" i="24"/>
  <c r="M32" i="24"/>
  <c r="G32" i="24"/>
  <c r="M67" i="24"/>
  <c r="G67" i="24"/>
  <c r="D14" i="25" l="1"/>
  <c r="D16" i="25" s="1"/>
  <c r="C14" i="25"/>
  <c r="C16" i="25" s="1"/>
  <c r="H14" i="25"/>
  <c r="H16" i="25" s="1"/>
  <c r="J14" i="25"/>
  <c r="J16" i="25" s="1"/>
  <c r="K14" i="25"/>
  <c r="K16" i="25" s="1"/>
  <c r="F14" i="25"/>
  <c r="F16" i="25" s="1"/>
  <c r="L14" i="25"/>
  <c r="L16" i="25" s="1"/>
  <c r="I14" i="25"/>
  <c r="I16" i="25" s="1"/>
  <c r="G14" i="25"/>
  <c r="G16" i="25" s="1"/>
  <c r="E14" i="25"/>
  <c r="E16" i="25" s="1"/>
  <c r="M14" i="25"/>
  <c r="M16" i="25" s="1"/>
  <c r="M19" i="25" l="1"/>
  <c r="M22" i="25" s="1"/>
  <c r="M20" i="25"/>
  <c r="E19" i="25"/>
  <c r="E22" i="25" s="1"/>
  <c r="E20" i="25"/>
  <c r="G19" i="25"/>
  <c r="G22" i="25" s="1"/>
  <c r="G20" i="25"/>
  <c r="I19" i="25"/>
  <c r="I22" i="25" s="1"/>
  <c r="I20" i="25"/>
  <c r="L19" i="25"/>
  <c r="L21" i="25" s="1"/>
  <c r="L26" i="25" s="1"/>
  <c r="L20" i="25"/>
  <c r="F19" i="25"/>
  <c r="F21" i="25" s="1"/>
  <c r="F26" i="25" s="1"/>
  <c r="F20" i="25"/>
  <c r="K19" i="25"/>
  <c r="K22" i="25" s="1"/>
  <c r="K20" i="25"/>
  <c r="J19" i="25"/>
  <c r="J22" i="25" s="1"/>
  <c r="J20" i="25"/>
  <c r="H19" i="25"/>
  <c r="H22" i="25" s="1"/>
  <c r="H20" i="25"/>
  <c r="D19" i="25"/>
  <c r="D22" i="25" s="1"/>
  <c r="D20" i="25"/>
  <c r="C20" i="25"/>
  <c r="C19" i="25"/>
  <c r="C22" i="25" s="1"/>
  <c r="F22" i="25"/>
  <c r="E21" i="25"/>
  <c r="E26" i="25" s="1"/>
  <c r="H21" i="25"/>
  <c r="H26" i="25" s="1"/>
  <c r="G21" i="25" l="1"/>
  <c r="G26" i="25" s="1"/>
  <c r="K21" i="25"/>
  <c r="K26" i="25" s="1"/>
  <c r="M21" i="25"/>
  <c r="M26" i="25" s="1"/>
  <c r="L22" i="25"/>
  <c r="D21" i="25"/>
  <c r="D26" i="25" s="1"/>
  <c r="J21" i="25"/>
  <c r="J26" i="25" s="1"/>
  <c r="I21" i="25"/>
  <c r="I26" i="25" s="1"/>
  <c r="C21" i="25"/>
  <c r="C26" i="25" s="1"/>
  <c r="C25" i="25"/>
  <c r="C24" i="25"/>
  <c r="D24" i="25"/>
  <c r="D25" i="25"/>
  <c r="H24" i="25"/>
  <c r="H25" i="25"/>
  <c r="J24" i="25"/>
  <c r="J25" i="25"/>
  <c r="K24" i="25"/>
  <c r="K25" i="25"/>
  <c r="F24" i="25"/>
  <c r="F25" i="25"/>
  <c r="L24" i="25"/>
  <c r="L25" i="25"/>
  <c r="I24" i="25"/>
  <c r="I25" i="25"/>
  <c r="G24" i="25"/>
  <c r="G25" i="25"/>
  <c r="E24" i="25"/>
  <c r="E25" i="25"/>
  <c r="M24" i="25"/>
  <c r="M25" i="25"/>
</calcChain>
</file>

<file path=xl/sharedStrings.xml><?xml version="1.0" encoding="utf-8"?>
<sst xmlns="http://schemas.openxmlformats.org/spreadsheetml/2006/main" count="948" uniqueCount="358">
  <si>
    <t>Background</t>
  </si>
  <si>
    <t>This Rhode Island Non-Wires Alternative Benefit-Cost Analysis Model (RI NWA BCA Model) is for NWA project managers (PMs) and engineers to assess the cost-effectiveness of RI NWA opportunities according to the Rhode Island Docket 4600 Benefit-Cost Framework.
The RI NWA BCA Model is also used to develop the Approximate Value for development of Requests for Proposals (RFPs) for RI NWA opportunities.</t>
  </si>
  <si>
    <t>Model Tabs Overview</t>
  </si>
  <si>
    <t>The yellow "Inputs" tabs are the only tabs the RI NWA PM should fill out with information on the system need and each bid proposal, respectively.  Fill out all cells with the indicated and requested information.
The green "Proposals Comparison" tab is for viewing all bid proposals side-by-side for final comparison.
The blue tabs and the white "List" tab are data tabs that should only be updated by the NWA Team financial analyst as needed (annually, etc.).</t>
  </si>
  <si>
    <t>Model Process Overview</t>
  </si>
  <si>
    <r>
      <t xml:space="preserve">Explanation of RI NWA BCA Model process as encountered sequentially through the form:
</t>
    </r>
    <r>
      <rPr>
        <b/>
        <sz val="11"/>
        <color theme="1"/>
        <rFont val="Calibri"/>
        <family val="2"/>
        <scheme val="minor"/>
      </rPr>
      <t>Approximate Value</t>
    </r>
    <r>
      <rPr>
        <sz val="11"/>
        <color theme="1"/>
        <rFont val="Calibri"/>
        <family val="2"/>
        <scheme val="minor"/>
      </rPr>
      <t xml:space="preserve">:  Approximate Valuation happens during NWA RFP development.  Provide all inputs as indicated in the "Inputs-System" tab.  Note that the 'Wires Option BCA Ratio' input may not be available at this time because the wires option may still be in development in parallel with the NWA analysis.  Then, refer to the "Proposals Comparison" tab 'Approximate Value' column to identify the calculated Approximate Value based on system need inputs.
</t>
    </r>
    <r>
      <rPr>
        <b/>
        <sz val="11"/>
        <color theme="1"/>
        <rFont val="Calibri"/>
        <family val="2"/>
        <scheme val="minor"/>
      </rPr>
      <t>Full BCA</t>
    </r>
    <r>
      <rPr>
        <sz val="11"/>
        <color theme="1"/>
        <rFont val="Calibri"/>
        <family val="2"/>
        <scheme val="minor"/>
      </rPr>
      <t>:  Full BCA happens during NWA proposals evaluation.  Provide all inputs as indicated in the "Inputs-Proposals" tab.  The "Inputs-System" tab should already be complete from the earlier Approximate Value step in RFP development.  Then, refer to the "Proposals Comparison" tab for a side-by-side view of all bid proposals for cost and cost-effectiveness comparison.  Note that the LCP 1.3.H output will not be accurate/correct if the 'Wires Option BCA Ratio' is not entered in the "Inputs-System" tab.  Also note that the 'Wires Option BCA Ratio' input may not be available at this time because the wires option may still be in development in parallel with the NWA analysis.  Wires and NWA BCA comparison will be completed, if not at this stage, then during options comparison by DPAM.</t>
    </r>
  </si>
  <si>
    <t>Version</t>
  </si>
  <si>
    <t>Last Updated</t>
  </si>
  <si>
    <t>Version Log</t>
  </si>
  <si>
    <t>Date</t>
  </si>
  <si>
    <t>Notes</t>
  </si>
  <si>
    <t>Initial Version.</t>
  </si>
  <si>
    <t>Added Diesel Genset and NatGas Genset technologies for proposal consideration.  Moved Coincidence Factors inputs to standalone tab.  Added Utility Cost Test formulas in 'Proposals Comparison' tab for calculation for RI SRP PIM.  Added cost escalator inputs to 'Inputs-Proposals' tab and formulas to 'Cost Calculator' tab.  Updated to AESC 2021 Values and 2019 ISO New England Electric Generator Air Emissions Report and updated the Emissions methodology.</t>
  </si>
  <si>
    <t>Inputs - System Need</t>
  </si>
  <si>
    <t>Input Category</t>
  </si>
  <si>
    <t>NWA Inputs</t>
  </si>
  <si>
    <t>Value</t>
  </si>
  <si>
    <t>NWA Project Summary Data</t>
  </si>
  <si>
    <t>Project Name</t>
  </si>
  <si>
    <t>NWA PM.</t>
  </si>
  <si>
    <t>Town</t>
  </si>
  <si>
    <t>Input taken from NWA Analysis Request Form for specific project</t>
  </si>
  <si>
    <t>Operating District</t>
  </si>
  <si>
    <t>Calculated.  Do not modify.</t>
  </si>
  <si>
    <t>In Service Need Date (year)</t>
  </si>
  <si>
    <t>Input taken from NWA Analysis Request Form for specific project (First Summer Load)</t>
  </si>
  <si>
    <t>End Date (year)</t>
  </si>
  <si>
    <t>Operational Timeframe (years)</t>
  </si>
  <si>
    <t xml:space="preserve">Load Reduction (kW) </t>
  </si>
  <si>
    <t>Energy Savings (kWhr) (per event)</t>
  </si>
  <si>
    <t>Expected # of Events</t>
  </si>
  <si>
    <t>Wires Option Cost Data</t>
  </si>
  <si>
    <t>Distribution Capital Cost</t>
  </si>
  <si>
    <t>Transmission Capital Cost</t>
  </si>
  <si>
    <t>Wires Option BCA Ratio</t>
  </si>
  <si>
    <t>Distribution Deferral Value</t>
  </si>
  <si>
    <t>Input taken from NWA Deferral Calc Model spreadsheet for specific project</t>
  </si>
  <si>
    <t>Transmission Deferral Value</t>
  </si>
  <si>
    <t>Market Factors</t>
  </si>
  <si>
    <t>Wholesale Risk Premium (WRP)</t>
  </si>
  <si>
    <t>AESC 2021 Study</t>
  </si>
  <si>
    <t>Inflation</t>
  </si>
  <si>
    <t>Deferrral Calculator</t>
  </si>
  <si>
    <t>Discount Rate (After Tax WACC)</t>
  </si>
  <si>
    <t>Peak Hours</t>
  </si>
  <si>
    <t>NWA Event Start Time</t>
  </si>
  <si>
    <t>Input taken from NWA Analysis Request Form for specific project; Time of Day (HH:MM)</t>
  </si>
  <si>
    <t>NWA Event End Time</t>
  </si>
  <si>
    <t>ISO-NE Summer Peak Start Time</t>
  </si>
  <si>
    <t>Input taken from the RI Technical Reference Manual 2020, Types of Impact Factors (p14)</t>
  </si>
  <si>
    <t>ISO-NE Summer Peak End Time</t>
  </si>
  <si>
    <t>System Peak Coincidence (Capacity)</t>
  </si>
  <si>
    <t>RI System Peak Load (kW)</t>
  </si>
  <si>
    <t>Input taken from Peak MW Report from Forecasting CY 2020 (Updated: January 2021)</t>
  </si>
  <si>
    <t>Summer Coincident (%)</t>
  </si>
  <si>
    <t>Input.  Typically 100% based on system need expected events occurring in the Summer.</t>
  </si>
  <si>
    <t>Winter Coincident (%)</t>
  </si>
  <si>
    <t>Input.  Typically 0% based on system need expected events occurring in the Summer.</t>
  </si>
  <si>
    <t>Dist Coincident (%)</t>
  </si>
  <si>
    <t>Auto Ref</t>
  </si>
  <si>
    <t>Input automatically referenced from Coincidence Factors table based on Tech input.</t>
  </si>
  <si>
    <t>Trans. Coincident (%)</t>
  </si>
  <si>
    <t>Calculation Based on Discussions with SRP TWG</t>
  </si>
  <si>
    <t>Energy</t>
  </si>
  <si>
    <t>Summer Peak Energy (%)</t>
  </si>
  <si>
    <t>reference peak/off peak hours coincidence</t>
  </si>
  <si>
    <t>Summer Off-Peak Energy (%)</t>
  </si>
  <si>
    <t>Winter Peak Energy (%)</t>
  </si>
  <si>
    <t>Winter Off-Peak Energy (%)</t>
  </si>
  <si>
    <t>Environmental Rates</t>
  </si>
  <si>
    <t>AESC $/ton GHG Rate</t>
  </si>
  <si>
    <t>$/ton; AESC 2021 Study</t>
  </si>
  <si>
    <t>GHG Emissions Rate Peak</t>
  </si>
  <si>
    <t>lbs/MWh; Emissions tab</t>
  </si>
  <si>
    <t>GHG Emissions Rate Off-Peak</t>
  </si>
  <si>
    <t>NOx Emmissions Rate Peak</t>
  </si>
  <si>
    <t>NOx Emmissions Rate Off-Peak</t>
  </si>
  <si>
    <t>SOx Emissions Rate Peak</t>
  </si>
  <si>
    <t>SOx Emissions Rate Off Peak</t>
  </si>
  <si>
    <t>System Loss</t>
  </si>
  <si>
    <t>Marginal Emissions Loss (Energy)</t>
  </si>
  <si>
    <t>ISO NE, AESC 2021 study</t>
  </si>
  <si>
    <t>Marginal Emissions Loss (Capacity)</t>
  </si>
  <si>
    <t>Average Loss (PTF)</t>
  </si>
  <si>
    <t>Incentive</t>
  </si>
  <si>
    <t>Savings-Based Incentive value</t>
  </si>
  <si>
    <t>Input taken from SRP Report</t>
  </si>
  <si>
    <t>Inputs - Proposals</t>
  </si>
  <si>
    <t>Bid (Vendor):</t>
  </si>
  <si>
    <t>Approximate Value</t>
  </si>
  <si>
    <t>Storage</t>
  </si>
  <si>
    <t>Costs</t>
  </si>
  <si>
    <t>Commercial Operating Date:</t>
  </si>
  <si>
    <t>First Payment Date</t>
  </si>
  <si>
    <t>Length of Contract (years):</t>
  </si>
  <si>
    <t>Contract Cost (Year 1):</t>
  </si>
  <si>
    <t>Contract Cost (Year 2 to end, annual):</t>
  </si>
  <si>
    <t>Proposal has Cost Escalator?</t>
  </si>
  <si>
    <t>No</t>
  </si>
  <si>
    <t>Escalator Value</t>
  </si>
  <si>
    <t>Payment Structure</t>
  </si>
  <si>
    <t>Annual</t>
  </si>
  <si>
    <t>Administration Costs (Yearly average):</t>
  </si>
  <si>
    <t>Interconnection Costs</t>
  </si>
  <si>
    <t>Incentive Costs</t>
  </si>
  <si>
    <t>Total Cost (Nominal Dollars):*</t>
  </si>
  <si>
    <t>First System Details</t>
  </si>
  <si>
    <t>System Type</t>
  </si>
  <si>
    <t>None</t>
  </si>
  <si>
    <t>Δ Peak Load (kW) per Event</t>
  </si>
  <si>
    <t>Rated Energy (kWhr) per Event**</t>
  </si>
  <si>
    <t>Proposed Length (hours) per Event</t>
  </si>
  <si>
    <t># of Events per year</t>
  </si>
  <si>
    <t>Round Trip/Efficiency Loss***</t>
  </si>
  <si>
    <t>Second System Details
(if applicable)</t>
  </si>
  <si>
    <t>Third System Details
(if applicable)</t>
  </si>
  <si>
    <t>*Total Cost (Nominal Dollars):  This cell range is set as a formula based on the preceding inputs and should not be modified.</t>
  </si>
  <si>
    <t>**Rated Energy (kWhr) per Event: the input for this system detail is set as a formula.  However, the cell can have a manual input entered  if the proposed system kWhr is different than the general formula (peak load kW)*(proposed event hours) (i.e., if the proposed system has ramping functionality).</t>
  </si>
  <si>
    <t>***Storage: Roundtrip efficiency loss, Solar: Yearly degredation, EE/DR: Expected effectiveness rate, GenSet: set at 90%</t>
  </si>
  <si>
    <t>Proposals Comparison</t>
  </si>
  <si>
    <t>Nominal Contract</t>
  </si>
  <si>
    <t>Nominal Admin</t>
  </si>
  <si>
    <t>Nominal Interconnection</t>
  </si>
  <si>
    <t>Total Nominal Costs</t>
  </si>
  <si>
    <t>Contract NPV</t>
  </si>
  <si>
    <t>Admin NPV</t>
  </si>
  <si>
    <t>Interconnection</t>
  </si>
  <si>
    <t>Total NPV</t>
  </si>
  <si>
    <t>Benefits</t>
  </si>
  <si>
    <t>Embedded Emissions</t>
  </si>
  <si>
    <t>DRIPE</t>
  </si>
  <si>
    <t>Capacity</t>
  </si>
  <si>
    <t>Emissions</t>
  </si>
  <si>
    <t>Total</t>
  </si>
  <si>
    <t>Deferral Values</t>
  </si>
  <si>
    <t>Distribution Capacity</t>
  </si>
  <si>
    <t>Transmission Infrastructure</t>
  </si>
  <si>
    <t>Total Benefits</t>
  </si>
  <si>
    <t>SCT Total</t>
  </si>
  <si>
    <t>UCT Total</t>
  </si>
  <si>
    <t>SCT BCA*</t>
  </si>
  <si>
    <t>SCT BCA</t>
  </si>
  <si>
    <t>SCT Net Benefits</t>
  </si>
  <si>
    <t>Complete Solution?</t>
  </si>
  <si>
    <t>UCT BCA*</t>
  </si>
  <si>
    <t>UCT BCA</t>
  </si>
  <si>
    <t>UCT Net Benefits</t>
  </si>
  <si>
    <r>
      <t>LCP 1.3.H</t>
    </r>
    <r>
      <rPr>
        <b/>
        <sz val="11"/>
        <color theme="0"/>
        <rFont val="Calibri"/>
        <family val="2"/>
      </rPr>
      <t>†</t>
    </r>
  </si>
  <si>
    <t>Lower than the Cost of the Standard Option?</t>
  </si>
  <si>
    <t>*The "SCT" term stands for "Societal Cost Test", which is the benefit cost test that is run in alignment with RI PUC Docket 4600.  The "UCT" term stands for "Utility Cost Test", UCT excludes non-energy benefits, such as Emissions and Reliability, and is used for calculating the SRP PIM.</t>
  </si>
  <si>
    <t>†Note that the LCP 1.3.H output will not be accurate/correct if the 'Wires Option BCA Ratio' is not entered in the "Inputs-System" tab.  Also note that the 'Wires Option BCA Ratio' input may not be available at this time because the wires option may still be in development in parallel with the NWA analysis.  Wires and NWA BCA comparison will be completed, if not at this stage, then during options comparison by DPAM.</t>
  </si>
  <si>
    <t>Benefits Calculation</t>
  </si>
  <si>
    <t>Nominal Totals</t>
  </si>
  <si>
    <t>NPV Totals</t>
  </si>
  <si>
    <t>Proposal</t>
  </si>
  <si>
    <t>System Listing</t>
  </si>
  <si>
    <t>Reliability</t>
  </si>
  <si>
    <t>Non-Embedded Emissions</t>
  </si>
  <si>
    <t>Solar</t>
  </si>
  <si>
    <t>Energy Efficiency</t>
  </si>
  <si>
    <t>Demand Response</t>
  </si>
  <si>
    <t>Coincidence Factors</t>
  </si>
  <si>
    <t>Coincidence Factors by Technology</t>
  </si>
  <si>
    <t>Technology</t>
  </si>
  <si>
    <t>Factor</t>
  </si>
  <si>
    <t>Source</t>
  </si>
  <si>
    <t>Company assumption based on DER dispatchability.</t>
  </si>
  <si>
    <t>Based on average NYISO ICAP Manual.</t>
  </si>
  <si>
    <t>EE</t>
  </si>
  <si>
    <t>Based on expected EE alignment, could vary by program type.</t>
  </si>
  <si>
    <t>DR</t>
  </si>
  <si>
    <t>Diesel</t>
  </si>
  <si>
    <t>LNG</t>
  </si>
  <si>
    <t xml:space="preserve">Energy Calculation </t>
  </si>
  <si>
    <t>AESC 2021 Results: Avoided Cost of Electricity (2021 $) Appendix B Counterfactual 2</t>
  </si>
  <si>
    <t xml:space="preserve"> Wholesale Cost of Electric Energy</t>
  </si>
  <si>
    <t>Peaking Category</t>
  </si>
  <si>
    <t>Winter Peak</t>
  </si>
  <si>
    <t>Winter Off-Peak</t>
  </si>
  <si>
    <t xml:space="preserve">Summer Peak </t>
  </si>
  <si>
    <t>Summer Off-Peak</t>
  </si>
  <si>
    <t>Units:</t>
  </si>
  <si>
    <t>$/kWh</t>
  </si>
  <si>
    <t>Nominal Dollars</t>
  </si>
  <si>
    <t>RGGI Avoidance Calculation (Nominal $/MWh)</t>
  </si>
  <si>
    <t>Based on: 2021 AESC Value for COx emissions &amp; SOx embedded emissions, Page 16 &amp;107</t>
  </si>
  <si>
    <t>Year</t>
  </si>
  <si>
    <t>AESC Value ($)
(2021 $/short ton)</t>
  </si>
  <si>
    <t>REC Pricing (Including SOx) $/kWh</t>
  </si>
  <si>
    <t>REC Pricing (Excluding SOx)</t>
  </si>
  <si>
    <t>Nominal Dollars, CO2 Embedded</t>
  </si>
  <si>
    <t>Based on: 2021 AESC Value for REC Costs Appendix B (CounterFactual 2)</t>
  </si>
  <si>
    <t>CO2 Embedded Prices (Nominal $ per kWh)</t>
  </si>
  <si>
    <t>Net Monetized Cost of CO2 Avg ($)</t>
  </si>
  <si>
    <t>SOx Embedded</t>
  </si>
  <si>
    <t xml:space="preserve">Based on: 2021 AESC Value for Embedded Cost of SO2, page 107, ISO NE 2019 </t>
  </si>
  <si>
    <t>Annual Peak</t>
  </si>
  <si>
    <t>Annual Off-peak</t>
  </si>
  <si>
    <t>Average</t>
  </si>
  <si>
    <t>Marginal SOx emissions rate (lb/MWh)</t>
  </si>
  <si>
    <t>SOx Embedded Prices</t>
  </si>
  <si>
    <t>2020 $/Short Ton</t>
  </si>
  <si>
    <t>Average ($/MWh)</t>
  </si>
  <si>
    <t>Nominal Dollars, SOx Embedded</t>
  </si>
  <si>
    <t>Note:  Values in table below are calculated with calendar year shift and to make nominal based on the values in the table above.</t>
  </si>
  <si>
    <t>Nominalized SOx Embedded Prices</t>
  </si>
  <si>
    <t>Average ($/kWh)</t>
  </si>
  <si>
    <t>Emissions Calculation (Nominal $/MWh)</t>
  </si>
  <si>
    <t>EPA Regulated Emission Factors</t>
  </si>
  <si>
    <t>AESC $/Ton CO2:</t>
  </si>
  <si>
    <t>COx Emissions</t>
  </si>
  <si>
    <t>Diesel (lbs/MWh)</t>
  </si>
  <si>
    <t>Natural Gas (lbs/MWh)</t>
  </si>
  <si>
    <t>AESC $/Ton NOx:</t>
  </si>
  <si>
    <t>SOx</t>
  </si>
  <si>
    <t>NOx</t>
  </si>
  <si>
    <t>COx</t>
  </si>
  <si>
    <t>Non-Embedded COx Costs</t>
  </si>
  <si>
    <t>Non-Embedded NOx Costs</t>
  </si>
  <si>
    <t>GenSet COx Emmisions Adders</t>
  </si>
  <si>
    <t>GenSet NOx Emmisions Adders</t>
  </si>
  <si>
    <t>2021 $/MWh</t>
  </si>
  <si>
    <t xml:space="preserve">NG </t>
  </si>
  <si>
    <t>NG</t>
  </si>
  <si>
    <t>https://www.eia.gov/environment/emissions/co2_vol_mass.php</t>
  </si>
  <si>
    <t>Diesel (g/kw-hr)</t>
  </si>
  <si>
    <t>Natural Gas (g/bhP-hr)</t>
  </si>
  <si>
    <t>https://ecfr.federalregister.gov/current/title-40/chapter-I/subchapter-C/part-60</t>
  </si>
  <si>
    <t>https://www.cummins.com/sites/default/files/2019-05/powerhour-emissions-air-permitting-20190625.pdf</t>
  </si>
  <si>
    <t>Nominal Dollars, COx</t>
  </si>
  <si>
    <t>COx Nominal $/kWh</t>
  </si>
  <si>
    <t>GenSet COx Nominal $/kWh</t>
  </si>
  <si>
    <t>Non-Embedded CO2 On-Peak</t>
  </si>
  <si>
    <t>Non-Embedded CO2 Off-Peak</t>
  </si>
  <si>
    <t>Non-Embedded CO2 Avg</t>
  </si>
  <si>
    <t>NOx Emissions</t>
  </si>
  <si>
    <t>Winter Peak
($/kWh)</t>
  </si>
  <si>
    <t>Winter Off-Peak
($/kWh)</t>
  </si>
  <si>
    <t>Summer Peak 
($/kWh)</t>
  </si>
  <si>
    <t>Summer Off-Peak
($/kWh)</t>
  </si>
  <si>
    <t>Nominal Dollars, NOx</t>
  </si>
  <si>
    <t>NOx Nominal $/kWh</t>
  </si>
  <si>
    <t>GenSet NOx Nominal $/kWh</t>
  </si>
  <si>
    <t>Non-Embedded NOX OnPeak ($/kWh)</t>
  </si>
  <si>
    <t>Non-Embedded NOX OffPeak ($/kWh)</t>
  </si>
  <si>
    <t>Non-Embedded NOX Avg ($/kWh)</t>
  </si>
  <si>
    <t>Diesel ($/kWh)</t>
  </si>
  <si>
    <t>NG ($/kWh)</t>
  </si>
  <si>
    <t>SOx Emissions/Public Health</t>
  </si>
  <si>
    <t xml:space="preserve">Source: </t>
  </si>
  <si>
    <t xml:space="preserve">Feb 2018 report: https://www.epa.gov/sites/production/files/2018-02/documents/sourceapportionmentbpttsd_2018.pdf </t>
  </si>
  <si>
    <t>Input assumptions: marginal generator by period</t>
  </si>
  <si>
    <t xml:space="preserve">3% discount rate </t>
  </si>
  <si>
    <t>Sources:</t>
  </si>
  <si>
    <t>Krewski @3%</t>
  </si>
  <si>
    <t>Midpoint</t>
  </si>
  <si>
    <t>Lepeule @3%</t>
  </si>
  <si>
    <t>Marginal emissions rate (lb/MWh)</t>
  </si>
  <si>
    <t>Cost of SOx (2015$/ton)</t>
  </si>
  <si>
    <t>Cost of SOx ($/MWh)</t>
  </si>
  <si>
    <t>Low</t>
  </si>
  <si>
    <t>Mid</t>
  </si>
  <si>
    <t>High</t>
  </si>
  <si>
    <t>2015 $/MWh</t>
  </si>
  <si>
    <t>Annual Off peak</t>
  </si>
  <si>
    <t>Nominal Dollars, SOx</t>
  </si>
  <si>
    <t>Based on: EPA 2018 report Cost of SO2 Midpoint (https://www.epa.gov/sites/production/files/2018-02/documents/sourceapportionmentbpttsd_2018.pdf); minus 2021 AESC value for Embedded Cost of SO2; and ISO NE 2019LMU Marginal SO2 emissions rate (Table 5-3)</t>
  </si>
  <si>
    <t>SOx Nominal $/kWh</t>
  </si>
  <si>
    <t xml:space="preserve">Public Health OnPeak, Non-Embedded ($/kWh) </t>
  </si>
  <si>
    <t>Public Health Off Peak Non-Embedded ($/kWh)</t>
  </si>
  <si>
    <t>Public Health Avg Non-Embedded ($/kWh)</t>
  </si>
  <si>
    <t>DRIPE Calculation</t>
  </si>
  <si>
    <t>AESC 2021 Results: Avoided Cost of Electricity (2021 $) Appendix B</t>
  </si>
  <si>
    <t>Intrastate</t>
  </si>
  <si>
    <t>DRIPE: 2021 Measures</t>
  </si>
  <si>
    <t>DRIPE Category</t>
  </si>
  <si>
    <t>Wholesale Energy DRIPE</t>
  </si>
  <si>
    <t>Wholesale Capacity DRIPE</t>
  </si>
  <si>
    <t>Wholesale Cross-DRIPE</t>
  </si>
  <si>
    <t>Cleared</t>
  </si>
  <si>
    <t>Uncleared</t>
  </si>
  <si>
    <t>2021 Installation Year</t>
  </si>
  <si>
    <t>$/kW-yr</t>
  </si>
  <si>
    <t>-</t>
  </si>
  <si>
    <t>DRIPE Shifted (Nominal $/kW or $/kWh)</t>
  </si>
  <si>
    <t>DRIPE: 2021 measures</t>
  </si>
  <si>
    <t>Capacity Calculation</t>
  </si>
  <si>
    <t>AESC 2021 Results: Avoided Cost of Electricity (2021 $)</t>
  </si>
  <si>
    <t>Wholesale Capacity Values</t>
  </si>
  <si>
    <t>Transmission &amp; Distribution (T&amp;D) Cost</t>
  </si>
  <si>
    <t>Cleared (FCA Price)</t>
  </si>
  <si>
    <t>Capacity Shifted (Nominal $/kW)</t>
  </si>
  <si>
    <t>Transmission Benefit</t>
  </si>
  <si>
    <t>Transmission</t>
  </si>
  <si>
    <t>Costs Calculator (Nominal $s)</t>
  </si>
  <si>
    <t>Yearly Costs</t>
  </si>
  <si>
    <t>Cost Type</t>
  </si>
  <si>
    <t>Nominal Total</t>
  </si>
  <si>
    <t>NPV</t>
  </si>
  <si>
    <t>Contract</t>
  </si>
  <si>
    <t>Admin</t>
  </si>
  <si>
    <t>Lists</t>
  </si>
  <si>
    <t>Towns</t>
  </si>
  <si>
    <t>District</t>
  </si>
  <si>
    <t>X-Yearly Payments</t>
  </si>
  <si>
    <t>Summer Coincidence</t>
  </si>
  <si>
    <t>Time</t>
  </si>
  <si>
    <t>Barrington</t>
  </si>
  <si>
    <t>Capital-53</t>
  </si>
  <si>
    <t>NWA Total Hours</t>
  </si>
  <si>
    <t>Bristol</t>
  </si>
  <si>
    <t>Semi-Annual</t>
  </si>
  <si>
    <t>Peak Total Hours</t>
  </si>
  <si>
    <t>Burrillville</t>
  </si>
  <si>
    <t>Quarterly</t>
  </si>
  <si>
    <t>NWA Start less than</t>
  </si>
  <si>
    <t>Central Falls</t>
  </si>
  <si>
    <t>Monthly</t>
  </si>
  <si>
    <t>NWA End greater than Peak</t>
  </si>
  <si>
    <t>Charlestown</t>
  </si>
  <si>
    <t>Coastal-56</t>
  </si>
  <si>
    <t>Diesel GenSet</t>
  </si>
  <si>
    <t>One Time</t>
  </si>
  <si>
    <t>Coventry</t>
  </si>
  <si>
    <t>LNG GenSet</t>
  </si>
  <si>
    <t>Cranston</t>
  </si>
  <si>
    <t>Cumberland</t>
  </si>
  <si>
    <t>East Greenwich</t>
  </si>
  <si>
    <t>East Providence</t>
  </si>
  <si>
    <t>Exeter</t>
  </si>
  <si>
    <t>Foster</t>
  </si>
  <si>
    <t>Glocester</t>
  </si>
  <si>
    <t>Hopkinton</t>
  </si>
  <si>
    <t>Jamestown</t>
  </si>
  <si>
    <t>Johnston</t>
  </si>
  <si>
    <t>Lincoln</t>
  </si>
  <si>
    <t>Little Compton</t>
  </si>
  <si>
    <t>Middletown</t>
  </si>
  <si>
    <t>Narragansett</t>
  </si>
  <si>
    <t>New Shoreham</t>
  </si>
  <si>
    <t>Newport</t>
  </si>
  <si>
    <t>North Kingstown</t>
  </si>
  <si>
    <t>North Providence</t>
  </si>
  <si>
    <t>North Smithfield</t>
  </si>
  <si>
    <t>Pawtucket</t>
  </si>
  <si>
    <t>Portsmouth</t>
  </si>
  <si>
    <t>Providence</t>
  </si>
  <si>
    <t>Richmond</t>
  </si>
  <si>
    <t>Scituate</t>
  </si>
  <si>
    <t>Smithfield</t>
  </si>
  <si>
    <t>South Kingstown</t>
  </si>
  <si>
    <t>Tiverton</t>
  </si>
  <si>
    <t>Warren</t>
  </si>
  <si>
    <t>Warwick</t>
  </si>
  <si>
    <t>West Greenwich</t>
  </si>
  <si>
    <t>West Warwick</t>
  </si>
  <si>
    <t>Westerly</t>
  </si>
  <si>
    <t>Woonsocket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</si>
</sst>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409]* #,##0_);_([$$-409]* \(#,##0\);_([$$-409]* &quot;-&quot;??_);_(@_)"/>
    <numFmt numFmtId="166" formatCode="_(* #,##0_);_(* \(#,##0\);_(* &quot;-&quot;??_);_(@_)"/>
    <numFmt numFmtId="167" formatCode="0.0"/>
    <numFmt numFmtId="168" formatCode="_([$$-409]* #,##0.00_);_([$$-409]* \(#,##0.00\);_([$$-409]* &quot;-&quot;??_);_(@_)"/>
    <numFmt numFmtId="169" formatCode="h:mm;@"/>
    <numFmt numFmtId="170" formatCode="_([$$-409]* #,##0.000_);_([$$-409]* \(#,##0.000\);_([$$-409]* &quot;-&quot;??_);_(@_)"/>
    <numFmt numFmtId="171" formatCode="_([$$-409]* #,##0.0000_);_([$$-409]* \(#,##0.0000\);_([$$-409]* &quot;-&quot;??_);_(@_)"/>
    <numFmt numFmtId="172" formatCode="0.000"/>
    <numFmt numFmtId="173" formatCode="_(&quot;$&quot;* #,##0.0000_);_(&quot;$&quot;* \(#,##0.0000\);_(&quot;$&quot;* &quot;-&quot;??_);_(@_)"/>
    <numFmt numFmtId="174" formatCode="_(* #,##0.00_);_(* \(#,##0.00\);_(* &quot;-&quot;_);_(@_)"/>
    <numFmt numFmtId="175" formatCode="&quot;$&quot;#,##0.000_);\(&quot;$&quot;#,##0.000\)"/>
    <numFmt numFmtId="176" formatCode="0.00_)"/>
    <numFmt numFmtId="177" formatCode="#,##0.0_);\(#,##0.0\)"/>
    <numFmt numFmtId="178" formatCode="0.0000"/>
    <numFmt numFmtId="179" formatCode="&quot;$&quot;#,##0.0000000_);[Red]\(&quot;$&quot;#,##0.0000000\)"/>
    <numFmt numFmtId="180" formatCode="_(&quot;$&quot;* #,##0.00000_);_(&quot;$&quot;* \(#,##0.00000\);_(&quot;$&quot;* &quot;-&quot;??_);_(@_)"/>
    <numFmt numFmtId="181" formatCode="&quot;$&quot;#,##0.0000_);[Red]\(&quot;$&quot;#,##0.0000\)"/>
  </numFmts>
  <fonts count="62"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1"/>
      <name val="Calibri"/>
      <family val="2"/>
      <scheme val="minor"/>
    </font>
    <font>
      <b/>
      <sz val="11"/>
      <color theme="1"/>
      <name val="Calibri"/>
      <family val="2"/>
      <scheme val="minor"/>
    </font>
    <font>
      <sz val="11"/>
      <color theme="1"/>
      <name val="Calibri"/>
      <family val="2"/>
    </font>
    <font>
      <b/>
      <u/>
      <sz val="12"/>
      <color theme="1"/>
      <name val="Calibri"/>
      <family val="2"/>
      <scheme val="minor"/>
    </font>
    <font>
      <sz val="11"/>
      <color rgb="FF0070C0"/>
      <name val="Calibri"/>
      <family val="2"/>
      <scheme val="minor"/>
    </font>
    <font>
      <sz val="11"/>
      <name val="Calibri"/>
      <family val="2"/>
      <scheme val="minor"/>
    </font>
    <font>
      <sz val="11"/>
      <color rgb="FF000000"/>
      <name val="Calibri"/>
      <family val="2"/>
      <scheme val="minor"/>
    </font>
    <font>
      <sz val="11"/>
      <name val="Calibri"/>
      <family val="2"/>
    </font>
    <font>
      <b/>
      <sz val="22"/>
      <color theme="0"/>
      <name val="Calibri"/>
      <family val="2"/>
      <scheme val="minor"/>
    </font>
    <font>
      <sz val="10"/>
      <name val="Arial"/>
    </font>
    <font>
      <u/>
      <sz val="11"/>
      <color theme="10"/>
      <name val="Calibri"/>
      <family val="2"/>
      <scheme val="minor"/>
    </font>
    <font>
      <sz val="8"/>
      <name val="Arial"/>
      <family val="2"/>
    </font>
    <font>
      <sz val="11"/>
      <color indexed="9"/>
      <name val="Calibri"/>
      <family val="2"/>
    </font>
    <font>
      <sz val="11"/>
      <color indexed="8"/>
      <name val="Calibri"/>
      <family val="2"/>
    </font>
    <font>
      <sz val="10"/>
      <color indexed="12"/>
      <name val="Helv"/>
    </font>
    <font>
      <sz val="11"/>
      <color indexed="16"/>
      <name val="Calibri"/>
      <family val="2"/>
    </font>
    <font>
      <b/>
      <sz val="11"/>
      <color indexed="53"/>
      <name val="Calibri"/>
      <family val="2"/>
    </font>
    <font>
      <b/>
      <sz val="11"/>
      <color indexed="9"/>
      <name val="Calibri"/>
      <family val="2"/>
    </font>
    <font>
      <sz val="12"/>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i/>
      <sz val="16"/>
      <name val="Helv"/>
    </font>
    <font>
      <b/>
      <sz val="11"/>
      <color indexed="63"/>
      <name val="Calibri"/>
      <family val="2"/>
    </font>
    <font>
      <b/>
      <sz val="18"/>
      <color indexed="62"/>
      <name val="Cambria"/>
      <family val="2"/>
    </font>
    <font>
      <b/>
      <sz val="14"/>
      <name val="Arial"/>
      <family val="2"/>
    </font>
    <font>
      <b/>
      <sz val="11"/>
      <name val="Times New Roman"/>
      <family val="1"/>
    </font>
    <font>
      <sz val="11"/>
      <color indexed="10"/>
      <name val="Calibri"/>
      <family val="2"/>
    </font>
    <font>
      <sz val="12"/>
      <name val="Arial"/>
      <family val="2"/>
    </font>
    <font>
      <sz val="10"/>
      <color theme="1"/>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u/>
      <sz val="10"/>
      <color indexed="12"/>
      <name val="Arial"/>
      <family val="2"/>
    </font>
    <font>
      <b/>
      <sz val="16"/>
      <color theme="0"/>
      <name val="Calibri"/>
      <family val="2"/>
      <scheme val="minor"/>
    </font>
    <font>
      <sz val="10"/>
      <color theme="1"/>
      <name val="Calibri"/>
      <family val="2"/>
      <scheme val="minor"/>
    </font>
    <font>
      <sz val="9"/>
      <color theme="1"/>
      <name val="Calibri"/>
      <family val="2"/>
      <scheme val="minor"/>
    </font>
    <font>
      <b/>
      <sz val="11"/>
      <color theme="0"/>
      <name val="Calibri"/>
      <family val="2"/>
    </font>
    <font>
      <sz val="9"/>
      <color theme="1"/>
      <name val="Calibri"/>
      <family val="2"/>
    </font>
    <font>
      <sz val="10"/>
      <name val="Calibri"/>
      <family val="2"/>
      <scheme val="minor"/>
    </font>
    <font>
      <b/>
      <sz val="10"/>
      <name val="Calibri"/>
      <family val="2"/>
      <scheme val="minor"/>
    </font>
    <font>
      <b/>
      <sz val="9"/>
      <name val="Calibri"/>
      <family val="2"/>
      <scheme val="minor"/>
    </font>
    <font>
      <sz val="9"/>
      <name val="Calibri"/>
      <family val="2"/>
      <scheme val="minor"/>
    </font>
    <font>
      <sz val="9"/>
      <color rgb="FF000000"/>
      <name val="Calibri"/>
      <family val="2"/>
      <scheme val="minor"/>
    </font>
    <font>
      <b/>
      <sz val="10"/>
      <color theme="1"/>
      <name val="Calibri"/>
      <family val="2"/>
      <scheme val="minor"/>
    </font>
    <font>
      <sz val="11"/>
      <color rgb="FF444444"/>
      <name val="Calibri"/>
      <family val="2"/>
      <charset val="1"/>
    </font>
    <font>
      <b/>
      <sz val="16"/>
      <color rgb="FFFF0000"/>
      <name val="Calibri"/>
      <family val="2"/>
      <scheme val="minor"/>
    </font>
    <font>
      <b/>
      <sz val="11"/>
      <color rgb="FF000000"/>
      <name val="Calibri"/>
      <family val="2"/>
      <scheme val="minor"/>
    </font>
  </fonts>
  <fills count="7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D9D9D9"/>
        <bgColor indexed="64"/>
      </patternFill>
    </fill>
    <fill>
      <patternFill patternType="solid">
        <fgColor rgb="FF00148C"/>
        <bgColor indexed="64"/>
      </patternFill>
    </fill>
    <fill>
      <patternFill patternType="solid">
        <fgColor theme="5" tint="-0.249977111117893"/>
        <bgColor indexed="64"/>
      </patternFill>
    </fill>
    <fill>
      <patternFill patternType="solid">
        <fgColor rgb="FF00B0F0"/>
        <bgColor indexed="64"/>
      </patternFill>
    </fill>
    <fill>
      <patternFill patternType="solid">
        <fgColor theme="7" tint="0.39997558519241921"/>
        <bgColor indexed="64"/>
      </patternFill>
    </fill>
    <fill>
      <patternFill patternType="solid">
        <fgColor rgb="FF66FF99"/>
        <bgColor indexed="64"/>
      </patternFill>
    </fill>
    <fill>
      <patternFill patternType="solid">
        <fgColor rgb="FF00FFFF"/>
        <bgColor indexed="64"/>
      </patternFill>
    </fill>
    <fill>
      <patternFill patternType="solid">
        <fgColor rgb="FFF8CBAD"/>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rgb="FFFFFFCC"/>
      </patternFill>
    </fill>
    <fill>
      <patternFill patternType="solid">
        <fgColor indexed="26"/>
      </patternFill>
    </fill>
    <fill>
      <patternFill patternType="solid">
        <f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rgb="FF0070C0"/>
        <bgColor indexed="64"/>
      </patternFill>
    </fill>
    <fill>
      <patternFill patternType="solid">
        <fgColor rgb="FF00CC99"/>
        <bgColor indexed="64"/>
      </patternFill>
    </fill>
    <fill>
      <patternFill patternType="solid">
        <fgColor theme="8" tint="0.79998168889431442"/>
        <bgColor indexed="64"/>
      </patternFill>
    </fill>
    <fill>
      <patternFill patternType="solid">
        <fgColor rgb="FF9BFFE5"/>
        <bgColor indexed="64"/>
      </patternFill>
    </fill>
    <fill>
      <patternFill patternType="solid">
        <fgColor theme="5" tint="0.79998168889431442"/>
        <bgColor indexed="64"/>
      </patternFill>
    </fill>
    <fill>
      <patternFill patternType="solid">
        <fgColor rgb="FF6600CC"/>
        <bgColor indexed="64"/>
      </patternFill>
    </fill>
    <fill>
      <patternFill patternType="solid">
        <fgColor rgb="FFCCCCFF"/>
        <bgColor indexed="64"/>
      </patternFill>
    </fill>
    <fill>
      <patternFill patternType="solid">
        <fgColor rgb="FFF2F2F2"/>
        <bgColor indexed="64"/>
      </patternFill>
    </fill>
    <fill>
      <patternFill patternType="solid">
        <fgColor theme="4" tint="-0.249977111117893"/>
        <bgColor indexed="64"/>
      </patternFill>
    </fill>
    <fill>
      <patternFill patternType="solid">
        <fgColor rgb="FFFFFFFF"/>
        <bgColor indexed="64"/>
      </patternFill>
    </fill>
  </fills>
  <borders count="2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style="thin">
        <color indexed="64"/>
      </top>
      <bottom style="thin">
        <color indexed="64"/>
      </bottom>
      <diagonal/>
    </border>
    <border>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rgb="FF000000"/>
      </right>
      <top style="thin">
        <color rgb="FF000000"/>
      </top>
      <bottom/>
      <diagonal/>
    </border>
    <border>
      <left style="thin">
        <color indexed="64"/>
      </left>
      <right style="medium">
        <color rgb="FF000000"/>
      </right>
      <top style="thin">
        <color indexed="64"/>
      </top>
      <bottom/>
      <diagonal/>
    </border>
    <border>
      <left style="medium">
        <color indexed="64"/>
      </left>
      <right style="thin">
        <color rgb="FF000000"/>
      </right>
      <top/>
      <bottom style="thin">
        <color rgb="FF000000"/>
      </bottom>
      <diagonal/>
    </border>
    <border>
      <left style="thin">
        <color indexed="64"/>
      </left>
      <right style="medium">
        <color rgb="FF000000"/>
      </right>
      <top/>
      <bottom style="thin">
        <color indexed="64"/>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rgb="FF000000"/>
      </left>
      <right/>
      <top style="medium">
        <color indexed="64"/>
      </top>
      <bottom/>
      <diagonal/>
    </border>
    <border>
      <left style="thin">
        <color rgb="FF000000"/>
      </left>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bottom style="medium">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medium">
        <color indexed="64"/>
      </right>
      <top style="medium">
        <color indexed="64"/>
      </top>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thin">
        <color indexed="64"/>
      </right>
      <top style="medium">
        <color rgb="FF000000"/>
      </top>
      <bottom style="thin">
        <color indexed="64"/>
      </bottom>
      <diagonal/>
    </border>
    <border>
      <left/>
      <right/>
      <top style="medium">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indexed="64"/>
      </top>
      <bottom style="medium">
        <color rgb="FF000000"/>
      </bottom>
      <diagonal/>
    </border>
    <border>
      <left/>
      <right style="thin">
        <color indexed="64"/>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top style="medium">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
      <left style="thin">
        <color indexed="64"/>
      </left>
      <right/>
      <top/>
      <bottom style="thin">
        <color rgb="FF000000"/>
      </bottom>
      <diagonal/>
    </border>
    <border>
      <left/>
      <right/>
      <top/>
      <bottom style="thin">
        <color rgb="FF000000"/>
      </bottom>
      <diagonal/>
    </border>
    <border>
      <left/>
      <right style="medium">
        <color rgb="FF000000"/>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rgb="FF000000"/>
      </right>
      <top style="thin">
        <color rgb="FF000000"/>
      </top>
      <bottom style="medium">
        <color rgb="FF000000"/>
      </bottom>
      <diagonal/>
    </border>
    <border>
      <left/>
      <right/>
      <top style="medium">
        <color indexed="64"/>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top style="thin">
        <color rgb="FF000000"/>
      </top>
      <bottom/>
      <diagonal/>
    </border>
    <border>
      <left style="medium">
        <color rgb="FF000000"/>
      </left>
      <right style="medium">
        <color indexed="64"/>
      </right>
      <top style="medium">
        <color rgb="FF000000"/>
      </top>
      <bottom style="thin">
        <color indexed="64"/>
      </bottom>
      <diagonal/>
    </border>
    <border>
      <left style="medium">
        <color indexed="64"/>
      </left>
      <right/>
      <top style="medium">
        <color rgb="FF000000"/>
      </top>
      <bottom style="thin">
        <color rgb="FF000000"/>
      </bottom>
      <diagonal/>
    </border>
    <border>
      <left style="medium">
        <color indexed="64"/>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medium">
        <color indexed="64"/>
      </right>
      <top style="thin">
        <color indexed="64"/>
      </top>
      <bottom style="thin">
        <color indexed="64"/>
      </bottom>
      <diagonal/>
    </border>
    <border>
      <left/>
      <right style="medium">
        <color rgb="FF000000"/>
      </right>
      <top/>
      <bottom style="thin">
        <color indexed="64"/>
      </bottom>
      <diagonal/>
    </border>
    <border>
      <left style="medium">
        <color rgb="FF000000"/>
      </left>
      <right style="medium">
        <color indexed="64"/>
      </right>
      <top/>
      <bottom style="thin">
        <color indexed="64"/>
      </bottom>
      <diagonal/>
    </border>
    <border>
      <left style="medium">
        <color rgb="FF000000"/>
      </left>
      <right style="medium">
        <color indexed="64"/>
      </right>
      <top/>
      <bottom style="medium">
        <color rgb="FF000000"/>
      </bottom>
      <diagonal/>
    </border>
    <border>
      <left/>
      <right/>
      <top style="thin">
        <color rgb="FF000000"/>
      </top>
      <bottom style="medium">
        <color rgb="FF000000"/>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style="medium">
        <color rgb="FF000000"/>
      </left>
      <right style="medium">
        <color rgb="FF000000"/>
      </right>
      <top style="thin">
        <color indexed="64"/>
      </top>
      <bottom/>
      <diagonal/>
    </border>
    <border>
      <left style="medium">
        <color rgb="FF000000"/>
      </left>
      <right style="thin">
        <color indexed="64"/>
      </right>
      <top style="thin">
        <color indexed="64"/>
      </top>
      <bottom/>
      <diagonal/>
    </border>
    <border>
      <left style="medium">
        <color indexed="64"/>
      </left>
      <right/>
      <top style="thin">
        <color indexed="64"/>
      </top>
      <bottom style="medium">
        <color rgb="FF000000"/>
      </bottom>
      <diagonal/>
    </border>
    <border>
      <left/>
      <right/>
      <top style="thin">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style="medium">
        <color indexed="64"/>
      </top>
      <bottom/>
      <diagonal/>
    </border>
    <border>
      <left style="thin">
        <color rgb="FF000000"/>
      </left>
      <right style="thin">
        <color rgb="FF000000"/>
      </right>
      <top style="medium">
        <color indexed="64"/>
      </top>
      <bottom/>
      <diagonal/>
    </border>
    <border>
      <left/>
      <right style="thin">
        <color rgb="FF000000"/>
      </right>
      <top style="medium">
        <color rgb="FF000000"/>
      </top>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indexed="64"/>
      </left>
      <right style="thin">
        <color indexed="64"/>
      </right>
      <top/>
      <bottom/>
      <diagonal/>
    </border>
    <border>
      <left style="thin">
        <color indexed="64"/>
      </left>
      <right style="medium">
        <color indexed="64"/>
      </right>
      <top/>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medium">
        <color indexed="64"/>
      </left>
      <right style="thin">
        <color rgb="FF000000"/>
      </right>
      <top style="medium">
        <color indexed="64"/>
      </top>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indexed="64"/>
      </right>
      <top style="thin">
        <color indexed="64"/>
      </top>
      <bottom style="medium">
        <color indexed="64"/>
      </bottom>
      <diagonal/>
    </border>
    <border>
      <left style="medium">
        <color rgb="FF000000"/>
      </left>
      <right style="thin">
        <color rgb="FF000000"/>
      </right>
      <top style="medium">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31">
    <xf numFmtId="0" fontId="0" fillId="0" borderId="0"/>
    <xf numFmtId="9"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4" fontId="1" fillId="0" borderId="0" applyFont="0" applyFill="0" applyBorder="0" applyAlignment="0" applyProtection="0"/>
    <xf numFmtId="0" fontId="3" fillId="0" borderId="0"/>
    <xf numFmtId="0" fontId="1" fillId="21" borderId="79" applyNumberFormat="0" applyFont="0" applyAlignment="0" applyProtection="0"/>
    <xf numFmtId="0" fontId="14" fillId="0" borderId="0" applyNumberFormat="0" applyFill="0" applyBorder="0" applyAlignment="0" applyProtection="0"/>
    <xf numFmtId="0" fontId="3" fillId="0" borderId="0"/>
    <xf numFmtId="0" fontId="1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6" fillId="29" borderId="0" applyNumberFormat="0" applyBorder="0" applyAlignment="0" applyProtection="0"/>
    <xf numFmtId="0" fontId="16" fillId="24"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7" fillId="33" borderId="0" applyNumberFormat="0" applyBorder="0" applyAlignment="0" applyProtection="0"/>
    <xf numFmtId="0" fontId="17" fillId="25" borderId="0" applyNumberFormat="0" applyBorder="0" applyAlignment="0" applyProtection="0"/>
    <xf numFmtId="0" fontId="16" fillId="26" borderId="0" applyNumberFormat="0" applyBorder="0" applyAlignment="0" applyProtection="0"/>
    <xf numFmtId="0" fontId="16" fillId="34" borderId="0" applyNumberFormat="0" applyBorder="0" applyAlignment="0" applyProtection="0"/>
    <xf numFmtId="0" fontId="17" fillId="28" borderId="0" applyNumberFormat="0" applyBorder="0" applyAlignment="0" applyProtection="0"/>
    <xf numFmtId="0" fontId="17" fillId="35" borderId="0" applyNumberFormat="0" applyBorder="0" applyAlignment="0" applyProtection="0"/>
    <xf numFmtId="0" fontId="16" fillId="35" borderId="0" applyNumberFormat="0" applyBorder="0" applyAlignment="0" applyProtection="0"/>
    <xf numFmtId="9" fontId="18" fillId="0" borderId="0" applyNumberFormat="0"/>
    <xf numFmtId="0" fontId="19" fillId="36" borderId="0" applyNumberFormat="0" applyBorder="0" applyAlignment="0" applyProtection="0"/>
    <xf numFmtId="0" fontId="20" fillId="37" borderId="82" applyNumberFormat="0" applyAlignment="0" applyProtection="0"/>
    <xf numFmtId="0" fontId="21" fillId="30" borderId="83" applyNumberFormat="0" applyAlignment="0" applyProtection="0"/>
    <xf numFmtId="43" fontId="3" fillId="0" borderId="0" applyFont="0" applyFill="0" applyBorder="0" applyAlignment="0" applyProtection="0"/>
    <xf numFmtId="37" fontId="22" fillId="0" borderId="0"/>
    <xf numFmtId="174" fontId="22" fillId="0" borderId="0"/>
    <xf numFmtId="44" fontId="3" fillId="0" borderId="0" applyFont="0" applyFill="0" applyBorder="0" applyAlignment="0" applyProtection="0"/>
    <xf numFmtId="175" fontId="22" fillId="0" borderId="0"/>
    <xf numFmtId="44" fontId="1" fillId="0" borderId="0" applyFont="0" applyFill="0" applyBorder="0" applyAlignment="0" applyProtection="0"/>
    <xf numFmtId="44" fontId="3" fillId="0" borderId="0" applyFont="0" applyFill="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4" fillId="31" borderId="0" applyNumberFormat="0" applyBorder="0" applyAlignment="0" applyProtection="0"/>
    <xf numFmtId="38" fontId="15" fillId="23" borderId="0" applyNumberFormat="0" applyBorder="0" applyAlignment="0" applyProtection="0"/>
    <xf numFmtId="0" fontId="25" fillId="0" borderId="84" applyNumberFormat="0" applyFill="0" applyAlignment="0" applyProtection="0"/>
    <xf numFmtId="0" fontId="26" fillId="0" borderId="85" applyNumberFormat="0" applyFill="0" applyAlignment="0" applyProtection="0"/>
    <xf numFmtId="0" fontId="27" fillId="0" borderId="86" applyNumberFormat="0" applyFill="0" applyAlignment="0" applyProtection="0"/>
    <xf numFmtId="0" fontId="27" fillId="0" borderId="0" applyNumberFormat="0" applyFill="0" applyBorder="0" applyAlignment="0" applyProtection="0"/>
    <xf numFmtId="0" fontId="28" fillId="35" borderId="82" applyNumberFormat="0" applyAlignment="0" applyProtection="0"/>
    <xf numFmtId="10" fontId="15" fillId="22" borderId="10" applyNumberFormat="0" applyBorder="0" applyAlignment="0" applyProtection="0"/>
    <xf numFmtId="0" fontId="29" fillId="0" borderId="87" applyNumberFormat="0" applyFill="0" applyAlignment="0" applyProtection="0"/>
    <xf numFmtId="0" fontId="30" fillId="41" borderId="0" applyNumberFormat="0" applyBorder="0" applyAlignment="0" applyProtection="0"/>
    <xf numFmtId="176" fontId="31" fillId="0" borderId="0"/>
    <xf numFmtId="0" fontId="1" fillId="0" borderId="0"/>
    <xf numFmtId="0" fontId="1" fillId="0" borderId="0"/>
    <xf numFmtId="0" fontId="3" fillId="0" borderId="0"/>
    <xf numFmtId="0" fontId="3" fillId="28" borderId="88" applyNumberFormat="0" applyFont="0" applyAlignment="0" applyProtection="0"/>
    <xf numFmtId="0" fontId="32" fillId="37" borderId="89" applyNumberFormat="0" applyAlignment="0" applyProtection="0"/>
    <xf numFmtId="177" fontId="22" fillId="0" borderId="0"/>
    <xf numFmtId="9" fontId="3" fillId="0" borderId="0" applyFont="0" applyFill="0" applyBorder="0" applyAlignment="0" applyProtection="0"/>
    <xf numFmtId="10" fontId="3"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0" fontId="35" fillId="0" borderId="0"/>
    <xf numFmtId="0" fontId="23" fillId="0" borderId="90" applyNumberFormat="0" applyFill="0" applyAlignment="0" applyProtection="0"/>
    <xf numFmtId="0" fontId="36" fillId="0" borderId="0" applyNumberForma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38" fontId="15" fillId="23" borderId="0" applyNumberFormat="0" applyBorder="0" applyAlignment="0" applyProtection="0"/>
    <xf numFmtId="10" fontId="15" fillId="22" borderId="10" applyNumberFormat="0" applyBorder="0" applyAlignment="0" applyProtection="0"/>
    <xf numFmtId="0" fontId="1" fillId="0" borderId="0"/>
    <xf numFmtId="0" fontId="1" fillId="0" borderId="0"/>
    <xf numFmtId="0" fontId="3" fillId="0" borderId="0"/>
    <xf numFmtId="9" fontId="3" fillId="0" borderId="0" applyFont="0" applyFill="0" applyBorder="0" applyAlignment="0" applyProtection="0"/>
    <xf numFmtId="0" fontId="1" fillId="0" borderId="0"/>
    <xf numFmtId="44" fontId="1" fillId="0" borderId="0" applyFont="0" applyFill="0" applyBorder="0" applyAlignment="0" applyProtection="0"/>
    <xf numFmtId="0" fontId="3" fillId="0" borderId="0"/>
    <xf numFmtId="9" fontId="1" fillId="0" borderId="0" applyFont="0" applyFill="0" applyBorder="0" applyAlignment="0" applyProtection="0"/>
    <xf numFmtId="0" fontId="1" fillId="0" borderId="0"/>
    <xf numFmtId="0" fontId="17"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38" fillId="0" borderId="0"/>
    <xf numFmtId="43" fontId="38" fillId="0" borderId="0" applyFont="0" applyFill="0" applyBorder="0" applyAlignment="0" applyProtection="0"/>
    <xf numFmtId="9" fontId="38" fillId="0" borderId="0" applyFont="0" applyFill="0" applyBorder="0" applyAlignment="0" applyProtection="0"/>
    <xf numFmtId="44" fontId="38" fillId="0" borderId="0" applyFont="0" applyFill="0" applyBorder="0" applyAlignment="0" applyProtection="0"/>
    <xf numFmtId="44" fontId="3" fillId="0" borderId="0" applyFont="0" applyFill="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7" fillId="45"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59" borderId="0" applyNumberFormat="0" applyBorder="0" applyAlignment="0" applyProtection="0"/>
    <xf numFmtId="0" fontId="39" fillId="43" borderId="0" applyNumberFormat="0" applyBorder="0" applyAlignment="0" applyProtection="0"/>
    <xf numFmtId="0" fontId="40" fillId="23" borderId="82" applyNumberFormat="0" applyAlignment="0" applyProtection="0"/>
    <xf numFmtId="0" fontId="21" fillId="60" borderId="83" applyNumberFormat="0" applyAlignment="0" applyProtection="0"/>
    <xf numFmtId="43" fontId="3" fillId="0" borderId="0" applyFont="0" applyFill="0" applyBorder="0" applyAlignment="0" applyProtection="0"/>
    <xf numFmtId="0" fontId="41" fillId="0" borderId="0" applyNumberFormat="0" applyFill="0" applyBorder="0" applyAlignment="0" applyProtection="0"/>
    <xf numFmtId="0" fontId="24" fillId="44" borderId="0" applyNumberFormat="0" applyBorder="0" applyAlignment="0" applyProtection="0"/>
    <xf numFmtId="0" fontId="42" fillId="0" borderId="91" applyNumberFormat="0" applyFill="0" applyAlignment="0" applyProtection="0"/>
    <xf numFmtId="0" fontId="43" fillId="0" borderId="85" applyNumberFormat="0" applyFill="0" applyAlignment="0" applyProtection="0"/>
    <xf numFmtId="0" fontId="44" fillId="0" borderId="92" applyNumberFormat="0" applyFill="0" applyAlignment="0" applyProtection="0"/>
    <xf numFmtId="0" fontId="44" fillId="0" borderId="0" applyNumberFormat="0" applyFill="0" applyBorder="0" applyAlignment="0" applyProtection="0"/>
    <xf numFmtId="0" fontId="28" fillId="47" borderId="82" applyNumberFormat="0" applyAlignment="0" applyProtection="0"/>
    <xf numFmtId="0" fontId="45" fillId="0" borderId="87" applyNumberFormat="0" applyFill="0" applyAlignment="0" applyProtection="0"/>
    <xf numFmtId="0" fontId="30" fillId="61" borderId="0" applyNumberFormat="0" applyBorder="0" applyAlignment="0" applyProtection="0"/>
    <xf numFmtId="0" fontId="17" fillId="0" borderId="0"/>
    <xf numFmtId="0" fontId="17" fillId="0" borderId="0"/>
    <xf numFmtId="0" fontId="3" fillId="0" borderId="0"/>
    <xf numFmtId="0" fontId="17" fillId="0" borderId="0"/>
    <xf numFmtId="0" fontId="1" fillId="21" borderId="79" applyNumberFormat="0" applyFont="0" applyAlignment="0" applyProtection="0"/>
    <xf numFmtId="0" fontId="17" fillId="22" borderId="88" applyNumberFormat="0" applyFont="0" applyAlignment="0" applyProtection="0"/>
    <xf numFmtId="0" fontId="32" fillId="23" borderId="89" applyNumberFormat="0" applyAlignment="0" applyProtection="0"/>
    <xf numFmtId="0" fontId="46" fillId="0" borderId="0" applyNumberFormat="0" applyFill="0" applyBorder="0" applyAlignment="0" applyProtection="0"/>
    <xf numFmtId="0" fontId="23" fillId="0" borderId="93" applyNumberFormat="0" applyFill="0" applyAlignment="0" applyProtection="0"/>
    <xf numFmtId="0" fontId="36" fillId="0" borderId="0" applyNumberFormat="0" applyFill="0" applyBorder="0" applyAlignment="0" applyProtection="0"/>
    <xf numFmtId="0" fontId="1" fillId="0" borderId="0"/>
    <xf numFmtId="0" fontId="3" fillId="0" borderId="0"/>
    <xf numFmtId="0" fontId="16" fillId="24"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19" fillId="36" borderId="0" applyNumberFormat="0" applyBorder="0" applyAlignment="0" applyProtection="0"/>
    <xf numFmtId="0" fontId="20" fillId="37" borderId="82" applyNumberFormat="0" applyAlignment="0" applyProtection="0"/>
    <xf numFmtId="0" fontId="21" fillId="30" borderId="83"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24" fillId="31" borderId="0" applyNumberFormat="0" applyBorder="0" applyAlignment="0" applyProtection="0"/>
    <xf numFmtId="0" fontId="25" fillId="0" borderId="84" applyNumberFormat="0" applyFill="0" applyAlignment="0" applyProtection="0"/>
    <xf numFmtId="0" fontId="26" fillId="0" borderId="85" applyNumberFormat="0" applyFill="0" applyAlignment="0" applyProtection="0"/>
    <xf numFmtId="0" fontId="27" fillId="0" borderId="86" applyNumberFormat="0" applyFill="0" applyAlignment="0" applyProtection="0"/>
    <xf numFmtId="0" fontId="27" fillId="0" borderId="0" applyNumberFormat="0" applyFill="0" applyBorder="0" applyAlignment="0" applyProtection="0"/>
    <xf numFmtId="0" fontId="28" fillId="35" borderId="82" applyNumberFormat="0" applyAlignment="0" applyProtection="0"/>
    <xf numFmtId="0" fontId="29" fillId="0" borderId="87" applyNumberFormat="0" applyFill="0" applyAlignment="0" applyProtection="0"/>
    <xf numFmtId="0" fontId="30" fillId="41" borderId="0" applyNumberFormat="0" applyBorder="0" applyAlignment="0" applyProtection="0"/>
    <xf numFmtId="0" fontId="1" fillId="0" borderId="0"/>
    <xf numFmtId="0" fontId="1" fillId="0" borderId="0"/>
    <xf numFmtId="0" fontId="3" fillId="28" borderId="88" applyNumberFormat="0" applyFont="0" applyAlignment="0" applyProtection="0"/>
    <xf numFmtId="0" fontId="32" fillId="37" borderId="89" applyNumberFormat="0" applyAlignment="0" applyProtection="0"/>
    <xf numFmtId="9" fontId="3" fillId="0" borderId="0" applyFont="0" applyFill="0" applyBorder="0" applyAlignment="0" applyProtection="0"/>
    <xf numFmtId="0" fontId="23" fillId="0" borderId="90" applyNumberFormat="0" applyFill="0" applyAlignment="0" applyProtection="0"/>
    <xf numFmtId="0" fontId="36" fillId="0" borderId="0" applyNumberForma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79" applyNumberFormat="0" applyFont="0" applyAlignment="0" applyProtection="0"/>
    <xf numFmtId="0" fontId="1" fillId="0" borderId="0"/>
    <xf numFmtId="0" fontId="3" fillId="0" borderId="0"/>
    <xf numFmtId="0" fontId="16" fillId="24"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7" fillId="22" borderId="88" applyNumberFormat="0" applyFont="0" applyAlignment="0" applyProtection="0"/>
    <xf numFmtId="0" fontId="38" fillId="0" borderId="0"/>
    <xf numFmtId="0" fontId="28" fillId="35" borderId="82" applyNumberFormat="0" applyAlignment="0" applyProtection="0"/>
    <xf numFmtId="0" fontId="16" fillId="24" borderId="0" applyNumberFormat="0" applyBorder="0" applyAlignment="0" applyProtection="0"/>
    <xf numFmtId="9" fontId="3" fillId="0" borderId="0" applyFont="0" applyFill="0" applyBorder="0" applyAlignment="0" applyProtection="0"/>
    <xf numFmtId="0" fontId="16" fillId="27" borderId="0" applyNumberFormat="0" applyBorder="0" applyAlignment="0" applyProtection="0"/>
    <xf numFmtId="0" fontId="28" fillId="35" borderId="82" applyNumberFormat="0" applyAlignment="0" applyProtection="0"/>
    <xf numFmtId="0" fontId="16" fillId="34" borderId="0" applyNumberFormat="0" applyBorder="0" applyAlignment="0" applyProtection="0"/>
    <xf numFmtId="0" fontId="16" fillId="32" borderId="0" applyNumberFormat="0" applyBorder="0" applyAlignment="0" applyProtection="0"/>
    <xf numFmtId="43" fontId="3" fillId="0" borderId="0" applyFont="0" applyFill="0" applyBorder="0" applyAlignment="0" applyProtection="0"/>
    <xf numFmtId="0" fontId="16" fillId="24" borderId="0" applyNumberFormat="0" applyBorder="0" applyAlignment="0" applyProtection="0"/>
    <xf numFmtId="0" fontId="3" fillId="0" borderId="0"/>
    <xf numFmtId="44" fontId="38" fillId="0" borderId="0" applyFont="0" applyFill="0" applyBorder="0" applyAlignment="0" applyProtection="0"/>
    <xf numFmtId="9" fontId="38" fillId="0" borderId="0" applyFont="0" applyFill="0" applyBorder="0" applyAlignment="0" applyProtection="0"/>
    <xf numFmtId="44" fontId="3" fillId="0" borderId="0" applyFont="0" applyFill="0" applyBorder="0" applyAlignment="0" applyProtection="0"/>
    <xf numFmtId="0" fontId="16" fillId="30" borderId="0" applyNumberFormat="0" applyBorder="0" applyAlignment="0" applyProtection="0"/>
    <xf numFmtId="43" fontId="38" fillId="0" borderId="0" applyFont="0" applyFill="0" applyBorder="0" applyAlignment="0" applyProtection="0"/>
    <xf numFmtId="0" fontId="37" fillId="0" borderId="0"/>
    <xf numFmtId="0" fontId="1" fillId="0" borderId="0"/>
    <xf numFmtId="0" fontId="3" fillId="0" borderId="0"/>
    <xf numFmtId="44" fontId="1" fillId="0" borderId="0" applyFont="0" applyFill="0" applyBorder="0" applyAlignment="0" applyProtection="0"/>
    <xf numFmtId="0" fontId="1" fillId="0" borderId="0"/>
    <xf numFmtId="0" fontId="1" fillId="0" borderId="0"/>
    <xf numFmtId="0" fontId="1" fillId="0" borderId="0"/>
    <xf numFmtId="0" fontId="3" fillId="0" borderId="0"/>
    <xf numFmtId="0" fontId="1" fillId="21" borderId="79" applyNumberFormat="0" applyFont="0" applyAlignment="0" applyProtection="0"/>
    <xf numFmtId="0" fontId="3" fillId="0" borderId="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79" applyNumberFormat="0" applyFont="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21" borderId="7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applyNumberFormat="0" applyFill="0" applyBorder="0" applyAlignment="0" applyProtection="0">
      <alignment vertical="top"/>
      <protection locked="0"/>
    </xf>
    <xf numFmtId="0" fontId="1" fillId="0" borderId="0"/>
    <xf numFmtId="0" fontId="1" fillId="0" borderId="0"/>
    <xf numFmtId="0" fontId="1" fillId="0" borderId="0"/>
    <xf numFmtId="0" fontId="16" fillId="27" borderId="0" applyNumberFormat="0" applyBorder="0" applyAlignment="0" applyProtection="0"/>
    <xf numFmtId="0" fontId="16" fillId="3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19" fillId="36" borderId="0" applyNumberFormat="0" applyBorder="0" applyAlignment="0" applyProtection="0"/>
    <xf numFmtId="0" fontId="20" fillId="37" borderId="82" applyNumberFormat="0" applyAlignment="0" applyProtection="0"/>
    <xf numFmtId="0" fontId="21" fillId="30" borderId="83" applyNumberFormat="0" applyAlignment="0" applyProtection="0"/>
    <xf numFmtId="44" fontId="3" fillId="0" borderId="0" applyFont="0" applyFill="0" applyBorder="0" applyAlignment="0" applyProtection="0"/>
    <xf numFmtId="44" fontId="1" fillId="0" borderId="0" applyFont="0" applyFill="0" applyBorder="0" applyAlignment="0" applyProtection="0"/>
    <xf numFmtId="0" fontId="24" fillId="31" borderId="0" applyNumberFormat="0" applyBorder="0" applyAlignment="0" applyProtection="0"/>
    <xf numFmtId="0" fontId="25" fillId="0" borderId="84" applyNumberFormat="0" applyFill="0" applyAlignment="0" applyProtection="0"/>
    <xf numFmtId="0" fontId="26" fillId="0" borderId="85" applyNumberFormat="0" applyFill="0" applyAlignment="0" applyProtection="0"/>
    <xf numFmtId="0" fontId="27" fillId="0" borderId="86" applyNumberFormat="0" applyFill="0" applyAlignment="0" applyProtection="0"/>
    <xf numFmtId="0" fontId="27" fillId="0" borderId="0" applyNumberFormat="0" applyFill="0" applyBorder="0" applyAlignment="0" applyProtection="0"/>
    <xf numFmtId="0" fontId="28" fillId="35" borderId="82" applyNumberFormat="0" applyAlignment="0" applyProtection="0"/>
    <xf numFmtId="0" fontId="29" fillId="0" borderId="87" applyNumberFormat="0" applyFill="0" applyAlignment="0" applyProtection="0"/>
    <xf numFmtId="0" fontId="30" fillId="41" borderId="0" applyNumberFormat="0" applyBorder="0" applyAlignment="0" applyProtection="0"/>
    <xf numFmtId="0" fontId="3" fillId="28" borderId="88" applyNumberFormat="0" applyFont="0" applyAlignment="0" applyProtection="0"/>
    <xf numFmtId="0" fontId="32" fillId="37" borderId="89" applyNumberFormat="0" applyAlignment="0" applyProtection="0"/>
    <xf numFmtId="0" fontId="1" fillId="0" borderId="0"/>
    <xf numFmtId="0" fontId="23" fillId="0" borderId="90" applyNumberFormat="0" applyFill="0" applyAlignment="0" applyProtection="0"/>
    <xf numFmtId="0" fontId="36" fillId="0" borderId="0" applyNumberForma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3"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0" fontId="1" fillId="21" borderId="79"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79" applyNumberFormat="0" applyFont="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21" borderId="79"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79" applyNumberFormat="0" applyFont="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21" borderId="7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0" fontId="3" fillId="0" borderId="0"/>
    <xf numFmtId="44" fontId="1"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79"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79" applyNumberFormat="0" applyFont="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21" borderId="79"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79" applyNumberFormat="0" applyFont="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21" borderId="79" applyNumberFormat="0" applyFont="0" applyAlignment="0" applyProtection="0"/>
    <xf numFmtId="0" fontId="3" fillId="0" borderId="0"/>
    <xf numFmtId="0" fontId="16" fillId="24"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28" fillId="35" borderId="82" applyNumberFormat="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43" fontId="1" fillId="0" borderId="0" applyFont="0" applyFill="0" applyBorder="0" applyAlignment="0" applyProtection="0"/>
  </cellStyleXfs>
  <cellXfs count="787">
    <xf numFmtId="0" fontId="0" fillId="0" borderId="0" xfId="0"/>
    <xf numFmtId="14" fontId="0" fillId="0" borderId="0" xfId="0" applyNumberFormat="1"/>
    <xf numFmtId="0" fontId="1" fillId="0" borderId="0" xfId="0" applyFont="1" applyAlignment="1" applyProtection="1">
      <alignment vertical="center"/>
      <protection locked="0"/>
    </xf>
    <xf numFmtId="0" fontId="0" fillId="0" borderId="0" xfId="0" applyAlignment="1">
      <alignment vertical="center"/>
    </xf>
    <xf numFmtId="0" fontId="5" fillId="0" borderId="0" xfId="0" applyFont="1" applyAlignment="1">
      <alignment horizontal="left" vertical="center"/>
    </xf>
    <xf numFmtId="0" fontId="0" fillId="0" borderId="0" xfId="0" applyAlignment="1" applyProtection="1">
      <alignment vertical="center"/>
      <protection locked="0"/>
    </xf>
    <xf numFmtId="0" fontId="0" fillId="0" borderId="10" xfId="0" applyBorder="1" applyAlignment="1" applyProtection="1">
      <alignment vertical="center"/>
      <protection locked="0"/>
    </xf>
    <xf numFmtId="9" fontId="0" fillId="0" borderId="10" xfId="1" applyFont="1" applyBorder="1" applyAlignment="1" applyProtection="1">
      <alignment vertical="center"/>
      <protection locked="0"/>
    </xf>
    <xf numFmtId="9" fontId="0" fillId="0" borderId="0" xfId="1" applyFont="1" applyBorder="1" applyAlignment="1" applyProtection="1">
      <alignment vertical="center"/>
      <protection locked="0"/>
    </xf>
    <xf numFmtId="0" fontId="7" fillId="0" borderId="0" xfId="0" applyFont="1" applyAlignment="1">
      <alignment vertical="center"/>
    </xf>
    <xf numFmtId="0" fontId="8" fillId="0" borderId="0" xfId="0" applyFont="1" applyAlignment="1">
      <alignment horizontal="center" vertical="center"/>
    </xf>
    <xf numFmtId="167" fontId="0" fillId="0" borderId="0" xfId="0" applyNumberFormat="1" applyAlignment="1">
      <alignment horizontal="center" vertical="center"/>
    </xf>
    <xf numFmtId="0" fontId="0" fillId="0" borderId="0" xfId="0" applyAlignment="1">
      <alignment horizontal="center" vertical="center"/>
    </xf>
    <xf numFmtId="0" fontId="0" fillId="0" borderId="11" xfId="0" applyBorder="1" applyAlignment="1" applyProtection="1">
      <alignment vertical="center"/>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10" fontId="0" fillId="3" borderId="11" xfId="1" applyNumberFormat="1" applyFont="1" applyFill="1" applyBorder="1" applyAlignment="1" applyProtection="1">
      <alignment vertical="center"/>
      <protection locked="0"/>
    </xf>
    <xf numFmtId="9" fontId="0" fillId="0" borderId="15" xfId="1" applyFont="1" applyBorder="1" applyAlignment="1" applyProtection="1">
      <alignment vertical="center"/>
      <protection locked="0"/>
    </xf>
    <xf numFmtId="0" fontId="0" fillId="0" borderId="0" xfId="0" applyAlignment="1">
      <alignment horizontal="center" vertical="center" wrapText="1"/>
    </xf>
    <xf numFmtId="0" fontId="6" fillId="7" borderId="0" xfId="0" applyFont="1" applyFill="1" applyAlignment="1">
      <alignment horizontal="left" vertical="center"/>
    </xf>
    <xf numFmtId="0" fontId="0" fillId="7" borderId="0" xfId="0" applyFill="1" applyAlignment="1">
      <alignment horizontal="left" vertical="center"/>
    </xf>
    <xf numFmtId="166" fontId="1" fillId="0" borderId="0" xfId="0" applyNumberFormat="1" applyFont="1" applyAlignment="1" applyProtection="1">
      <alignment vertical="center"/>
      <protection locked="0"/>
    </xf>
    <xf numFmtId="0" fontId="0" fillId="8" borderId="0" xfId="0" applyFill="1" applyAlignment="1">
      <alignment horizontal="left" vertical="center"/>
    </xf>
    <xf numFmtId="0" fontId="0" fillId="9" borderId="0" xfId="0" applyFill="1" applyAlignment="1">
      <alignment horizontal="left" vertical="center"/>
    </xf>
    <xf numFmtId="0" fontId="0" fillId="3" borderId="0" xfId="0" applyFill="1" applyAlignment="1">
      <alignment horizontal="left" vertical="center"/>
    </xf>
    <xf numFmtId="0" fontId="0" fillId="3" borderId="0" xfId="0" applyFill="1" applyAlignment="1" applyProtection="1">
      <alignment horizontal="left" vertical="center"/>
      <protection locked="0"/>
    </xf>
    <xf numFmtId="164" fontId="0" fillId="0" borderId="0" xfId="6" applyNumberFormat="1" applyFont="1" applyBorder="1" applyAlignment="1">
      <alignment vertical="center"/>
    </xf>
    <xf numFmtId="0" fontId="0" fillId="0" borderId="11" xfId="0" applyBorder="1" applyAlignment="1">
      <alignment vertical="center"/>
    </xf>
    <xf numFmtId="168" fontId="0" fillId="0" borderId="10" xfId="0" applyNumberFormat="1" applyBorder="1" applyAlignment="1" applyProtection="1">
      <alignment vertical="center"/>
      <protection locked="0"/>
    </xf>
    <xf numFmtId="0" fontId="0" fillId="0" borderId="13" xfId="0" applyBorder="1" applyAlignment="1" applyProtection="1">
      <alignment vertical="center"/>
      <protection locked="0"/>
    </xf>
    <xf numFmtId="164" fontId="0" fillId="0" borderId="10" xfId="6" applyNumberFormat="1" applyFont="1" applyFill="1"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23" xfId="0" applyBorder="1" applyAlignment="1">
      <alignment vertical="center"/>
    </xf>
    <xf numFmtId="14" fontId="0" fillId="0" borderId="0" xfId="0" applyNumberFormat="1" applyAlignment="1">
      <alignment horizontal="center" vertical="center"/>
    </xf>
    <xf numFmtId="0" fontId="11" fillId="0" borderId="23" xfId="0" applyFont="1" applyBorder="1" applyAlignment="1">
      <alignment horizontal="center" vertical="center"/>
    </xf>
    <xf numFmtId="0" fontId="0" fillId="0" borderId="23" xfId="0" applyBorder="1" applyAlignment="1">
      <alignment horizontal="center" vertical="center"/>
    </xf>
    <xf numFmtId="10" fontId="0" fillId="0" borderId="10" xfId="1" applyNumberFormat="1" applyFont="1" applyFill="1" applyBorder="1" applyAlignment="1" applyProtection="1">
      <alignment vertical="center"/>
      <protection locked="0"/>
    </xf>
    <xf numFmtId="0" fontId="0" fillId="0" borderId="26" xfId="0" applyBorder="1" applyAlignment="1" applyProtection="1">
      <alignment vertical="center"/>
      <protection locked="0"/>
    </xf>
    <xf numFmtId="0" fontId="0" fillId="0" borderId="28" xfId="0" applyBorder="1" applyAlignment="1" applyProtection="1">
      <alignment vertical="center"/>
      <protection locked="0"/>
    </xf>
    <xf numFmtId="0" fontId="0" fillId="0" borderId="31" xfId="0" applyBorder="1" applyAlignment="1" applyProtection="1">
      <alignment vertical="center"/>
      <protection locked="0"/>
    </xf>
    <xf numFmtId="9" fontId="0" fillId="0" borderId="11" xfId="1" applyFont="1" applyBorder="1" applyAlignment="1" applyProtection="1">
      <alignment vertical="center"/>
      <protection locked="0"/>
    </xf>
    <xf numFmtId="0" fontId="0" fillId="0" borderId="33" xfId="0" applyBorder="1" applyAlignment="1" applyProtection="1">
      <alignment vertical="center"/>
      <protection locked="0"/>
    </xf>
    <xf numFmtId="0" fontId="0" fillId="0" borderId="0" xfId="0" applyAlignment="1">
      <alignment vertical="center" wrapText="1"/>
    </xf>
    <xf numFmtId="0" fontId="2" fillId="12" borderId="11" xfId="0" applyFont="1" applyFill="1" applyBorder="1" applyAlignment="1" applyProtection="1">
      <alignment horizontal="center" vertical="center"/>
      <protection locked="0"/>
    </xf>
    <xf numFmtId="44" fontId="0" fillId="0" borderId="0" xfId="6" applyFont="1" applyBorder="1" applyAlignment="1">
      <alignment vertical="center"/>
    </xf>
    <xf numFmtId="44" fontId="0" fillId="0" borderId="0" xfId="6" applyFont="1" applyFill="1" applyBorder="1" applyAlignment="1">
      <alignment vertical="center"/>
    </xf>
    <xf numFmtId="164" fontId="0" fillId="0" borderId="0" xfId="6" applyNumberFormat="1" applyFont="1" applyFill="1" applyBorder="1" applyAlignment="1">
      <alignment vertical="center"/>
    </xf>
    <xf numFmtId="0" fontId="0" fillId="0" borderId="5" xfId="0" applyBorder="1" applyAlignment="1">
      <alignment vertical="center"/>
    </xf>
    <xf numFmtId="0" fontId="0" fillId="0" borderId="0" xfId="0" quotePrefix="1" applyAlignment="1">
      <alignment vertical="center"/>
    </xf>
    <xf numFmtId="8" fontId="0" fillId="0" borderId="16" xfId="0" applyNumberFormat="1" applyBorder="1" applyAlignment="1">
      <alignment vertical="center"/>
    </xf>
    <xf numFmtId="8" fontId="0" fillId="0" borderId="18" xfId="0" applyNumberFormat="1" applyBorder="1" applyAlignment="1">
      <alignment vertical="center"/>
    </xf>
    <xf numFmtId="8" fontId="0" fillId="0" borderId="21" xfId="0" applyNumberFormat="1" applyBorder="1" applyAlignment="1">
      <alignment vertical="center"/>
    </xf>
    <xf numFmtId="0" fontId="0" fillId="0" borderId="35" xfId="0" applyBorder="1" applyAlignment="1">
      <alignment vertical="center"/>
    </xf>
    <xf numFmtId="0" fontId="0" fillId="0" borderId="38" xfId="0" applyBorder="1" applyAlignment="1">
      <alignment vertical="center"/>
    </xf>
    <xf numFmtId="0" fontId="0" fillId="0" borderId="7" xfId="0" applyBorder="1" applyAlignment="1" applyProtection="1">
      <alignment vertical="center"/>
      <protection locked="0"/>
    </xf>
    <xf numFmtId="0" fontId="2" fillId="12" borderId="11" xfId="0" applyFon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15" xfId="0" applyBorder="1" applyAlignment="1" applyProtection="1">
      <alignment vertical="center" wrapText="1"/>
      <protection locked="0"/>
    </xf>
    <xf numFmtId="169" fontId="0" fillId="0" borderId="10" xfId="0" applyNumberFormat="1" applyBorder="1" applyAlignment="1" applyProtection="1">
      <alignment vertical="center"/>
      <protection locked="0"/>
    </xf>
    <xf numFmtId="169" fontId="0" fillId="11" borderId="10" xfId="0" applyNumberFormat="1" applyFill="1" applyBorder="1" applyAlignment="1" applyProtection="1">
      <alignment vertical="center"/>
      <protection locked="0"/>
    </xf>
    <xf numFmtId="0" fontId="0" fillId="0" borderId="43" xfId="0" applyBorder="1" applyAlignment="1" applyProtection="1">
      <alignment vertical="center"/>
      <protection locked="0"/>
    </xf>
    <xf numFmtId="0" fontId="0" fillId="0" borderId="45" xfId="0" applyBorder="1" applyAlignment="1" applyProtection="1">
      <alignment vertical="center"/>
      <protection locked="0"/>
    </xf>
    <xf numFmtId="0" fontId="0" fillId="0" borderId="46" xfId="0" applyBorder="1" applyAlignment="1" applyProtection="1">
      <alignment vertical="center"/>
      <protection locked="0"/>
    </xf>
    <xf numFmtId="0" fontId="0" fillId="0" borderId="49" xfId="0" applyBorder="1" applyAlignment="1" applyProtection="1">
      <alignment vertical="center"/>
      <protection locked="0"/>
    </xf>
    <xf numFmtId="0" fontId="0" fillId="0" borderId="9" xfId="0" applyBorder="1" applyAlignment="1" applyProtection="1">
      <alignment vertical="center"/>
      <protection locked="0"/>
    </xf>
    <xf numFmtId="0" fontId="0" fillId="0" borderId="47" xfId="0" applyBorder="1" applyAlignment="1" applyProtection="1">
      <alignment vertical="center"/>
      <protection locked="0"/>
    </xf>
    <xf numFmtId="0" fontId="0" fillId="0" borderId="51" xfId="0" applyBorder="1" applyAlignment="1" applyProtection="1">
      <alignment vertical="center"/>
      <protection locked="0"/>
    </xf>
    <xf numFmtId="10" fontId="0" fillId="0" borderId="44" xfId="0" applyNumberFormat="1" applyBorder="1" applyAlignment="1" applyProtection="1">
      <alignment vertical="center"/>
      <protection locked="0"/>
    </xf>
    <xf numFmtId="168" fontId="0" fillId="0" borderId="11" xfId="0" applyNumberFormat="1" applyBorder="1" applyAlignment="1" applyProtection="1">
      <alignment horizontal="center" vertical="center"/>
      <protection locked="0"/>
    </xf>
    <xf numFmtId="169" fontId="0" fillId="0" borderId="44" xfId="0" applyNumberFormat="1" applyBorder="1" applyAlignment="1" applyProtection="1">
      <alignment vertical="center"/>
      <protection locked="0"/>
    </xf>
    <xf numFmtId="169" fontId="0" fillId="11" borderId="48" xfId="0" applyNumberFormat="1" applyFill="1" applyBorder="1" applyAlignment="1" applyProtection="1">
      <alignment vertical="center"/>
      <protection locked="0"/>
    </xf>
    <xf numFmtId="10" fontId="0" fillId="0" borderId="11" xfId="0" applyNumberFormat="1" applyBorder="1" applyAlignment="1" applyProtection="1">
      <alignment vertical="center"/>
      <protection locked="0"/>
    </xf>
    <xf numFmtId="166" fontId="0" fillId="0" borderId="12" xfId="0" applyNumberFormat="1" applyBorder="1" applyAlignment="1" applyProtection="1">
      <alignment vertical="center"/>
      <protection locked="0"/>
    </xf>
    <xf numFmtId="0" fontId="0" fillId="0" borderId="40" xfId="0" applyBorder="1" applyAlignment="1" applyProtection="1">
      <alignment vertical="center"/>
      <protection locked="0"/>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0" borderId="25" xfId="0" applyBorder="1" applyAlignment="1" applyProtection="1">
      <alignment vertical="center"/>
      <protection locked="0"/>
    </xf>
    <xf numFmtId="0" fontId="0" fillId="0" borderId="30" xfId="0" applyBorder="1" applyAlignment="1" applyProtection="1">
      <alignment vertical="center"/>
      <protection locked="0"/>
    </xf>
    <xf numFmtId="0" fontId="0" fillId="3" borderId="23" xfId="0" applyFill="1" applyBorder="1" applyAlignment="1" applyProtection="1">
      <alignment vertical="center"/>
      <protection locked="0"/>
    </xf>
    <xf numFmtId="166" fontId="0" fillId="0" borderId="23" xfId="0" applyNumberFormat="1" applyBorder="1" applyAlignment="1" applyProtection="1">
      <alignment vertical="center"/>
      <protection locked="0"/>
    </xf>
    <xf numFmtId="165" fontId="0" fillId="0" borderId="12" xfId="0" applyNumberFormat="1" applyBorder="1" applyAlignment="1" applyProtection="1">
      <alignment vertical="center"/>
      <protection locked="0"/>
    </xf>
    <xf numFmtId="0" fontId="10" fillId="0" borderId="58" xfId="0" applyFont="1" applyBorder="1" applyAlignment="1" applyProtection="1">
      <alignment vertical="center"/>
      <protection locked="0"/>
    </xf>
    <xf numFmtId="9" fontId="10" fillId="0" borderId="59" xfId="0" applyNumberFormat="1" applyFont="1" applyBorder="1" applyAlignment="1" applyProtection="1">
      <alignment horizontal="center" vertical="center" wrapText="1"/>
      <protection locked="0"/>
    </xf>
    <xf numFmtId="0" fontId="10" fillId="0" borderId="60" xfId="0" applyFont="1" applyBorder="1" applyAlignment="1" applyProtection="1">
      <alignment vertical="center"/>
      <protection locked="0"/>
    </xf>
    <xf numFmtId="43" fontId="0" fillId="0" borderId="0" xfId="0" applyNumberFormat="1" applyAlignment="1" applyProtection="1">
      <alignment vertical="center"/>
      <protection locked="0"/>
    </xf>
    <xf numFmtId="0" fontId="1" fillId="0" borderId="55" xfId="0" applyFont="1" applyBorder="1" applyAlignment="1" applyProtection="1">
      <alignment horizontal="center" vertical="center" wrapText="1"/>
      <protection locked="0"/>
    </xf>
    <xf numFmtId="0" fontId="5" fillId="0" borderId="61" xfId="0" applyFont="1" applyBorder="1" applyAlignment="1">
      <alignment horizontal="center" vertical="center" wrapText="1"/>
    </xf>
    <xf numFmtId="0" fontId="0" fillId="0" borderId="61" xfId="0" applyBorder="1" applyAlignment="1">
      <alignment horizontal="center" vertical="center" wrapText="1"/>
    </xf>
    <xf numFmtId="0" fontId="0" fillId="3" borderId="35" xfId="0" applyFill="1" applyBorder="1" applyAlignment="1">
      <alignment horizontal="left" vertical="center"/>
    </xf>
    <xf numFmtId="0" fontId="6" fillId="7" borderId="35" xfId="0" applyFont="1" applyFill="1" applyBorder="1" applyAlignment="1">
      <alignment horizontal="left" vertical="center"/>
    </xf>
    <xf numFmtId="43" fontId="0" fillId="0" borderId="35" xfId="0" applyNumberFormat="1" applyBorder="1" applyAlignment="1" applyProtection="1">
      <alignment vertical="center"/>
      <protection locked="0"/>
    </xf>
    <xf numFmtId="0" fontId="0" fillId="0" borderId="6" xfId="0" applyBorder="1" applyAlignment="1">
      <alignment vertical="center"/>
    </xf>
    <xf numFmtId="165" fontId="0" fillId="0" borderId="62" xfId="0" applyNumberFormat="1" applyBorder="1" applyAlignment="1">
      <alignment vertical="center"/>
    </xf>
    <xf numFmtId="0" fontId="5" fillId="16" borderId="57" xfId="0" applyFont="1" applyFill="1" applyBorder="1" applyAlignment="1">
      <alignment horizontal="center" vertical="center" wrapText="1"/>
    </xf>
    <xf numFmtId="0" fontId="2" fillId="12" borderId="0" xfId="0" applyFont="1" applyFill="1" applyAlignment="1">
      <alignment horizontal="center" vertical="center"/>
    </xf>
    <xf numFmtId="20" fontId="0" fillId="0" borderId="0" xfId="0" applyNumberFormat="1" applyAlignment="1">
      <alignment vertical="center"/>
    </xf>
    <xf numFmtId="0" fontId="0" fillId="0" borderId="23" xfId="0"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5" fillId="0" borderId="0" xfId="0" applyFont="1" applyAlignment="1">
      <alignment horizontal="center" vertical="center" wrapText="1"/>
    </xf>
    <xf numFmtId="173" fontId="0" fillId="0" borderId="0" xfId="6" applyNumberFormat="1" applyFont="1" applyBorder="1" applyAlignment="1">
      <alignment vertical="center"/>
    </xf>
    <xf numFmtId="44" fontId="0" fillId="0" borderId="2" xfId="6" applyFont="1" applyBorder="1" applyAlignment="1">
      <alignment vertical="center"/>
    </xf>
    <xf numFmtId="165" fontId="0" fillId="0" borderId="77" xfId="0" applyNumberFormat="1" applyBorder="1" applyAlignment="1">
      <alignment vertical="center"/>
    </xf>
    <xf numFmtId="165" fontId="0" fillId="0" borderId="78" xfId="0" applyNumberFormat="1" applyBorder="1" applyAlignment="1">
      <alignment vertical="center"/>
    </xf>
    <xf numFmtId="0" fontId="0" fillId="0" borderId="0" xfId="6" applyNumberFormat="1" applyFont="1" applyBorder="1" applyAlignment="1">
      <alignment vertical="center"/>
    </xf>
    <xf numFmtId="0" fontId="0" fillId="0" borderId="0" xfId="6" applyNumberFormat="1" applyFont="1" applyBorder="1" applyAlignment="1">
      <alignment vertical="center" wrapText="1"/>
    </xf>
    <xf numFmtId="44" fontId="0" fillId="0" borderId="0" xfId="6" applyFont="1" applyBorder="1" applyAlignment="1">
      <alignment vertical="center" wrapText="1"/>
    </xf>
    <xf numFmtId="0" fontId="0" fillId="0" borderId="69"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1" xfId="0" applyBorder="1" applyAlignment="1" applyProtection="1">
      <alignment vertical="center"/>
      <protection locked="0"/>
    </xf>
    <xf numFmtId="173" fontId="0" fillId="0" borderId="0" xfId="6" applyNumberFormat="1" applyFont="1" applyFill="1" applyBorder="1" applyAlignment="1">
      <alignment vertical="center"/>
    </xf>
    <xf numFmtId="0" fontId="0" fillId="0" borderId="66" xfId="0" applyBorder="1" applyAlignment="1">
      <alignment vertical="center"/>
    </xf>
    <xf numFmtId="0" fontId="0" fillId="0" borderId="76" xfId="0" applyBorder="1" applyAlignment="1">
      <alignment vertical="center"/>
    </xf>
    <xf numFmtId="0" fontId="6" fillId="0" borderId="25" xfId="0" applyFont="1" applyBorder="1" applyAlignment="1" applyProtection="1">
      <alignment horizontal="center" vertical="center"/>
      <protection locked="0"/>
    </xf>
    <xf numFmtId="165" fontId="0" fillId="0" borderId="100" xfId="0" applyNumberFormat="1" applyBorder="1" applyAlignment="1">
      <alignment vertical="center"/>
    </xf>
    <xf numFmtId="0" fontId="0" fillId="3" borderId="10" xfId="1" applyNumberFormat="1" applyFont="1" applyFill="1" applyBorder="1" applyAlignment="1" applyProtection="1">
      <alignment vertical="center"/>
      <protection locked="0"/>
    </xf>
    <xf numFmtId="0" fontId="0" fillId="0" borderId="99" xfId="0" applyBorder="1" applyAlignment="1">
      <alignment horizontal="center" vertical="center" wrapText="1"/>
    </xf>
    <xf numFmtId="0" fontId="0" fillId="0" borderId="101" xfId="0" applyBorder="1" applyAlignment="1">
      <alignment vertical="center"/>
    </xf>
    <xf numFmtId="0" fontId="0" fillId="0" borderId="102" xfId="0" applyBorder="1" applyAlignment="1">
      <alignment vertical="center"/>
    </xf>
    <xf numFmtId="44" fontId="0" fillId="0" borderId="102" xfId="6" applyFont="1" applyBorder="1" applyAlignment="1">
      <alignment vertical="center"/>
    </xf>
    <xf numFmtId="0" fontId="50" fillId="0" borderId="0" xfId="0" applyFont="1" applyAlignment="1">
      <alignment vertical="center"/>
    </xf>
    <xf numFmtId="0" fontId="0" fillId="20" borderId="2" xfId="0" applyFill="1" applyBorder="1" applyAlignment="1">
      <alignment horizontal="left" vertical="center"/>
    </xf>
    <xf numFmtId="0" fontId="0" fillId="20" borderId="0" xfId="0" applyFill="1" applyAlignment="1">
      <alignment horizontal="left" vertical="center"/>
    </xf>
    <xf numFmtId="0" fontId="5" fillId="20" borderId="5" xfId="0" applyFont="1" applyFill="1" applyBorder="1" applyAlignment="1">
      <alignment horizontal="left" vertical="center"/>
    </xf>
    <xf numFmtId="0" fontId="0" fillId="3" borderId="2" xfId="0" applyFill="1" applyBorder="1" applyAlignment="1">
      <alignment horizontal="left" vertical="center"/>
    </xf>
    <xf numFmtId="0" fontId="5" fillId="3" borderId="5" xfId="0" applyFont="1" applyFill="1" applyBorder="1" applyAlignment="1">
      <alignment horizontal="left" vertical="center"/>
    </xf>
    <xf numFmtId="0" fontId="0" fillId="10" borderId="107" xfId="0" applyFill="1" applyBorder="1" applyAlignment="1">
      <alignment horizontal="center" vertical="center"/>
    </xf>
    <xf numFmtId="165" fontId="0" fillId="0" borderId="109" xfId="0" applyNumberFormat="1" applyBorder="1" applyAlignment="1">
      <alignment vertical="center"/>
    </xf>
    <xf numFmtId="165" fontId="0" fillId="0" borderId="110" xfId="0" applyNumberFormat="1" applyBorder="1" applyAlignment="1">
      <alignment vertical="center"/>
    </xf>
    <xf numFmtId="165" fontId="0" fillId="0" borderId="111" xfId="0" applyNumberFormat="1" applyBorder="1" applyAlignment="1">
      <alignment vertical="center"/>
    </xf>
    <xf numFmtId="0" fontId="56" fillId="0" borderId="0" xfId="0" applyFont="1"/>
    <xf numFmtId="168" fontId="57" fillId="0" borderId="0" xfId="0" applyNumberFormat="1" applyFont="1"/>
    <xf numFmtId="168" fontId="0" fillId="0" borderId="0" xfId="0" applyNumberFormat="1" applyAlignment="1">
      <alignment vertical="center" wrapText="1"/>
    </xf>
    <xf numFmtId="168" fontId="56" fillId="0" borderId="0" xfId="0" applyNumberFormat="1" applyFont="1"/>
    <xf numFmtId="168" fontId="0" fillId="0" borderId="0" xfId="0" applyNumberFormat="1" applyAlignment="1">
      <alignment vertical="center"/>
    </xf>
    <xf numFmtId="0" fontId="53" fillId="0" borderId="0" xfId="0" applyFont="1" applyAlignment="1">
      <alignment horizontal="center"/>
    </xf>
    <xf numFmtId="0" fontId="53" fillId="0" borderId="0" xfId="0" applyFont="1"/>
    <xf numFmtId="0" fontId="53" fillId="0" borderId="0" xfId="0" applyFont="1" applyAlignment="1">
      <alignment horizontal="left"/>
    </xf>
    <xf numFmtId="168" fontId="49" fillId="0" borderId="18" xfId="0" applyNumberFormat="1" applyFont="1" applyBorder="1" applyAlignment="1">
      <alignment vertical="center" wrapText="1"/>
    </xf>
    <xf numFmtId="0" fontId="54" fillId="0" borderId="0" xfId="0" applyFont="1"/>
    <xf numFmtId="0" fontId="54" fillId="0" borderId="69" xfId="0" applyFont="1" applyBorder="1" applyAlignment="1">
      <alignment horizontal="center" wrapText="1"/>
    </xf>
    <xf numFmtId="0" fontId="54" fillId="0" borderId="69" xfId="0" applyFont="1" applyBorder="1" applyAlignment="1">
      <alignment horizontal="center"/>
    </xf>
    <xf numFmtId="0" fontId="54" fillId="0" borderId="71" xfId="0" applyFont="1" applyBorder="1" applyAlignment="1">
      <alignment horizontal="center"/>
    </xf>
    <xf numFmtId="0" fontId="5" fillId="0" borderId="19" xfId="0" applyFont="1" applyBorder="1" applyAlignment="1">
      <alignment vertical="center" wrapText="1"/>
    </xf>
    <xf numFmtId="8" fontId="0" fillId="0" borderId="40" xfId="0" applyNumberFormat="1" applyBorder="1" applyAlignment="1">
      <alignment vertical="center"/>
    </xf>
    <xf numFmtId="0" fontId="54" fillId="0" borderId="32" xfId="425" applyFont="1" applyBorder="1" applyAlignment="1">
      <alignment horizontal="center" vertical="center" wrapText="1"/>
    </xf>
    <xf numFmtId="0" fontId="54" fillId="0" borderId="11" xfId="425" applyFont="1" applyBorder="1" applyAlignment="1">
      <alignment horizontal="center" vertical="center" wrapText="1"/>
    </xf>
    <xf numFmtId="0" fontId="54" fillId="0" borderId="33" xfId="425" applyFont="1" applyBorder="1" applyAlignment="1">
      <alignment horizontal="center" vertical="center" wrapText="1"/>
    </xf>
    <xf numFmtId="0" fontId="54" fillId="0" borderId="19" xfId="423" applyFont="1" applyBorder="1" applyAlignment="1">
      <alignment horizontal="center" vertical="center" wrapText="1"/>
    </xf>
    <xf numFmtId="0" fontId="54" fillId="0" borderId="74" xfId="423" applyFont="1" applyBorder="1" applyAlignment="1">
      <alignment horizontal="center" vertical="center" wrapText="1"/>
    </xf>
    <xf numFmtId="0" fontId="54" fillId="0" borderId="21" xfId="427" applyFont="1" applyBorder="1" applyAlignment="1">
      <alignment horizontal="center" vertical="center" wrapText="1"/>
    </xf>
    <xf numFmtId="0" fontId="54" fillId="0" borderId="115" xfId="425" applyFont="1" applyBorder="1" applyAlignment="1">
      <alignment horizontal="center" vertical="center"/>
    </xf>
    <xf numFmtId="0" fontId="54" fillId="0" borderId="112" xfId="425" applyFont="1" applyBorder="1" applyAlignment="1">
      <alignment horizontal="center" vertical="center"/>
    </xf>
    <xf numFmtId="0" fontId="54" fillId="0" borderId="116" xfId="425" applyFont="1" applyBorder="1" applyAlignment="1">
      <alignment horizontal="center" vertical="center"/>
    </xf>
    <xf numFmtId="0" fontId="54" fillId="0" borderId="115" xfId="423" applyFont="1" applyBorder="1" applyAlignment="1">
      <alignment horizontal="center" vertical="center"/>
    </xf>
    <xf numFmtId="0" fontId="54" fillId="0" borderId="112" xfId="423" applyFont="1" applyBorder="1" applyAlignment="1">
      <alignment horizontal="center" vertical="center"/>
    </xf>
    <xf numFmtId="0" fontId="54" fillId="0" borderId="114" xfId="427" applyFont="1" applyBorder="1" applyAlignment="1">
      <alignment horizontal="center" vertical="center"/>
    </xf>
    <xf numFmtId="167" fontId="53" fillId="0" borderId="69" xfId="429" applyNumberFormat="1" applyFont="1" applyBorder="1" applyAlignment="1">
      <alignment horizontal="center"/>
    </xf>
    <xf numFmtId="171" fontId="0" fillId="0" borderId="0" xfId="0" applyNumberFormat="1" applyAlignment="1">
      <alignment vertical="center"/>
    </xf>
    <xf numFmtId="0" fontId="54" fillId="0" borderId="0" xfId="0" applyFont="1" applyAlignment="1">
      <alignment horizontal="center"/>
    </xf>
    <xf numFmtId="172" fontId="53" fillId="0" borderId="0" xfId="0" applyNumberFormat="1" applyFont="1" applyAlignment="1">
      <alignment horizontal="left" vertical="center"/>
    </xf>
    <xf numFmtId="0" fontId="49" fillId="0" borderId="113" xfId="0" applyFont="1" applyBorder="1" applyAlignment="1">
      <alignment vertical="center"/>
    </xf>
    <xf numFmtId="0" fontId="49" fillId="0" borderId="40" xfId="0" applyFont="1"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21" xfId="0" applyFont="1" applyBorder="1" applyAlignment="1">
      <alignment vertical="center"/>
    </xf>
    <xf numFmtId="168" fontId="49" fillId="0" borderId="17" xfId="0" applyNumberFormat="1" applyFont="1" applyBorder="1" applyAlignment="1">
      <alignment vertical="center" wrapText="1"/>
    </xf>
    <xf numFmtId="44" fontId="49" fillId="0" borderId="0" xfId="6" applyFont="1" applyBorder="1" applyAlignment="1">
      <alignment vertical="center"/>
    </xf>
    <xf numFmtId="0" fontId="54" fillId="0" borderId="80" xfId="0" applyFont="1" applyBorder="1" applyAlignment="1">
      <alignment horizontal="center" wrapText="1"/>
    </xf>
    <xf numFmtId="168" fontId="58" fillId="0" borderId="113" xfId="0" applyNumberFormat="1" applyFont="1" applyBorder="1" applyAlignment="1">
      <alignment horizontal="center" vertical="center"/>
    </xf>
    <xf numFmtId="170" fontId="58" fillId="0" borderId="81" xfId="0" applyNumberFormat="1" applyFont="1" applyBorder="1" applyAlignment="1">
      <alignment horizontal="center" vertical="center"/>
    </xf>
    <xf numFmtId="0" fontId="58" fillId="0" borderId="119" xfId="0" applyFont="1" applyBorder="1" applyAlignment="1">
      <alignment horizontal="center" vertical="center"/>
    </xf>
    <xf numFmtId="0" fontId="49" fillId="0" borderId="121" xfId="0" applyFont="1" applyBorder="1" applyAlignment="1">
      <alignment vertical="center"/>
    </xf>
    <xf numFmtId="0" fontId="49" fillId="0" borderId="122" xfId="0" applyFont="1" applyBorder="1" applyAlignment="1">
      <alignment vertical="center"/>
    </xf>
    <xf numFmtId="168" fontId="58" fillId="0" borderId="32" xfId="0" applyNumberFormat="1" applyFont="1" applyBorder="1" applyAlignment="1">
      <alignment horizontal="center" vertical="center" wrapText="1"/>
    </xf>
    <xf numFmtId="170" fontId="58" fillId="0" borderId="6" xfId="0" applyNumberFormat="1" applyFont="1" applyBorder="1" applyAlignment="1">
      <alignment horizontal="center" vertical="center" wrapText="1"/>
    </xf>
    <xf numFmtId="168" fontId="49" fillId="0" borderId="19" xfId="0" applyNumberFormat="1" applyFont="1" applyBorder="1" applyAlignment="1">
      <alignment vertical="center" wrapText="1"/>
    </xf>
    <xf numFmtId="168" fontId="49" fillId="0" borderId="21" xfId="0" applyNumberFormat="1" applyFont="1" applyBorder="1" applyAlignment="1">
      <alignment vertical="center" wrapText="1"/>
    </xf>
    <xf numFmtId="8" fontId="0" fillId="0" borderId="33" xfId="0" applyNumberFormat="1" applyBorder="1" applyAlignment="1">
      <alignment vertical="center"/>
    </xf>
    <xf numFmtId="0" fontId="0" fillId="0" borderId="80" xfId="0" applyBorder="1" applyAlignment="1">
      <alignment vertical="center"/>
    </xf>
    <xf numFmtId="0" fontId="0" fillId="0" borderId="124" xfId="0" applyBorder="1" applyAlignment="1">
      <alignment vertical="center"/>
    </xf>
    <xf numFmtId="0" fontId="0" fillId="0" borderId="71" xfId="0" applyBorder="1" applyAlignment="1">
      <alignment vertical="center"/>
    </xf>
    <xf numFmtId="164" fontId="0" fillId="0" borderId="13" xfId="0" applyNumberFormat="1" applyBorder="1" applyAlignment="1">
      <alignment vertical="center"/>
    </xf>
    <xf numFmtId="164" fontId="0" fillId="0" borderId="123" xfId="0" applyNumberFormat="1" applyBorder="1" applyAlignment="1">
      <alignment vertical="center"/>
    </xf>
    <xf numFmtId="164" fontId="0" fillId="0" borderId="15" xfId="0" applyNumberFormat="1" applyBorder="1" applyAlignment="1">
      <alignment vertical="center"/>
    </xf>
    <xf numFmtId="164" fontId="0" fillId="0" borderId="10" xfId="0" applyNumberFormat="1" applyBorder="1" applyAlignment="1">
      <alignment vertical="center"/>
    </xf>
    <xf numFmtId="164" fontId="0" fillId="0" borderId="7" xfId="0" applyNumberFormat="1" applyBorder="1" applyAlignment="1">
      <alignment vertical="center"/>
    </xf>
    <xf numFmtId="164" fontId="0" fillId="0" borderId="11" xfId="0" applyNumberFormat="1" applyBorder="1" applyAlignment="1">
      <alignment vertical="center"/>
    </xf>
    <xf numFmtId="164" fontId="0" fillId="0" borderId="120" xfId="0" applyNumberFormat="1" applyBorder="1" applyAlignment="1">
      <alignment vertical="center"/>
    </xf>
    <xf numFmtId="164" fontId="0" fillId="0" borderId="20" xfId="0" applyNumberFormat="1" applyBorder="1" applyAlignment="1">
      <alignment vertical="center"/>
    </xf>
    <xf numFmtId="0" fontId="0" fillId="0" borderId="75" xfId="0" applyBorder="1" applyAlignment="1">
      <alignment vertical="center"/>
    </xf>
    <xf numFmtId="0" fontId="0" fillId="0" borderId="70" xfId="0" applyBorder="1" applyAlignment="1">
      <alignment vertical="center"/>
    </xf>
    <xf numFmtId="0" fontId="0" fillId="0" borderId="125" xfId="0" applyBorder="1" applyAlignment="1">
      <alignment vertical="center"/>
    </xf>
    <xf numFmtId="164" fontId="0" fillId="0" borderId="17" xfId="0" applyNumberFormat="1" applyBorder="1" applyAlignment="1">
      <alignment vertical="center"/>
    </xf>
    <xf numFmtId="164" fontId="0" fillId="0" borderId="19" xfId="0" applyNumberFormat="1" applyBorder="1" applyAlignment="1">
      <alignment vertical="center"/>
    </xf>
    <xf numFmtId="0" fontId="5" fillId="0" borderId="104" xfId="0" applyFont="1" applyBorder="1" applyAlignment="1">
      <alignment horizontal="center" vertical="center"/>
    </xf>
    <xf numFmtId="164" fontId="0" fillId="0" borderId="113" xfId="0" applyNumberFormat="1" applyBorder="1" applyAlignment="1">
      <alignment vertical="center"/>
    </xf>
    <xf numFmtId="0" fontId="5" fillId="0" borderId="115" xfId="0" applyFont="1" applyBorder="1" applyAlignment="1">
      <alignment horizontal="center" vertical="center"/>
    </xf>
    <xf numFmtId="0" fontId="5" fillId="0" borderId="112" xfId="0" applyFont="1" applyBorder="1" applyAlignment="1">
      <alignment horizontal="center" vertical="center"/>
    </xf>
    <xf numFmtId="0" fontId="5" fillId="0" borderId="116" xfId="0" applyFont="1" applyBorder="1" applyAlignment="1">
      <alignment horizontal="center" vertical="center"/>
    </xf>
    <xf numFmtId="164" fontId="0" fillId="0" borderId="113" xfId="6" applyNumberFormat="1" applyFont="1" applyBorder="1" applyAlignment="1">
      <alignment vertical="center"/>
    </xf>
    <xf numFmtId="164" fontId="0" fillId="0" borderId="17" xfId="6" applyNumberFormat="1" applyFont="1" applyBorder="1" applyAlignment="1">
      <alignment vertical="center"/>
    </xf>
    <xf numFmtId="164" fontId="0" fillId="0" borderId="32" xfId="6" applyNumberFormat="1" applyFont="1" applyBorder="1" applyAlignment="1">
      <alignment vertical="center"/>
    </xf>
    <xf numFmtId="164" fontId="0" fillId="0" borderId="14" xfId="6" applyNumberFormat="1" applyFont="1" applyBorder="1" applyAlignment="1">
      <alignment vertical="center"/>
    </xf>
    <xf numFmtId="164" fontId="0" fillId="0" borderId="19" xfId="6" applyNumberFormat="1" applyFont="1" applyBorder="1" applyAlignment="1">
      <alignment vertical="center"/>
    </xf>
    <xf numFmtId="164" fontId="0" fillId="0" borderId="14" xfId="6" applyNumberFormat="1" applyFont="1" applyFill="1" applyBorder="1" applyAlignment="1">
      <alignment vertical="center"/>
    </xf>
    <xf numFmtId="164" fontId="0" fillId="0" borderId="17" xfId="6" applyNumberFormat="1" applyFont="1" applyFill="1" applyBorder="1" applyAlignment="1">
      <alignment vertical="center"/>
    </xf>
    <xf numFmtId="164" fontId="0" fillId="0" borderId="19" xfId="6" applyNumberFormat="1" applyFont="1" applyFill="1" applyBorder="1" applyAlignment="1">
      <alignment vertical="center"/>
    </xf>
    <xf numFmtId="170" fontId="0" fillId="0" borderId="0" xfId="0" applyNumberFormat="1" applyAlignment="1">
      <alignment vertical="center"/>
    </xf>
    <xf numFmtId="168" fontId="0" fillId="0" borderId="0" xfId="0" applyNumberFormat="1"/>
    <xf numFmtId="0" fontId="53" fillId="0" borderId="0" xfId="0" applyFont="1" applyAlignment="1">
      <alignment horizontal="left" vertical="center"/>
    </xf>
    <xf numFmtId="9" fontId="0" fillId="0" borderId="10" xfId="1" applyFont="1" applyFill="1" applyBorder="1" applyAlignment="1" applyProtection="1">
      <alignment vertical="center"/>
      <protection locked="0"/>
    </xf>
    <xf numFmtId="44" fontId="0" fillId="3" borderId="15" xfId="6" applyFont="1" applyFill="1" applyBorder="1" applyAlignment="1">
      <alignment vertical="center"/>
    </xf>
    <xf numFmtId="0" fontId="0" fillId="10" borderId="108" xfId="0" applyFill="1" applyBorder="1" applyAlignment="1">
      <alignment horizontal="center" vertical="center"/>
    </xf>
    <xf numFmtId="0" fontId="56" fillId="0" borderId="0" xfId="0" applyFont="1" applyAlignment="1">
      <alignment vertical="center"/>
    </xf>
    <xf numFmtId="0" fontId="55" fillId="0" borderId="0" xfId="0" applyFont="1" applyAlignment="1">
      <alignment vertical="center"/>
    </xf>
    <xf numFmtId="168" fontId="57" fillId="0" borderId="0" xfId="0" applyNumberFormat="1" applyFont="1" applyAlignment="1">
      <alignment vertical="center"/>
    </xf>
    <xf numFmtId="0" fontId="56" fillId="0" borderId="0" xfId="0" applyFont="1" applyAlignment="1">
      <alignment vertical="center" wrapText="1"/>
    </xf>
    <xf numFmtId="168" fontId="57" fillId="0" borderId="0" xfId="0" applyNumberFormat="1" applyFont="1" applyAlignment="1">
      <alignment vertical="center" wrapText="1"/>
    </xf>
    <xf numFmtId="168" fontId="56" fillId="0" borderId="0" xfId="0" applyNumberFormat="1" applyFont="1" applyAlignment="1">
      <alignment vertical="center" wrapText="1"/>
    </xf>
    <xf numFmtId="168" fontId="56" fillId="0" borderId="0" xfId="0" applyNumberFormat="1" applyFont="1" applyAlignment="1">
      <alignment vertical="center"/>
    </xf>
    <xf numFmtId="0" fontId="54" fillId="0" borderId="69" xfId="0" applyFont="1" applyBorder="1" applyAlignment="1">
      <alignment horizontal="center" vertical="center"/>
    </xf>
    <xf numFmtId="178" fontId="53" fillId="0" borderId="17" xfId="425" applyNumberFormat="1" applyFont="1" applyBorder="1" applyAlignment="1">
      <alignment horizontal="center" vertical="center"/>
    </xf>
    <xf numFmtId="178" fontId="53" fillId="0" borderId="10" xfId="425" applyNumberFormat="1" applyFont="1" applyBorder="1" applyAlignment="1">
      <alignment horizontal="center" vertical="center"/>
    </xf>
    <xf numFmtId="178" fontId="53" fillId="0" borderId="18" xfId="425" applyNumberFormat="1" applyFont="1" applyBorder="1" applyAlignment="1">
      <alignment horizontal="center" vertical="center"/>
    </xf>
    <xf numFmtId="167" fontId="53" fillId="0" borderId="17" xfId="423" applyNumberFormat="1" applyFont="1" applyBorder="1" applyAlignment="1">
      <alignment horizontal="center" vertical="center"/>
    </xf>
    <xf numFmtId="167" fontId="53" fillId="0" borderId="73" xfId="423" applyNumberFormat="1" applyFont="1" applyBorder="1" applyAlignment="1">
      <alignment horizontal="center" vertical="center"/>
    </xf>
    <xf numFmtId="178" fontId="49" fillId="0" borderId="18" xfId="427" applyNumberFormat="1" applyFont="1" applyBorder="1" applyAlignment="1">
      <alignment horizontal="center" vertical="center"/>
    </xf>
    <xf numFmtId="44" fontId="56" fillId="0" borderId="0" xfId="6" applyFont="1" applyFill="1" applyBorder="1" applyAlignment="1">
      <alignment vertical="center"/>
    </xf>
    <xf numFmtId="44" fontId="57" fillId="0" borderId="0" xfId="6" applyFont="1" applyFill="1" applyBorder="1" applyAlignment="1">
      <alignment vertical="center"/>
    </xf>
    <xf numFmtId="178" fontId="53" fillId="0" borderId="19" xfId="425" applyNumberFormat="1" applyFont="1" applyBorder="1" applyAlignment="1">
      <alignment horizontal="center" vertical="center"/>
    </xf>
    <xf numFmtId="178" fontId="53" fillId="0" borderId="20" xfId="425" applyNumberFormat="1" applyFont="1" applyBorder="1" applyAlignment="1">
      <alignment horizontal="center" vertical="center"/>
    </xf>
    <xf numFmtId="178" fontId="53" fillId="0" borderId="21" xfId="425" applyNumberFormat="1" applyFont="1" applyBorder="1" applyAlignment="1">
      <alignment horizontal="center" vertical="center"/>
    </xf>
    <xf numFmtId="167" fontId="53" fillId="0" borderId="19" xfId="423" applyNumberFormat="1" applyFont="1" applyBorder="1" applyAlignment="1">
      <alignment horizontal="center" vertical="center"/>
    </xf>
    <xf numFmtId="167" fontId="53" fillId="0" borderId="74" xfId="423" applyNumberFormat="1" applyFont="1" applyBorder="1" applyAlignment="1">
      <alignment horizontal="center" vertical="center"/>
    </xf>
    <xf numFmtId="178" fontId="49" fillId="0" borderId="21" xfId="427" applyNumberFormat="1" applyFont="1" applyBorder="1" applyAlignment="1">
      <alignment horizontal="center" vertical="center"/>
    </xf>
    <xf numFmtId="0" fontId="54" fillId="0" borderId="119" xfId="0" applyFont="1" applyBorder="1" applyAlignment="1">
      <alignment horizontal="center" wrapText="1"/>
    </xf>
    <xf numFmtId="167" fontId="53" fillId="0" borderId="119" xfId="429" applyNumberFormat="1" applyFont="1" applyBorder="1" applyAlignment="1">
      <alignment horizontal="center"/>
    </xf>
    <xf numFmtId="0" fontId="54" fillId="0" borderId="104" xfId="0" applyFont="1" applyBorder="1" applyAlignment="1">
      <alignment horizontal="center" wrapText="1"/>
    </xf>
    <xf numFmtId="168" fontId="58" fillId="0" borderId="115" xfId="0" applyNumberFormat="1" applyFont="1" applyBorder="1" applyAlignment="1">
      <alignment horizontal="center" vertical="center" wrapText="1"/>
    </xf>
    <xf numFmtId="170" fontId="58" fillId="0" borderId="126" xfId="0" applyNumberFormat="1" applyFont="1" applyBorder="1" applyAlignment="1">
      <alignment horizontal="center" vertical="center" wrapText="1"/>
    </xf>
    <xf numFmtId="0" fontId="58" fillId="0" borderId="104" xfId="0" applyFont="1" applyBorder="1" applyAlignment="1">
      <alignment horizontal="center" vertical="center" wrapText="1"/>
    </xf>
    <xf numFmtId="0" fontId="12" fillId="12" borderId="0" xfId="0" applyFont="1" applyFill="1" applyAlignment="1">
      <alignment vertical="center" wrapText="1"/>
    </xf>
    <xf numFmtId="0" fontId="12" fillId="0" borderId="0" xfId="0" applyFont="1" applyAlignment="1">
      <alignment vertical="center" wrapText="1"/>
    </xf>
    <xf numFmtId="164" fontId="0" fillId="0" borderId="18" xfId="0" applyNumberFormat="1" applyBorder="1" applyAlignment="1">
      <alignment vertical="center"/>
    </xf>
    <xf numFmtId="164" fontId="0" fillId="0" borderId="21" xfId="0" applyNumberFormat="1" applyBorder="1" applyAlignment="1">
      <alignment vertical="center"/>
    </xf>
    <xf numFmtId="164" fontId="0" fillId="0" borderId="16" xfId="0" applyNumberFormat="1" applyBorder="1" applyAlignment="1">
      <alignment vertical="center"/>
    </xf>
    <xf numFmtId="164" fontId="0" fillId="0" borderId="33" xfId="0" applyNumberFormat="1" applyBorder="1" applyAlignment="1">
      <alignment vertical="center"/>
    </xf>
    <xf numFmtId="165" fontId="0" fillId="64" borderId="77" xfId="0" applyNumberFormat="1" applyFill="1" applyBorder="1" applyAlignment="1">
      <alignment vertical="center"/>
    </xf>
    <xf numFmtId="165" fontId="0" fillId="64" borderId="62" xfId="0" applyNumberFormat="1" applyFill="1" applyBorder="1" applyAlignment="1">
      <alignment vertical="center"/>
    </xf>
    <xf numFmtId="165" fontId="0" fillId="64" borderId="78" xfId="0" applyNumberFormat="1" applyFill="1" applyBorder="1" applyAlignment="1">
      <alignment vertical="center"/>
    </xf>
    <xf numFmtId="0" fontId="0" fillId="64" borderId="107" xfId="0" applyFill="1" applyBorder="1" applyAlignment="1">
      <alignment horizontal="center" vertical="center"/>
    </xf>
    <xf numFmtId="0" fontId="0" fillId="65" borderId="0" xfId="0" applyFill="1" applyAlignment="1">
      <alignment vertical="center"/>
    </xf>
    <xf numFmtId="0" fontId="0" fillId="66" borderId="2" xfId="0" applyFill="1" applyBorder="1" applyAlignment="1">
      <alignment vertical="center"/>
    </xf>
    <xf numFmtId="0" fontId="0" fillId="66" borderId="0" xfId="0" applyFill="1" applyAlignment="1">
      <alignment vertical="center"/>
    </xf>
    <xf numFmtId="0" fontId="2" fillId="67" borderId="105" xfId="0" applyFont="1" applyFill="1" applyBorder="1" applyAlignment="1" applyProtection="1">
      <alignment horizontal="center" vertical="center"/>
      <protection locked="0"/>
    </xf>
    <xf numFmtId="0" fontId="0" fillId="68" borderId="106" xfId="0" applyFill="1" applyBorder="1" applyAlignment="1">
      <alignment vertical="center" wrapText="1"/>
    </xf>
    <xf numFmtId="0" fontId="5" fillId="0" borderId="66" xfId="0" applyFont="1" applyBorder="1" applyAlignment="1">
      <alignment horizontal="center" vertical="center" wrapText="1"/>
    </xf>
    <xf numFmtId="0" fontId="5" fillId="0" borderId="3" xfId="0" applyFont="1" applyBorder="1" applyAlignment="1">
      <alignment horizontal="center" vertical="center" wrapText="1"/>
    </xf>
    <xf numFmtId="173" fontId="57" fillId="0" borderId="0" xfId="6" applyNumberFormat="1" applyFont="1" applyFill="1" applyBorder="1" applyAlignment="1">
      <alignment vertical="center"/>
    </xf>
    <xf numFmtId="173" fontId="56" fillId="0" borderId="0" xfId="6" applyNumberFormat="1" applyFont="1" applyFill="1" applyBorder="1" applyAlignment="1">
      <alignment vertical="center"/>
    </xf>
    <xf numFmtId="0" fontId="53" fillId="0" borderId="0" xfId="0" applyFont="1" applyAlignment="1">
      <alignment horizontal="center" vertical="center"/>
    </xf>
    <xf numFmtId="0" fontId="54" fillId="0" borderId="119" xfId="0" applyFont="1" applyBorder="1" applyAlignment="1">
      <alignment horizontal="center" vertical="center"/>
    </xf>
    <xf numFmtId="0" fontId="48" fillId="0" borderId="0" xfId="0" applyFont="1" applyAlignment="1">
      <alignment vertical="center" wrapText="1"/>
    </xf>
    <xf numFmtId="0" fontId="58" fillId="0" borderId="40" xfId="0" applyFont="1" applyBorder="1" applyAlignment="1">
      <alignment horizontal="center" vertical="center" wrapText="1"/>
    </xf>
    <xf numFmtId="0" fontId="54" fillId="0" borderId="0" xfId="0" applyFont="1" applyAlignment="1">
      <alignment horizontal="center" vertical="center" wrapText="1"/>
    </xf>
    <xf numFmtId="0" fontId="49" fillId="0" borderId="98" xfId="0" applyFont="1" applyBorder="1" applyAlignment="1">
      <alignment vertical="center"/>
    </xf>
    <xf numFmtId="0" fontId="49" fillId="0" borderId="67" xfId="0" applyFont="1" applyBorder="1" applyAlignment="1">
      <alignment vertical="center"/>
    </xf>
    <xf numFmtId="0" fontId="54" fillId="0" borderId="67" xfId="0" applyFont="1" applyBorder="1"/>
    <xf numFmtId="0" fontId="53" fillId="0" borderId="94" xfId="0" applyFont="1" applyBorder="1"/>
    <xf numFmtId="0" fontId="49" fillId="0" borderId="94"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6" fontId="0" fillId="0" borderId="18" xfId="6" applyNumberFormat="1" applyFont="1" applyBorder="1" applyAlignment="1">
      <alignment vertical="center"/>
    </xf>
    <xf numFmtId="6" fontId="0" fillId="0" borderId="21" xfId="6" applyNumberFormat="1" applyFont="1" applyBorder="1" applyAlignment="1">
      <alignment vertical="center"/>
    </xf>
    <xf numFmtId="6" fontId="0" fillId="0" borderId="10" xfId="6" applyNumberFormat="1" applyFont="1" applyBorder="1" applyAlignment="1">
      <alignment vertical="center"/>
    </xf>
    <xf numFmtId="0" fontId="0" fillId="0" borderId="17" xfId="6" applyNumberFormat="1" applyFont="1" applyBorder="1" applyAlignment="1">
      <alignment vertical="center"/>
    </xf>
    <xf numFmtId="0" fontId="0" fillId="0" borderId="19" xfId="6" applyNumberFormat="1" applyFont="1" applyBorder="1" applyAlignment="1">
      <alignment vertical="center"/>
    </xf>
    <xf numFmtId="6" fontId="0" fillId="0" borderId="20" xfId="6" applyNumberFormat="1" applyFont="1" applyBorder="1" applyAlignment="1">
      <alignment vertical="center"/>
    </xf>
    <xf numFmtId="0" fontId="0" fillId="0" borderId="113" xfId="6" applyNumberFormat="1" applyFont="1" applyBorder="1" applyAlignment="1">
      <alignment vertical="center"/>
    </xf>
    <xf numFmtId="6" fontId="0" fillId="0" borderId="12" xfId="6" applyNumberFormat="1" applyFont="1" applyBorder="1" applyAlignment="1">
      <alignment vertical="center"/>
    </xf>
    <xf numFmtId="6" fontId="0" fillId="0" borderId="40" xfId="6" applyNumberFormat="1" applyFont="1" applyBorder="1" applyAlignment="1">
      <alignment vertical="center"/>
    </xf>
    <xf numFmtId="44" fontId="5" fillId="0" borderId="112" xfId="6" applyFont="1" applyBorder="1" applyAlignment="1">
      <alignment horizontal="center" vertical="center"/>
    </xf>
    <xf numFmtId="44" fontId="5" fillId="0" borderId="116" xfId="6" applyFont="1" applyBorder="1" applyAlignment="1">
      <alignment horizontal="center" vertical="center"/>
    </xf>
    <xf numFmtId="0" fontId="5" fillId="0" borderId="115" xfId="6" applyNumberFormat="1" applyFont="1" applyBorder="1" applyAlignment="1">
      <alignment horizontal="center" vertical="center" wrapText="1"/>
    </xf>
    <xf numFmtId="44" fontId="5" fillId="0" borderId="112" xfId="6" applyFont="1" applyBorder="1" applyAlignment="1">
      <alignment horizontal="center" vertical="center" wrapText="1"/>
    </xf>
    <xf numFmtId="44" fontId="5" fillId="0" borderId="116" xfId="6" applyFont="1" applyBorder="1" applyAlignment="1">
      <alignment horizontal="center" vertical="center" wrapText="1"/>
    </xf>
    <xf numFmtId="0" fontId="0" fillId="0" borderId="115" xfId="6" applyNumberFormat="1" applyFont="1" applyBorder="1" applyAlignment="1">
      <alignment vertical="center"/>
    </xf>
    <xf numFmtId="0" fontId="54" fillId="0" borderId="70" xfId="0" applyFont="1" applyBorder="1" applyAlignment="1">
      <alignment horizontal="center" vertical="center"/>
    </xf>
    <xf numFmtId="0" fontId="58" fillId="0" borderId="70" xfId="0" applyFont="1" applyBorder="1" applyAlignment="1">
      <alignment horizontal="center" vertical="center"/>
    </xf>
    <xf numFmtId="0" fontId="54" fillId="0" borderId="72" xfId="0" applyFont="1" applyBorder="1" applyAlignment="1">
      <alignment horizontal="center" vertical="center"/>
    </xf>
    <xf numFmtId="0" fontId="54" fillId="0" borderId="1" xfId="0" applyFont="1" applyBorder="1" applyAlignment="1">
      <alignment horizontal="center" vertical="center"/>
    </xf>
    <xf numFmtId="0" fontId="49" fillId="0" borderId="1" xfId="0" applyFont="1" applyBorder="1" applyAlignment="1">
      <alignment vertical="center"/>
    </xf>
    <xf numFmtId="0" fontId="49" fillId="0" borderId="3" xfId="0" applyFont="1" applyBorder="1" applyAlignment="1">
      <alignment vertical="center"/>
    </xf>
    <xf numFmtId="0" fontId="54" fillId="0" borderId="105" xfId="0" applyFont="1" applyBorder="1" applyAlignment="1">
      <alignment horizontal="center" wrapText="1"/>
    </xf>
    <xf numFmtId="0" fontId="54" fillId="0" borderId="68" xfId="0" applyFont="1" applyBorder="1" applyAlignment="1">
      <alignment horizontal="center" wrapText="1"/>
    </xf>
    <xf numFmtId="0" fontId="54" fillId="0" borderId="70" xfId="0" applyFont="1" applyBorder="1" applyAlignment="1">
      <alignment horizontal="center"/>
    </xf>
    <xf numFmtId="0" fontId="58" fillId="0" borderId="72" xfId="0" applyFont="1" applyBorder="1" applyAlignment="1">
      <alignment horizontal="center" vertical="center"/>
    </xf>
    <xf numFmtId="0" fontId="54" fillId="0" borderId="3" xfId="0" applyFont="1" applyBorder="1"/>
    <xf numFmtId="0" fontId="53" fillId="0" borderId="3" xfId="0" applyFont="1" applyBorder="1"/>
    <xf numFmtId="0" fontId="54" fillId="0" borderId="3" xfId="0" applyFont="1" applyBorder="1" applyAlignment="1">
      <alignment horizontal="center" wrapText="1"/>
    </xf>
    <xf numFmtId="0" fontId="54" fillId="0" borderId="70" xfId="0" applyFont="1" applyBorder="1" applyAlignment="1">
      <alignment horizontal="center" wrapText="1"/>
    </xf>
    <xf numFmtId="0" fontId="54" fillId="0" borderId="72" xfId="0" applyFont="1" applyBorder="1" applyAlignment="1">
      <alignment horizontal="center"/>
    </xf>
    <xf numFmtId="0" fontId="54" fillId="0" borderId="127" xfId="424" applyFont="1" applyBorder="1" applyAlignment="1">
      <alignment horizontal="center" vertical="center" wrapText="1"/>
    </xf>
    <xf numFmtId="168" fontId="54" fillId="0" borderId="128" xfId="0" applyNumberFormat="1" applyFont="1" applyBorder="1" applyAlignment="1">
      <alignment horizontal="center" vertical="center" wrapText="1"/>
    </xf>
    <xf numFmtId="168" fontId="58" fillId="0" borderId="44" xfId="0" applyNumberFormat="1" applyFont="1" applyBorder="1" applyAlignment="1">
      <alignment horizontal="center" vertical="center" wrapText="1"/>
    </xf>
    <xf numFmtId="168" fontId="58" fillId="0" borderId="45" xfId="0" applyNumberFormat="1" applyFont="1" applyBorder="1" applyAlignment="1">
      <alignment horizontal="center" vertical="center" wrapText="1"/>
    </xf>
    <xf numFmtId="0" fontId="54" fillId="0" borderId="129" xfId="424" applyFont="1" applyBorder="1" applyAlignment="1">
      <alignment horizontal="center" vertical="center" wrapText="1"/>
    </xf>
    <xf numFmtId="0" fontId="54" fillId="0" borderId="128" xfId="424" applyFont="1" applyBorder="1" applyAlignment="1">
      <alignment horizontal="center" vertical="center" wrapText="1"/>
    </xf>
    <xf numFmtId="0" fontId="54" fillId="0" borderId="44" xfId="424" applyFont="1" applyBorder="1" applyAlignment="1">
      <alignment horizontal="center" vertical="center" wrapText="1"/>
    </xf>
    <xf numFmtId="0" fontId="54" fillId="0" borderId="45" xfId="424" applyFont="1" applyBorder="1" applyAlignment="1">
      <alignment horizontal="center" vertical="center" wrapText="1"/>
    </xf>
    <xf numFmtId="0" fontId="54" fillId="0" borderId="130" xfId="0" applyFont="1" applyBorder="1" applyAlignment="1">
      <alignment horizontal="center" vertical="center" wrapText="1"/>
    </xf>
    <xf numFmtId="0" fontId="54" fillId="0" borderId="131" xfId="424" applyFont="1" applyBorder="1" applyAlignment="1">
      <alignment horizontal="center" vertical="center" wrapText="1"/>
    </xf>
    <xf numFmtId="0" fontId="54" fillId="0" borderId="132" xfId="424" applyFont="1" applyBorder="1" applyAlignment="1">
      <alignment horizontal="center" vertical="center" wrapText="1"/>
    </xf>
    <xf numFmtId="164" fontId="1" fillId="69" borderId="0" xfId="6" applyNumberFormat="1" applyFont="1" applyFill="1" applyBorder="1" applyAlignment="1" applyProtection="1">
      <alignment vertical="center"/>
      <protection locked="0"/>
    </xf>
    <xf numFmtId="164" fontId="1" fillId="69" borderId="102" xfId="6" applyNumberFormat="1" applyFont="1" applyFill="1" applyBorder="1" applyAlignment="1" applyProtection="1">
      <alignment vertical="center"/>
      <protection locked="0"/>
    </xf>
    <xf numFmtId="0" fontId="0" fillId="0" borderId="27" xfId="6" applyNumberFormat="1" applyFont="1" applyBorder="1" applyAlignment="1">
      <alignment vertical="center"/>
    </xf>
    <xf numFmtId="44" fontId="0" fillId="0" borderId="35" xfId="6" applyFont="1" applyBorder="1" applyAlignment="1">
      <alignment vertical="center"/>
    </xf>
    <xf numFmtId="44" fontId="0" fillId="0" borderId="101" xfId="6" applyFont="1" applyBorder="1" applyAlignment="1">
      <alignment vertical="center"/>
    </xf>
    <xf numFmtId="44" fontId="0" fillId="0" borderId="38" xfId="6" applyFont="1" applyBorder="1" applyAlignment="1">
      <alignment vertical="center"/>
    </xf>
    <xf numFmtId="44" fontId="0" fillId="0" borderId="103" xfId="6" applyFont="1" applyBorder="1" applyAlignment="1">
      <alignment vertical="center"/>
    </xf>
    <xf numFmtId="44" fontId="0" fillId="0" borderId="34" xfId="6" applyFont="1" applyBorder="1" applyAlignment="1">
      <alignment vertical="center"/>
    </xf>
    <xf numFmtId="44" fontId="0" fillId="0" borderId="36" xfId="6" applyFont="1" applyBorder="1" applyAlignment="1">
      <alignment vertical="center"/>
    </xf>
    <xf numFmtId="44" fontId="0" fillId="0" borderId="37" xfId="6" applyFont="1" applyBorder="1" applyAlignment="1">
      <alignment vertical="center"/>
    </xf>
    <xf numFmtId="0" fontId="5" fillId="0" borderId="65" xfId="0" applyFont="1" applyBorder="1" applyAlignment="1">
      <alignment horizontal="center" vertical="center" wrapText="1"/>
    </xf>
    <xf numFmtId="44" fontId="0" fillId="0" borderId="35" xfId="6" applyFont="1" applyFill="1" applyBorder="1" applyAlignment="1">
      <alignment vertical="center"/>
    </xf>
    <xf numFmtId="0" fontId="14" fillId="0" borderId="0" xfId="9" applyAlignment="1">
      <alignment vertical="center"/>
    </xf>
    <xf numFmtId="0" fontId="5" fillId="0" borderId="23" xfId="0" applyFon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 fillId="0" borderId="140" xfId="0" applyFont="1" applyBorder="1" applyAlignment="1">
      <alignment horizontal="center" vertical="center"/>
    </xf>
    <xf numFmtId="0" fontId="5" fillId="0" borderId="0" xfId="0" applyFont="1" applyAlignment="1">
      <alignment vertical="center"/>
    </xf>
    <xf numFmtId="0" fontId="5" fillId="0" borderId="139" xfId="6" applyNumberFormat="1" applyFont="1" applyBorder="1" applyAlignment="1">
      <alignment horizontal="center" vertical="center" wrapText="1"/>
    </xf>
    <xf numFmtId="0" fontId="0" fillId="0" borderId="141" xfId="6" applyNumberFormat="1" applyFont="1" applyBorder="1" applyAlignment="1">
      <alignment vertical="center"/>
    </xf>
    <xf numFmtId="0" fontId="0" fillId="0" borderId="142" xfId="6" applyNumberFormat="1" applyFont="1" applyBorder="1" applyAlignment="1">
      <alignment vertical="center"/>
    </xf>
    <xf numFmtId="0" fontId="5" fillId="0" borderId="35" xfId="0" applyFont="1" applyBorder="1" applyAlignment="1">
      <alignment horizontal="center" vertical="center" wrapText="1"/>
    </xf>
    <xf numFmtId="0" fontId="5" fillId="0" borderId="101" xfId="0" applyFont="1" applyBorder="1" applyAlignment="1">
      <alignment horizontal="center" vertical="center" wrapText="1"/>
    </xf>
    <xf numFmtId="44" fontId="0" fillId="0" borderId="143" xfId="6" applyFont="1" applyBorder="1" applyAlignment="1">
      <alignment vertical="center"/>
    </xf>
    <xf numFmtId="0" fontId="5" fillId="0" borderId="0" xfId="6" applyNumberFormat="1" applyFont="1" applyBorder="1" applyAlignment="1">
      <alignment vertical="center"/>
    </xf>
    <xf numFmtId="44" fontId="0" fillId="0" borderId="66" xfId="6" applyFont="1" applyBorder="1" applyAlignment="1">
      <alignment vertical="center"/>
    </xf>
    <xf numFmtId="44" fontId="0" fillId="0" borderId="76" xfId="6" applyFont="1" applyBorder="1" applyAlignment="1">
      <alignment vertical="center"/>
    </xf>
    <xf numFmtId="44" fontId="0" fillId="0" borderId="1" xfId="6" applyFont="1" applyFill="1" applyBorder="1" applyAlignment="1">
      <alignment vertical="center"/>
    </xf>
    <xf numFmtId="44" fontId="0" fillId="0" borderId="2" xfId="6" applyFont="1" applyFill="1" applyBorder="1" applyAlignment="1">
      <alignment vertical="center"/>
    </xf>
    <xf numFmtId="44" fontId="0" fillId="0" borderId="65" xfId="6" applyFont="1" applyBorder="1" applyAlignment="1">
      <alignment vertical="center"/>
    </xf>
    <xf numFmtId="44" fontId="0" fillId="0" borderId="3" xfId="6" applyFont="1" applyFill="1" applyBorder="1" applyAlignment="1">
      <alignment vertical="center"/>
    </xf>
    <xf numFmtId="9" fontId="0" fillId="0" borderId="23" xfId="1" applyFont="1" applyBorder="1" applyAlignment="1" applyProtection="1">
      <alignment vertical="center"/>
      <protection locked="0"/>
    </xf>
    <xf numFmtId="44" fontId="0" fillId="0" borderId="5" xfId="6" applyFont="1" applyBorder="1" applyAlignment="1">
      <alignment vertical="center"/>
    </xf>
    <xf numFmtId="44" fontId="0" fillId="0" borderId="5" xfId="6" applyFont="1" applyFill="1" applyBorder="1" applyAlignment="1">
      <alignment vertical="center"/>
    </xf>
    <xf numFmtId="43" fontId="0" fillId="0" borderId="101" xfId="0" applyNumberFormat="1" applyBorder="1" applyAlignment="1" applyProtection="1">
      <alignment vertical="center"/>
      <protection locked="0"/>
    </xf>
    <xf numFmtId="44" fontId="0" fillId="0" borderId="38" xfId="6" applyFont="1" applyFill="1" applyBorder="1" applyAlignment="1">
      <alignment vertical="center"/>
    </xf>
    <xf numFmtId="44" fontId="0" fillId="0" borderId="145" xfId="6" applyFont="1" applyBorder="1" applyAlignment="1">
      <alignment vertical="center"/>
    </xf>
    <xf numFmtId="0" fontId="2" fillId="12" borderId="0" xfId="0" applyFont="1" applyFill="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6" fillId="0" borderId="0" xfId="0" applyFont="1" applyAlignment="1">
      <alignment horizontal="center" vertical="center"/>
    </xf>
    <xf numFmtId="0" fontId="0" fillId="0" borderId="148" xfId="0" applyBorder="1" applyAlignment="1">
      <alignment vertical="center"/>
    </xf>
    <xf numFmtId="43" fontId="1" fillId="0" borderId="2" xfId="0" applyNumberFormat="1" applyFont="1" applyBorder="1" applyAlignment="1" applyProtection="1">
      <alignment vertical="center"/>
      <protection locked="0"/>
    </xf>
    <xf numFmtId="43" fontId="1" fillId="0" borderId="65" xfId="0" applyNumberFormat="1" applyFont="1" applyBorder="1" applyAlignment="1" applyProtection="1">
      <alignment vertical="center"/>
      <protection locked="0"/>
    </xf>
    <xf numFmtId="0" fontId="0" fillId="8" borderId="5" xfId="0" applyFill="1" applyBorder="1" applyAlignment="1">
      <alignment horizontal="left" vertical="center"/>
    </xf>
    <xf numFmtId="44" fontId="0" fillId="0" borderId="5" xfId="0" applyNumberFormat="1" applyBorder="1" applyAlignment="1" applyProtection="1">
      <alignment vertical="center"/>
      <protection locked="0"/>
    </xf>
    <xf numFmtId="0" fontId="0" fillId="9" borderId="2" xfId="0" applyFill="1" applyBorder="1" applyAlignment="1">
      <alignment horizontal="left" vertical="center"/>
    </xf>
    <xf numFmtId="0" fontId="0" fillId="9" borderId="5" xfId="0" applyFill="1" applyBorder="1" applyAlignment="1">
      <alignment horizontal="left" vertical="center"/>
    </xf>
    <xf numFmtId="43" fontId="0" fillId="0" borderId="5" xfId="0" applyNumberFormat="1" applyBorder="1" applyAlignment="1" applyProtection="1">
      <alignment vertical="center"/>
      <protection locked="0"/>
    </xf>
    <xf numFmtId="0" fontId="12" fillId="0" borderId="0" xfId="0" applyFont="1" applyAlignment="1">
      <alignment vertical="center"/>
    </xf>
    <xf numFmtId="44" fontId="59" fillId="0" borderId="3" xfId="0" quotePrefix="1" applyNumberFormat="1" applyFont="1" applyBorder="1"/>
    <xf numFmtId="44" fontId="59" fillId="0" borderId="4" xfId="0" quotePrefix="1" applyNumberFormat="1" applyFont="1" applyBorder="1"/>
    <xf numFmtId="44" fontId="59" fillId="0" borderId="144" xfId="0" quotePrefix="1" applyNumberFormat="1" applyFont="1" applyBorder="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4" xfId="0" applyFont="1" applyBorder="1" applyAlignment="1">
      <alignment horizontal="center" vertical="center" wrapText="1"/>
    </xf>
    <xf numFmtId="0" fontId="0" fillId="10" borderId="149" xfId="0" applyFill="1" applyBorder="1" applyAlignment="1">
      <alignment vertical="center"/>
    </xf>
    <xf numFmtId="165" fontId="0" fillId="64" borderId="117" xfId="0" applyNumberFormat="1" applyFill="1" applyBorder="1" applyAlignment="1">
      <alignment vertical="center"/>
    </xf>
    <xf numFmtId="165" fontId="0" fillId="10" borderId="117" xfId="0" applyNumberFormat="1" applyFill="1" applyBorder="1" applyAlignment="1">
      <alignment vertical="center"/>
    </xf>
    <xf numFmtId="165" fontId="0" fillId="10" borderId="118" xfId="0" applyNumberFormat="1" applyFill="1" applyBorder="1" applyAlignment="1">
      <alignment vertical="center"/>
    </xf>
    <xf numFmtId="0" fontId="0" fillId="5" borderId="2" xfId="0" applyFill="1" applyBorder="1" applyAlignment="1">
      <alignment vertical="center"/>
    </xf>
    <xf numFmtId="0" fontId="0" fillId="5" borderId="5" xfId="0" applyFill="1" applyBorder="1" applyAlignment="1">
      <alignment vertical="center"/>
    </xf>
    <xf numFmtId="0" fontId="0" fillId="10" borderId="150" xfId="0" applyFill="1" applyBorder="1" applyAlignment="1">
      <alignment vertical="center"/>
    </xf>
    <xf numFmtId="165" fontId="0" fillId="64" borderId="135" xfId="0" applyNumberFormat="1" applyFill="1" applyBorder="1" applyAlignment="1">
      <alignment vertical="center"/>
    </xf>
    <xf numFmtId="165" fontId="0" fillId="10" borderId="135" xfId="0" applyNumberFormat="1" applyFill="1" applyBorder="1" applyAlignment="1">
      <alignment vertical="center"/>
    </xf>
    <xf numFmtId="165" fontId="0" fillId="10" borderId="151" xfId="0" applyNumberFormat="1" applyFill="1" applyBorder="1" applyAlignment="1">
      <alignment vertical="center"/>
    </xf>
    <xf numFmtId="165" fontId="0" fillId="64" borderId="78" xfId="0" applyNumberFormat="1" applyFill="1" applyBorder="1" applyAlignment="1">
      <alignment horizontal="center" vertical="center"/>
    </xf>
    <xf numFmtId="2" fontId="0" fillId="64" borderId="77" xfId="0" applyNumberFormat="1" applyFill="1" applyBorder="1" applyAlignment="1">
      <alignment horizontal="right" vertical="center"/>
    </xf>
    <xf numFmtId="164" fontId="0" fillId="64" borderId="62" xfId="0" applyNumberFormat="1" applyFill="1" applyBorder="1" applyAlignment="1">
      <alignment vertical="center"/>
    </xf>
    <xf numFmtId="164" fontId="0" fillId="10" borderId="62" xfId="0" applyNumberFormat="1" applyFill="1" applyBorder="1" applyAlignment="1">
      <alignment vertical="center"/>
    </xf>
    <xf numFmtId="0" fontId="0" fillId="64" borderId="0" xfId="0" applyFill="1" applyAlignment="1">
      <alignment horizontal="left" vertical="center"/>
    </xf>
    <xf numFmtId="2" fontId="0" fillId="10" borderId="77" xfId="0" applyNumberFormat="1" applyFill="1" applyBorder="1" applyAlignment="1">
      <alignment horizontal="right" vertical="center"/>
    </xf>
    <xf numFmtId="2" fontId="0" fillId="10" borderId="109" xfId="0" applyNumberFormat="1" applyFill="1" applyBorder="1" applyAlignment="1">
      <alignment horizontal="right" vertical="center"/>
    </xf>
    <xf numFmtId="165" fontId="0" fillId="10" borderId="78" xfId="0" applyNumberFormat="1" applyFill="1" applyBorder="1" applyAlignment="1">
      <alignment horizontal="center" vertical="center"/>
    </xf>
    <xf numFmtId="165" fontId="0" fillId="10" borderId="111" xfId="0" applyNumberFormat="1" applyFill="1" applyBorder="1" applyAlignment="1">
      <alignment horizontal="center" vertical="center"/>
    </xf>
    <xf numFmtId="166" fontId="0" fillId="0" borderId="0" xfId="430" applyNumberFormat="1" applyFont="1" applyBorder="1" applyAlignment="1">
      <alignment vertical="center"/>
    </xf>
    <xf numFmtId="166" fontId="0" fillId="0" borderId="66" xfId="430" applyNumberFormat="1" applyFont="1" applyBorder="1" applyAlignment="1">
      <alignment vertical="center"/>
    </xf>
    <xf numFmtId="166" fontId="0" fillId="0" borderId="0" xfId="430" applyNumberFormat="1" applyFont="1" applyBorder="1" applyAlignment="1" applyProtection="1">
      <alignment vertical="center"/>
      <protection locked="0"/>
    </xf>
    <xf numFmtId="0" fontId="0" fillId="64" borderId="2" xfId="0" applyFill="1" applyBorder="1" applyAlignment="1">
      <alignment horizontal="left" vertical="center"/>
    </xf>
    <xf numFmtId="2" fontId="0" fillId="64" borderId="77" xfId="0" applyNumberFormat="1" applyFill="1" applyBorder="1" applyAlignment="1">
      <alignment vertical="center"/>
    </xf>
    <xf numFmtId="2" fontId="0" fillId="10" borderId="77" xfId="0" applyNumberFormat="1" applyFill="1" applyBorder="1" applyAlignment="1">
      <alignment vertical="center"/>
    </xf>
    <xf numFmtId="2" fontId="0" fillId="10" borderId="109" xfId="0" applyNumberFormat="1" applyFill="1" applyBorder="1" applyAlignment="1">
      <alignment vertical="center"/>
    </xf>
    <xf numFmtId="164" fontId="0" fillId="10" borderId="110" xfId="0" applyNumberFormat="1" applyFill="1" applyBorder="1" applyAlignment="1">
      <alignment vertical="center"/>
    </xf>
    <xf numFmtId="0" fontId="0" fillId="64" borderId="5" xfId="0" applyFill="1" applyBorder="1" applyAlignment="1">
      <alignment vertical="center"/>
    </xf>
    <xf numFmtId="0" fontId="0" fillId="64" borderId="78" xfId="0" applyFill="1" applyBorder="1" applyAlignment="1">
      <alignment horizontal="center" vertical="center"/>
    </xf>
    <xf numFmtId="0" fontId="0" fillId="10" borderId="78" xfId="0" applyFill="1" applyBorder="1" applyAlignment="1">
      <alignment horizontal="center" vertical="center"/>
    </xf>
    <xf numFmtId="0" fontId="0" fillId="10" borderId="111" xfId="0" applyFill="1" applyBorder="1" applyAlignment="1">
      <alignment horizontal="center" vertical="center"/>
    </xf>
    <xf numFmtId="0" fontId="0" fillId="64" borderId="64" xfId="0" applyFill="1" applyBorder="1" applyAlignment="1">
      <alignment horizontal="center" vertical="center" wrapText="1"/>
    </xf>
    <xf numFmtId="0" fontId="0" fillId="0" borderId="64" xfId="0" applyBorder="1" applyAlignment="1">
      <alignment horizontal="center" vertical="center" wrapText="1"/>
    </xf>
    <xf numFmtId="0" fontId="0" fillId="0" borderId="63" xfId="0" applyBorder="1" applyAlignment="1">
      <alignment horizontal="center" vertical="center" wrapText="1"/>
    </xf>
    <xf numFmtId="0" fontId="0" fillId="0" borderId="96" xfId="0" applyBorder="1" applyAlignment="1">
      <alignment vertical="center"/>
    </xf>
    <xf numFmtId="0" fontId="0" fillId="0" borderId="97" xfId="0" applyBorder="1" applyAlignment="1">
      <alignment vertical="center"/>
    </xf>
    <xf numFmtId="0" fontId="0" fillId="0" borderId="95" xfId="0" applyBorder="1" applyAlignment="1">
      <alignment vertical="center"/>
    </xf>
    <xf numFmtId="0" fontId="0" fillId="0" borderId="39" xfId="0" applyBorder="1" applyAlignment="1">
      <alignment vertical="center"/>
    </xf>
    <xf numFmtId="0" fontId="0" fillId="0" borderId="152" xfId="0" applyBorder="1" applyAlignment="1">
      <alignment vertical="center"/>
    </xf>
    <xf numFmtId="0" fontId="0" fillId="0" borderId="27" xfId="6" applyNumberFormat="1" applyFont="1" applyBorder="1" applyAlignment="1">
      <alignment vertical="center" wrapText="1"/>
    </xf>
    <xf numFmtId="0" fontId="0" fillId="0" borderId="29" xfId="6" applyNumberFormat="1" applyFont="1" applyBorder="1" applyAlignment="1">
      <alignment vertical="center" wrapText="1"/>
    </xf>
    <xf numFmtId="0" fontId="5" fillId="0" borderId="0" xfId="0" applyFont="1" applyAlignment="1">
      <alignment vertical="center" wrapText="1"/>
    </xf>
    <xf numFmtId="172" fontId="0" fillId="0" borderId="0" xfId="8" applyNumberFormat="1" applyFont="1" applyFill="1" applyBorder="1"/>
    <xf numFmtId="6" fontId="0" fillId="0" borderId="0" xfId="6" applyNumberFormat="1" applyFont="1" applyBorder="1" applyAlignment="1">
      <alignment vertical="center"/>
    </xf>
    <xf numFmtId="0" fontId="0" fillId="0" borderId="29" xfId="0" applyBorder="1" applyAlignment="1">
      <alignment vertical="center"/>
    </xf>
    <xf numFmtId="179" fontId="0" fillId="0" borderId="23" xfId="0" applyNumberFormat="1" applyBorder="1" applyAlignment="1">
      <alignment vertical="center"/>
    </xf>
    <xf numFmtId="180" fontId="0" fillId="0" borderId="96" xfId="6" applyNumberFormat="1" applyFont="1" applyBorder="1" applyAlignment="1">
      <alignment vertical="center"/>
    </xf>
    <xf numFmtId="179" fontId="0" fillId="0" borderId="0" xfId="0" applyNumberFormat="1" applyAlignment="1">
      <alignment vertical="center"/>
    </xf>
    <xf numFmtId="180" fontId="0" fillId="0" borderId="12" xfId="6" applyNumberFormat="1" applyFont="1" applyBorder="1" applyAlignment="1">
      <alignment vertical="center"/>
    </xf>
    <xf numFmtId="180" fontId="0" fillId="0" borderId="40" xfId="6" applyNumberFormat="1" applyFont="1" applyBorder="1" applyAlignment="1">
      <alignment vertical="center"/>
    </xf>
    <xf numFmtId="180" fontId="0" fillId="0" borderId="73" xfId="6" applyNumberFormat="1" applyFont="1" applyBorder="1" applyAlignment="1">
      <alignment vertical="center"/>
    </xf>
    <xf numFmtId="0" fontId="60" fillId="0" borderId="0" xfId="0" applyFont="1" applyAlignment="1">
      <alignment vertical="center" wrapText="1"/>
    </xf>
    <xf numFmtId="1" fontId="0" fillId="0" borderId="0" xfId="0" applyNumberFormat="1" applyAlignment="1">
      <alignment horizontal="center" vertical="center"/>
    </xf>
    <xf numFmtId="168" fontId="0" fillId="0" borderId="28" xfId="0" applyNumberFormat="1" applyBorder="1" applyAlignment="1">
      <alignment vertical="center"/>
    </xf>
    <xf numFmtId="173" fontId="0" fillId="0" borderId="12" xfId="6" applyNumberFormat="1" applyFont="1" applyBorder="1" applyAlignment="1">
      <alignment vertical="center"/>
    </xf>
    <xf numFmtId="1" fontId="0" fillId="71" borderId="10" xfId="1" applyNumberFormat="1" applyFont="1" applyFill="1" applyBorder="1" applyAlignment="1" applyProtection="1">
      <alignment vertical="center"/>
      <protection locked="0"/>
    </xf>
    <xf numFmtId="172" fontId="0" fillId="71" borderId="10" xfId="1" applyNumberFormat="1" applyFont="1" applyFill="1" applyBorder="1" applyAlignment="1" applyProtection="1">
      <alignment vertical="center"/>
      <protection locked="0"/>
    </xf>
    <xf numFmtId="172" fontId="0" fillId="71" borderId="20" xfId="1" applyNumberFormat="1" applyFont="1" applyFill="1" applyBorder="1" applyAlignment="1" applyProtection="1">
      <alignment vertical="center"/>
      <protection locked="0"/>
    </xf>
    <xf numFmtId="165" fontId="0" fillId="0" borderId="102" xfId="0" applyNumberFormat="1" applyBorder="1" applyAlignment="1">
      <alignment vertical="center"/>
    </xf>
    <xf numFmtId="166" fontId="1" fillId="0" borderId="102" xfId="0" applyNumberFormat="1" applyFont="1" applyBorder="1" applyAlignment="1" applyProtection="1">
      <alignment vertical="center"/>
      <protection locked="0"/>
    </xf>
    <xf numFmtId="0" fontId="6" fillId="7" borderId="38" xfId="0" applyFont="1" applyFill="1" applyBorder="1" applyAlignment="1">
      <alignment horizontal="left" vertical="center"/>
    </xf>
    <xf numFmtId="0" fontId="0" fillId="0" borderId="103" xfId="0" applyBorder="1" applyAlignment="1">
      <alignment vertical="center"/>
    </xf>
    <xf numFmtId="43" fontId="1" fillId="0" borderId="0" xfId="0" applyNumberFormat="1" applyFont="1" applyAlignment="1" applyProtection="1">
      <alignment vertical="center"/>
      <protection locked="0"/>
    </xf>
    <xf numFmtId="43" fontId="1" fillId="0" borderId="66" xfId="0" applyNumberFormat="1" applyFont="1" applyBorder="1" applyAlignment="1" applyProtection="1">
      <alignment vertical="center"/>
      <protection locked="0"/>
    </xf>
    <xf numFmtId="0" fontId="54" fillId="0" borderId="153" xfId="424" applyFont="1" applyBorder="1" applyAlignment="1">
      <alignment horizontal="center" vertical="center" wrapText="1"/>
    </xf>
    <xf numFmtId="0" fontId="54" fillId="0" borderId="155" xfId="424" applyFont="1" applyBorder="1" applyAlignment="1">
      <alignment horizontal="center" vertical="center"/>
    </xf>
    <xf numFmtId="0" fontId="0" fillId="0" borderId="154" xfId="0" applyBorder="1" applyAlignment="1">
      <alignment vertical="center"/>
    </xf>
    <xf numFmtId="0" fontId="54" fillId="0" borderId="157" xfId="424" applyFont="1" applyBorder="1" applyAlignment="1">
      <alignment horizontal="center" vertical="center"/>
    </xf>
    <xf numFmtId="0" fontId="54" fillId="0" borderId="158" xfId="424" applyFont="1" applyBorder="1" applyAlignment="1">
      <alignment horizontal="center" vertical="center"/>
    </xf>
    <xf numFmtId="0" fontId="54" fillId="0" borderId="161" xfId="424" applyFont="1" applyBorder="1" applyAlignment="1">
      <alignment horizontal="center" vertical="center"/>
    </xf>
    <xf numFmtId="0" fontId="54" fillId="0" borderId="163" xfId="424" applyFont="1" applyBorder="1" applyAlignment="1">
      <alignment horizontal="center" vertical="center"/>
    </xf>
    <xf numFmtId="0" fontId="54" fillId="0" borderId="164" xfId="424" applyFont="1" applyBorder="1" applyAlignment="1">
      <alignment horizontal="center" vertical="center"/>
    </xf>
    <xf numFmtId="0" fontId="0" fillId="0" borderId="165" xfId="0" applyBorder="1" applyAlignment="1">
      <alignment vertical="center"/>
    </xf>
    <xf numFmtId="0" fontId="54" fillId="0" borderId="168" xfId="424" applyFont="1" applyBorder="1" applyAlignment="1">
      <alignment horizontal="center" vertical="center"/>
    </xf>
    <xf numFmtId="0" fontId="54" fillId="0" borderId="156" xfId="424" applyFont="1" applyBorder="1" applyAlignment="1">
      <alignment horizontal="center" vertical="center"/>
    </xf>
    <xf numFmtId="0" fontId="54" fillId="0" borderId="169" xfId="424" applyFont="1" applyBorder="1" applyAlignment="1">
      <alignment horizontal="center" vertical="center"/>
    </xf>
    <xf numFmtId="0" fontId="54" fillId="0" borderId="11" xfId="424" applyFont="1" applyBorder="1" applyAlignment="1">
      <alignment horizontal="center" vertical="center"/>
    </xf>
    <xf numFmtId="0" fontId="54" fillId="0" borderId="51" xfId="424" applyFont="1" applyBorder="1" applyAlignment="1">
      <alignment horizontal="center" vertical="center"/>
    </xf>
    <xf numFmtId="0" fontId="54" fillId="0" borderId="157" xfId="0" applyFont="1" applyBorder="1" applyAlignment="1">
      <alignment horizontal="center" vertical="center"/>
    </xf>
    <xf numFmtId="0" fontId="54" fillId="0" borderId="159" xfId="0" applyFont="1" applyBorder="1" applyAlignment="1">
      <alignment horizontal="center" vertical="center"/>
    </xf>
    <xf numFmtId="0" fontId="54" fillId="0" borderId="161" xfId="0" applyFont="1" applyBorder="1" applyAlignment="1">
      <alignment horizontal="center" vertical="center"/>
    </xf>
    <xf numFmtId="0" fontId="54" fillId="0" borderId="163" xfId="0" applyFont="1" applyBorder="1" applyAlignment="1">
      <alignment horizontal="center" vertical="center"/>
    </xf>
    <xf numFmtId="0" fontId="54" fillId="0" borderId="164" xfId="0" applyFont="1" applyBorder="1" applyAlignment="1">
      <alignment horizontal="center" vertical="center"/>
    </xf>
    <xf numFmtId="0" fontId="54" fillId="0" borderId="170" xfId="0" applyFont="1" applyBorder="1" applyAlignment="1">
      <alignment horizontal="center" vertical="center"/>
    </xf>
    <xf numFmtId="0" fontId="54" fillId="0" borderId="168" xfId="0" applyFont="1" applyBorder="1" applyAlignment="1">
      <alignment horizontal="center" vertical="center"/>
    </xf>
    <xf numFmtId="0" fontId="54" fillId="0" borderId="171" xfId="0" applyFont="1" applyBorder="1" applyAlignment="1">
      <alignment horizontal="center" vertical="center"/>
    </xf>
    <xf numFmtId="168" fontId="54" fillId="0" borderId="169" xfId="0" applyNumberFormat="1" applyFont="1" applyBorder="1" applyAlignment="1">
      <alignment horizontal="center" vertical="center"/>
    </xf>
    <xf numFmtId="168" fontId="58" fillId="0" borderId="11" xfId="0" applyNumberFormat="1" applyFont="1" applyBorder="1" applyAlignment="1">
      <alignment horizontal="center" vertical="center"/>
    </xf>
    <xf numFmtId="168" fontId="58" fillId="0" borderId="51" xfId="0" applyNumberFormat="1" applyFont="1" applyBorder="1" applyAlignment="1">
      <alignment horizontal="center" vertical="center"/>
    </xf>
    <xf numFmtId="0" fontId="53" fillId="0" borderId="159" xfId="0" applyFont="1" applyBorder="1" applyAlignment="1">
      <alignment wrapText="1"/>
    </xf>
    <xf numFmtId="0" fontId="53" fillId="0" borderId="44" xfId="0" applyFont="1" applyBorder="1" applyAlignment="1">
      <alignment wrapText="1"/>
    </xf>
    <xf numFmtId="0" fontId="53" fillId="0" borderId="43" xfId="0" applyFont="1" applyBorder="1" applyAlignment="1">
      <alignment wrapText="1"/>
    </xf>
    <xf numFmtId="0" fontId="53" fillId="0" borderId="160" xfId="0" applyFont="1" applyBorder="1" applyAlignment="1">
      <alignment wrapText="1"/>
    </xf>
    <xf numFmtId="0" fontId="53" fillId="0" borderId="68" xfId="0" applyFont="1" applyBorder="1" applyAlignment="1">
      <alignment wrapText="1"/>
    </xf>
    <xf numFmtId="0" fontId="53" fillId="0" borderId="12" xfId="0" applyFont="1" applyBorder="1" applyAlignment="1">
      <alignment wrapText="1"/>
    </xf>
    <xf numFmtId="0" fontId="53" fillId="0" borderId="9" xfId="0" applyFont="1" applyBorder="1" applyAlignment="1">
      <alignment wrapText="1"/>
    </xf>
    <xf numFmtId="0" fontId="53" fillId="0" borderId="162" xfId="0" applyFont="1" applyBorder="1" applyAlignment="1">
      <alignment wrapText="1"/>
    </xf>
    <xf numFmtId="0" fontId="53" fillId="0" borderId="144" xfId="0" applyFont="1" applyBorder="1" applyAlignment="1">
      <alignment wrapText="1"/>
    </xf>
    <xf numFmtId="0" fontId="53" fillId="0" borderId="166" xfId="0" applyFont="1" applyBorder="1" applyAlignment="1">
      <alignment wrapText="1"/>
    </xf>
    <xf numFmtId="0" fontId="53" fillId="0" borderId="167" xfId="0" applyFont="1" applyBorder="1" applyAlignment="1">
      <alignment wrapText="1"/>
    </xf>
    <xf numFmtId="0" fontId="53" fillId="0" borderId="103" xfId="0" applyFont="1" applyBorder="1" applyAlignment="1">
      <alignment wrapText="1"/>
    </xf>
    <xf numFmtId="0" fontId="0" fillId="0" borderId="10" xfId="0" applyBorder="1" applyAlignment="1">
      <alignment vertical="center"/>
    </xf>
    <xf numFmtId="0" fontId="5" fillId="0" borderId="10" xfId="0" applyFont="1" applyBorder="1" applyAlignment="1">
      <alignment vertical="center" wrapText="1"/>
    </xf>
    <xf numFmtId="0" fontId="5" fillId="0" borderId="10" xfId="0" applyFont="1" applyBorder="1" applyAlignment="1">
      <alignment horizontal="center" vertical="center"/>
    </xf>
    <xf numFmtId="0" fontId="0" fillId="0" borderId="173" xfId="0" applyBorder="1" applyAlignment="1">
      <alignment vertical="center"/>
    </xf>
    <xf numFmtId="179" fontId="0" fillId="0" borderId="174" xfId="0" applyNumberFormat="1" applyBorder="1" applyAlignment="1">
      <alignment vertical="center"/>
    </xf>
    <xf numFmtId="179" fontId="0" fillId="0" borderId="175" xfId="0" applyNumberFormat="1" applyBorder="1" applyAlignment="1">
      <alignment vertical="center"/>
    </xf>
    <xf numFmtId="0" fontId="0" fillId="0" borderId="177" xfId="0" applyBorder="1" applyAlignment="1">
      <alignment vertical="center"/>
    </xf>
    <xf numFmtId="179" fontId="0" fillId="0" borderId="111" xfId="0" applyNumberFormat="1" applyBorder="1" applyAlignment="1">
      <alignment vertical="center"/>
    </xf>
    <xf numFmtId="0" fontId="5" fillId="0" borderId="178" xfId="0" applyFont="1" applyBorder="1" applyAlignment="1">
      <alignment horizontal="center" vertical="center" wrapText="1"/>
    </xf>
    <xf numFmtId="0" fontId="5" fillId="0" borderId="179" xfId="0" applyFont="1" applyBorder="1" applyAlignment="1">
      <alignment horizontal="center" vertical="center" wrapText="1"/>
    </xf>
    <xf numFmtId="0" fontId="5" fillId="0" borderId="109" xfId="0" applyFont="1" applyBorder="1" applyAlignment="1">
      <alignment horizontal="center" vertical="center" wrapText="1"/>
    </xf>
    <xf numFmtId="0" fontId="9" fillId="0" borderId="0" xfId="0" applyFont="1" applyAlignment="1">
      <alignment vertical="center"/>
    </xf>
    <xf numFmtId="0" fontId="5" fillId="0" borderId="14" xfId="0" applyFont="1" applyBorder="1" applyAlignment="1">
      <alignment vertical="center"/>
    </xf>
    <xf numFmtId="168" fontId="0" fillId="0" borderId="16" xfId="0" applyNumberFormat="1" applyBorder="1" applyAlignment="1">
      <alignment vertical="center"/>
    </xf>
    <xf numFmtId="0" fontId="61" fillId="0" borderId="19" xfId="0" applyFont="1" applyBorder="1" applyAlignment="1">
      <alignment vertical="center" wrapText="1"/>
    </xf>
    <xf numFmtId="168" fontId="10" fillId="0" borderId="21" xfId="0" applyNumberFormat="1" applyFont="1" applyBorder="1" applyAlignment="1">
      <alignment vertical="center" wrapText="1"/>
    </xf>
    <xf numFmtId="0" fontId="0" fillId="0" borderId="68" xfId="6" applyNumberFormat="1" applyFont="1" applyBorder="1" applyAlignment="1">
      <alignment vertical="center" wrapText="1"/>
    </xf>
    <xf numFmtId="180" fontId="0" fillId="0" borderId="18" xfId="6" applyNumberFormat="1" applyFont="1" applyBorder="1" applyAlignment="1">
      <alignment vertical="center"/>
    </xf>
    <xf numFmtId="0" fontId="0" fillId="0" borderId="70" xfId="6" applyNumberFormat="1" applyFont="1" applyBorder="1" applyAlignment="1">
      <alignment vertical="center"/>
    </xf>
    <xf numFmtId="0" fontId="0" fillId="0" borderId="4" xfId="6" applyNumberFormat="1" applyFont="1" applyBorder="1" applyAlignment="1">
      <alignment vertical="center" wrapText="1"/>
    </xf>
    <xf numFmtId="180" fontId="0" fillId="0" borderId="74" xfId="6" applyNumberFormat="1" applyFont="1" applyBorder="1" applyAlignment="1">
      <alignment vertical="center"/>
    </xf>
    <xf numFmtId="180" fontId="0" fillId="0" borderId="21" xfId="6" applyNumberFormat="1" applyFont="1" applyBorder="1" applyAlignment="1">
      <alignment vertical="center"/>
    </xf>
    <xf numFmtId="168" fontId="59" fillId="0" borderId="10" xfId="0" quotePrefix="1" applyNumberFormat="1" applyFont="1" applyBorder="1" applyAlignment="1">
      <alignment wrapText="1"/>
    </xf>
    <xf numFmtId="0" fontId="0" fillId="0" borderId="17" xfId="6" applyNumberFormat="1" applyFont="1" applyBorder="1" applyAlignment="1">
      <alignment vertical="center" wrapText="1"/>
    </xf>
    <xf numFmtId="44" fontId="0" fillId="0" borderId="18" xfId="6" applyFont="1" applyBorder="1" applyAlignment="1">
      <alignment vertical="center" wrapText="1"/>
    </xf>
    <xf numFmtId="0" fontId="0" fillId="0" borderId="19" xfId="6" applyNumberFormat="1" applyFont="1" applyBorder="1" applyAlignment="1">
      <alignment vertical="center" wrapText="1"/>
    </xf>
    <xf numFmtId="168" fontId="59" fillId="0" borderId="20" xfId="0" quotePrefix="1" applyNumberFormat="1" applyFont="1" applyBorder="1" applyAlignment="1">
      <alignment wrapText="1"/>
    </xf>
    <xf numFmtId="44" fontId="0" fillId="0" borderId="21" xfId="6" applyFont="1"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56" xfId="6" applyNumberFormat="1" applyFont="1" applyBorder="1" applyAlignment="1">
      <alignment vertical="center" wrapText="1"/>
    </xf>
    <xf numFmtId="0" fontId="5" fillId="0" borderId="177" xfId="0" applyFont="1" applyBorder="1" applyAlignment="1">
      <alignment horizontal="center" vertical="center"/>
    </xf>
    <xf numFmtId="0" fontId="5" fillId="0" borderId="18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82" xfId="0" applyFont="1" applyBorder="1" applyAlignment="1">
      <alignment horizontal="center" vertical="center"/>
    </xf>
    <xf numFmtId="0" fontId="5" fillId="0" borderId="183" xfId="0" applyFont="1" applyBorder="1" applyAlignment="1">
      <alignment horizontal="center" vertical="center"/>
    </xf>
    <xf numFmtId="0" fontId="5" fillId="0" borderId="184" xfId="0" applyFont="1" applyBorder="1" applyAlignment="1">
      <alignment horizontal="center" vertical="center"/>
    </xf>
    <xf numFmtId="0" fontId="5" fillId="0" borderId="185" xfId="0" applyFont="1" applyBorder="1" applyAlignment="1">
      <alignment horizontal="center" vertical="center"/>
    </xf>
    <xf numFmtId="0" fontId="0" fillId="0" borderId="113" xfId="6" applyNumberFormat="1" applyFont="1" applyBorder="1" applyAlignment="1">
      <alignment vertical="center" wrapText="1"/>
    </xf>
    <xf numFmtId="168" fontId="59" fillId="0" borderId="12" xfId="0" quotePrefix="1" applyNumberFormat="1" applyFont="1" applyBorder="1" applyAlignment="1">
      <alignment wrapText="1"/>
    </xf>
    <xf numFmtId="44" fontId="0" fillId="0" borderId="40" xfId="6" applyFont="1" applyBorder="1" applyAlignment="1">
      <alignment vertical="center" wrapText="1"/>
    </xf>
    <xf numFmtId="0" fontId="5" fillId="0" borderId="14" xfId="6" applyNumberFormat="1" applyFont="1" applyBorder="1" applyAlignment="1">
      <alignment horizontal="center" vertical="center" wrapText="1"/>
    </xf>
    <xf numFmtId="44" fontId="5" fillId="0" borderId="15" xfId="6" applyFont="1" applyBorder="1" applyAlignment="1">
      <alignment horizontal="center" vertical="center" wrapText="1"/>
    </xf>
    <xf numFmtId="44" fontId="5" fillId="0" borderId="16" xfId="6" applyFont="1" applyBorder="1" applyAlignment="1">
      <alignment horizontal="center" vertical="center" wrapText="1"/>
    </xf>
    <xf numFmtId="0" fontId="5" fillId="0" borderId="19" xfId="6" applyNumberFormat="1" applyFont="1" applyBorder="1" applyAlignment="1">
      <alignment horizontal="center" vertical="center" wrapText="1"/>
    </xf>
    <xf numFmtId="44" fontId="5" fillId="0" borderId="20" xfId="6" applyFont="1" applyBorder="1" applyAlignment="1">
      <alignment horizontal="center" vertical="center" wrapText="1"/>
    </xf>
    <xf numFmtId="44" fontId="5" fillId="0" borderId="21" xfId="6" applyFont="1" applyBorder="1" applyAlignment="1">
      <alignment horizontal="center" vertical="center" wrapText="1"/>
    </xf>
    <xf numFmtId="180" fontId="0" fillId="0" borderId="81" xfId="6" applyNumberFormat="1" applyFont="1" applyBorder="1" applyAlignment="1">
      <alignment vertical="center"/>
    </xf>
    <xf numFmtId="0" fontId="5" fillId="0" borderId="41" xfId="0" applyFont="1" applyBorder="1" applyAlignment="1">
      <alignment horizontal="center" vertical="center"/>
    </xf>
    <xf numFmtId="0" fontId="5" fillId="0" borderId="188" xfId="0" applyFont="1" applyBorder="1" applyAlignment="1">
      <alignment horizontal="center" vertical="center"/>
    </xf>
    <xf numFmtId="0" fontId="0" fillId="0" borderId="41" xfId="0" applyBorder="1" applyAlignment="1">
      <alignment vertical="center"/>
    </xf>
    <xf numFmtId="0" fontId="0" fillId="0" borderId="188" xfId="0" applyBorder="1" applyAlignment="1">
      <alignment vertical="center"/>
    </xf>
    <xf numFmtId="0" fontId="0" fillId="0" borderId="176" xfId="0" applyBorder="1" applyAlignment="1">
      <alignment vertical="center"/>
    </xf>
    <xf numFmtId="0" fontId="0" fillId="0" borderId="186" xfId="0" applyBorder="1" applyAlignment="1">
      <alignment vertical="center"/>
    </xf>
    <xf numFmtId="0" fontId="5" fillId="0" borderId="112" xfId="0" applyFont="1" applyBorder="1" applyAlignment="1">
      <alignment horizontal="center" vertical="center" wrapText="1"/>
    </xf>
    <xf numFmtId="0" fontId="5" fillId="0" borderId="116" xfId="0" applyFont="1" applyBorder="1" applyAlignment="1">
      <alignment horizontal="center" vertical="center" wrapText="1"/>
    </xf>
    <xf numFmtId="0" fontId="54" fillId="0" borderId="0" xfId="0" applyFont="1" applyAlignment="1">
      <alignment horizontal="center" vertical="center"/>
    </xf>
    <xf numFmtId="173" fontId="49" fillId="0" borderId="0" xfId="6" applyNumberFormat="1" applyFont="1" applyBorder="1" applyAlignment="1">
      <alignment vertical="center"/>
    </xf>
    <xf numFmtId="0" fontId="54" fillId="0" borderId="189" xfId="424" applyFont="1" applyBorder="1" applyAlignment="1">
      <alignment horizontal="center" vertical="center" wrapText="1"/>
    </xf>
    <xf numFmtId="0" fontId="54" fillId="0" borderId="32" xfId="423" applyFont="1" applyBorder="1" applyAlignment="1">
      <alignment horizontal="center" vertical="center" wrapText="1"/>
    </xf>
    <xf numFmtId="0" fontId="54" fillId="0" borderId="6" xfId="423" applyFont="1" applyBorder="1" applyAlignment="1">
      <alignment horizontal="center" vertical="center" wrapText="1"/>
    </xf>
    <xf numFmtId="0" fontId="54" fillId="0" borderId="33" xfId="427" applyFont="1" applyBorder="1" applyAlignment="1">
      <alignment horizontal="center" vertical="center" wrapText="1"/>
    </xf>
    <xf numFmtId="0" fontId="54" fillId="0" borderId="35" xfId="0" applyFont="1" applyBorder="1" applyAlignment="1">
      <alignment horizontal="center" vertical="center"/>
    </xf>
    <xf numFmtId="0" fontId="54" fillId="0" borderId="35" xfId="425" applyFont="1" applyBorder="1" applyAlignment="1">
      <alignment horizontal="center" vertical="center"/>
    </xf>
    <xf numFmtId="0" fontId="54" fillId="0" borderId="35" xfId="423" applyFont="1" applyBorder="1" applyAlignment="1">
      <alignment horizontal="center" vertical="center"/>
    </xf>
    <xf numFmtId="0" fontId="54" fillId="0" borderId="101" xfId="427" applyFont="1" applyBorder="1" applyAlignment="1">
      <alignment horizontal="center" vertical="center"/>
    </xf>
    <xf numFmtId="173" fontId="49" fillId="0" borderId="102" xfId="6" applyNumberFormat="1" applyFont="1" applyBorder="1" applyAlignment="1">
      <alignment vertical="center"/>
    </xf>
    <xf numFmtId="173" fontId="49" fillId="0" borderId="38" xfId="6" applyNumberFormat="1" applyFont="1" applyBorder="1" applyAlignment="1">
      <alignment vertical="center"/>
    </xf>
    <xf numFmtId="173" fontId="49" fillId="0" borderId="103" xfId="6" applyNumberFormat="1" applyFont="1" applyBorder="1" applyAlignment="1">
      <alignment vertical="center"/>
    </xf>
    <xf numFmtId="0" fontId="54" fillId="0" borderId="130" xfId="0" applyFont="1" applyBorder="1" applyAlignment="1">
      <alignment horizontal="center" vertical="center"/>
    </xf>
    <xf numFmtId="0" fontId="54" fillId="0" borderId="190" xfId="0" applyFont="1" applyBorder="1" applyAlignment="1">
      <alignment horizontal="center" vertical="center"/>
    </xf>
    <xf numFmtId="0" fontId="54" fillId="0" borderId="191" xfId="0" applyFont="1" applyBorder="1" applyAlignment="1">
      <alignment horizontal="center" vertical="center"/>
    </xf>
    <xf numFmtId="0" fontId="54" fillId="0" borderId="34" xfId="425" applyFont="1" applyBorder="1" applyAlignment="1">
      <alignment horizontal="center" vertical="center"/>
    </xf>
    <xf numFmtId="173" fontId="49" fillId="0" borderId="36" xfId="6" applyNumberFormat="1" applyFont="1" applyBorder="1" applyAlignment="1">
      <alignment vertical="center"/>
    </xf>
    <xf numFmtId="173" fontId="49" fillId="0" borderId="37" xfId="6" applyNumberFormat="1" applyFont="1" applyBorder="1" applyAlignment="1">
      <alignment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23" xfId="0" applyFont="1" applyBorder="1" applyAlignment="1">
      <alignment vertical="center" wrapText="1"/>
    </xf>
    <xf numFmtId="0" fontId="5" fillId="0" borderId="28" xfId="0" applyFont="1" applyBorder="1" applyAlignment="1">
      <alignment vertical="center" wrapText="1"/>
    </xf>
    <xf numFmtId="0" fontId="5" fillId="0" borderId="18" xfId="0" applyFont="1" applyBorder="1" applyAlignment="1">
      <alignment vertical="center" wrapText="1"/>
    </xf>
    <xf numFmtId="0" fontId="5" fillId="0" borderId="17" xfId="0" applyFont="1" applyBorder="1" applyAlignment="1">
      <alignment horizontal="center" vertical="center"/>
    </xf>
    <xf numFmtId="0" fontId="0" fillId="0" borderId="102" xfId="0" applyBorder="1" applyAlignment="1" applyProtection="1">
      <alignment vertical="center"/>
      <protection locked="0"/>
    </xf>
    <xf numFmtId="0" fontId="0" fillId="0" borderId="193" xfId="0" applyBorder="1" applyAlignment="1">
      <alignment vertical="center"/>
    </xf>
    <xf numFmtId="0" fontId="0" fillId="0" borderId="194" xfId="0" applyBorder="1" applyAlignment="1">
      <alignment vertical="center"/>
    </xf>
    <xf numFmtId="0" fontId="0" fillId="0" borderId="195" xfId="0" applyBorder="1" applyAlignment="1">
      <alignment vertical="center"/>
    </xf>
    <xf numFmtId="0" fontId="59" fillId="0" borderId="0" xfId="0" applyFont="1"/>
    <xf numFmtId="173" fontId="53" fillId="0" borderId="23" xfId="6" applyNumberFormat="1" applyFont="1" applyFill="1" applyBorder="1" applyAlignment="1">
      <alignment vertical="center"/>
    </xf>
    <xf numFmtId="173" fontId="53" fillId="0" borderId="24" xfId="6" applyNumberFormat="1" applyFont="1" applyFill="1" applyBorder="1" applyAlignment="1">
      <alignment vertical="center"/>
    </xf>
    <xf numFmtId="173" fontId="53" fillId="0" borderId="25" xfId="6" applyNumberFormat="1" applyFont="1" applyFill="1" applyBorder="1" applyAlignment="1">
      <alignment vertical="center"/>
    </xf>
    <xf numFmtId="173" fontId="53" fillId="0" borderId="26" xfId="6" applyNumberFormat="1" applyFont="1" applyFill="1" applyBorder="1" applyAlignment="1">
      <alignment vertical="center"/>
    </xf>
    <xf numFmtId="173" fontId="53" fillId="0" borderId="27" xfId="6" applyNumberFormat="1" applyFont="1" applyFill="1" applyBorder="1" applyAlignment="1">
      <alignment vertical="center"/>
    </xf>
    <xf numFmtId="173" fontId="53" fillId="0" borderId="28" xfId="6" applyNumberFormat="1" applyFont="1" applyFill="1" applyBorder="1" applyAlignment="1">
      <alignment vertical="center"/>
    </xf>
    <xf numFmtId="173" fontId="53" fillId="0" borderId="29" xfId="6" applyNumberFormat="1" applyFont="1" applyFill="1" applyBorder="1" applyAlignment="1">
      <alignment vertical="center"/>
    </xf>
    <xf numFmtId="173" fontId="53" fillId="0" borderId="30" xfId="6" applyNumberFormat="1" applyFont="1" applyFill="1" applyBorder="1" applyAlignment="1">
      <alignment vertical="center"/>
    </xf>
    <xf numFmtId="173" fontId="53" fillId="0" borderId="31" xfId="6" applyNumberFormat="1" applyFont="1" applyFill="1" applyBorder="1" applyAlignment="1">
      <alignment vertical="center"/>
    </xf>
    <xf numFmtId="0" fontId="0" fillId="0" borderId="196" xfId="0" applyBorder="1" applyAlignment="1">
      <alignment vertical="center"/>
    </xf>
    <xf numFmtId="0" fontId="0" fillId="0" borderId="182" xfId="0" applyBorder="1" applyAlignment="1">
      <alignment vertical="center"/>
    </xf>
    <xf numFmtId="0" fontId="0" fillId="0" borderId="184" xfId="0" applyBorder="1" applyAlignment="1">
      <alignment vertical="center"/>
    </xf>
    <xf numFmtId="0" fontId="5" fillId="0" borderId="197" xfId="0" applyFont="1" applyBorder="1" applyAlignment="1">
      <alignment horizontal="center" vertical="center" wrapText="1"/>
    </xf>
    <xf numFmtId="0" fontId="5" fillId="0" borderId="198" xfId="0" applyFont="1" applyBorder="1" applyAlignment="1">
      <alignment horizontal="center" vertical="center" wrapText="1"/>
    </xf>
    <xf numFmtId="0" fontId="0" fillId="0" borderId="127" xfId="0" applyBorder="1" applyAlignment="1">
      <alignment vertical="center"/>
    </xf>
    <xf numFmtId="0" fontId="0" fillId="0" borderId="199" xfId="0" applyBorder="1" applyAlignment="1">
      <alignment vertical="center"/>
    </xf>
    <xf numFmtId="0" fontId="0" fillId="0" borderId="200" xfId="0" applyBorder="1" applyAlignment="1">
      <alignment vertical="center"/>
    </xf>
    <xf numFmtId="0" fontId="0" fillId="0" borderId="201" xfId="0" applyBorder="1" applyAlignment="1">
      <alignment vertical="center"/>
    </xf>
    <xf numFmtId="181" fontId="0" fillId="0" borderId="160" xfId="0" applyNumberFormat="1" applyBorder="1" applyAlignment="1">
      <alignment vertical="center"/>
    </xf>
    <xf numFmtId="181" fontId="0" fillId="0" borderId="162" xfId="0" applyNumberFormat="1" applyBorder="1" applyAlignment="1">
      <alignment vertical="center"/>
    </xf>
    <xf numFmtId="181" fontId="0" fillId="0" borderId="103" xfId="0" applyNumberFormat="1" applyBorder="1" applyAlignment="1">
      <alignment vertical="center"/>
    </xf>
    <xf numFmtId="8" fontId="0" fillId="0" borderId="39" xfId="0" applyNumberFormat="1" applyBorder="1" applyAlignment="1">
      <alignment vertical="center"/>
    </xf>
    <xf numFmtId="179" fontId="0" fillId="0" borderId="28" xfId="0" applyNumberFormat="1" applyBorder="1" applyAlignment="1">
      <alignment vertical="center"/>
    </xf>
    <xf numFmtId="8" fontId="0" fillId="0" borderId="152" xfId="0" applyNumberFormat="1" applyBorder="1" applyAlignment="1">
      <alignment vertical="center"/>
    </xf>
    <xf numFmtId="179" fontId="0" fillId="0" borderId="31" xfId="0" applyNumberFormat="1" applyBorder="1" applyAlignment="1">
      <alignment vertical="center"/>
    </xf>
    <xf numFmtId="8" fontId="0" fillId="0" borderId="95" xfId="0" applyNumberFormat="1" applyBorder="1" applyAlignment="1">
      <alignment vertical="center"/>
    </xf>
    <xf numFmtId="179" fontId="0" fillId="0" borderId="97" xfId="0" applyNumberFormat="1" applyBorder="1" applyAlignment="1">
      <alignment vertical="center"/>
    </xf>
    <xf numFmtId="0" fontId="5" fillId="0" borderId="203" xfId="0" applyFont="1" applyBorder="1" applyAlignment="1">
      <alignment horizontal="center" vertical="center" wrapText="1"/>
    </xf>
    <xf numFmtId="0" fontId="5" fillId="0" borderId="204" xfId="0" applyFont="1" applyBorder="1" applyAlignment="1">
      <alignment horizontal="center" vertical="center" wrapText="1"/>
    </xf>
    <xf numFmtId="0" fontId="5" fillId="0" borderId="205" xfId="0" applyFont="1" applyBorder="1" applyAlignment="1">
      <alignment horizontal="center" vertical="center" wrapText="1"/>
    </xf>
    <xf numFmtId="0" fontId="5" fillId="0" borderId="96" xfId="0" applyFont="1" applyBorder="1" applyAlignment="1">
      <alignment horizontal="center" vertical="center" wrapText="1"/>
    </xf>
    <xf numFmtId="0" fontId="12" fillId="12" borderId="0" xfId="0" applyFont="1" applyFill="1" applyAlignment="1">
      <alignment vertical="center"/>
    </xf>
    <xf numFmtId="0" fontId="0" fillId="0" borderId="24" xfId="6" applyNumberFormat="1" applyFont="1" applyBorder="1" applyAlignment="1">
      <alignment vertical="center"/>
    </xf>
    <xf numFmtId="180" fontId="0" fillId="0" borderId="25" xfId="6" applyNumberFormat="1" applyFont="1" applyBorder="1" applyAlignment="1">
      <alignment vertical="center"/>
    </xf>
    <xf numFmtId="180" fontId="0" fillId="0" borderId="26" xfId="6" applyNumberFormat="1" applyFont="1" applyBorder="1" applyAlignment="1">
      <alignment vertical="center"/>
    </xf>
    <xf numFmtId="180" fontId="0" fillId="0" borderId="97" xfId="6" applyNumberFormat="1" applyFont="1" applyBorder="1" applyAlignment="1">
      <alignment vertical="center"/>
    </xf>
    <xf numFmtId="0" fontId="0" fillId="0" borderId="29" xfId="6" applyNumberFormat="1" applyFont="1" applyBorder="1" applyAlignment="1">
      <alignment vertical="center"/>
    </xf>
    <xf numFmtId="180" fontId="0" fillId="0" borderId="204" xfId="6" applyNumberFormat="1" applyFont="1" applyBorder="1" applyAlignment="1">
      <alignment vertical="center"/>
    </xf>
    <xf numFmtId="180" fontId="0" fillId="0" borderId="205" xfId="6" applyNumberFormat="1" applyFont="1" applyBorder="1" applyAlignment="1">
      <alignment vertical="center"/>
    </xf>
    <xf numFmtId="0" fontId="5" fillId="0" borderId="207" xfId="6" applyNumberFormat="1" applyFont="1" applyBorder="1" applyAlignment="1">
      <alignment horizontal="center" vertical="center" wrapText="1"/>
    </xf>
    <xf numFmtId="44" fontId="5" fillId="0" borderId="206" xfId="6" applyFont="1" applyBorder="1" applyAlignment="1">
      <alignment horizontal="center" vertical="center" wrapText="1"/>
    </xf>
    <xf numFmtId="44" fontId="5" fillId="0" borderId="110" xfId="6" applyFont="1"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5" fillId="0" borderId="32" xfId="0" applyFont="1" applyBorder="1" applyAlignment="1">
      <alignment horizontal="center" vertical="center"/>
    </xf>
    <xf numFmtId="0" fontId="5" fillId="0" borderId="11" xfId="0" applyFont="1" applyBorder="1" applyAlignment="1">
      <alignment horizontal="center" vertical="center"/>
    </xf>
    <xf numFmtId="0" fontId="5" fillId="0" borderId="33" xfId="0" applyFont="1" applyBorder="1" applyAlignment="1">
      <alignment horizontal="center" vertical="center"/>
    </xf>
    <xf numFmtId="168" fontId="0" fillId="0" borderId="26" xfId="0" applyNumberFormat="1" applyBorder="1" applyAlignment="1">
      <alignment vertical="center"/>
    </xf>
    <xf numFmtId="168" fontId="0" fillId="0" borderId="31" xfId="0" applyNumberFormat="1" applyBorder="1" applyAlignment="1">
      <alignment vertical="center"/>
    </xf>
    <xf numFmtId="0" fontId="5" fillId="0" borderId="42" xfId="0" applyFont="1" applyBorder="1" applyAlignment="1">
      <alignment horizontal="center" vertical="center"/>
    </xf>
    <xf numFmtId="0" fontId="5" fillId="0" borderId="22" xfId="0" applyFont="1" applyBorder="1" applyAlignment="1">
      <alignment horizontal="center" vertical="center"/>
    </xf>
    <xf numFmtId="0" fontId="5" fillId="0" borderId="208" xfId="0" applyFont="1" applyBorder="1" applyAlignment="1">
      <alignment horizontal="center" vertical="center"/>
    </xf>
    <xf numFmtId="0" fontId="0" fillId="69" borderId="35" xfId="0" applyFill="1" applyBorder="1" applyAlignment="1">
      <alignment vertical="center"/>
    </xf>
    <xf numFmtId="0" fontId="0" fillId="69" borderId="0" xfId="0" applyFill="1" applyAlignment="1">
      <alignment vertical="center"/>
    </xf>
    <xf numFmtId="44" fontId="0" fillId="69" borderId="0" xfId="6" applyFont="1" applyFill="1" applyBorder="1" applyAlignment="1">
      <alignment vertical="center"/>
    </xf>
    <xf numFmtId="164" fontId="0" fillId="69" borderId="0" xfId="6" applyNumberFormat="1" applyFont="1" applyFill="1" applyBorder="1" applyAlignment="1">
      <alignment vertical="center"/>
    </xf>
    <xf numFmtId="166" fontId="1" fillId="69" borderId="0" xfId="0" applyNumberFormat="1" applyFont="1" applyFill="1" applyAlignment="1" applyProtection="1">
      <alignment vertical="center"/>
      <protection locked="0"/>
    </xf>
    <xf numFmtId="43" fontId="0" fillId="69" borderId="35" xfId="0" applyNumberFormat="1" applyFill="1" applyBorder="1" applyAlignment="1" applyProtection="1">
      <alignment vertical="center"/>
      <protection locked="0"/>
    </xf>
    <xf numFmtId="43" fontId="1" fillId="69" borderId="38" xfId="0" applyNumberFormat="1" applyFont="1" applyFill="1" applyBorder="1" applyAlignment="1" applyProtection="1">
      <alignment vertical="center"/>
      <protection locked="0"/>
    </xf>
    <xf numFmtId="0" fontId="0" fillId="69" borderId="0" xfId="0" applyFill="1" applyAlignment="1" applyProtection="1">
      <alignment vertical="center"/>
      <protection locked="0"/>
    </xf>
    <xf numFmtId="10" fontId="0" fillId="69" borderId="0" xfId="6" applyNumberFormat="1" applyFont="1" applyFill="1" applyBorder="1" applyAlignment="1">
      <alignment vertical="center"/>
    </xf>
    <xf numFmtId="10" fontId="0" fillId="0" borderId="0" xfId="6" applyNumberFormat="1" applyFont="1" applyBorder="1" applyAlignment="1">
      <alignment vertical="center"/>
    </xf>
    <xf numFmtId="10" fontId="0" fillId="0" borderId="102" xfId="6" applyNumberFormat="1" applyFont="1" applyBorder="1" applyAlignment="1">
      <alignment vertical="center"/>
    </xf>
    <xf numFmtId="44" fontId="0" fillId="69" borderId="0" xfId="6" applyFont="1" applyFill="1" applyBorder="1" applyAlignment="1">
      <alignment horizontal="center" vertical="center"/>
    </xf>
    <xf numFmtId="44" fontId="0" fillId="0" borderId="0" xfId="6" applyFont="1" applyBorder="1" applyAlignment="1">
      <alignment horizontal="center" vertical="center"/>
    </xf>
    <xf numFmtId="44" fontId="0" fillId="0" borderId="102" xfId="6" applyFont="1" applyBorder="1" applyAlignment="1">
      <alignment horizontal="center" vertical="center"/>
    </xf>
    <xf numFmtId="164" fontId="0" fillId="69" borderId="0" xfId="6" applyNumberFormat="1" applyFont="1" applyFill="1" applyBorder="1" applyAlignment="1">
      <alignment horizontal="center" vertical="center"/>
    </xf>
    <xf numFmtId="164" fontId="0" fillId="0" borderId="0" xfId="6" applyNumberFormat="1" applyFont="1" applyBorder="1" applyAlignment="1">
      <alignment horizontal="center" vertical="center"/>
    </xf>
    <xf numFmtId="164" fontId="0" fillId="0" borderId="102" xfId="6" applyNumberFormat="1" applyFont="1" applyBorder="1" applyAlignment="1">
      <alignment horizontal="center" vertical="center"/>
    </xf>
    <xf numFmtId="14" fontId="8" fillId="0" borderId="0" xfId="0" applyNumberFormat="1" applyFont="1" applyAlignment="1">
      <alignment vertical="center"/>
    </xf>
    <xf numFmtId="0" fontId="0" fillId="0" borderId="0" xfId="0" applyAlignment="1">
      <alignment horizontal="left" vertical="center" wrapText="1"/>
    </xf>
    <xf numFmtId="0" fontId="5" fillId="0" borderId="0" xfId="0" applyFont="1" applyAlignment="1">
      <alignment horizontal="center" vertical="center"/>
    </xf>
    <xf numFmtId="0" fontId="0" fillId="0" borderId="0" xfId="0" applyAlignment="1">
      <alignment horizontal="left" vertical="center"/>
    </xf>
    <xf numFmtId="0" fontId="5" fillId="0" borderId="1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3" xfId="0" applyFont="1" applyBorder="1" applyAlignment="1">
      <alignment horizontal="center" vertical="center"/>
    </xf>
    <xf numFmtId="0" fontId="5" fillId="0" borderId="174" xfId="0" applyFont="1" applyBorder="1" applyAlignment="1">
      <alignment horizontal="center" vertical="center"/>
    </xf>
    <xf numFmtId="0" fontId="58" fillId="0" borderId="71" xfId="0" applyFont="1" applyBorder="1" applyAlignment="1">
      <alignment horizontal="center" vertical="center" wrapText="1"/>
    </xf>
    <xf numFmtId="0" fontId="0" fillId="0" borderId="210" xfId="0" applyBorder="1" applyAlignment="1">
      <alignment vertical="center"/>
    </xf>
    <xf numFmtId="0" fontId="0" fillId="0" borderId="211" xfId="0" applyBorder="1" applyAlignment="1" applyProtection="1">
      <alignment vertical="center"/>
      <protection locked="0"/>
    </xf>
    <xf numFmtId="0" fontId="0" fillId="0" borderId="213" xfId="0" applyBorder="1" applyAlignment="1" applyProtection="1">
      <alignment vertical="center"/>
      <protection locked="0"/>
    </xf>
    <xf numFmtId="10" fontId="0" fillId="3" borderId="23" xfId="1" applyNumberFormat="1" applyFont="1" applyFill="1" applyBorder="1" applyAlignment="1" applyProtection="1">
      <alignment vertical="center"/>
      <protection locked="0"/>
    </xf>
    <xf numFmtId="10" fontId="0" fillId="3" borderId="215" xfId="1" applyNumberFormat="1" applyFont="1" applyFill="1" applyBorder="1" applyAlignment="1" applyProtection="1">
      <alignment vertical="center"/>
      <protection locked="0"/>
    </xf>
    <xf numFmtId="0" fontId="0" fillId="0" borderId="22" xfId="0" applyBorder="1" applyAlignment="1" applyProtection="1">
      <alignment vertical="center"/>
      <protection locked="0"/>
    </xf>
    <xf numFmtId="10" fontId="0" fillId="3" borderId="216" xfId="1" applyNumberFormat="1" applyFont="1" applyFill="1" applyBorder="1" applyAlignment="1" applyProtection="1">
      <alignment vertical="center"/>
      <protection locked="0"/>
    </xf>
    <xf numFmtId="0" fontId="7" fillId="0" borderId="0" xfId="0" applyFont="1" applyAlignment="1">
      <alignment horizontal="left" vertical="center"/>
    </xf>
    <xf numFmtId="0" fontId="0" fillId="0" borderId="0" xfId="0" applyAlignment="1">
      <alignment horizontal="left" vertical="top" wrapText="1"/>
    </xf>
    <xf numFmtId="0" fontId="0" fillId="0" borderId="0" xfId="0" applyAlignment="1">
      <alignment horizontal="left" vertical="center" wrapText="1"/>
    </xf>
    <xf numFmtId="0" fontId="5" fillId="0" borderId="0" xfId="0" applyFont="1" applyAlignment="1">
      <alignment horizontal="center" vertical="center"/>
    </xf>
    <xf numFmtId="0" fontId="0" fillId="0" borderId="0" xfId="0" applyAlignment="1">
      <alignment horizontal="left" vertical="center"/>
    </xf>
    <xf numFmtId="0" fontId="12" fillId="12" borderId="0" xfId="0" applyFont="1" applyFill="1" applyAlignment="1">
      <alignment horizontal="left" vertical="center" wrapText="1"/>
    </xf>
    <xf numFmtId="0" fontId="5" fillId="17" borderId="24" xfId="0" applyFont="1" applyFill="1" applyBorder="1" applyAlignment="1">
      <alignment horizontal="center" vertical="center" wrapText="1"/>
    </xf>
    <xf numFmtId="0" fontId="5" fillId="17" borderId="27" xfId="0" applyFont="1" applyFill="1" applyBorder="1" applyAlignment="1">
      <alignment horizontal="center" vertical="center" wrapText="1"/>
    </xf>
    <xf numFmtId="0" fontId="5" fillId="17" borderId="29"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5" fillId="15" borderId="24" xfId="0" applyFont="1" applyFill="1" applyBorder="1" applyAlignment="1">
      <alignment horizontal="center" vertical="center" wrapText="1"/>
    </xf>
    <xf numFmtId="0" fontId="5" fillId="15" borderId="27" xfId="0" applyFont="1" applyFill="1" applyBorder="1" applyAlignment="1">
      <alignment horizontal="center" vertical="center" wrapText="1"/>
    </xf>
    <xf numFmtId="0" fontId="5" fillId="15" borderId="50"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14" borderId="24"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5" fillId="18" borderId="209" xfId="0" applyFont="1" applyFill="1" applyBorder="1" applyAlignment="1">
      <alignment horizontal="center" vertical="center" wrapText="1"/>
    </xf>
    <xf numFmtId="0" fontId="5" fillId="18" borderId="207" xfId="0" applyFont="1" applyFill="1" applyBorder="1" applyAlignment="1">
      <alignment horizontal="center" vertical="center" wrapText="1"/>
    </xf>
    <xf numFmtId="0" fontId="5" fillId="18" borderId="212" xfId="0" applyFont="1" applyFill="1" applyBorder="1" applyAlignment="1">
      <alignment horizontal="center" vertical="center" wrapText="1"/>
    </xf>
    <xf numFmtId="0" fontId="2" fillId="13" borderId="214" xfId="0" applyFont="1" applyFill="1" applyBorder="1" applyAlignment="1">
      <alignment horizontal="center" vertical="center" wrapText="1"/>
    </xf>
    <xf numFmtId="0" fontId="2" fillId="13" borderId="27" xfId="0" applyFont="1" applyFill="1" applyBorder="1" applyAlignment="1">
      <alignment horizontal="center" vertical="center" wrapText="1"/>
    </xf>
    <xf numFmtId="0" fontId="2" fillId="13" borderId="29" xfId="0" applyFont="1" applyFill="1" applyBorder="1" applyAlignment="1">
      <alignment horizontal="center" vertical="center" wrapText="1"/>
    </xf>
    <xf numFmtId="0" fontId="2" fillId="6" borderId="34" xfId="0" applyFont="1" applyFill="1" applyBorder="1" applyAlignment="1" applyProtection="1">
      <alignment horizontal="center" vertical="center" textRotation="90"/>
      <protection locked="0"/>
    </xf>
    <xf numFmtId="0" fontId="2" fillId="6" borderId="36" xfId="0" applyFont="1" applyFill="1" applyBorder="1" applyAlignment="1" applyProtection="1">
      <alignment horizontal="center" vertical="center" textRotation="90"/>
      <protection locked="0"/>
    </xf>
    <xf numFmtId="0" fontId="4" fillId="0" borderId="34" xfId="0" applyFont="1" applyBorder="1" applyAlignment="1" applyProtection="1">
      <alignment horizontal="center" vertical="center" textRotation="90" wrapText="1"/>
      <protection locked="0"/>
    </xf>
    <xf numFmtId="0" fontId="4" fillId="0" borderId="36" xfId="0" applyFont="1" applyBorder="1" applyAlignment="1" applyProtection="1">
      <alignment horizontal="center" vertical="center" textRotation="90" wrapText="1"/>
      <protection locked="0"/>
    </xf>
    <xf numFmtId="0" fontId="4" fillId="0" borderId="37" xfId="0" applyFont="1" applyBorder="1" applyAlignment="1" applyProtection="1">
      <alignment horizontal="center" vertical="center" textRotation="90" wrapText="1"/>
      <protection locked="0"/>
    </xf>
    <xf numFmtId="0" fontId="4" fillId="0" borderId="3" xfId="0" applyFont="1" applyBorder="1" applyAlignment="1" applyProtection="1">
      <alignment horizontal="center" vertical="center" textRotation="90" wrapText="1"/>
      <protection locked="0"/>
    </xf>
    <xf numFmtId="0" fontId="4" fillId="0" borderId="4" xfId="0" applyFont="1" applyBorder="1" applyAlignment="1" applyProtection="1">
      <alignment horizontal="center" vertical="center" textRotation="90" wrapText="1"/>
      <protection locked="0"/>
    </xf>
    <xf numFmtId="0" fontId="4" fillId="0" borderId="1" xfId="0" applyFont="1" applyBorder="1" applyAlignment="1" applyProtection="1">
      <alignment horizontal="center" vertical="center" textRotation="90" wrapText="1"/>
      <protection locked="0"/>
    </xf>
    <xf numFmtId="0" fontId="52" fillId="0" borderId="0" xfId="0" applyFont="1" applyAlignment="1">
      <alignment horizontal="left"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19" borderId="1" xfId="0" applyFont="1" applyFill="1" applyBorder="1" applyAlignment="1">
      <alignment horizontal="center" vertical="center"/>
    </xf>
    <xf numFmtId="0" fontId="5" fillId="19" borderId="3" xfId="0" applyFont="1" applyFill="1" applyBorder="1" applyAlignment="1">
      <alignment horizontal="center" vertical="center"/>
    </xf>
    <xf numFmtId="0" fontId="2" fillId="62" borderId="1" xfId="0" applyFont="1" applyFill="1" applyBorder="1" applyAlignment="1" applyProtection="1">
      <alignment horizontal="center" vertical="center"/>
      <protection locked="0"/>
    </xf>
    <xf numFmtId="0" fontId="2" fillId="62" borderId="3" xfId="0" applyFont="1" applyFill="1" applyBorder="1" applyAlignment="1" applyProtection="1">
      <alignment horizontal="center" vertical="center"/>
      <protection locked="0"/>
    </xf>
    <xf numFmtId="0" fontId="2" fillId="62" borderId="4"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5" fillId="63" borderId="36" xfId="0" applyFont="1" applyFill="1" applyBorder="1" applyAlignment="1">
      <alignment horizontal="center" vertical="center"/>
    </xf>
    <xf numFmtId="0" fontId="2" fillId="70" borderId="1" xfId="0" applyFont="1" applyFill="1" applyBorder="1" applyAlignment="1" applyProtection="1">
      <alignment horizontal="center" vertical="center"/>
      <protection locked="0"/>
    </xf>
    <xf numFmtId="0" fontId="2" fillId="70" borderId="4" xfId="0" applyFont="1" applyFill="1" applyBorder="1" applyAlignment="1" applyProtection="1">
      <alignment horizontal="center" vertical="center"/>
      <protection locked="0"/>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14" xfId="0" applyFont="1" applyBorder="1" applyAlignment="1">
      <alignment horizontal="center" vertical="center"/>
    </xf>
    <xf numFmtId="0" fontId="12" fillId="12" borderId="0" xfId="0" applyFont="1" applyFill="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65" xfId="0" applyFont="1"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12" borderId="146" xfId="0" applyFont="1" applyFill="1" applyBorder="1" applyAlignment="1" applyProtection="1">
      <alignment horizontal="center" vertical="center"/>
      <protection locked="0"/>
    </xf>
    <xf numFmtId="0" fontId="2" fillId="12" borderId="147" xfId="0" applyFont="1" applyFill="1" applyBorder="1" applyAlignment="1" applyProtection="1">
      <alignment horizontal="center" vertical="center"/>
      <protection locked="0"/>
    </xf>
    <xf numFmtId="0" fontId="48" fillId="12" borderId="0" xfId="0" applyFont="1" applyFill="1" applyAlignment="1">
      <alignment horizontal="left" vertical="center" wrapText="1"/>
    </xf>
    <xf numFmtId="0" fontId="58" fillId="0" borderId="1" xfId="0" applyFont="1" applyBorder="1" applyAlignment="1">
      <alignment horizontal="center" vertical="center"/>
    </xf>
    <xf numFmtId="0" fontId="58" fillId="0" borderId="2" xfId="0" applyFont="1" applyBorder="1" applyAlignment="1">
      <alignment horizontal="center" vertical="center"/>
    </xf>
    <xf numFmtId="0" fontId="58" fillId="0" borderId="65" xfId="0" applyFont="1" applyBorder="1" applyAlignment="1">
      <alignment horizontal="center" vertical="center"/>
    </xf>
    <xf numFmtId="0" fontId="58" fillId="0" borderId="3" xfId="0" applyFont="1" applyBorder="1" applyAlignment="1">
      <alignment horizontal="center" vertical="center"/>
    </xf>
    <xf numFmtId="0" fontId="58" fillId="0" borderId="0" xfId="0" applyFont="1" applyAlignment="1">
      <alignment horizontal="center" vertical="center"/>
    </xf>
    <xf numFmtId="0" fontId="58" fillId="0" borderId="66" xfId="0" applyFont="1" applyBorder="1" applyAlignment="1">
      <alignment horizontal="center" vertical="center"/>
    </xf>
    <xf numFmtId="0" fontId="54" fillId="0" borderId="1" xfId="424" applyFont="1" applyBorder="1" applyAlignment="1">
      <alignment horizontal="center" vertical="center" wrapText="1"/>
    </xf>
    <xf numFmtId="0" fontId="54" fillId="0" borderId="2" xfId="424" applyFont="1" applyBorder="1" applyAlignment="1">
      <alignment horizontal="center" vertical="center" wrapText="1"/>
    </xf>
    <xf numFmtId="0" fontId="54" fillId="0" borderId="65" xfId="424" applyFont="1" applyBorder="1" applyAlignment="1">
      <alignment horizontal="center" vertical="center" wrapText="1"/>
    </xf>
    <xf numFmtId="0" fontId="54" fillId="0" borderId="3" xfId="424" applyFont="1" applyBorder="1" applyAlignment="1">
      <alignment horizontal="center" vertical="center" wrapText="1"/>
    </xf>
    <xf numFmtId="0" fontId="54" fillId="0" borderId="0" xfId="424" applyFont="1" applyAlignment="1">
      <alignment horizontal="center" vertical="center" wrapText="1"/>
    </xf>
    <xf numFmtId="0" fontId="54" fillId="0" borderId="66" xfId="424" applyFont="1" applyBorder="1" applyAlignment="1">
      <alignment horizontal="center" vertical="center" wrapText="1"/>
    </xf>
    <xf numFmtId="0" fontId="5" fillId="0" borderId="133" xfId="0" applyFont="1" applyBorder="1" applyAlignment="1">
      <alignment horizontal="center" vertical="center" wrapText="1"/>
    </xf>
    <xf numFmtId="0" fontId="5" fillId="0" borderId="134" xfId="0" applyFont="1" applyBorder="1" applyAlignment="1">
      <alignment horizontal="center" vertical="center" wrapText="1"/>
    </xf>
    <xf numFmtId="0" fontId="5" fillId="0" borderId="133" xfId="0" applyFont="1" applyBorder="1" applyAlignment="1">
      <alignment horizontal="center" vertical="center"/>
    </xf>
    <xf numFmtId="0" fontId="5" fillId="0" borderId="202" xfId="0" applyFont="1" applyBorder="1" applyAlignment="1">
      <alignment horizontal="center" vertical="center"/>
    </xf>
    <xf numFmtId="0" fontId="5" fillId="0" borderId="134"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36" xfId="6" applyNumberFormat="1" applyFont="1" applyBorder="1" applyAlignment="1">
      <alignment horizontal="center" vertical="center"/>
    </xf>
    <xf numFmtId="0" fontId="5" fillId="0" borderId="137" xfId="6" applyNumberFormat="1" applyFont="1" applyBorder="1" applyAlignment="1">
      <alignment horizontal="center" vertical="center"/>
    </xf>
    <xf numFmtId="0" fontId="5" fillId="0" borderId="138" xfId="6"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44" fontId="5" fillId="0" borderId="1" xfId="6" applyFont="1" applyBorder="1" applyAlignment="1">
      <alignment horizontal="center" vertical="center"/>
    </xf>
    <xf numFmtId="44" fontId="5" fillId="0" borderId="2" xfId="6" applyFont="1" applyBorder="1" applyAlignment="1">
      <alignment horizontal="center" vertical="center"/>
    </xf>
    <xf numFmtId="44" fontId="5" fillId="0" borderId="65" xfId="6" applyFont="1" applyBorder="1" applyAlignment="1">
      <alignment horizontal="center" vertical="center"/>
    </xf>
    <xf numFmtId="0" fontId="5" fillId="0" borderId="181" xfId="0" applyFont="1" applyBorder="1" applyAlignment="1">
      <alignment horizontal="center" vertical="center"/>
    </xf>
    <xf numFmtId="0" fontId="5" fillId="0" borderId="153" xfId="0" applyFont="1" applyBorder="1" applyAlignment="1">
      <alignment horizontal="center" vertical="center"/>
    </xf>
    <xf numFmtId="0" fontId="5" fillId="0" borderId="187" xfId="0" applyFont="1" applyBorder="1" applyAlignment="1">
      <alignment horizontal="center" vertical="center"/>
    </xf>
    <xf numFmtId="0" fontId="5" fillId="0" borderId="1" xfId="6" applyNumberFormat="1" applyFont="1" applyBorder="1" applyAlignment="1">
      <alignment horizontal="center" vertical="center"/>
    </xf>
    <xf numFmtId="0" fontId="5" fillId="0" borderId="2" xfId="6" applyNumberFormat="1" applyFont="1" applyBorder="1" applyAlignment="1">
      <alignment horizontal="center" vertical="center"/>
    </xf>
    <xf numFmtId="0" fontId="5" fillId="0" borderId="65" xfId="6" applyNumberFormat="1"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174" xfId="0" applyFont="1" applyBorder="1" applyAlignment="1">
      <alignment horizontal="center" vertical="center"/>
    </xf>
    <xf numFmtId="0" fontId="5" fillId="0" borderId="133" xfId="6" applyNumberFormat="1" applyFont="1" applyBorder="1" applyAlignment="1">
      <alignment horizontal="center" vertical="center"/>
    </xf>
    <xf numFmtId="0" fontId="5" fillId="0" borderId="202" xfId="6" applyNumberFormat="1" applyFont="1" applyBorder="1" applyAlignment="1">
      <alignment horizontal="center" vertical="center"/>
    </xf>
    <xf numFmtId="0" fontId="5" fillId="0" borderId="134" xfId="6" applyNumberFormat="1"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80" xfId="0" applyFont="1" applyBorder="1" applyAlignment="1">
      <alignment horizontal="center" vertical="center"/>
    </xf>
    <xf numFmtId="0" fontId="5" fillId="0" borderId="61" xfId="0" applyFont="1" applyBorder="1" applyAlignment="1">
      <alignment horizontal="center" vertical="center"/>
    </xf>
    <xf numFmtId="0" fontId="5" fillId="0" borderId="99" xfId="0" applyFont="1" applyBorder="1" applyAlignment="1">
      <alignment horizontal="center" vertical="center"/>
    </xf>
    <xf numFmtId="0" fontId="5" fillId="0" borderId="130" xfId="0" applyFont="1" applyBorder="1" applyAlignment="1">
      <alignment horizontal="center" vertical="center"/>
    </xf>
    <xf numFmtId="0" fontId="5" fillId="0" borderId="190" xfId="0" applyFont="1" applyBorder="1" applyAlignment="1">
      <alignment horizontal="center" vertical="center"/>
    </xf>
    <xf numFmtId="0" fontId="5" fillId="0" borderId="192" xfId="0" applyFont="1" applyBorder="1" applyAlignment="1">
      <alignment horizontal="center" vertical="center"/>
    </xf>
    <xf numFmtId="0" fontId="54" fillId="0" borderId="113" xfId="425" applyFont="1" applyBorder="1" applyAlignment="1">
      <alignment horizontal="center" vertical="center"/>
    </xf>
    <xf numFmtId="0" fontId="54" fillId="0" borderId="12" xfId="425" applyFont="1" applyBorder="1" applyAlignment="1">
      <alignment horizontal="center" vertical="center"/>
    </xf>
    <xf numFmtId="0" fontId="54" fillId="0" borderId="40" xfId="425" applyFont="1" applyBorder="1" applyAlignment="1">
      <alignment horizontal="center" vertical="center"/>
    </xf>
    <xf numFmtId="0" fontId="54" fillId="0" borderId="68" xfId="423" applyFont="1" applyBorder="1" applyAlignment="1">
      <alignment horizontal="center" vertical="center" wrapText="1"/>
    </xf>
    <xf numFmtId="0" fontId="54" fillId="0" borderId="8" xfId="423" applyFont="1" applyBorder="1" applyAlignment="1">
      <alignment horizontal="center" vertical="center" wrapText="1"/>
    </xf>
    <xf numFmtId="0" fontId="58" fillId="0" borderId="105" xfId="0" applyFont="1" applyBorder="1" applyAlignment="1">
      <alignment horizontal="center" vertical="center"/>
    </xf>
    <xf numFmtId="0" fontId="58" fillId="0" borderId="106" xfId="0" applyFont="1" applyBorder="1" applyAlignment="1">
      <alignment horizontal="center" vertical="center"/>
    </xf>
    <xf numFmtId="0" fontId="58" fillId="0" borderId="114"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58" fillId="0" borderId="4" xfId="0" applyFont="1" applyBorder="1" applyAlignment="1">
      <alignment horizontal="center" vertical="center"/>
    </xf>
    <xf numFmtId="0" fontId="58" fillId="0" borderId="76" xfId="0" applyFont="1" applyBorder="1" applyAlignment="1">
      <alignment horizontal="center" vertical="center"/>
    </xf>
    <xf numFmtId="0" fontId="58" fillId="0" borderId="80"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71" xfId="0" applyFont="1" applyBorder="1" applyAlignment="1">
      <alignment horizontal="center" vertical="center" wrapText="1"/>
    </xf>
    <xf numFmtId="0" fontId="54" fillId="0" borderId="98" xfId="429" applyFont="1" applyBorder="1" applyAlignment="1">
      <alignment horizontal="center" vertical="center" wrapText="1"/>
    </xf>
    <xf numFmtId="0" fontId="54" fillId="0" borderId="66" xfId="429" applyFont="1" applyBorder="1" applyAlignment="1">
      <alignment horizontal="center" vertical="center" wrapText="1"/>
    </xf>
    <xf numFmtId="0" fontId="58" fillId="0" borderId="14" xfId="0" applyFont="1" applyBorder="1" applyAlignment="1">
      <alignment horizontal="center" vertical="center"/>
    </xf>
    <xf numFmtId="0" fontId="58" fillId="0" borderId="32" xfId="0" applyFont="1" applyBorder="1" applyAlignment="1">
      <alignment horizontal="center" vertical="center"/>
    </xf>
    <xf numFmtId="0" fontId="58" fillId="0" borderId="16" xfId="0" applyFont="1" applyBorder="1" applyAlignment="1">
      <alignment horizontal="center" vertical="center"/>
    </xf>
    <xf numFmtId="0" fontId="58" fillId="0" borderId="33" xfId="0" applyFont="1" applyBorder="1" applyAlignment="1">
      <alignment horizontal="center" vertical="center"/>
    </xf>
    <xf numFmtId="0" fontId="0" fillId="0" borderId="80" xfId="0" applyBorder="1" applyAlignment="1">
      <alignment horizontal="center" vertical="center"/>
    </xf>
    <xf numFmtId="0" fontId="0" fillId="0" borderId="69" xfId="0" applyBorder="1" applyAlignment="1">
      <alignment horizontal="center" vertical="center"/>
    </xf>
    <xf numFmtId="0" fontId="0" fillId="0" borderId="124" xfId="0" applyBorder="1" applyAlignment="1">
      <alignment horizontal="center" vertical="center"/>
    </xf>
    <xf numFmtId="0" fontId="0" fillId="0" borderId="71" xfId="0" applyBorder="1" applyAlignment="1">
      <alignment horizontal="center" vertical="center"/>
    </xf>
  </cellXfs>
  <cellStyles count="431">
    <cellStyle name="20% - Accent1 2" xfId="96" xr:uid="{00000000-0005-0000-0000-000000000000}"/>
    <cellStyle name="20% - Accent2 2" xfId="97" xr:uid="{00000000-0005-0000-0000-000001000000}"/>
    <cellStyle name="20% - Accent3 2" xfId="98" xr:uid="{00000000-0005-0000-0000-000002000000}"/>
    <cellStyle name="20% - Accent4 2" xfId="99" xr:uid="{00000000-0005-0000-0000-000003000000}"/>
    <cellStyle name="20% - Accent5 2" xfId="100" xr:uid="{00000000-0005-0000-0000-000004000000}"/>
    <cellStyle name="20% - Accent6 2" xfId="101" xr:uid="{00000000-0005-0000-0000-000005000000}"/>
    <cellStyle name="40% - Accent1 2" xfId="102" xr:uid="{00000000-0005-0000-0000-000006000000}"/>
    <cellStyle name="40% - Accent2 2" xfId="103" xr:uid="{00000000-0005-0000-0000-000007000000}"/>
    <cellStyle name="40% - Accent3 2" xfId="104" xr:uid="{00000000-0005-0000-0000-000008000000}"/>
    <cellStyle name="40% - Accent4 2" xfId="105" xr:uid="{00000000-0005-0000-0000-000009000000}"/>
    <cellStyle name="40% - Accent5 2" xfId="106" xr:uid="{00000000-0005-0000-0000-00000A000000}"/>
    <cellStyle name="40% - Accent6 2" xfId="107" xr:uid="{00000000-0005-0000-0000-00000B000000}"/>
    <cellStyle name="60% - Accent1 2" xfId="108" xr:uid="{00000000-0005-0000-0000-00000C000000}"/>
    <cellStyle name="60% - Accent2 2" xfId="109" xr:uid="{00000000-0005-0000-0000-00000D000000}"/>
    <cellStyle name="60% - Accent3 2" xfId="110" xr:uid="{00000000-0005-0000-0000-00000E000000}"/>
    <cellStyle name="60% - Accent4 2" xfId="111" xr:uid="{00000000-0005-0000-0000-00000F000000}"/>
    <cellStyle name="60% - Accent5 2" xfId="112" xr:uid="{00000000-0005-0000-0000-000010000000}"/>
    <cellStyle name="60% - Accent6 2" xfId="113" xr:uid="{00000000-0005-0000-0000-000011000000}"/>
    <cellStyle name="Accent1 - 20%" xfId="12" xr:uid="{00000000-0005-0000-0000-000012000000}"/>
    <cellStyle name="Accent1 - 40%" xfId="13" xr:uid="{00000000-0005-0000-0000-000013000000}"/>
    <cellStyle name="Accent1 - 60%" xfId="14" xr:uid="{00000000-0005-0000-0000-000014000000}"/>
    <cellStyle name="Accent1 2" xfId="114" xr:uid="{00000000-0005-0000-0000-000015000000}"/>
    <cellStyle name="Accent1 3" xfId="145" xr:uid="{00000000-0005-0000-0000-000016000000}"/>
    <cellStyle name="Accent1 4" xfId="185" xr:uid="{00000000-0005-0000-0000-000017000000}"/>
    <cellStyle name="Accent1 5" xfId="204" xr:uid="{00000000-0005-0000-0000-000018000000}"/>
    <cellStyle name="Accent1 6" xfId="263" xr:uid="{00000000-0005-0000-0000-000019000000}"/>
    <cellStyle name="Accent1 7" xfId="411" xr:uid="{00000000-0005-0000-0000-00001A000000}"/>
    <cellStyle name="Accent1 8" xfId="11" xr:uid="{00000000-0005-0000-0000-00001B000000}"/>
    <cellStyle name="Accent2 - 20%" xfId="16" xr:uid="{00000000-0005-0000-0000-00001C000000}"/>
    <cellStyle name="Accent2 - 40%" xfId="17" xr:uid="{00000000-0005-0000-0000-00001D000000}"/>
    <cellStyle name="Accent2 - 60%" xfId="18" xr:uid="{00000000-0005-0000-0000-00001E000000}"/>
    <cellStyle name="Accent2 2" xfId="115" xr:uid="{00000000-0005-0000-0000-00001F000000}"/>
    <cellStyle name="Accent2 3" xfId="146" xr:uid="{00000000-0005-0000-0000-000020000000}"/>
    <cellStyle name="Accent2 4" xfId="186" xr:uid="{00000000-0005-0000-0000-000021000000}"/>
    <cellStyle name="Accent2 5" xfId="199" xr:uid="{00000000-0005-0000-0000-000022000000}"/>
    <cellStyle name="Accent2 6" xfId="261" xr:uid="{00000000-0005-0000-0000-000023000000}"/>
    <cellStyle name="Accent2 7" xfId="412" xr:uid="{00000000-0005-0000-0000-000024000000}"/>
    <cellStyle name="Accent2 8" xfId="15" xr:uid="{00000000-0005-0000-0000-000025000000}"/>
    <cellStyle name="Accent3 - 20%" xfId="20" xr:uid="{00000000-0005-0000-0000-000026000000}"/>
    <cellStyle name="Accent3 - 40%" xfId="21" xr:uid="{00000000-0005-0000-0000-000027000000}"/>
    <cellStyle name="Accent3 - 60%" xfId="22" xr:uid="{00000000-0005-0000-0000-000028000000}"/>
    <cellStyle name="Accent3 2" xfId="116" xr:uid="{00000000-0005-0000-0000-000029000000}"/>
    <cellStyle name="Accent3 3" xfId="147" xr:uid="{00000000-0005-0000-0000-00002A000000}"/>
    <cellStyle name="Accent3 4" xfId="187" xr:uid="{00000000-0005-0000-0000-00002B000000}"/>
    <cellStyle name="Accent3 5" xfId="209" xr:uid="{00000000-0005-0000-0000-00002C000000}"/>
    <cellStyle name="Accent3 6" xfId="262" xr:uid="{00000000-0005-0000-0000-00002D000000}"/>
    <cellStyle name="Accent3 7" xfId="413" xr:uid="{00000000-0005-0000-0000-00002E000000}"/>
    <cellStyle name="Accent3 8" xfId="19" xr:uid="{00000000-0005-0000-0000-00002F000000}"/>
    <cellStyle name="Accent4 - 20%" xfId="24" xr:uid="{00000000-0005-0000-0000-000030000000}"/>
    <cellStyle name="Accent4 - 40%" xfId="25" xr:uid="{00000000-0005-0000-0000-000031000000}"/>
    <cellStyle name="Accent4 - 60%" xfId="26" xr:uid="{00000000-0005-0000-0000-000032000000}"/>
    <cellStyle name="Accent4 2" xfId="117" xr:uid="{00000000-0005-0000-0000-000033000000}"/>
    <cellStyle name="Accent4 3" xfId="148" xr:uid="{00000000-0005-0000-0000-000034000000}"/>
    <cellStyle name="Accent4 4" xfId="188" xr:uid="{00000000-0005-0000-0000-000035000000}"/>
    <cellStyle name="Accent4 5" xfId="197" xr:uid="{00000000-0005-0000-0000-000036000000}"/>
    <cellStyle name="Accent4 6" xfId="264" xr:uid="{00000000-0005-0000-0000-000037000000}"/>
    <cellStyle name="Accent4 7" xfId="414" xr:uid="{00000000-0005-0000-0000-000038000000}"/>
    <cellStyle name="Accent4 8" xfId="23" xr:uid="{00000000-0005-0000-0000-000039000000}"/>
    <cellStyle name="Accent5 - 20%" xfId="28" xr:uid="{00000000-0005-0000-0000-00003A000000}"/>
    <cellStyle name="Accent5 - 40%" xfId="29" xr:uid="{00000000-0005-0000-0000-00003B000000}"/>
    <cellStyle name="Accent5 - 60%" xfId="30" xr:uid="{00000000-0005-0000-0000-00003C000000}"/>
    <cellStyle name="Accent5 2" xfId="118" xr:uid="{00000000-0005-0000-0000-00003D000000}"/>
    <cellStyle name="Accent5 3" xfId="149" xr:uid="{00000000-0005-0000-0000-00003E000000}"/>
    <cellStyle name="Accent5 4" xfId="189" xr:uid="{00000000-0005-0000-0000-00003F000000}"/>
    <cellStyle name="Accent5 5" xfId="202" xr:uid="{00000000-0005-0000-0000-000040000000}"/>
    <cellStyle name="Accent5 6" xfId="265" xr:uid="{00000000-0005-0000-0000-000041000000}"/>
    <cellStyle name="Accent5 7" xfId="415" xr:uid="{00000000-0005-0000-0000-000042000000}"/>
    <cellStyle name="Accent5 8" xfId="27" xr:uid="{00000000-0005-0000-0000-000043000000}"/>
    <cellStyle name="Accent6 - 20%" xfId="32" xr:uid="{00000000-0005-0000-0000-000044000000}"/>
    <cellStyle name="Accent6 - 40%" xfId="33" xr:uid="{00000000-0005-0000-0000-000045000000}"/>
    <cellStyle name="Accent6 - 60%" xfId="34" xr:uid="{00000000-0005-0000-0000-000046000000}"/>
    <cellStyle name="Accent6 2" xfId="119" xr:uid="{00000000-0005-0000-0000-000047000000}"/>
    <cellStyle name="Accent6 3" xfId="150" xr:uid="{00000000-0005-0000-0000-000048000000}"/>
    <cellStyle name="Accent6 4" xfId="190" xr:uid="{00000000-0005-0000-0000-000049000000}"/>
    <cellStyle name="Accent6 5" xfId="201" xr:uid="{00000000-0005-0000-0000-00004A000000}"/>
    <cellStyle name="Accent6 6" xfId="266" xr:uid="{00000000-0005-0000-0000-00004B000000}"/>
    <cellStyle name="Accent6 7" xfId="416" xr:uid="{00000000-0005-0000-0000-00004C000000}"/>
    <cellStyle name="Accent6 8" xfId="31" xr:uid="{00000000-0005-0000-0000-00004D000000}"/>
    <cellStyle name="ASSUMPTION" xfId="35" xr:uid="{00000000-0005-0000-0000-00004E000000}"/>
    <cellStyle name="Bad 2" xfId="120" xr:uid="{00000000-0005-0000-0000-00004F000000}"/>
    <cellStyle name="Bad 3" xfId="151" xr:uid="{00000000-0005-0000-0000-000050000000}"/>
    <cellStyle name="Bad 4" xfId="267" xr:uid="{00000000-0005-0000-0000-000051000000}"/>
    <cellStyle name="Bad 5" xfId="36" xr:uid="{00000000-0005-0000-0000-000052000000}"/>
    <cellStyle name="Calculation 2" xfId="121" xr:uid="{00000000-0005-0000-0000-000053000000}"/>
    <cellStyle name="Calculation 3" xfId="152" xr:uid="{00000000-0005-0000-0000-000054000000}"/>
    <cellStyle name="Calculation 4" xfId="268" xr:uid="{00000000-0005-0000-0000-000055000000}"/>
    <cellStyle name="Calculation 5" xfId="37" xr:uid="{00000000-0005-0000-0000-000056000000}"/>
    <cellStyle name="Check Cell 2" xfId="122" xr:uid="{00000000-0005-0000-0000-000057000000}"/>
    <cellStyle name="Check Cell 3" xfId="153" xr:uid="{00000000-0005-0000-0000-000058000000}"/>
    <cellStyle name="Check Cell 4" xfId="269" xr:uid="{00000000-0005-0000-0000-000059000000}"/>
    <cellStyle name="Check Cell 5" xfId="38" xr:uid="{00000000-0005-0000-0000-00005A000000}"/>
    <cellStyle name="Comma" xfId="430" builtinId="3"/>
    <cellStyle name="Comma (0)" xfId="40" xr:uid="{00000000-0005-0000-0000-00005C000000}"/>
    <cellStyle name="Comma [2]" xfId="41" xr:uid="{00000000-0005-0000-0000-00005D000000}"/>
    <cellStyle name="Comma 10" xfId="244" xr:uid="{00000000-0005-0000-0000-00005E000000}"/>
    <cellStyle name="Comma 10 2" xfId="343" xr:uid="{00000000-0005-0000-0000-00005F000000}"/>
    <cellStyle name="Comma 11" xfId="246" xr:uid="{00000000-0005-0000-0000-000060000000}"/>
    <cellStyle name="Comma 11 2" xfId="345" xr:uid="{00000000-0005-0000-0000-000061000000}"/>
    <cellStyle name="Comma 12" xfId="39" xr:uid="{00000000-0005-0000-0000-000062000000}"/>
    <cellStyle name="Comma 2" xfId="3" xr:uid="{00000000-0005-0000-0000-000063000000}"/>
    <cellStyle name="Comma 2 2" xfId="73" xr:uid="{00000000-0005-0000-0000-000064000000}"/>
    <cellStyle name="Comma 2 3" xfId="255" xr:uid="{00000000-0005-0000-0000-000065000000}"/>
    <cellStyle name="Comma 2 4" xfId="254" xr:uid="{00000000-0005-0000-0000-000066000000}"/>
    <cellStyle name="Comma 3" xfId="123" xr:uid="{00000000-0005-0000-0000-000067000000}"/>
    <cellStyle name="Comma 3 2" xfId="296" xr:uid="{00000000-0005-0000-0000-000068000000}"/>
    <cellStyle name="Comma 3 3" xfId="256" xr:uid="{00000000-0005-0000-0000-000069000000}"/>
    <cellStyle name="Comma 4" xfId="92" xr:uid="{00000000-0005-0000-0000-00006A000000}"/>
    <cellStyle name="Comma 5" xfId="154" xr:uid="{00000000-0005-0000-0000-00006B000000}"/>
    <cellStyle name="Comma 6" xfId="191" xr:uid="{00000000-0005-0000-0000-00006C000000}"/>
    <cellStyle name="Comma 7" xfId="203" xr:uid="{00000000-0005-0000-0000-00006D000000}"/>
    <cellStyle name="Comma 8" xfId="210" xr:uid="{00000000-0005-0000-0000-00006E000000}"/>
    <cellStyle name="Comma 9" xfId="242" xr:uid="{00000000-0005-0000-0000-00006F000000}"/>
    <cellStyle name="Comma 9 2" xfId="341" xr:uid="{00000000-0005-0000-0000-000070000000}"/>
    <cellStyle name="Currency" xfId="6" builtinId="4"/>
    <cellStyle name="Currency (3)" xfId="43" xr:uid="{00000000-0005-0000-0000-000072000000}"/>
    <cellStyle name="Currency 10" xfId="206" xr:uid="{00000000-0005-0000-0000-000073000000}"/>
    <cellStyle name="Currency 11" xfId="243" xr:uid="{00000000-0005-0000-0000-000074000000}"/>
    <cellStyle name="Currency 11 2" xfId="342" xr:uid="{00000000-0005-0000-0000-000075000000}"/>
    <cellStyle name="Currency 12" xfId="245" xr:uid="{00000000-0005-0000-0000-000076000000}"/>
    <cellStyle name="Currency 12 2" xfId="344" xr:uid="{00000000-0005-0000-0000-000077000000}"/>
    <cellStyle name="Currency 13" xfId="247" xr:uid="{00000000-0005-0000-0000-000078000000}"/>
    <cellStyle name="Currency 13 2" xfId="346" xr:uid="{00000000-0005-0000-0000-000079000000}"/>
    <cellStyle name="Currency 14" xfId="270" xr:uid="{00000000-0005-0000-0000-00007A000000}"/>
    <cellStyle name="Currency 15" xfId="42" xr:uid="{00000000-0005-0000-0000-00007B000000}"/>
    <cellStyle name="Currency 2" xfId="44" xr:uid="{00000000-0005-0000-0000-00007C000000}"/>
    <cellStyle name="Currency 2 2" xfId="74" xr:uid="{00000000-0005-0000-0000-00007D000000}"/>
    <cellStyle name="Currency 2 2 2" xfId="172" xr:uid="{00000000-0005-0000-0000-00007E000000}"/>
    <cellStyle name="Currency 2 2 2 2" xfId="302" xr:uid="{00000000-0005-0000-0000-00007F000000}"/>
    <cellStyle name="Currency 2 2 2 3" xfId="371" xr:uid="{00000000-0005-0000-0000-000080000000}"/>
    <cellStyle name="Currency 2 2 3" xfId="225" xr:uid="{00000000-0005-0000-0000-000081000000}"/>
    <cellStyle name="Currency 2 2 3 2" xfId="324" xr:uid="{00000000-0005-0000-0000-000082000000}"/>
    <cellStyle name="Currency 2 2 3 3" xfId="393" xr:uid="{00000000-0005-0000-0000-000083000000}"/>
    <cellStyle name="Currency 2 2 4" xfId="285" xr:uid="{00000000-0005-0000-0000-000084000000}"/>
    <cellStyle name="Currency 2 2 5" xfId="356" xr:uid="{00000000-0005-0000-0000-000085000000}"/>
    <cellStyle name="Currency 2 3" xfId="95" xr:uid="{00000000-0005-0000-0000-000086000000}"/>
    <cellStyle name="Currency 2 4" xfId="214" xr:uid="{00000000-0005-0000-0000-000087000000}"/>
    <cellStyle name="Currency 2 4 2" xfId="239" xr:uid="{00000000-0005-0000-0000-000088000000}"/>
    <cellStyle name="Currency 2 4 2 2" xfId="338" xr:uid="{00000000-0005-0000-0000-000089000000}"/>
    <cellStyle name="Currency 2 4 2 3" xfId="407" xr:uid="{00000000-0005-0000-0000-00008A000000}"/>
    <cellStyle name="Currency 2 4 3" xfId="315" xr:uid="{00000000-0005-0000-0000-00008B000000}"/>
    <cellStyle name="Currency 2 4 4" xfId="384" xr:uid="{00000000-0005-0000-0000-00008C000000}"/>
    <cellStyle name="Currency 2 5" xfId="156" xr:uid="{00000000-0005-0000-0000-00008D000000}"/>
    <cellStyle name="Currency 2 5 2" xfId="299" xr:uid="{00000000-0005-0000-0000-00008E000000}"/>
    <cellStyle name="Currency 2 5 3" xfId="368" xr:uid="{00000000-0005-0000-0000-00008F000000}"/>
    <cellStyle name="Currency 2 6" xfId="222" xr:uid="{00000000-0005-0000-0000-000090000000}"/>
    <cellStyle name="Currency 2 6 2" xfId="321" xr:uid="{00000000-0005-0000-0000-000091000000}"/>
    <cellStyle name="Currency 2 6 3" xfId="390" xr:uid="{00000000-0005-0000-0000-000092000000}"/>
    <cellStyle name="Currency 2 7" xfId="271" xr:uid="{00000000-0005-0000-0000-000093000000}"/>
    <cellStyle name="Currency 2 8" xfId="352" xr:uid="{00000000-0005-0000-0000-000094000000}"/>
    <cellStyle name="Currency 3" xfId="45" xr:uid="{00000000-0005-0000-0000-000095000000}"/>
    <cellStyle name="Currency 3 2" xfId="75" xr:uid="{00000000-0005-0000-0000-000096000000}"/>
    <cellStyle name="Currency 4" xfId="83" xr:uid="{00000000-0005-0000-0000-000097000000}"/>
    <cellStyle name="Currency 4 2" xfId="176" xr:uid="{00000000-0005-0000-0000-000098000000}"/>
    <cellStyle name="Currency 4 2 2" xfId="306" xr:uid="{00000000-0005-0000-0000-000099000000}"/>
    <cellStyle name="Currency 4 2 3" xfId="375" xr:uid="{00000000-0005-0000-0000-00009A000000}"/>
    <cellStyle name="Currency 4 3" xfId="229" xr:uid="{00000000-0005-0000-0000-00009B000000}"/>
    <cellStyle name="Currency 4 3 2" xfId="328" xr:uid="{00000000-0005-0000-0000-00009C000000}"/>
    <cellStyle name="Currency 4 3 3" xfId="397" xr:uid="{00000000-0005-0000-0000-00009D000000}"/>
    <cellStyle name="Currency 4 4" xfId="289" xr:uid="{00000000-0005-0000-0000-00009E000000}"/>
    <cellStyle name="Currency 4 5" xfId="360" xr:uid="{00000000-0005-0000-0000-00009F000000}"/>
    <cellStyle name="Currency 5" xfId="89" xr:uid="{00000000-0005-0000-0000-0000A0000000}"/>
    <cellStyle name="Currency 5 2" xfId="180" xr:uid="{00000000-0005-0000-0000-0000A1000000}"/>
    <cellStyle name="Currency 5 2 2" xfId="310" xr:uid="{00000000-0005-0000-0000-0000A2000000}"/>
    <cellStyle name="Currency 5 2 3" xfId="379" xr:uid="{00000000-0005-0000-0000-0000A3000000}"/>
    <cellStyle name="Currency 5 3" xfId="233" xr:uid="{00000000-0005-0000-0000-0000A4000000}"/>
    <cellStyle name="Currency 5 3 2" xfId="332" xr:uid="{00000000-0005-0000-0000-0000A5000000}"/>
    <cellStyle name="Currency 5 3 3" xfId="401" xr:uid="{00000000-0005-0000-0000-0000A6000000}"/>
    <cellStyle name="Currency 5 4" xfId="294" xr:uid="{00000000-0005-0000-0000-0000A7000000}"/>
    <cellStyle name="Currency 5 5" xfId="364" xr:uid="{00000000-0005-0000-0000-0000A8000000}"/>
    <cellStyle name="Currency 6" xfId="94" xr:uid="{00000000-0005-0000-0000-0000A9000000}"/>
    <cellStyle name="Currency 7" xfId="155" xr:uid="{00000000-0005-0000-0000-0000AA000000}"/>
    <cellStyle name="Currency 8" xfId="192" xr:uid="{00000000-0005-0000-0000-0000AB000000}"/>
    <cellStyle name="Currency 9" xfId="208" xr:uid="{00000000-0005-0000-0000-0000AC000000}"/>
    <cellStyle name="Emphasis 1" xfId="46" xr:uid="{00000000-0005-0000-0000-0000AD000000}"/>
    <cellStyle name="Emphasis 2" xfId="47" xr:uid="{00000000-0005-0000-0000-0000AE000000}"/>
    <cellStyle name="Emphasis 3" xfId="48" xr:uid="{00000000-0005-0000-0000-0000AF000000}"/>
    <cellStyle name="Explanatory Text 2" xfId="124" xr:uid="{00000000-0005-0000-0000-0000B0000000}"/>
    <cellStyle name="Good 2" xfId="125" xr:uid="{00000000-0005-0000-0000-0000B1000000}"/>
    <cellStyle name="Good 3" xfId="157" xr:uid="{00000000-0005-0000-0000-0000B2000000}"/>
    <cellStyle name="Good 4" xfId="272" xr:uid="{00000000-0005-0000-0000-0000B3000000}"/>
    <cellStyle name="Good 5" xfId="49" xr:uid="{00000000-0005-0000-0000-0000B4000000}"/>
    <cellStyle name="Grey" xfId="50" xr:uid="{00000000-0005-0000-0000-0000B5000000}"/>
    <cellStyle name="Grey 2" xfId="76" xr:uid="{00000000-0005-0000-0000-0000B6000000}"/>
    <cellStyle name="Heading 1 2" xfId="126" xr:uid="{00000000-0005-0000-0000-0000B7000000}"/>
    <cellStyle name="Heading 1 3" xfId="158" xr:uid="{00000000-0005-0000-0000-0000B8000000}"/>
    <cellStyle name="Heading 1 4" xfId="273" xr:uid="{00000000-0005-0000-0000-0000B9000000}"/>
    <cellStyle name="Heading 1 5" xfId="51" xr:uid="{00000000-0005-0000-0000-0000BA000000}"/>
    <cellStyle name="Heading 2 2" xfId="127" xr:uid="{00000000-0005-0000-0000-0000BB000000}"/>
    <cellStyle name="Heading 2 3" xfId="159" xr:uid="{00000000-0005-0000-0000-0000BC000000}"/>
    <cellStyle name="Heading 2 4" xfId="274" xr:uid="{00000000-0005-0000-0000-0000BD000000}"/>
    <cellStyle name="Heading 2 5" xfId="52" xr:uid="{00000000-0005-0000-0000-0000BE000000}"/>
    <cellStyle name="Heading 3 2" xfId="128" xr:uid="{00000000-0005-0000-0000-0000BF000000}"/>
    <cellStyle name="Heading 3 3" xfId="160" xr:uid="{00000000-0005-0000-0000-0000C0000000}"/>
    <cellStyle name="Heading 3 4" xfId="275" xr:uid="{00000000-0005-0000-0000-0000C1000000}"/>
    <cellStyle name="Heading 3 5" xfId="53" xr:uid="{00000000-0005-0000-0000-0000C2000000}"/>
    <cellStyle name="Heading 4 2" xfId="129" xr:uid="{00000000-0005-0000-0000-0000C3000000}"/>
    <cellStyle name="Heading 4 3" xfId="161" xr:uid="{00000000-0005-0000-0000-0000C4000000}"/>
    <cellStyle name="Heading 4 4" xfId="276" xr:uid="{00000000-0005-0000-0000-0000C5000000}"/>
    <cellStyle name="Heading 4 5" xfId="54" xr:uid="{00000000-0005-0000-0000-0000C6000000}"/>
    <cellStyle name="Hyperlink" xfId="9" builtinId="8"/>
    <cellStyle name="Hyperlink 2" xfId="257" xr:uid="{00000000-0005-0000-0000-0000C8000000}"/>
    <cellStyle name="Input [yellow]" xfId="56" xr:uid="{00000000-0005-0000-0000-0000C9000000}"/>
    <cellStyle name="Input [yellow] 2" xfId="77" xr:uid="{00000000-0005-0000-0000-0000CA000000}"/>
    <cellStyle name="Input 2" xfId="130" xr:uid="{00000000-0005-0000-0000-0000CB000000}"/>
    <cellStyle name="Input 3" xfId="162" xr:uid="{00000000-0005-0000-0000-0000CC000000}"/>
    <cellStyle name="Input 4" xfId="196" xr:uid="{00000000-0005-0000-0000-0000CD000000}"/>
    <cellStyle name="Input 5" xfId="200" xr:uid="{00000000-0005-0000-0000-0000CE000000}"/>
    <cellStyle name="Input 6" xfId="277" xr:uid="{00000000-0005-0000-0000-0000CF000000}"/>
    <cellStyle name="Input 7" xfId="417" xr:uid="{00000000-0005-0000-0000-0000D0000000}"/>
    <cellStyle name="Input 8" xfId="55" xr:uid="{00000000-0005-0000-0000-0000D1000000}"/>
    <cellStyle name="Linked Cell 2" xfId="131" xr:uid="{00000000-0005-0000-0000-0000D2000000}"/>
    <cellStyle name="Linked Cell 3" xfId="163" xr:uid="{00000000-0005-0000-0000-0000D3000000}"/>
    <cellStyle name="Linked Cell 4" xfId="278" xr:uid="{00000000-0005-0000-0000-0000D4000000}"/>
    <cellStyle name="Linked Cell 5" xfId="57" xr:uid="{00000000-0005-0000-0000-0000D5000000}"/>
    <cellStyle name="Neutral 2" xfId="132" xr:uid="{00000000-0005-0000-0000-0000D6000000}"/>
    <cellStyle name="Neutral 3" xfId="164" xr:uid="{00000000-0005-0000-0000-0000D7000000}"/>
    <cellStyle name="Neutral 4" xfId="279" xr:uid="{00000000-0005-0000-0000-0000D8000000}"/>
    <cellStyle name="Neutral 5" xfId="58" xr:uid="{00000000-0005-0000-0000-0000D9000000}"/>
    <cellStyle name="Normal" xfId="0" builtinId="0"/>
    <cellStyle name="Normal - Style1" xfId="59" xr:uid="{00000000-0005-0000-0000-0000DB000000}"/>
    <cellStyle name="Normal 10" xfId="205" xr:uid="{00000000-0005-0000-0000-0000DC000000}"/>
    <cellStyle name="Normal 11" xfId="212" xr:uid="{00000000-0005-0000-0000-0000DD000000}"/>
    <cellStyle name="Normal 11 2" xfId="236" xr:uid="{00000000-0005-0000-0000-0000DE000000}"/>
    <cellStyle name="Normal 11 2 2" xfId="335" xr:uid="{00000000-0005-0000-0000-0000DF000000}"/>
    <cellStyle name="Normal 11 2 3" xfId="404" xr:uid="{00000000-0005-0000-0000-0000E0000000}"/>
    <cellStyle name="Normal 11 3" xfId="314" xr:uid="{00000000-0005-0000-0000-0000E1000000}"/>
    <cellStyle name="Normal 11 4" xfId="383" xr:uid="{00000000-0005-0000-0000-0000E2000000}"/>
    <cellStyle name="Normal 12" xfId="195" xr:uid="{00000000-0005-0000-0000-0000E3000000}"/>
    <cellStyle name="Normal 13" xfId="143" xr:uid="{00000000-0005-0000-0000-0000E4000000}"/>
    <cellStyle name="Normal 13 2" xfId="298" xr:uid="{00000000-0005-0000-0000-0000E5000000}"/>
    <cellStyle name="Normal 13 3" xfId="367" xr:uid="{00000000-0005-0000-0000-0000E6000000}"/>
    <cellStyle name="Normal 14" xfId="183" xr:uid="{00000000-0005-0000-0000-0000E7000000}"/>
    <cellStyle name="Normal 14 2" xfId="313" xr:uid="{00000000-0005-0000-0000-0000E8000000}"/>
    <cellStyle name="Normal 14 3" xfId="382" xr:uid="{00000000-0005-0000-0000-0000E9000000}"/>
    <cellStyle name="Normal 15" xfId="221" xr:uid="{00000000-0005-0000-0000-0000EA000000}"/>
    <cellStyle name="Normal 15 2" xfId="320" xr:uid="{00000000-0005-0000-0000-0000EB000000}"/>
    <cellStyle name="Normal 15 3" xfId="389" xr:uid="{00000000-0005-0000-0000-0000EC000000}"/>
    <cellStyle name="Normal 16" xfId="249" xr:uid="{00000000-0005-0000-0000-0000ED000000}"/>
    <cellStyle name="Normal 16 2" xfId="347" xr:uid="{00000000-0005-0000-0000-0000EE000000}"/>
    <cellStyle name="Normal 16 3" xfId="351" xr:uid="{00000000-0005-0000-0000-0000EF000000}"/>
    <cellStyle name="Normal 17" xfId="250" xr:uid="{00000000-0005-0000-0000-0000F0000000}"/>
    <cellStyle name="Normal 17 2" xfId="348" xr:uid="{00000000-0005-0000-0000-0000F1000000}"/>
    <cellStyle name="Normal 17 3" xfId="410" xr:uid="{00000000-0005-0000-0000-0000F2000000}"/>
    <cellStyle name="Normal 18" xfId="251" xr:uid="{00000000-0005-0000-0000-0000F3000000}"/>
    <cellStyle name="Normal 18 2" xfId="87" xr:uid="{00000000-0005-0000-0000-0000F4000000}"/>
    <cellStyle name="Normal 18 3" xfId="349" xr:uid="{00000000-0005-0000-0000-0000F5000000}"/>
    <cellStyle name="Normal 19" xfId="252" xr:uid="{00000000-0005-0000-0000-0000F6000000}"/>
    <cellStyle name="Normal 2" xfId="60" xr:uid="{00000000-0005-0000-0000-0000F7000000}"/>
    <cellStyle name="Normal 2 10" xfId="353" xr:uid="{00000000-0005-0000-0000-0000F8000000}"/>
    <cellStyle name="Normal 2 2" xfId="5" xr:uid="{00000000-0005-0000-0000-0000F9000000}"/>
    <cellStyle name="Normal 2 2 2" xfId="133" xr:uid="{00000000-0005-0000-0000-0000FA000000}"/>
    <cellStyle name="Normal 2 2 3" xfId="217" xr:uid="{00000000-0005-0000-0000-0000FB000000}"/>
    <cellStyle name="Normal 2 2 3 2" xfId="240" xr:uid="{00000000-0005-0000-0000-0000FC000000}"/>
    <cellStyle name="Normal 2 2 3 2 2" xfId="339" xr:uid="{00000000-0005-0000-0000-0000FD000000}"/>
    <cellStyle name="Normal 2 2 3 2 3" xfId="408" xr:uid="{00000000-0005-0000-0000-0000FE000000}"/>
    <cellStyle name="Normal 2 2 3 3" xfId="318" xr:uid="{00000000-0005-0000-0000-0000FF000000}"/>
    <cellStyle name="Normal 2 2 3 4" xfId="387" xr:uid="{00000000-0005-0000-0000-000000010000}"/>
    <cellStyle name="Normal 2 2 4" xfId="173" xr:uid="{00000000-0005-0000-0000-000001010000}"/>
    <cellStyle name="Normal 2 2 4 2" xfId="303" xr:uid="{00000000-0005-0000-0000-000002010000}"/>
    <cellStyle name="Normal 2 2 4 3" xfId="372" xr:uid="{00000000-0005-0000-0000-000003010000}"/>
    <cellStyle name="Normal 2 2 5" xfId="226" xr:uid="{00000000-0005-0000-0000-000004010000}"/>
    <cellStyle name="Normal 2 2 5 2" xfId="325" xr:uid="{00000000-0005-0000-0000-000005010000}"/>
    <cellStyle name="Normal 2 2 5 3" xfId="394" xr:uid="{00000000-0005-0000-0000-000006010000}"/>
    <cellStyle name="Normal 2 2 6" xfId="286" xr:uid="{00000000-0005-0000-0000-000007010000}"/>
    <cellStyle name="Normal 2 2 7" xfId="253" xr:uid="{00000000-0005-0000-0000-000008010000}"/>
    <cellStyle name="Normal 2 2 8" xfId="357" xr:uid="{00000000-0005-0000-0000-000009010000}"/>
    <cellStyle name="Normal 2 2 9" xfId="78" xr:uid="{00000000-0005-0000-0000-00000A010000}"/>
    <cellStyle name="Normal 2 3" xfId="84" xr:uid="{00000000-0005-0000-0000-00000B010000}"/>
    <cellStyle name="Normal 2 3 2" xfId="134" xr:uid="{00000000-0005-0000-0000-00000C010000}"/>
    <cellStyle name="Normal 2 3 3" xfId="218" xr:uid="{00000000-0005-0000-0000-00000D010000}"/>
    <cellStyle name="Normal 2 3 4" xfId="290" xr:uid="{00000000-0005-0000-0000-00000E010000}"/>
    <cellStyle name="Normal 2 3 5" xfId="259" xr:uid="{00000000-0005-0000-0000-00000F010000}"/>
    <cellStyle name="Normal 2 4" xfId="135" xr:uid="{00000000-0005-0000-0000-000010010000}"/>
    <cellStyle name="Normal 2 5" xfId="211" xr:uid="{00000000-0005-0000-0000-000011010000}"/>
    <cellStyle name="Normal 2 6" xfId="215" xr:uid="{00000000-0005-0000-0000-000012010000}"/>
    <cellStyle name="Normal 2 6 2" xfId="238" xr:uid="{00000000-0005-0000-0000-000013010000}"/>
    <cellStyle name="Normal 2 6 2 2" xfId="337" xr:uid="{00000000-0005-0000-0000-000014010000}"/>
    <cellStyle name="Normal 2 6 2 3" xfId="406" xr:uid="{00000000-0005-0000-0000-000015010000}"/>
    <cellStyle name="Normal 2 6 3" xfId="316" xr:uid="{00000000-0005-0000-0000-000016010000}"/>
    <cellStyle name="Normal 2 6 4" xfId="385" xr:uid="{00000000-0005-0000-0000-000017010000}"/>
    <cellStyle name="Normal 2 7" xfId="165" xr:uid="{00000000-0005-0000-0000-000018010000}"/>
    <cellStyle name="Normal 2 7 2" xfId="300" xr:uid="{00000000-0005-0000-0000-000019010000}"/>
    <cellStyle name="Normal 2 7 3" xfId="369" xr:uid="{00000000-0005-0000-0000-00001A010000}"/>
    <cellStyle name="Normal 2 8" xfId="223" xr:uid="{00000000-0005-0000-0000-00001B010000}"/>
    <cellStyle name="Normal 2 8 2" xfId="322" xr:uid="{00000000-0005-0000-0000-00001C010000}"/>
    <cellStyle name="Normal 2 8 3" xfId="391" xr:uid="{00000000-0005-0000-0000-00001D010000}"/>
    <cellStyle name="Normal 2 9" xfId="258" xr:uid="{00000000-0005-0000-0000-00001E010000}"/>
    <cellStyle name="Normal 20" xfId="248" xr:uid="{00000000-0005-0000-0000-00001F010000}"/>
    <cellStyle name="Normal 21" xfId="282" xr:uid="{00000000-0005-0000-0000-000020010000}"/>
    <cellStyle name="Normal 22" xfId="350" xr:uid="{00000000-0005-0000-0000-000021010000}"/>
    <cellStyle name="Normal 23" xfId="419" xr:uid="{00000000-0005-0000-0000-000022010000}"/>
    <cellStyle name="Normal 24" xfId="421" xr:uid="{00000000-0005-0000-0000-000023010000}"/>
    <cellStyle name="Normal 25" xfId="10" xr:uid="{00000000-0005-0000-0000-000024010000}"/>
    <cellStyle name="Normal 26" xfId="424" xr:uid="{00000000-0005-0000-0000-000025010000}"/>
    <cellStyle name="Normal 27" xfId="425" xr:uid="{00000000-0005-0000-0000-000026010000}"/>
    <cellStyle name="Normal 28" xfId="423" xr:uid="{00000000-0005-0000-0000-000027010000}"/>
    <cellStyle name="Normal 29" xfId="426" xr:uid="{00000000-0005-0000-0000-000028010000}"/>
    <cellStyle name="Normal 3" xfId="4" xr:uid="{00000000-0005-0000-0000-000029010000}"/>
    <cellStyle name="Normal 3 2" xfId="79" xr:uid="{00000000-0005-0000-0000-00002A010000}"/>
    <cellStyle name="Normal 3 2 2" xfId="174" xr:uid="{00000000-0005-0000-0000-00002B010000}"/>
    <cellStyle name="Normal 3 2 2 2" xfId="304" xr:uid="{00000000-0005-0000-0000-00002C010000}"/>
    <cellStyle name="Normal 3 2 2 3" xfId="373" xr:uid="{00000000-0005-0000-0000-00002D010000}"/>
    <cellStyle name="Normal 3 2 3" xfId="227" xr:uid="{00000000-0005-0000-0000-00002E010000}"/>
    <cellStyle name="Normal 3 2 3 2" xfId="326" xr:uid="{00000000-0005-0000-0000-00002F010000}"/>
    <cellStyle name="Normal 3 2 3 3" xfId="395" xr:uid="{00000000-0005-0000-0000-000030010000}"/>
    <cellStyle name="Normal 3 2 4" xfId="287" xr:uid="{00000000-0005-0000-0000-000031010000}"/>
    <cellStyle name="Normal 3 2 5" xfId="358" xr:uid="{00000000-0005-0000-0000-000032010000}"/>
    <cellStyle name="Normal 3 3" xfId="136" xr:uid="{00000000-0005-0000-0000-000033010000}"/>
    <cellStyle name="Normal 3 4" xfId="216" xr:uid="{00000000-0005-0000-0000-000034010000}"/>
    <cellStyle name="Normal 3 4 2" xfId="237" xr:uid="{00000000-0005-0000-0000-000035010000}"/>
    <cellStyle name="Normal 3 4 2 2" xfId="336" xr:uid="{00000000-0005-0000-0000-000036010000}"/>
    <cellStyle name="Normal 3 4 2 3" xfId="405" xr:uid="{00000000-0005-0000-0000-000037010000}"/>
    <cellStyle name="Normal 3 4 3" xfId="317" xr:uid="{00000000-0005-0000-0000-000038010000}"/>
    <cellStyle name="Normal 3 4 4" xfId="386" xr:uid="{00000000-0005-0000-0000-000039010000}"/>
    <cellStyle name="Normal 3 5" xfId="166" xr:uid="{00000000-0005-0000-0000-00003A010000}"/>
    <cellStyle name="Normal 3 5 2" xfId="301" xr:uid="{00000000-0005-0000-0000-00003B010000}"/>
    <cellStyle name="Normal 3 5 3" xfId="370" xr:uid="{00000000-0005-0000-0000-00003C010000}"/>
    <cellStyle name="Normal 3 6" xfId="224" xr:uid="{00000000-0005-0000-0000-00003D010000}"/>
    <cellStyle name="Normal 3 6 2" xfId="323" xr:uid="{00000000-0005-0000-0000-00003E010000}"/>
    <cellStyle name="Normal 3 6 3" xfId="392" xr:uid="{00000000-0005-0000-0000-00003F010000}"/>
    <cellStyle name="Normal 3 7" xfId="260" xr:uid="{00000000-0005-0000-0000-000040010000}"/>
    <cellStyle name="Normal 3 8" xfId="354" xr:uid="{00000000-0005-0000-0000-000041010000}"/>
    <cellStyle name="Normal 3 9" xfId="61" xr:uid="{00000000-0005-0000-0000-000042010000}"/>
    <cellStyle name="Normal 30" xfId="427" xr:uid="{00000000-0005-0000-0000-000043010000}"/>
    <cellStyle name="Normal 31" xfId="428" xr:uid="{00000000-0005-0000-0000-000044010000}"/>
    <cellStyle name="Normal 32" xfId="429" xr:uid="{00000000-0005-0000-0000-000045010000}"/>
    <cellStyle name="Normal 4" xfId="62" xr:uid="{00000000-0005-0000-0000-000046010000}"/>
    <cellStyle name="Normal 4 2" xfId="80" xr:uid="{00000000-0005-0000-0000-000047010000}"/>
    <cellStyle name="Normal 5" xfId="82" xr:uid="{00000000-0005-0000-0000-000048010000}"/>
    <cellStyle name="Normal 5 2" xfId="175" xr:uid="{00000000-0005-0000-0000-000049010000}"/>
    <cellStyle name="Normal 5 2 2" xfId="305" xr:uid="{00000000-0005-0000-0000-00004A010000}"/>
    <cellStyle name="Normal 5 2 3" xfId="374" xr:uid="{00000000-0005-0000-0000-00004B010000}"/>
    <cellStyle name="Normal 5 3" xfId="228" xr:uid="{00000000-0005-0000-0000-00004C010000}"/>
    <cellStyle name="Normal 5 3 2" xfId="327" xr:uid="{00000000-0005-0000-0000-00004D010000}"/>
    <cellStyle name="Normal 5 3 3" xfId="396" xr:uid="{00000000-0005-0000-0000-00004E010000}"/>
    <cellStyle name="Normal 5 4" xfId="288" xr:uid="{00000000-0005-0000-0000-00004F010000}"/>
    <cellStyle name="Normal 5 5" xfId="359" xr:uid="{00000000-0005-0000-0000-000050010000}"/>
    <cellStyle name="Normal 50" xfId="86" xr:uid="{00000000-0005-0000-0000-000051010000}"/>
    <cellStyle name="Normal 50 2" xfId="178" xr:uid="{00000000-0005-0000-0000-000052010000}"/>
    <cellStyle name="Normal 50 2 2" xfId="308" xr:uid="{00000000-0005-0000-0000-000053010000}"/>
    <cellStyle name="Normal 50 2 3" xfId="377" xr:uid="{00000000-0005-0000-0000-000054010000}"/>
    <cellStyle name="Normal 50 3" xfId="231" xr:uid="{00000000-0005-0000-0000-000055010000}"/>
    <cellStyle name="Normal 50 3 2" xfId="330" xr:uid="{00000000-0005-0000-0000-000056010000}"/>
    <cellStyle name="Normal 50 3 3" xfId="399" xr:uid="{00000000-0005-0000-0000-000057010000}"/>
    <cellStyle name="Normal 50 4" xfId="292" xr:uid="{00000000-0005-0000-0000-000058010000}"/>
    <cellStyle name="Normal 50 5" xfId="362" xr:uid="{00000000-0005-0000-0000-000059010000}"/>
    <cellStyle name="Normal 6" xfId="7" xr:uid="{00000000-0005-0000-0000-00005A010000}"/>
    <cellStyle name="Normal 6 2" xfId="179" xr:uid="{00000000-0005-0000-0000-00005B010000}"/>
    <cellStyle name="Normal 6 2 2" xfId="309" xr:uid="{00000000-0005-0000-0000-00005C010000}"/>
    <cellStyle name="Normal 6 2 3" xfId="378" xr:uid="{00000000-0005-0000-0000-00005D010000}"/>
    <cellStyle name="Normal 6 3" xfId="232" xr:uid="{00000000-0005-0000-0000-00005E010000}"/>
    <cellStyle name="Normal 6 3 2" xfId="331" xr:uid="{00000000-0005-0000-0000-00005F010000}"/>
    <cellStyle name="Normal 6 3 3" xfId="400" xr:uid="{00000000-0005-0000-0000-000060010000}"/>
    <cellStyle name="Normal 6 4" xfId="293" xr:uid="{00000000-0005-0000-0000-000061010000}"/>
    <cellStyle name="Normal 6 5" xfId="363" xr:uid="{00000000-0005-0000-0000-000062010000}"/>
    <cellStyle name="Normal 6 6" xfId="88" xr:uid="{00000000-0005-0000-0000-000063010000}"/>
    <cellStyle name="Normal 7" xfId="91" xr:uid="{00000000-0005-0000-0000-000064010000}"/>
    <cellStyle name="Normal 8" xfId="144" xr:uid="{00000000-0005-0000-0000-000065010000}"/>
    <cellStyle name="Normal 8 2" xfId="213" xr:uid="{00000000-0005-0000-0000-000066010000}"/>
    <cellStyle name="Normal 9" xfId="184" xr:uid="{00000000-0005-0000-0000-000067010000}"/>
    <cellStyle name="Normal 9 2" xfId="220" xr:uid="{00000000-0005-0000-0000-000068010000}"/>
    <cellStyle name="Note" xfId="8" builtinId="10"/>
    <cellStyle name="Note 2" xfId="137" xr:uid="{00000000-0005-0000-0000-00006A010000}"/>
    <cellStyle name="Note 2 2" xfId="194" xr:uid="{00000000-0005-0000-0000-00006B010000}"/>
    <cellStyle name="Note 2 3" xfId="219" xr:uid="{00000000-0005-0000-0000-00006C010000}"/>
    <cellStyle name="Note 2 3 2" xfId="241" xr:uid="{00000000-0005-0000-0000-00006D010000}"/>
    <cellStyle name="Note 2 3 2 2" xfId="340" xr:uid="{00000000-0005-0000-0000-00006E010000}"/>
    <cellStyle name="Note 2 3 2 3" xfId="409" xr:uid="{00000000-0005-0000-0000-00006F010000}"/>
    <cellStyle name="Note 2 3 3" xfId="319" xr:uid="{00000000-0005-0000-0000-000070010000}"/>
    <cellStyle name="Note 2 3 4" xfId="388" xr:uid="{00000000-0005-0000-0000-000071010000}"/>
    <cellStyle name="Note 2 4" xfId="182" xr:uid="{00000000-0005-0000-0000-000072010000}"/>
    <cellStyle name="Note 2 4 2" xfId="312" xr:uid="{00000000-0005-0000-0000-000073010000}"/>
    <cellStyle name="Note 2 4 3" xfId="381" xr:uid="{00000000-0005-0000-0000-000074010000}"/>
    <cellStyle name="Note 2 5" xfId="235" xr:uid="{00000000-0005-0000-0000-000075010000}"/>
    <cellStyle name="Note 2 5 2" xfId="334" xr:uid="{00000000-0005-0000-0000-000076010000}"/>
    <cellStyle name="Note 2 5 3" xfId="403" xr:uid="{00000000-0005-0000-0000-000077010000}"/>
    <cellStyle name="Note 2 6" xfId="297" xr:uid="{00000000-0005-0000-0000-000078010000}"/>
    <cellStyle name="Note 2 7" xfId="366" xr:uid="{00000000-0005-0000-0000-000079010000}"/>
    <cellStyle name="Note 3" xfId="138" xr:uid="{00000000-0005-0000-0000-00007A010000}"/>
    <cellStyle name="Note 4" xfId="167" xr:uid="{00000000-0005-0000-0000-00007B010000}"/>
    <cellStyle name="Note 5" xfId="280" xr:uid="{00000000-0005-0000-0000-00007C010000}"/>
    <cellStyle name="Note 6" xfId="63" xr:uid="{00000000-0005-0000-0000-00007D010000}"/>
    <cellStyle name="Output 2" xfId="139" xr:uid="{00000000-0005-0000-0000-00007E010000}"/>
    <cellStyle name="Output 3" xfId="168" xr:uid="{00000000-0005-0000-0000-00007F010000}"/>
    <cellStyle name="Output 4" xfId="281" xr:uid="{00000000-0005-0000-0000-000080010000}"/>
    <cellStyle name="Output 5" xfId="64" xr:uid="{00000000-0005-0000-0000-000081010000}"/>
    <cellStyle name="Parens (1)" xfId="65" xr:uid="{00000000-0005-0000-0000-000082010000}"/>
    <cellStyle name="Percent" xfId="1" builtinId="5"/>
    <cellStyle name="Percent [2]" xfId="67" xr:uid="{00000000-0005-0000-0000-000084010000}"/>
    <cellStyle name="Percent 10" xfId="355" xr:uid="{00000000-0005-0000-0000-000085010000}"/>
    <cellStyle name="Percent 11" xfId="418" xr:uid="{00000000-0005-0000-0000-000086010000}"/>
    <cellStyle name="Percent 12" xfId="420" xr:uid="{00000000-0005-0000-0000-000087010000}"/>
    <cellStyle name="Percent 13" xfId="422" xr:uid="{00000000-0005-0000-0000-000088010000}"/>
    <cellStyle name="Percent 14" xfId="66" xr:uid="{00000000-0005-0000-0000-000089010000}"/>
    <cellStyle name="Percent 2" xfId="2" xr:uid="{00000000-0005-0000-0000-00008A010000}"/>
    <cellStyle name="Percent 2 2" xfId="81" xr:uid="{00000000-0005-0000-0000-00008B010000}"/>
    <cellStyle name="Percent 3" xfId="85" xr:uid="{00000000-0005-0000-0000-00008C010000}"/>
    <cellStyle name="Percent 3 2" xfId="177" xr:uid="{00000000-0005-0000-0000-00008D010000}"/>
    <cellStyle name="Percent 3 2 2" xfId="307" xr:uid="{00000000-0005-0000-0000-00008E010000}"/>
    <cellStyle name="Percent 3 2 3" xfId="376" xr:uid="{00000000-0005-0000-0000-00008F010000}"/>
    <cellStyle name="Percent 3 3" xfId="230" xr:uid="{00000000-0005-0000-0000-000090010000}"/>
    <cellStyle name="Percent 3 3 2" xfId="329" xr:uid="{00000000-0005-0000-0000-000091010000}"/>
    <cellStyle name="Percent 3 3 3" xfId="398" xr:uid="{00000000-0005-0000-0000-000092010000}"/>
    <cellStyle name="Percent 3 4" xfId="291" xr:uid="{00000000-0005-0000-0000-000093010000}"/>
    <cellStyle name="Percent 3 5" xfId="361" xr:uid="{00000000-0005-0000-0000-000094010000}"/>
    <cellStyle name="Percent 4" xfId="90" xr:uid="{00000000-0005-0000-0000-000095010000}"/>
    <cellStyle name="Percent 4 2" xfId="181" xr:uid="{00000000-0005-0000-0000-000096010000}"/>
    <cellStyle name="Percent 4 2 2" xfId="311" xr:uid="{00000000-0005-0000-0000-000097010000}"/>
    <cellStyle name="Percent 4 2 3" xfId="380" xr:uid="{00000000-0005-0000-0000-000098010000}"/>
    <cellStyle name="Percent 4 3" xfId="234" xr:uid="{00000000-0005-0000-0000-000099010000}"/>
    <cellStyle name="Percent 4 3 2" xfId="333" xr:uid="{00000000-0005-0000-0000-00009A010000}"/>
    <cellStyle name="Percent 4 3 3" xfId="402" xr:uid="{00000000-0005-0000-0000-00009B010000}"/>
    <cellStyle name="Percent 4 4" xfId="295" xr:uid="{00000000-0005-0000-0000-00009C010000}"/>
    <cellStyle name="Percent 4 5" xfId="365" xr:uid="{00000000-0005-0000-0000-00009D010000}"/>
    <cellStyle name="Percent 5" xfId="93" xr:uid="{00000000-0005-0000-0000-00009E010000}"/>
    <cellStyle name="Percent 6" xfId="169" xr:uid="{00000000-0005-0000-0000-00009F010000}"/>
    <cellStyle name="Percent 7" xfId="198" xr:uid="{00000000-0005-0000-0000-0000A0010000}"/>
    <cellStyle name="Percent 8" xfId="193" xr:uid="{00000000-0005-0000-0000-0000A1010000}"/>
    <cellStyle name="Percent 9" xfId="207" xr:uid="{00000000-0005-0000-0000-0000A2010000}"/>
    <cellStyle name="Sheet Title" xfId="68" xr:uid="{00000000-0005-0000-0000-0000A3010000}"/>
    <cellStyle name="Style 22" xfId="69" xr:uid="{00000000-0005-0000-0000-0000A4010000}"/>
    <cellStyle name="Times New Roman" xfId="70" xr:uid="{00000000-0005-0000-0000-0000A5010000}"/>
    <cellStyle name="Title 2" xfId="140" xr:uid="{00000000-0005-0000-0000-0000A6010000}"/>
    <cellStyle name="Total 2" xfId="141" xr:uid="{00000000-0005-0000-0000-0000A7010000}"/>
    <cellStyle name="Total 3" xfId="170" xr:uid="{00000000-0005-0000-0000-0000A8010000}"/>
    <cellStyle name="Total 4" xfId="283" xr:uid="{00000000-0005-0000-0000-0000A9010000}"/>
    <cellStyle name="Total 5" xfId="71" xr:uid="{00000000-0005-0000-0000-0000AA010000}"/>
    <cellStyle name="Warning Text 2" xfId="142" xr:uid="{00000000-0005-0000-0000-0000AB010000}"/>
    <cellStyle name="Warning Text 3" xfId="171" xr:uid="{00000000-0005-0000-0000-0000AC010000}"/>
    <cellStyle name="Warning Text 4" xfId="284" xr:uid="{00000000-0005-0000-0000-0000AD010000}"/>
    <cellStyle name="Warning Text 5" xfId="72" xr:uid="{00000000-0005-0000-0000-0000AE010000}"/>
  </cellStyles>
  <dxfs count="0"/>
  <tableStyles count="0" defaultTableStyle="TableStyleMedium2" defaultPivotStyle="PivotStyleLight16"/>
  <colors>
    <mruColors>
      <color rgb="FFCCCCFF"/>
      <color rgb="FF6600CC"/>
      <color rgb="FF9BFFE5"/>
      <color rgb="FF00CC99"/>
      <color rgb="FF00FFFF"/>
      <color rgb="FF66FF99"/>
      <color rgb="FF66FFCC"/>
      <color rgb="FFFF3399"/>
      <color rgb="FFFF00FF"/>
      <color rgb="FF001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647700</xdr:colOff>
      <xdr:row>178</xdr:row>
      <xdr:rowOff>57150</xdr:rowOff>
    </xdr:from>
    <xdr:to>
      <xdr:col>17</xdr:col>
      <xdr:colOff>276225</xdr:colOff>
      <xdr:row>199</xdr:row>
      <xdr:rowOff>15875</xdr:rowOff>
    </xdr:to>
    <xdr:pic>
      <xdr:nvPicPr>
        <xdr:cNvPr id="3" name="Picture 2">
          <a:extLst>
            <a:ext uri="{FF2B5EF4-FFF2-40B4-BE49-F238E27FC236}">
              <a16:creationId xmlns:a16="http://schemas.microsoft.com/office/drawing/2014/main" id="{0F252C89-D2AC-407F-8F7A-7B61E4876E0C}"/>
            </a:ext>
            <a:ext uri="{147F2762-F138-4A5C-976F-8EAC2B608ADB}">
              <a16:predDERef xmlns:a16="http://schemas.microsoft.com/office/drawing/2014/main" pred="{35F42F7A-F8C3-4D0C-8EF1-9F27CE7A0D23}"/>
            </a:ext>
          </a:extLst>
        </xdr:cNvPr>
        <xdr:cNvPicPr>
          <a:picLocks noChangeAspect="1"/>
        </xdr:cNvPicPr>
      </xdr:nvPicPr>
      <xdr:blipFill>
        <a:blip xmlns:r="http://schemas.openxmlformats.org/officeDocument/2006/relationships" r:embed="rId1"/>
        <a:stretch>
          <a:fillRect/>
        </a:stretch>
      </xdr:blipFill>
      <xdr:spPr>
        <a:xfrm>
          <a:off x="12144375" y="37109400"/>
          <a:ext cx="4400550" cy="3476625"/>
        </a:xfrm>
        <a:prstGeom prst="rect">
          <a:avLst/>
        </a:prstGeom>
      </xdr:spPr>
    </xdr:pic>
    <xdr:clientData/>
  </xdr:twoCellAnchor>
  <xdr:twoCellAnchor editAs="oneCell">
    <xdr:from>
      <xdr:col>18</xdr:col>
      <xdr:colOff>152400</xdr:colOff>
      <xdr:row>0</xdr:row>
      <xdr:rowOff>257175</xdr:rowOff>
    </xdr:from>
    <xdr:to>
      <xdr:col>23</xdr:col>
      <xdr:colOff>590550</xdr:colOff>
      <xdr:row>15</xdr:row>
      <xdr:rowOff>139700</xdr:rowOff>
    </xdr:to>
    <xdr:pic>
      <xdr:nvPicPr>
        <xdr:cNvPr id="4" name="Picture 3">
          <a:extLst>
            <a:ext uri="{FF2B5EF4-FFF2-40B4-BE49-F238E27FC236}">
              <a16:creationId xmlns:a16="http://schemas.microsoft.com/office/drawing/2014/main" id="{E0890759-0B7D-4340-A4AA-7FD66B0C9D06}"/>
            </a:ext>
            <a:ext uri="{147F2762-F138-4A5C-976F-8EAC2B608ADB}">
              <a16:predDERef xmlns:a16="http://schemas.microsoft.com/office/drawing/2014/main" pred="{0F252C89-D2AC-407F-8F7A-7B61E4876E0C}"/>
            </a:ext>
          </a:extLst>
        </xdr:cNvPr>
        <xdr:cNvPicPr>
          <a:picLocks noChangeAspect="1"/>
        </xdr:cNvPicPr>
      </xdr:nvPicPr>
      <xdr:blipFill>
        <a:blip xmlns:r="http://schemas.openxmlformats.org/officeDocument/2006/relationships" r:embed="rId1"/>
        <a:stretch>
          <a:fillRect/>
        </a:stretch>
      </xdr:blipFill>
      <xdr:spPr>
        <a:xfrm>
          <a:off x="17935575" y="257175"/>
          <a:ext cx="4124325" cy="3248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ationalgridplc.sharepoint.com/sites/GRP-PROJ-INT-US-NWA/Admin/NWA%20Finance/RI%20NWA%20BCA%20Model/2019%20RI%20Electric%20BCR%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Lookups"/>
      <sheetName val="Costs"/>
      <sheetName val="EEYr1"/>
      <sheetName val="EECalcsYr1"/>
      <sheetName val="ADMYr1"/>
      <sheetName val="ADMCalcsYr1"/>
      <sheetName val="LS_2018"/>
      <sheetName val="LS"/>
      <sheetName val="NEIs"/>
      <sheetName val="AvoidedCosts"/>
      <sheetName val="RI Capacity Benefit Tables"/>
      <sheetName val="ADMStrategies"/>
      <sheetName val="Benefits"/>
      <sheetName val="Summary Yr1"/>
      <sheetName val="Sheet1"/>
      <sheetName val="Sav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cummins.com/sites/default/files/2019-05/powerhour-emissions-air-permitting-20190625.pdf" TargetMode="External"/><Relationship Id="rId2" Type="http://schemas.openxmlformats.org/officeDocument/2006/relationships/hyperlink" Target="https://ecfr.federalregister.gov/current/title-40/chapter-I/subchapter-C/part-60" TargetMode="External"/><Relationship Id="rId1" Type="http://schemas.openxmlformats.org/officeDocument/2006/relationships/hyperlink" Target="https://www.eia.gov/environment/emissions/co2_vol_mass.php" TargetMode="External"/><Relationship Id="rId5" Type="http://schemas.openxmlformats.org/officeDocument/2006/relationships/drawing" Target="../drawings/drawing1.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topLeftCell="A8" zoomScaleNormal="100" workbookViewId="0">
      <selection activeCell="C26" sqref="C26:I26"/>
    </sheetView>
  </sheetViews>
  <sheetFormatPr defaultColWidth="9.1796875" defaultRowHeight="14.5" x14ac:dyDescent="0.35"/>
  <cols>
    <col min="1" max="1" width="10.7265625" style="3" customWidth="1"/>
    <col min="2" max="2" width="9.1796875" style="3"/>
    <col min="3" max="3" width="10.7265625" style="3" customWidth="1"/>
    <col min="4" max="16384" width="9.1796875" style="3"/>
  </cols>
  <sheetData>
    <row r="1" spans="1:9" ht="15.5" x14ac:dyDescent="0.35">
      <c r="A1" s="648" t="s">
        <v>0</v>
      </c>
      <c r="B1" s="648"/>
      <c r="C1" s="648"/>
    </row>
    <row r="2" spans="1:9" ht="91.5" customHeight="1" x14ac:dyDescent="0.35">
      <c r="A2" s="649" t="s">
        <v>1</v>
      </c>
      <c r="B2" s="649"/>
      <c r="C2" s="649"/>
      <c r="D2" s="649"/>
      <c r="E2" s="649"/>
      <c r="F2" s="649"/>
      <c r="G2" s="649"/>
      <c r="H2" s="649"/>
      <c r="I2" s="649"/>
    </row>
    <row r="3" spans="1:9" ht="15" customHeight="1" x14ac:dyDescent="0.35">
      <c r="B3" s="632"/>
    </row>
    <row r="4" spans="1:9" ht="15.5" x14ac:dyDescent="0.35">
      <c r="A4" s="648" t="s">
        <v>2</v>
      </c>
      <c r="B4" s="648"/>
      <c r="C4" s="648"/>
    </row>
    <row r="5" spans="1:9" ht="135" customHeight="1" x14ac:dyDescent="0.35">
      <c r="A5" s="649" t="s">
        <v>3</v>
      </c>
      <c r="B5" s="649"/>
      <c r="C5" s="649"/>
      <c r="D5" s="649"/>
      <c r="E5" s="649"/>
      <c r="F5" s="649"/>
      <c r="G5" s="649"/>
      <c r="H5" s="649"/>
      <c r="I5" s="649"/>
    </row>
    <row r="7" spans="1:9" ht="15.5" x14ac:dyDescent="0.35">
      <c r="A7" s="648" t="s">
        <v>4</v>
      </c>
      <c r="B7" s="648"/>
      <c r="C7" s="648"/>
    </row>
    <row r="8" spans="1:9" ht="270" customHeight="1" x14ac:dyDescent="0.35">
      <c r="A8" s="649" t="s">
        <v>5</v>
      </c>
      <c r="B8" s="649"/>
      <c r="C8" s="649"/>
      <c r="D8" s="649"/>
      <c r="E8" s="649"/>
      <c r="F8" s="649"/>
      <c r="G8" s="649"/>
      <c r="H8" s="649"/>
      <c r="I8" s="649"/>
    </row>
    <row r="9" spans="1:9" x14ac:dyDescent="0.35">
      <c r="A9" s="4"/>
      <c r="B9" s="634"/>
      <c r="C9" s="634"/>
      <c r="D9" s="634"/>
      <c r="E9" s="634"/>
      <c r="F9" s="634"/>
      <c r="G9" s="634"/>
      <c r="H9" s="634"/>
      <c r="I9" s="634"/>
    </row>
    <row r="10" spans="1:9" x14ac:dyDescent="0.35">
      <c r="A10" s="4"/>
      <c r="B10" s="634"/>
      <c r="C10" s="634"/>
      <c r="D10" s="634"/>
      <c r="E10" s="634"/>
      <c r="F10" s="634"/>
      <c r="G10" s="634"/>
      <c r="H10" s="634"/>
      <c r="I10" s="634"/>
    </row>
    <row r="12" spans="1:9" ht="15.5" x14ac:dyDescent="0.35">
      <c r="A12" s="9" t="s">
        <v>6</v>
      </c>
      <c r="C12" s="10">
        <f>LOOKUP(2,1/(NOT(ISBLANK(B:B))),B:B)</f>
        <v>1.1000000000000001</v>
      </c>
    </row>
    <row r="13" spans="1:9" ht="15.5" x14ac:dyDescent="0.35">
      <c r="A13" s="9" t="s">
        <v>7</v>
      </c>
      <c r="C13" s="631">
        <f>LOOKUP(2,1/(NOT(ISBLANK(A:A))),A:A)</f>
        <v>44337</v>
      </c>
    </row>
    <row r="15" spans="1:9" ht="15.5" x14ac:dyDescent="0.35">
      <c r="A15" s="9" t="s">
        <v>8</v>
      </c>
    </row>
    <row r="16" spans="1:9" x14ac:dyDescent="0.35">
      <c r="A16" s="633" t="s">
        <v>9</v>
      </c>
      <c r="B16" s="633" t="s">
        <v>6</v>
      </c>
      <c r="C16" s="651" t="s">
        <v>10</v>
      </c>
      <c r="D16" s="651"/>
      <c r="E16" s="651"/>
      <c r="F16" s="651"/>
      <c r="G16" s="651"/>
      <c r="H16" s="651"/>
      <c r="I16" s="651"/>
    </row>
    <row r="17" spans="1:9" x14ac:dyDescent="0.35">
      <c r="A17" s="33">
        <v>44099</v>
      </c>
      <c r="B17" s="11">
        <v>1</v>
      </c>
      <c r="C17" s="652" t="s">
        <v>11</v>
      </c>
      <c r="D17" s="652"/>
      <c r="E17" s="652"/>
      <c r="F17" s="652"/>
      <c r="G17" s="652"/>
      <c r="H17" s="652"/>
      <c r="I17" s="652"/>
    </row>
    <row r="18" spans="1:9" ht="99" customHeight="1" x14ac:dyDescent="0.35">
      <c r="A18" s="33">
        <v>44337</v>
      </c>
      <c r="B18" s="12">
        <v>1.1000000000000001</v>
      </c>
      <c r="C18" s="650" t="s">
        <v>12</v>
      </c>
      <c r="D18" s="650"/>
      <c r="E18" s="650"/>
      <c r="F18" s="650"/>
      <c r="G18" s="650"/>
      <c r="H18" s="650"/>
      <c r="I18" s="650"/>
    </row>
    <row r="19" spans="1:9" x14ac:dyDescent="0.35">
      <c r="A19" s="33"/>
      <c r="B19" s="12"/>
      <c r="C19" s="650"/>
      <c r="D19" s="650"/>
      <c r="E19" s="650"/>
      <c r="F19" s="650"/>
      <c r="G19" s="650"/>
      <c r="H19" s="650"/>
      <c r="I19" s="650"/>
    </row>
    <row r="20" spans="1:9" x14ac:dyDescent="0.35">
      <c r="A20" s="33"/>
      <c r="B20" s="12"/>
      <c r="C20" s="650"/>
      <c r="D20" s="650"/>
      <c r="E20" s="650"/>
      <c r="F20" s="650"/>
      <c r="G20" s="650"/>
      <c r="H20" s="650"/>
      <c r="I20" s="650"/>
    </row>
    <row r="21" spans="1:9" x14ac:dyDescent="0.35">
      <c r="A21" s="33"/>
      <c r="B21" s="12"/>
      <c r="C21" s="650"/>
      <c r="D21" s="650"/>
      <c r="E21" s="650"/>
      <c r="F21" s="650"/>
      <c r="G21" s="650"/>
      <c r="H21" s="650"/>
      <c r="I21" s="650"/>
    </row>
    <row r="22" spans="1:9" x14ac:dyDescent="0.35">
      <c r="A22" s="33"/>
      <c r="B22" s="12"/>
      <c r="C22" s="650"/>
      <c r="D22" s="650"/>
      <c r="E22" s="650"/>
      <c r="F22" s="650"/>
      <c r="G22" s="650"/>
      <c r="H22" s="650"/>
      <c r="I22" s="650"/>
    </row>
    <row r="23" spans="1:9" x14ac:dyDescent="0.35">
      <c r="A23" s="33"/>
      <c r="B23" s="12"/>
      <c r="C23" s="650"/>
      <c r="D23" s="650"/>
      <c r="E23" s="650"/>
      <c r="F23" s="650"/>
      <c r="G23" s="650"/>
      <c r="H23" s="650"/>
      <c r="I23" s="650"/>
    </row>
    <row r="24" spans="1:9" x14ac:dyDescent="0.35">
      <c r="A24" s="12"/>
      <c r="B24" s="12"/>
      <c r="C24" s="650"/>
      <c r="D24" s="650"/>
      <c r="E24" s="650"/>
      <c r="F24" s="650"/>
      <c r="G24" s="650"/>
      <c r="H24" s="650"/>
      <c r="I24" s="650"/>
    </row>
    <row r="25" spans="1:9" x14ac:dyDescent="0.35">
      <c r="A25" s="12"/>
      <c r="B25" s="12"/>
      <c r="C25" s="650"/>
      <c r="D25" s="650"/>
      <c r="E25" s="650"/>
      <c r="F25" s="650"/>
      <c r="G25" s="650"/>
      <c r="H25" s="650"/>
      <c r="I25" s="650"/>
    </row>
    <row r="26" spans="1:9" x14ac:dyDescent="0.35">
      <c r="A26" s="1"/>
      <c r="B26"/>
      <c r="C26" s="650"/>
      <c r="D26" s="650"/>
      <c r="E26" s="650"/>
      <c r="F26" s="650"/>
      <c r="G26" s="650"/>
      <c r="H26" s="650"/>
      <c r="I26" s="650"/>
    </row>
    <row r="27" spans="1:9" x14ac:dyDescent="0.35">
      <c r="A27" s="1"/>
      <c r="B27"/>
      <c r="C27" s="650"/>
      <c r="D27" s="650"/>
      <c r="E27" s="650"/>
      <c r="F27" s="650"/>
      <c r="G27" s="650"/>
      <c r="H27" s="650"/>
      <c r="I27" s="650"/>
    </row>
    <row r="28" spans="1:9" x14ac:dyDescent="0.35">
      <c r="A28" s="1"/>
      <c r="B28"/>
      <c r="C28" s="650"/>
      <c r="D28" s="650"/>
      <c r="E28" s="650"/>
      <c r="F28" s="650"/>
      <c r="G28" s="650"/>
      <c r="H28" s="650"/>
      <c r="I28" s="650"/>
    </row>
    <row r="29" spans="1:9" x14ac:dyDescent="0.35">
      <c r="A29" s="12"/>
      <c r="B29" s="12"/>
      <c r="C29" s="650"/>
      <c r="D29" s="650"/>
      <c r="E29" s="650"/>
      <c r="F29" s="650"/>
      <c r="G29" s="650"/>
      <c r="H29" s="650"/>
      <c r="I29" s="650"/>
    </row>
    <row r="30" spans="1:9" x14ac:dyDescent="0.35">
      <c r="A30" s="12"/>
      <c r="B30" s="12"/>
      <c r="C30" s="650"/>
      <c r="D30" s="650"/>
      <c r="E30" s="650"/>
      <c r="F30" s="650"/>
      <c r="G30" s="650"/>
      <c r="H30" s="650"/>
      <c r="I30" s="650"/>
    </row>
    <row r="31" spans="1:9" x14ac:dyDescent="0.35">
      <c r="A31" s="12"/>
      <c r="B31" s="12"/>
      <c r="C31" s="650"/>
      <c r="D31" s="650"/>
      <c r="E31" s="650"/>
      <c r="F31" s="650"/>
      <c r="G31" s="650"/>
      <c r="H31" s="650"/>
      <c r="I31" s="650"/>
    </row>
    <row r="32" spans="1:9" x14ac:dyDescent="0.35">
      <c r="A32" s="12"/>
      <c r="B32" s="12"/>
      <c r="C32" s="650"/>
      <c r="D32" s="650"/>
      <c r="E32" s="650"/>
      <c r="F32" s="650"/>
      <c r="G32" s="650"/>
      <c r="H32" s="650"/>
      <c r="I32" s="650"/>
    </row>
    <row r="33" spans="1:9" x14ac:dyDescent="0.35">
      <c r="A33" s="12"/>
      <c r="B33" s="12"/>
      <c r="C33" s="650"/>
      <c r="D33" s="650"/>
      <c r="E33" s="650"/>
      <c r="F33" s="650"/>
      <c r="G33" s="650"/>
      <c r="H33" s="650"/>
      <c r="I33" s="650"/>
    </row>
    <row r="34" spans="1:9" x14ac:dyDescent="0.35">
      <c r="A34" s="12"/>
      <c r="B34" s="12"/>
      <c r="C34" s="650"/>
      <c r="D34" s="650"/>
      <c r="E34" s="650"/>
      <c r="F34" s="650"/>
      <c r="G34" s="650"/>
      <c r="H34" s="650"/>
      <c r="I34" s="650"/>
    </row>
    <row r="35" spans="1:9" x14ac:dyDescent="0.35">
      <c r="A35" s="12"/>
      <c r="B35" s="12"/>
      <c r="C35" s="652"/>
      <c r="D35" s="652"/>
      <c r="E35" s="652"/>
      <c r="F35" s="652"/>
      <c r="G35" s="652"/>
      <c r="H35" s="652"/>
      <c r="I35" s="652"/>
    </row>
    <row r="36" spans="1:9" x14ac:dyDescent="0.35">
      <c r="A36" s="12"/>
      <c r="B36" s="12"/>
      <c r="C36" s="652"/>
      <c r="D36" s="652"/>
      <c r="E36" s="652"/>
      <c r="F36" s="652"/>
      <c r="G36" s="652"/>
      <c r="H36" s="652"/>
      <c r="I36" s="652"/>
    </row>
    <row r="37" spans="1:9" x14ac:dyDescent="0.35">
      <c r="A37" s="12"/>
      <c r="B37" s="12"/>
      <c r="C37" s="652"/>
      <c r="D37" s="652"/>
      <c r="E37" s="652"/>
      <c r="F37" s="652"/>
      <c r="G37" s="652"/>
      <c r="H37" s="652"/>
      <c r="I37" s="652"/>
    </row>
    <row r="38" spans="1:9" x14ac:dyDescent="0.35">
      <c r="A38" s="12"/>
      <c r="B38" s="12"/>
      <c r="C38" s="652"/>
      <c r="D38" s="652"/>
      <c r="E38" s="652"/>
      <c r="F38" s="652"/>
      <c r="G38" s="652"/>
      <c r="H38" s="652"/>
      <c r="I38" s="652"/>
    </row>
    <row r="39" spans="1:9" x14ac:dyDescent="0.35">
      <c r="A39" s="12"/>
      <c r="B39" s="12"/>
      <c r="C39" s="652"/>
      <c r="D39" s="652"/>
      <c r="E39" s="652"/>
      <c r="F39" s="652"/>
      <c r="G39" s="652"/>
      <c r="H39" s="652"/>
      <c r="I39" s="652"/>
    </row>
    <row r="40" spans="1:9" x14ac:dyDescent="0.35">
      <c r="A40" s="12"/>
      <c r="B40" s="12"/>
      <c r="C40" s="652"/>
      <c r="D40" s="652"/>
      <c r="E40" s="652"/>
      <c r="F40" s="652"/>
      <c r="G40" s="652"/>
      <c r="H40" s="652"/>
      <c r="I40" s="652"/>
    </row>
    <row r="41" spans="1:9" x14ac:dyDescent="0.35">
      <c r="A41" s="12"/>
      <c r="B41" s="12"/>
      <c r="C41" s="652"/>
      <c r="D41" s="652"/>
      <c r="E41" s="652"/>
      <c r="F41" s="652"/>
      <c r="G41" s="652"/>
      <c r="H41" s="652"/>
      <c r="I41" s="652"/>
    </row>
    <row r="42" spans="1:9" x14ac:dyDescent="0.35">
      <c r="A42" s="12"/>
      <c r="B42" s="12"/>
      <c r="C42" s="652"/>
      <c r="D42" s="652"/>
      <c r="E42" s="652"/>
      <c r="F42" s="652"/>
      <c r="G42" s="652"/>
      <c r="H42" s="652"/>
      <c r="I42" s="652"/>
    </row>
    <row r="43" spans="1:9" x14ac:dyDescent="0.35">
      <c r="A43" s="12"/>
      <c r="B43" s="12"/>
      <c r="C43" s="652"/>
      <c r="D43" s="652"/>
      <c r="E43" s="652"/>
      <c r="F43" s="652"/>
      <c r="G43" s="652"/>
      <c r="H43" s="652"/>
      <c r="I43" s="652"/>
    </row>
    <row r="44" spans="1:9" x14ac:dyDescent="0.35">
      <c r="A44" s="12"/>
      <c r="B44" s="12"/>
      <c r="C44" s="652"/>
      <c r="D44" s="652"/>
      <c r="E44" s="652"/>
      <c r="F44" s="652"/>
      <c r="G44" s="652"/>
      <c r="H44" s="652"/>
      <c r="I44" s="652"/>
    </row>
    <row r="45" spans="1:9" x14ac:dyDescent="0.35">
      <c r="A45" s="12"/>
      <c r="B45" s="12"/>
      <c r="C45" s="652"/>
      <c r="D45" s="652"/>
      <c r="E45" s="652"/>
      <c r="F45" s="652"/>
      <c r="G45" s="652"/>
      <c r="H45" s="652"/>
      <c r="I45" s="652"/>
    </row>
    <row r="46" spans="1:9" x14ac:dyDescent="0.35">
      <c r="A46" s="12"/>
      <c r="B46" s="12"/>
    </row>
    <row r="47" spans="1:9" x14ac:dyDescent="0.35">
      <c r="A47" s="12"/>
      <c r="B47" s="12"/>
    </row>
    <row r="48" spans="1:9" x14ac:dyDescent="0.35">
      <c r="A48" s="12"/>
      <c r="B48" s="12"/>
    </row>
    <row r="49" spans="1:2" x14ac:dyDescent="0.35">
      <c r="A49" s="12"/>
      <c r="B49" s="12"/>
    </row>
    <row r="50" spans="1:2" x14ac:dyDescent="0.35">
      <c r="A50" s="12"/>
      <c r="B50" s="12"/>
    </row>
    <row r="51" spans="1:2" x14ac:dyDescent="0.35">
      <c r="A51" s="12"/>
      <c r="B51" s="12"/>
    </row>
  </sheetData>
  <mergeCells count="36">
    <mergeCell ref="C43:I43"/>
    <mergeCell ref="C44:I44"/>
    <mergeCell ref="C45:I45"/>
    <mergeCell ref="C37:I37"/>
    <mergeCell ref="C38:I38"/>
    <mergeCell ref="C39:I39"/>
    <mergeCell ref="C40:I40"/>
    <mergeCell ref="C41:I41"/>
    <mergeCell ref="C42:I42"/>
    <mergeCell ref="C36:I36"/>
    <mergeCell ref="C25:I25"/>
    <mergeCell ref="C26:I26"/>
    <mergeCell ref="C27:I27"/>
    <mergeCell ref="C28:I28"/>
    <mergeCell ref="C29:I29"/>
    <mergeCell ref="C30:I30"/>
    <mergeCell ref="C31:I31"/>
    <mergeCell ref="C32:I32"/>
    <mergeCell ref="C33:I33"/>
    <mergeCell ref="C34:I34"/>
    <mergeCell ref="C35:I35"/>
    <mergeCell ref="A8:I8"/>
    <mergeCell ref="C21:I21"/>
    <mergeCell ref="C22:I22"/>
    <mergeCell ref="C23:I23"/>
    <mergeCell ref="C24:I24"/>
    <mergeCell ref="C16:I16"/>
    <mergeCell ref="C17:I17"/>
    <mergeCell ref="C18:I18"/>
    <mergeCell ref="C19:I19"/>
    <mergeCell ref="C20:I20"/>
    <mergeCell ref="A1:C1"/>
    <mergeCell ref="A2:I2"/>
    <mergeCell ref="A4:C4"/>
    <mergeCell ref="A5:I5"/>
    <mergeCell ref="A7:C7"/>
  </mergeCells>
  <pageMargins left="0.7" right="0.7" top="0.75" bottom="0.75" header="0.3" footer="0.3"/>
  <pageSetup orientation="portrait" r:id="rId1"/>
  <headerFooter>
    <oddHeader>&amp;C&amp;"-,Bold"Non-Wires Alternative Analysis Request Form&amp;"-,Regular"
Introduction and Instructions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148C"/>
  </sheetPr>
  <dimension ref="A1:W86"/>
  <sheetViews>
    <sheetView tabSelected="1" topLeftCell="A33" workbookViewId="0">
      <selection activeCell="H9" sqref="H9"/>
    </sheetView>
  </sheetViews>
  <sheetFormatPr defaultColWidth="9.1796875" defaultRowHeight="14.5" x14ac:dyDescent="0.35"/>
  <cols>
    <col min="1" max="1" width="9.1796875" style="3"/>
    <col min="2" max="2" width="2.26953125" style="3" customWidth="1"/>
    <col min="3" max="3" width="6.54296875" style="3" bestFit="1" customWidth="1"/>
    <col min="4" max="4" width="7.7265625" style="3" bestFit="1" customWidth="1"/>
    <col min="5" max="7" width="8.54296875" style="3" bestFit="1" customWidth="1"/>
    <col min="8" max="8" width="9.54296875" style="3" bestFit="1" customWidth="1"/>
    <col min="9" max="9" width="10.1796875" style="3" bestFit="1" customWidth="1"/>
    <col min="10" max="16384" width="9.1796875" style="3"/>
  </cols>
  <sheetData>
    <row r="1" spans="1:23" ht="28.5" customHeight="1" x14ac:dyDescent="0.35">
      <c r="A1" s="653" t="s">
        <v>271</v>
      </c>
      <c r="B1" s="653"/>
      <c r="C1" s="653"/>
      <c r="D1" s="653"/>
      <c r="E1" s="653"/>
      <c r="F1" s="653"/>
      <c r="G1" s="653"/>
      <c r="H1" s="653"/>
      <c r="I1" s="653"/>
    </row>
    <row r="3" spans="1:23" x14ac:dyDescent="0.35">
      <c r="A3" s="3" t="s">
        <v>272</v>
      </c>
    </row>
    <row r="5" spans="1:23" ht="15" customHeight="1" x14ac:dyDescent="0.35">
      <c r="A5" s="767" t="s">
        <v>273</v>
      </c>
      <c r="B5" s="768"/>
      <c r="C5" s="768"/>
      <c r="D5" s="768"/>
      <c r="E5" s="768"/>
      <c r="F5" s="768"/>
      <c r="G5" s="768"/>
      <c r="H5" s="768"/>
      <c r="I5" s="769"/>
      <c r="O5" s="770"/>
      <c r="P5" s="770"/>
      <c r="Q5" s="770"/>
      <c r="R5" s="770"/>
      <c r="S5" s="770"/>
      <c r="T5" s="770"/>
      <c r="U5" s="770"/>
      <c r="V5" s="770"/>
      <c r="W5" s="770"/>
    </row>
    <row r="6" spans="1:23" ht="14.5" customHeight="1" x14ac:dyDescent="0.35">
      <c r="A6" s="713" t="s">
        <v>274</v>
      </c>
      <c r="B6" s="768"/>
      <c r="C6" s="768"/>
      <c r="D6" s="768"/>
      <c r="E6" s="768"/>
      <c r="F6" s="768"/>
      <c r="G6" s="768"/>
      <c r="H6" s="768"/>
      <c r="I6" s="769"/>
      <c r="M6" s="216"/>
      <c r="N6" s="216"/>
      <c r="O6" s="770"/>
      <c r="P6" s="770"/>
      <c r="Q6" s="770"/>
      <c r="R6" s="770"/>
      <c r="S6" s="770"/>
      <c r="T6" s="770"/>
      <c r="U6" s="770"/>
      <c r="V6" s="770"/>
      <c r="W6" s="770"/>
    </row>
    <row r="7" spans="1:23" ht="26" x14ac:dyDescent="0.35">
      <c r="A7" s="312" t="s">
        <v>275</v>
      </c>
      <c r="B7" s="266"/>
      <c r="C7" s="762" t="s">
        <v>276</v>
      </c>
      <c r="D7" s="763"/>
      <c r="E7" s="763"/>
      <c r="F7" s="764"/>
      <c r="G7" s="765" t="s">
        <v>277</v>
      </c>
      <c r="H7" s="766"/>
      <c r="I7" s="265" t="s">
        <v>278</v>
      </c>
      <c r="M7" s="215"/>
      <c r="N7" s="217"/>
      <c r="O7" s="770"/>
      <c r="P7" s="770"/>
      <c r="Q7" s="770"/>
      <c r="R7" s="770"/>
      <c r="S7" s="771"/>
      <c r="T7" s="771"/>
      <c r="U7" s="770"/>
      <c r="V7" s="770"/>
      <c r="W7" s="770"/>
    </row>
    <row r="8" spans="1:23" s="42" customFormat="1" ht="39" x14ac:dyDescent="0.35">
      <c r="A8" s="313" t="s">
        <v>176</v>
      </c>
      <c r="B8" s="314"/>
      <c r="C8" s="145" t="s">
        <v>177</v>
      </c>
      <c r="D8" s="146" t="s">
        <v>178</v>
      </c>
      <c r="E8" s="146" t="s">
        <v>179</v>
      </c>
      <c r="F8" s="147" t="s">
        <v>180</v>
      </c>
      <c r="G8" s="148" t="s">
        <v>279</v>
      </c>
      <c r="H8" s="149" t="s">
        <v>280</v>
      </c>
      <c r="I8" s="150" t="s">
        <v>281</v>
      </c>
      <c r="M8" s="218"/>
      <c r="N8" s="219"/>
      <c r="O8" s="220"/>
      <c r="P8" s="132"/>
      <c r="Q8" s="132"/>
      <c r="R8" s="132"/>
      <c r="U8" s="218"/>
      <c r="V8" s="219"/>
      <c r="W8" s="220"/>
    </row>
    <row r="9" spans="1:23" x14ac:dyDescent="0.35">
      <c r="A9" s="263" t="s">
        <v>181</v>
      </c>
      <c r="B9" s="292"/>
      <c r="C9" s="151" t="s">
        <v>182</v>
      </c>
      <c r="D9" s="152" t="s">
        <v>182</v>
      </c>
      <c r="E9" s="152" t="s">
        <v>182</v>
      </c>
      <c r="F9" s="153" t="s">
        <v>182</v>
      </c>
      <c r="G9" s="154" t="s">
        <v>282</v>
      </c>
      <c r="H9" s="155" t="s">
        <v>282</v>
      </c>
      <c r="I9" s="156" t="s">
        <v>182</v>
      </c>
      <c r="M9" s="215"/>
      <c r="N9" s="217"/>
      <c r="O9" s="221"/>
      <c r="P9" s="134"/>
      <c r="Q9" s="134"/>
      <c r="R9" s="134"/>
      <c r="U9" s="215"/>
      <c r="V9" s="217"/>
      <c r="W9" s="221"/>
    </row>
    <row r="10" spans="1:23" x14ac:dyDescent="0.35">
      <c r="A10" s="222">
        <v>2021</v>
      </c>
      <c r="B10" s="289"/>
      <c r="C10" s="223" t="s">
        <v>283</v>
      </c>
      <c r="D10" s="224" t="s">
        <v>283</v>
      </c>
      <c r="E10" s="224" t="s">
        <v>283</v>
      </c>
      <c r="F10" s="225" t="s">
        <v>283</v>
      </c>
      <c r="G10" s="226" t="s">
        <v>283</v>
      </c>
      <c r="H10" s="227" t="s">
        <v>283</v>
      </c>
      <c r="I10" s="228">
        <v>0</v>
      </c>
      <c r="L10" s="215"/>
      <c r="M10" s="215"/>
      <c r="N10" s="217"/>
      <c r="O10" s="229"/>
      <c r="P10" s="44"/>
      <c r="Q10" s="99"/>
      <c r="R10" s="99"/>
      <c r="S10" s="44"/>
      <c r="T10" s="44"/>
      <c r="U10" s="229"/>
      <c r="V10" s="230"/>
      <c r="W10" s="229"/>
    </row>
    <row r="11" spans="1:23" x14ac:dyDescent="0.35">
      <c r="A11" s="222">
        <v>2022</v>
      </c>
      <c r="B11" s="289"/>
      <c r="C11" s="223">
        <v>2.8197730096537104E-3</v>
      </c>
      <c r="D11" s="224">
        <v>1.9251036306403581E-3</v>
      </c>
      <c r="E11" s="224">
        <v>1.8848341372156286E-3</v>
      </c>
      <c r="F11" s="225">
        <v>1.3041723533149263E-3</v>
      </c>
      <c r="G11" s="226">
        <v>5.9973017556834192</v>
      </c>
      <c r="H11" s="227" t="s">
        <v>283</v>
      </c>
      <c r="I11" s="228">
        <v>1.0668165710899322E-3</v>
      </c>
      <c r="L11" s="215"/>
      <c r="M11" s="215"/>
      <c r="N11" s="217"/>
      <c r="O11" s="229"/>
      <c r="P11" s="44"/>
      <c r="Q11" s="99"/>
      <c r="R11" s="99"/>
      <c r="S11" s="44"/>
      <c r="T11" s="44"/>
      <c r="U11" s="229"/>
      <c r="V11" s="230"/>
      <c r="W11" s="229"/>
    </row>
    <row r="12" spans="1:23" x14ac:dyDescent="0.35">
      <c r="A12" s="222">
        <v>2023</v>
      </c>
      <c r="B12" s="289"/>
      <c r="C12" s="223">
        <v>4.5512196332637214E-3</v>
      </c>
      <c r="D12" s="224">
        <v>3.245746082378272E-3</v>
      </c>
      <c r="E12" s="224">
        <v>3.4402226947952046E-3</v>
      </c>
      <c r="F12" s="225">
        <v>2.2741256147749624E-3</v>
      </c>
      <c r="G12" s="226">
        <v>7.6147787933798554</v>
      </c>
      <c r="H12" s="227" t="s">
        <v>283</v>
      </c>
      <c r="I12" s="228">
        <v>1.6702221798502864E-3</v>
      </c>
      <c r="L12" s="215"/>
      <c r="M12" s="215"/>
      <c r="N12" s="217"/>
      <c r="O12" s="229"/>
      <c r="P12" s="44"/>
      <c r="Q12" s="99"/>
      <c r="R12" s="99"/>
      <c r="S12" s="44"/>
      <c r="T12" s="44"/>
      <c r="U12" s="229"/>
      <c r="V12" s="230"/>
      <c r="W12" s="229"/>
    </row>
    <row r="13" spans="1:23" x14ac:dyDescent="0.35">
      <c r="A13" s="222">
        <v>2024</v>
      </c>
      <c r="B13" s="289"/>
      <c r="C13" s="223">
        <v>5.1051959083036778E-3</v>
      </c>
      <c r="D13" s="224">
        <v>3.5780998731258164E-3</v>
      </c>
      <c r="E13" s="224">
        <v>4.4001156883494343E-3</v>
      </c>
      <c r="F13" s="225">
        <v>2.8157616263307676E-3</v>
      </c>
      <c r="G13" s="226">
        <v>1.540269364214651</v>
      </c>
      <c r="H13" s="227" t="s">
        <v>283</v>
      </c>
      <c r="I13" s="228">
        <v>1.7185430779789082E-3</v>
      </c>
      <c r="L13" s="215"/>
      <c r="M13" s="215"/>
      <c r="N13" s="217"/>
      <c r="O13" s="229"/>
      <c r="P13" s="44"/>
      <c r="Q13" s="99"/>
      <c r="R13" s="99"/>
      <c r="S13" s="44"/>
      <c r="T13" s="44"/>
      <c r="U13" s="229"/>
      <c r="V13" s="230"/>
      <c r="W13" s="229"/>
    </row>
    <row r="14" spans="1:23" x14ac:dyDescent="0.35">
      <c r="A14" s="222">
        <v>2025</v>
      </c>
      <c r="B14" s="289"/>
      <c r="C14" s="223">
        <v>5.1002475901756562E-3</v>
      </c>
      <c r="D14" s="224">
        <v>3.4550841174828244E-3</v>
      </c>
      <c r="E14" s="224">
        <v>4.3692663881200007E-3</v>
      </c>
      <c r="F14" s="225">
        <v>2.6769713594355983E-3</v>
      </c>
      <c r="G14" s="226">
        <v>1.2542824306521454</v>
      </c>
      <c r="H14" s="227" t="s">
        <v>283</v>
      </c>
      <c r="I14" s="228">
        <v>1.724048097731957E-3</v>
      </c>
      <c r="L14" s="215"/>
      <c r="M14" s="215"/>
      <c r="N14" s="217"/>
      <c r="O14" s="229"/>
      <c r="P14" s="44"/>
      <c r="Q14" s="99"/>
      <c r="R14" s="99"/>
      <c r="S14" s="44"/>
      <c r="T14" s="44"/>
      <c r="U14" s="229"/>
      <c r="V14" s="230"/>
      <c r="W14" s="229"/>
    </row>
    <row r="15" spans="1:23" x14ac:dyDescent="0.35">
      <c r="A15" s="222">
        <v>2026</v>
      </c>
      <c r="B15" s="289"/>
      <c r="C15" s="223">
        <v>4.7537075370852524E-3</v>
      </c>
      <c r="D15" s="224">
        <v>3.1488973274158031E-3</v>
      </c>
      <c r="E15" s="224">
        <v>3.736212513925953E-3</v>
      </c>
      <c r="F15" s="225">
        <v>2.2396519951248233E-3</v>
      </c>
      <c r="G15" s="226">
        <v>0.83867386169105207</v>
      </c>
      <c r="H15" s="227" t="s">
        <v>283</v>
      </c>
      <c r="I15" s="228">
        <v>1.266865894942416E-3</v>
      </c>
      <c r="L15" s="215"/>
      <c r="M15" s="215"/>
      <c r="N15" s="217"/>
      <c r="O15" s="229"/>
      <c r="P15" s="44"/>
      <c r="Q15" s="99"/>
      <c r="R15" s="99"/>
      <c r="S15" s="44"/>
      <c r="T15" s="44"/>
      <c r="U15" s="229"/>
      <c r="V15" s="230"/>
      <c r="W15" s="229"/>
    </row>
    <row r="16" spans="1:23" x14ac:dyDescent="0.35">
      <c r="A16" s="222">
        <v>2027</v>
      </c>
      <c r="B16" s="289"/>
      <c r="C16" s="223">
        <v>3.9126509541001272E-3</v>
      </c>
      <c r="D16" s="224">
        <v>2.8064179750285304E-3</v>
      </c>
      <c r="E16" s="224">
        <v>2.7994061093866919E-3</v>
      </c>
      <c r="F16" s="225">
        <v>1.9875891234461813E-3</v>
      </c>
      <c r="G16" s="226" t="s">
        <v>283</v>
      </c>
      <c r="H16" s="227">
        <v>0.81398093553607831</v>
      </c>
      <c r="I16" s="228">
        <v>8.2555510047969786E-4</v>
      </c>
      <c r="L16" s="215"/>
      <c r="M16" s="215"/>
      <c r="N16" s="217"/>
      <c r="O16" s="229"/>
      <c r="P16" s="44"/>
      <c r="Q16" s="99"/>
      <c r="R16" s="99"/>
      <c r="S16" s="44"/>
      <c r="T16" s="44"/>
      <c r="U16" s="229"/>
      <c r="V16" s="230"/>
      <c r="W16" s="229"/>
    </row>
    <row r="17" spans="1:23" x14ac:dyDescent="0.35">
      <c r="A17" s="222">
        <v>2028</v>
      </c>
      <c r="B17" s="289"/>
      <c r="C17" s="223">
        <v>2.8044625157457809E-3</v>
      </c>
      <c r="D17" s="224">
        <v>2.0253847505307854E-3</v>
      </c>
      <c r="E17" s="224">
        <v>2.2571823409153176E-3</v>
      </c>
      <c r="F17" s="225">
        <v>1.5712069701604057E-3</v>
      </c>
      <c r="G17" s="226" t="s">
        <v>283</v>
      </c>
      <c r="H17" s="227">
        <v>18.116344399799356</v>
      </c>
      <c r="I17" s="228">
        <v>6.3209415371199694E-4</v>
      </c>
      <c r="L17" s="215"/>
      <c r="M17" s="215"/>
      <c r="N17" s="217"/>
      <c r="O17" s="229"/>
      <c r="P17" s="44"/>
      <c r="Q17" s="99"/>
      <c r="R17" s="99"/>
      <c r="S17" s="44"/>
      <c r="T17" s="44"/>
      <c r="U17" s="229"/>
      <c r="V17" s="230"/>
      <c r="W17" s="229"/>
    </row>
    <row r="18" spans="1:23" x14ac:dyDescent="0.35">
      <c r="A18" s="222">
        <v>2029</v>
      </c>
      <c r="B18" s="289"/>
      <c r="C18" s="223">
        <v>1.9888834868961643E-3</v>
      </c>
      <c r="D18" s="224">
        <v>1.4091846399202487E-3</v>
      </c>
      <c r="E18" s="224">
        <v>1.7531171325583989E-3</v>
      </c>
      <c r="F18" s="225">
        <v>1.1732860384374409E-3</v>
      </c>
      <c r="G18" s="226" t="s">
        <v>283</v>
      </c>
      <c r="H18" s="227">
        <v>24.857346784240178</v>
      </c>
      <c r="I18" s="228">
        <v>4.4423712859854554E-4</v>
      </c>
      <c r="L18" s="215"/>
      <c r="M18" s="215"/>
      <c r="N18" s="221"/>
      <c r="O18" s="229"/>
      <c r="P18" s="44"/>
      <c r="Q18" s="99"/>
      <c r="R18" s="99"/>
      <c r="S18" s="44"/>
      <c r="T18" s="44"/>
      <c r="U18" s="229"/>
      <c r="V18" s="230"/>
      <c r="W18" s="229"/>
    </row>
    <row r="19" spans="1:23" x14ac:dyDescent="0.35">
      <c r="A19" s="222">
        <v>2030</v>
      </c>
      <c r="B19" s="289"/>
      <c r="C19" s="223">
        <v>1.1120757526263934E-3</v>
      </c>
      <c r="D19" s="224">
        <v>7.9834510445590606E-4</v>
      </c>
      <c r="E19" s="224">
        <v>8.651128219418784E-4</v>
      </c>
      <c r="F19" s="225">
        <v>5.7748288177827598E-4</v>
      </c>
      <c r="G19" s="226" t="s">
        <v>283</v>
      </c>
      <c r="H19" s="227">
        <v>28.941394032700604</v>
      </c>
      <c r="I19" s="228">
        <v>2.6428534366884036E-4</v>
      </c>
      <c r="L19" s="215"/>
      <c r="M19" s="215"/>
      <c r="N19" s="221"/>
      <c r="O19" s="229"/>
      <c r="P19" s="44"/>
      <c r="Q19" s="99"/>
      <c r="R19" s="99"/>
      <c r="S19" s="44"/>
      <c r="T19" s="44"/>
      <c r="U19" s="229"/>
      <c r="V19" s="230"/>
      <c r="W19" s="229"/>
    </row>
    <row r="20" spans="1:23" x14ac:dyDescent="0.35">
      <c r="A20" s="222">
        <v>2031</v>
      </c>
      <c r="B20" s="289"/>
      <c r="C20" s="223">
        <v>6.5527593516967811E-4</v>
      </c>
      <c r="D20" s="224">
        <v>4.3800701263078072E-4</v>
      </c>
      <c r="E20" s="224">
        <v>5.4081756328384282E-4</v>
      </c>
      <c r="F20" s="225">
        <v>3.3948747493710974E-4</v>
      </c>
      <c r="G20" s="226" t="s">
        <v>283</v>
      </c>
      <c r="H20" s="227">
        <v>28.429390274265941</v>
      </c>
      <c r="I20" s="228">
        <v>9.2083306052974148E-5</v>
      </c>
      <c r="L20" s="215"/>
      <c r="M20" s="215"/>
      <c r="N20" s="221"/>
      <c r="O20" s="229"/>
      <c r="P20" s="44"/>
      <c r="Q20" s="99"/>
      <c r="R20" s="99"/>
      <c r="S20" s="44"/>
      <c r="T20" s="44"/>
      <c r="U20" s="229"/>
      <c r="V20" s="230"/>
      <c r="W20" s="229"/>
    </row>
    <row r="21" spans="1:23" x14ac:dyDescent="0.35">
      <c r="A21" s="222">
        <v>2032</v>
      </c>
      <c r="B21" s="289"/>
      <c r="C21" s="223" t="s">
        <v>283</v>
      </c>
      <c r="D21" s="224" t="s">
        <v>283</v>
      </c>
      <c r="E21" s="224" t="s">
        <v>283</v>
      </c>
      <c r="F21" s="225" t="s">
        <v>283</v>
      </c>
      <c r="G21" s="226" t="s">
        <v>283</v>
      </c>
      <c r="H21" s="227">
        <v>21.914435133071141</v>
      </c>
      <c r="I21" s="228">
        <v>9.269090195760616E-5</v>
      </c>
      <c r="L21" s="215"/>
      <c r="M21" s="215"/>
      <c r="N21" s="221"/>
      <c r="O21" s="229"/>
      <c r="P21" s="44"/>
      <c r="Q21" s="99"/>
      <c r="R21" s="99"/>
      <c r="S21" s="44"/>
      <c r="T21" s="44"/>
      <c r="U21" s="229"/>
      <c r="V21" s="230"/>
      <c r="W21" s="229"/>
    </row>
    <row r="22" spans="1:23" x14ac:dyDescent="0.35">
      <c r="A22" s="222">
        <v>2033</v>
      </c>
      <c r="B22" s="289"/>
      <c r="C22" s="223" t="s">
        <v>283</v>
      </c>
      <c r="D22" s="224" t="s">
        <v>283</v>
      </c>
      <c r="E22" s="224" t="s">
        <v>283</v>
      </c>
      <c r="F22" s="225" t="s">
        <v>283</v>
      </c>
      <c r="G22" s="226" t="s">
        <v>283</v>
      </c>
      <c r="H22" s="227">
        <v>12.076999891898947</v>
      </c>
      <c r="I22" s="228">
        <v>9.3190014671828172E-5</v>
      </c>
      <c r="L22" s="215"/>
      <c r="M22" s="215"/>
      <c r="N22" s="221"/>
      <c r="O22" s="229"/>
      <c r="P22" s="44"/>
      <c r="Q22" s="99"/>
      <c r="R22" s="99"/>
      <c r="S22" s="44"/>
      <c r="T22" s="44"/>
      <c r="U22" s="229"/>
      <c r="V22" s="230"/>
      <c r="W22" s="229"/>
    </row>
    <row r="23" spans="1:23" x14ac:dyDescent="0.35">
      <c r="A23" s="222">
        <v>2034</v>
      </c>
      <c r="B23" s="289"/>
      <c r="C23" s="223" t="s">
        <v>283</v>
      </c>
      <c r="D23" s="224" t="s">
        <v>283</v>
      </c>
      <c r="E23" s="224" t="s">
        <v>283</v>
      </c>
      <c r="F23" s="225" t="s">
        <v>283</v>
      </c>
      <c r="G23" s="226" t="s">
        <v>283</v>
      </c>
      <c r="H23" s="227">
        <v>6.9713809194287188</v>
      </c>
      <c r="I23" s="228">
        <v>9.3190014671828172E-5</v>
      </c>
      <c r="L23" s="215"/>
      <c r="M23" s="215"/>
      <c r="N23" s="221"/>
      <c r="O23" s="229"/>
      <c r="P23" s="44"/>
      <c r="Q23" s="99"/>
      <c r="R23" s="99"/>
      <c r="S23" s="44"/>
      <c r="T23" s="44"/>
      <c r="U23" s="229"/>
      <c r="V23" s="230"/>
      <c r="W23" s="229"/>
    </row>
    <row r="24" spans="1:23" x14ac:dyDescent="0.35">
      <c r="A24" s="222">
        <v>2035</v>
      </c>
      <c r="B24" s="289"/>
      <c r="C24" s="223" t="s">
        <v>283</v>
      </c>
      <c r="D24" s="224" t="s">
        <v>283</v>
      </c>
      <c r="E24" s="224" t="s">
        <v>283</v>
      </c>
      <c r="F24" s="225" t="s">
        <v>283</v>
      </c>
      <c r="G24" s="226" t="s">
        <v>283</v>
      </c>
      <c r="H24" s="227">
        <v>3.277371375907324</v>
      </c>
      <c r="I24" s="228">
        <v>9.3190014671828172E-5</v>
      </c>
      <c r="L24" s="215"/>
      <c r="M24" s="215"/>
      <c r="N24" s="221"/>
      <c r="O24" s="229"/>
      <c r="P24" s="44"/>
      <c r="Q24" s="99"/>
      <c r="R24" s="99"/>
      <c r="S24" s="44"/>
      <c r="T24" s="44"/>
      <c r="U24" s="229"/>
      <c r="V24" s="230"/>
      <c r="W24" s="229"/>
    </row>
    <row r="25" spans="1:23" x14ac:dyDescent="0.35">
      <c r="A25" s="222">
        <v>2036</v>
      </c>
      <c r="B25" s="289"/>
      <c r="C25" s="223" t="s">
        <v>283</v>
      </c>
      <c r="D25" s="224" t="s">
        <v>283</v>
      </c>
      <c r="E25" s="224" t="s">
        <v>283</v>
      </c>
      <c r="F25" s="225" t="s">
        <v>283</v>
      </c>
      <c r="G25" s="226" t="s">
        <v>283</v>
      </c>
      <c r="H25" s="227">
        <v>0.79577131070653051</v>
      </c>
      <c r="I25" s="228">
        <v>9.3190014671828172E-5</v>
      </c>
      <c r="L25" s="215"/>
      <c r="M25" s="215"/>
      <c r="N25" s="221"/>
      <c r="O25" s="229"/>
      <c r="P25" s="44"/>
      <c r="Q25" s="99"/>
      <c r="R25" s="99"/>
      <c r="S25" s="44"/>
      <c r="T25" s="44"/>
      <c r="U25" s="229"/>
      <c r="V25" s="230"/>
      <c r="W25" s="229"/>
    </row>
    <row r="26" spans="1:23" x14ac:dyDescent="0.35">
      <c r="A26" s="222">
        <v>2037</v>
      </c>
      <c r="B26" s="289"/>
      <c r="C26" s="223" t="s">
        <v>283</v>
      </c>
      <c r="D26" s="224" t="s">
        <v>283</v>
      </c>
      <c r="E26" s="224" t="s">
        <v>283</v>
      </c>
      <c r="F26" s="225" t="s">
        <v>283</v>
      </c>
      <c r="G26" s="226" t="s">
        <v>283</v>
      </c>
      <c r="H26" s="227" t="s">
        <v>283</v>
      </c>
      <c r="I26" s="228">
        <v>9.3190014671828172E-5</v>
      </c>
      <c r="L26" s="215"/>
      <c r="M26" s="215"/>
      <c r="N26" s="221"/>
      <c r="O26" s="229"/>
      <c r="P26" s="44"/>
      <c r="Q26" s="99"/>
      <c r="R26" s="99"/>
      <c r="S26" s="44"/>
      <c r="T26" s="44"/>
      <c r="U26" s="229"/>
      <c r="V26" s="230"/>
      <c r="W26" s="229"/>
    </row>
    <row r="27" spans="1:23" x14ac:dyDescent="0.35">
      <c r="A27" s="222">
        <v>2038</v>
      </c>
      <c r="B27" s="289"/>
      <c r="C27" s="223" t="s">
        <v>283</v>
      </c>
      <c r="D27" s="224" t="s">
        <v>283</v>
      </c>
      <c r="E27" s="224" t="s">
        <v>283</v>
      </c>
      <c r="F27" s="225" t="s">
        <v>283</v>
      </c>
      <c r="G27" s="226" t="s">
        <v>283</v>
      </c>
      <c r="H27" s="227" t="s">
        <v>283</v>
      </c>
      <c r="I27" s="228">
        <v>9.3190014671828172E-5</v>
      </c>
      <c r="L27" s="215"/>
      <c r="M27" s="215"/>
      <c r="N27" s="221"/>
      <c r="O27" s="229"/>
      <c r="P27" s="44"/>
      <c r="Q27" s="99"/>
      <c r="R27" s="99"/>
      <c r="S27" s="44"/>
      <c r="T27" s="44"/>
      <c r="U27" s="229"/>
      <c r="V27" s="230"/>
      <c r="W27" s="229"/>
    </row>
    <row r="28" spans="1:23" x14ac:dyDescent="0.35">
      <c r="A28" s="222">
        <v>2039</v>
      </c>
      <c r="B28" s="289"/>
      <c r="C28" s="223" t="s">
        <v>283</v>
      </c>
      <c r="D28" s="224" t="s">
        <v>283</v>
      </c>
      <c r="E28" s="224" t="s">
        <v>283</v>
      </c>
      <c r="F28" s="225" t="s">
        <v>283</v>
      </c>
      <c r="G28" s="226" t="s">
        <v>283</v>
      </c>
      <c r="H28" s="227" t="s">
        <v>283</v>
      </c>
      <c r="I28" s="228">
        <v>9.3190014671828172E-5</v>
      </c>
      <c r="L28" s="215"/>
      <c r="M28" s="215"/>
      <c r="N28" s="221"/>
      <c r="O28" s="229"/>
      <c r="P28" s="44"/>
      <c r="Q28" s="99"/>
      <c r="R28" s="99"/>
      <c r="S28" s="44"/>
      <c r="T28" s="44"/>
      <c r="U28" s="229"/>
      <c r="V28" s="230"/>
      <c r="W28" s="229"/>
    </row>
    <row r="29" spans="1:23" x14ac:dyDescent="0.35">
      <c r="A29" s="222">
        <v>2040</v>
      </c>
      <c r="B29" s="289"/>
      <c r="C29" s="223" t="s">
        <v>283</v>
      </c>
      <c r="D29" s="224" t="s">
        <v>283</v>
      </c>
      <c r="E29" s="224" t="s">
        <v>283</v>
      </c>
      <c r="F29" s="225" t="s">
        <v>283</v>
      </c>
      <c r="G29" s="226" t="s">
        <v>283</v>
      </c>
      <c r="H29" s="227" t="s">
        <v>283</v>
      </c>
      <c r="I29" s="228">
        <v>9.3190014671828172E-5</v>
      </c>
      <c r="L29" s="215"/>
      <c r="M29" s="215"/>
      <c r="N29" s="221"/>
      <c r="O29" s="229"/>
      <c r="P29" s="44"/>
      <c r="Q29" s="99"/>
      <c r="R29" s="99"/>
      <c r="S29" s="44"/>
      <c r="T29" s="44"/>
      <c r="U29" s="229"/>
      <c r="V29" s="230"/>
      <c r="W29" s="229"/>
    </row>
    <row r="30" spans="1:23" x14ac:dyDescent="0.35">
      <c r="A30" s="222">
        <v>2041</v>
      </c>
      <c r="B30" s="289"/>
      <c r="C30" s="223" t="s">
        <v>283</v>
      </c>
      <c r="D30" s="224" t="s">
        <v>283</v>
      </c>
      <c r="E30" s="224" t="s">
        <v>283</v>
      </c>
      <c r="F30" s="225" t="s">
        <v>283</v>
      </c>
      <c r="G30" s="226" t="s">
        <v>283</v>
      </c>
      <c r="H30" s="227" t="s">
        <v>283</v>
      </c>
      <c r="I30" s="228">
        <v>9.3190014671828172E-5</v>
      </c>
      <c r="L30" s="215"/>
      <c r="M30" s="215"/>
      <c r="N30" s="221"/>
      <c r="O30" s="229"/>
      <c r="P30" s="44"/>
      <c r="Q30" s="99"/>
      <c r="R30" s="99"/>
      <c r="S30" s="44"/>
      <c r="T30" s="44"/>
      <c r="U30" s="229"/>
      <c r="V30" s="230"/>
      <c r="W30" s="229"/>
    </row>
    <row r="31" spans="1:23" x14ac:dyDescent="0.35">
      <c r="A31" s="222">
        <v>2042</v>
      </c>
      <c r="B31" s="289"/>
      <c r="C31" s="223" t="s">
        <v>283</v>
      </c>
      <c r="D31" s="224" t="s">
        <v>283</v>
      </c>
      <c r="E31" s="224" t="s">
        <v>283</v>
      </c>
      <c r="F31" s="225" t="s">
        <v>283</v>
      </c>
      <c r="G31" s="226" t="s">
        <v>283</v>
      </c>
      <c r="H31" s="227" t="s">
        <v>283</v>
      </c>
      <c r="I31" s="228">
        <v>9.3190014671828172E-5</v>
      </c>
      <c r="L31" s="215"/>
      <c r="M31" s="215"/>
      <c r="N31" s="221"/>
      <c r="O31" s="229"/>
      <c r="P31" s="44"/>
      <c r="Q31" s="99"/>
      <c r="R31" s="99"/>
      <c r="S31" s="44"/>
      <c r="T31" s="44"/>
      <c r="U31" s="229"/>
      <c r="V31" s="230"/>
      <c r="W31" s="229"/>
    </row>
    <row r="32" spans="1:23" x14ac:dyDescent="0.35">
      <c r="A32" s="222">
        <v>2043</v>
      </c>
      <c r="B32" s="289"/>
      <c r="C32" s="223" t="s">
        <v>283</v>
      </c>
      <c r="D32" s="224" t="s">
        <v>283</v>
      </c>
      <c r="E32" s="224" t="s">
        <v>283</v>
      </c>
      <c r="F32" s="225" t="s">
        <v>283</v>
      </c>
      <c r="G32" s="226" t="s">
        <v>283</v>
      </c>
      <c r="H32" s="227" t="s">
        <v>283</v>
      </c>
      <c r="I32" s="228">
        <v>9.3190014671828172E-5</v>
      </c>
      <c r="L32" s="215"/>
      <c r="M32" s="215"/>
      <c r="N32" s="221"/>
      <c r="O32" s="229"/>
      <c r="P32" s="44"/>
      <c r="Q32" s="99"/>
      <c r="R32" s="99"/>
      <c r="S32" s="44"/>
      <c r="T32" s="44"/>
      <c r="U32" s="229"/>
      <c r="V32" s="230"/>
      <c r="W32" s="229"/>
    </row>
    <row r="33" spans="1:23" x14ac:dyDescent="0.35">
      <c r="A33" s="222">
        <v>2044</v>
      </c>
      <c r="B33" s="289"/>
      <c r="C33" s="223" t="s">
        <v>283</v>
      </c>
      <c r="D33" s="224" t="s">
        <v>283</v>
      </c>
      <c r="E33" s="224" t="s">
        <v>283</v>
      </c>
      <c r="F33" s="225" t="s">
        <v>283</v>
      </c>
      <c r="G33" s="226" t="s">
        <v>283</v>
      </c>
      <c r="H33" s="227" t="s">
        <v>283</v>
      </c>
      <c r="I33" s="228">
        <v>9.3190014671828172E-5</v>
      </c>
      <c r="L33" s="215"/>
      <c r="M33" s="215"/>
      <c r="N33" s="221"/>
      <c r="O33" s="229"/>
      <c r="P33" s="44"/>
      <c r="Q33" s="99"/>
      <c r="R33" s="99"/>
      <c r="S33" s="44"/>
      <c r="T33" s="44"/>
      <c r="U33" s="229"/>
      <c r="V33" s="230"/>
      <c r="W33" s="229"/>
    </row>
    <row r="34" spans="1:23" x14ac:dyDescent="0.35">
      <c r="A34" s="222">
        <v>2045</v>
      </c>
      <c r="B34" s="289"/>
      <c r="C34" s="223" t="s">
        <v>283</v>
      </c>
      <c r="D34" s="224" t="s">
        <v>283</v>
      </c>
      <c r="E34" s="224" t="s">
        <v>283</v>
      </c>
      <c r="F34" s="225" t="s">
        <v>283</v>
      </c>
      <c r="G34" s="226" t="s">
        <v>283</v>
      </c>
      <c r="H34" s="227" t="s">
        <v>283</v>
      </c>
      <c r="I34" s="228">
        <v>9.3190014671828172E-5</v>
      </c>
      <c r="L34" s="215"/>
      <c r="M34" s="215"/>
      <c r="N34" s="221"/>
      <c r="O34" s="229"/>
      <c r="P34" s="44"/>
      <c r="Q34" s="99"/>
      <c r="R34" s="99"/>
      <c r="S34" s="44"/>
      <c r="T34" s="44"/>
      <c r="U34" s="229"/>
      <c r="V34" s="230"/>
      <c r="W34" s="229"/>
    </row>
    <row r="35" spans="1:23" x14ac:dyDescent="0.35">
      <c r="A35" s="222">
        <v>2046</v>
      </c>
      <c r="B35" s="289"/>
      <c r="C35" s="223" t="s">
        <v>283</v>
      </c>
      <c r="D35" s="224" t="s">
        <v>283</v>
      </c>
      <c r="E35" s="224" t="s">
        <v>283</v>
      </c>
      <c r="F35" s="225" t="s">
        <v>283</v>
      </c>
      <c r="G35" s="226" t="s">
        <v>283</v>
      </c>
      <c r="H35" s="227" t="s">
        <v>283</v>
      </c>
      <c r="I35" s="228">
        <v>9.3190014671828172E-5</v>
      </c>
      <c r="L35" s="215"/>
      <c r="M35" s="215"/>
      <c r="N35" s="221"/>
      <c r="O35" s="229"/>
      <c r="P35" s="44"/>
      <c r="Q35" s="99"/>
      <c r="R35" s="99"/>
      <c r="S35" s="44"/>
      <c r="T35" s="44"/>
      <c r="U35" s="229"/>
      <c r="V35" s="230"/>
      <c r="W35" s="229"/>
    </row>
    <row r="36" spans="1:23" x14ac:dyDescent="0.35">
      <c r="A36" s="222">
        <v>2047</v>
      </c>
      <c r="B36" s="289"/>
      <c r="C36" s="223" t="s">
        <v>283</v>
      </c>
      <c r="D36" s="224" t="s">
        <v>283</v>
      </c>
      <c r="E36" s="224" t="s">
        <v>283</v>
      </c>
      <c r="F36" s="225" t="s">
        <v>283</v>
      </c>
      <c r="G36" s="226" t="s">
        <v>283</v>
      </c>
      <c r="H36" s="227" t="s">
        <v>283</v>
      </c>
      <c r="I36" s="228">
        <v>9.3190014671828172E-5</v>
      </c>
      <c r="L36" s="215"/>
      <c r="M36" s="215"/>
      <c r="N36" s="221"/>
      <c r="O36" s="229"/>
      <c r="P36" s="44"/>
      <c r="Q36" s="99"/>
      <c r="R36" s="99"/>
      <c r="S36" s="44"/>
      <c r="T36" s="44"/>
      <c r="U36" s="229"/>
      <c r="V36" s="230"/>
      <c r="W36" s="229"/>
    </row>
    <row r="37" spans="1:23" x14ac:dyDescent="0.35">
      <c r="A37" s="222">
        <v>2048</v>
      </c>
      <c r="B37" s="289"/>
      <c r="C37" s="223" t="s">
        <v>283</v>
      </c>
      <c r="D37" s="224" t="s">
        <v>283</v>
      </c>
      <c r="E37" s="224" t="s">
        <v>283</v>
      </c>
      <c r="F37" s="225" t="s">
        <v>283</v>
      </c>
      <c r="G37" s="226" t="s">
        <v>283</v>
      </c>
      <c r="H37" s="227" t="s">
        <v>283</v>
      </c>
      <c r="I37" s="228">
        <v>9.3190014671828172E-5</v>
      </c>
      <c r="L37" s="215"/>
      <c r="M37" s="215"/>
      <c r="N37" s="221"/>
      <c r="O37" s="229"/>
      <c r="P37" s="44"/>
      <c r="Q37" s="99"/>
      <c r="R37" s="99"/>
      <c r="S37" s="44"/>
      <c r="T37" s="44"/>
      <c r="U37" s="229"/>
      <c r="V37" s="230"/>
      <c r="W37" s="229"/>
    </row>
    <row r="38" spans="1:23" x14ac:dyDescent="0.35">
      <c r="A38" s="222">
        <v>2049</v>
      </c>
      <c r="B38" s="289"/>
      <c r="C38" s="223" t="s">
        <v>283</v>
      </c>
      <c r="D38" s="224" t="s">
        <v>283</v>
      </c>
      <c r="E38" s="224" t="s">
        <v>283</v>
      </c>
      <c r="F38" s="225" t="s">
        <v>283</v>
      </c>
      <c r="G38" s="226" t="s">
        <v>283</v>
      </c>
      <c r="H38" s="227" t="s">
        <v>283</v>
      </c>
      <c r="I38" s="228">
        <v>9.3190014671828172E-5</v>
      </c>
      <c r="L38" s="215"/>
      <c r="M38" s="215"/>
      <c r="N38" s="221"/>
      <c r="O38" s="229"/>
      <c r="P38" s="44"/>
      <c r="Q38" s="99"/>
      <c r="R38" s="99"/>
      <c r="S38" s="44"/>
      <c r="T38" s="44"/>
      <c r="U38" s="229"/>
      <c r="V38" s="230"/>
      <c r="W38" s="229"/>
    </row>
    <row r="39" spans="1:23" x14ac:dyDescent="0.35">
      <c r="A39" s="222">
        <v>2050</v>
      </c>
      <c r="B39" s="290"/>
      <c r="C39" s="223" t="s">
        <v>283</v>
      </c>
      <c r="D39" s="224" t="s">
        <v>283</v>
      </c>
      <c r="E39" s="224" t="s">
        <v>283</v>
      </c>
      <c r="F39" s="225" t="s">
        <v>283</v>
      </c>
      <c r="G39" s="226" t="s">
        <v>283</v>
      </c>
      <c r="H39" s="227" t="s">
        <v>283</v>
      </c>
      <c r="I39" s="228">
        <v>9.3190014671828172E-5</v>
      </c>
      <c r="L39" s="215"/>
      <c r="O39" s="229"/>
      <c r="P39" s="44"/>
      <c r="Q39" s="99"/>
      <c r="R39" s="99"/>
      <c r="S39" s="44"/>
      <c r="T39" s="44"/>
      <c r="U39" s="44"/>
      <c r="V39" s="44"/>
      <c r="W39" s="44"/>
    </row>
    <row r="40" spans="1:23" x14ac:dyDescent="0.35">
      <c r="A40" s="222">
        <v>2051</v>
      </c>
      <c r="B40" s="290"/>
      <c r="C40" s="223" t="s">
        <v>283</v>
      </c>
      <c r="D40" s="224" t="s">
        <v>283</v>
      </c>
      <c r="E40" s="224" t="s">
        <v>283</v>
      </c>
      <c r="F40" s="225" t="s">
        <v>283</v>
      </c>
      <c r="G40" s="226" t="s">
        <v>283</v>
      </c>
      <c r="H40" s="227" t="s">
        <v>283</v>
      </c>
      <c r="I40" s="228">
        <v>9.3190014671828172E-5</v>
      </c>
      <c r="L40" s="215"/>
      <c r="O40" s="229"/>
      <c r="P40" s="44"/>
      <c r="Q40" s="99"/>
      <c r="R40" s="99"/>
      <c r="S40" s="44"/>
      <c r="T40" s="44"/>
      <c r="U40" s="44"/>
      <c r="V40" s="44"/>
      <c r="W40" s="44"/>
    </row>
    <row r="41" spans="1:23" x14ac:dyDescent="0.35">
      <c r="A41" s="222">
        <v>2052</v>
      </c>
      <c r="B41" s="290"/>
      <c r="C41" s="223" t="s">
        <v>283</v>
      </c>
      <c r="D41" s="224" t="s">
        <v>283</v>
      </c>
      <c r="E41" s="224" t="s">
        <v>283</v>
      </c>
      <c r="F41" s="225" t="s">
        <v>283</v>
      </c>
      <c r="G41" s="226" t="s">
        <v>283</v>
      </c>
      <c r="H41" s="227" t="s">
        <v>283</v>
      </c>
      <c r="I41" s="228">
        <v>9.3190014671828172E-5</v>
      </c>
      <c r="L41" s="215"/>
      <c r="O41" s="229"/>
      <c r="P41" s="44"/>
      <c r="Q41" s="99"/>
      <c r="R41" s="99"/>
      <c r="S41" s="44"/>
      <c r="T41" s="44"/>
      <c r="U41" s="44"/>
      <c r="V41" s="44"/>
      <c r="W41" s="44"/>
    </row>
    <row r="42" spans="1:23" x14ac:dyDescent="0.35">
      <c r="A42" s="222">
        <v>2053</v>
      </c>
      <c r="B42" s="291"/>
      <c r="C42" s="231" t="s">
        <v>283</v>
      </c>
      <c r="D42" s="232" t="s">
        <v>283</v>
      </c>
      <c r="E42" s="232" t="s">
        <v>283</v>
      </c>
      <c r="F42" s="233" t="s">
        <v>283</v>
      </c>
      <c r="G42" s="234" t="s">
        <v>283</v>
      </c>
      <c r="H42" s="235" t="s">
        <v>283</v>
      </c>
      <c r="I42" s="236">
        <v>9.3190014671828172E-5</v>
      </c>
      <c r="L42" s="215"/>
      <c r="M42" s="216"/>
      <c r="N42" s="216"/>
      <c r="O42" s="229"/>
      <c r="P42" s="44"/>
      <c r="Q42" s="99"/>
      <c r="R42" s="99"/>
      <c r="S42" s="44"/>
      <c r="T42" s="44"/>
      <c r="U42" s="44"/>
      <c r="V42" s="44"/>
      <c r="W42" s="44"/>
    </row>
    <row r="43" spans="1:23" x14ac:dyDescent="0.35">
      <c r="A43" s="215"/>
      <c r="B43" s="215"/>
      <c r="C43" s="134"/>
      <c r="D43" s="134"/>
    </row>
    <row r="44" spans="1:23" x14ac:dyDescent="0.35">
      <c r="A44" s="215"/>
      <c r="B44" s="215"/>
      <c r="C44" s="134"/>
      <c r="D44" s="134"/>
    </row>
    <row r="45" spans="1:23" ht="21" x14ac:dyDescent="0.35">
      <c r="A45" s="712" t="s">
        <v>284</v>
      </c>
      <c r="B45" s="712"/>
      <c r="C45" s="712"/>
      <c r="D45" s="712"/>
      <c r="E45" s="712"/>
      <c r="F45" s="712"/>
      <c r="G45" s="712"/>
      <c r="H45" s="712"/>
      <c r="I45" s="712"/>
    </row>
    <row r="46" spans="1:23" x14ac:dyDescent="0.35">
      <c r="A46" s="215"/>
      <c r="B46" s="215"/>
      <c r="C46" s="134"/>
      <c r="D46" s="134"/>
    </row>
    <row r="47" spans="1:23" x14ac:dyDescent="0.35">
      <c r="A47" s="484" t="s">
        <v>204</v>
      </c>
      <c r="B47" s="215"/>
      <c r="C47" s="134"/>
      <c r="D47" s="134"/>
    </row>
    <row r="48" spans="1:23" x14ac:dyDescent="0.35">
      <c r="A48" s="215"/>
      <c r="B48" s="215"/>
    </row>
    <row r="49" spans="1:9" x14ac:dyDescent="0.35">
      <c r="A49" s="767" t="s">
        <v>273</v>
      </c>
      <c r="B49" s="768"/>
      <c r="C49" s="768"/>
      <c r="D49" s="768"/>
      <c r="E49" s="768"/>
      <c r="F49" s="768"/>
      <c r="G49" s="768"/>
      <c r="H49" s="768"/>
      <c r="I49" s="769"/>
    </row>
    <row r="50" spans="1:9" x14ac:dyDescent="0.35">
      <c r="A50" s="713" t="s">
        <v>285</v>
      </c>
      <c r="B50" s="768"/>
      <c r="C50" s="768"/>
      <c r="D50" s="768"/>
      <c r="E50" s="768"/>
      <c r="F50" s="768"/>
      <c r="G50" s="768"/>
      <c r="H50" s="768"/>
      <c r="I50" s="769"/>
    </row>
    <row r="51" spans="1:9" ht="26" x14ac:dyDescent="0.35">
      <c r="A51" s="312" t="s">
        <v>275</v>
      </c>
      <c r="B51" s="266"/>
      <c r="C51" s="762" t="s">
        <v>276</v>
      </c>
      <c r="D51" s="763"/>
      <c r="E51" s="763"/>
      <c r="F51" s="764"/>
      <c r="G51" s="765" t="s">
        <v>277</v>
      </c>
      <c r="H51" s="766"/>
      <c r="I51" s="265" t="s">
        <v>278</v>
      </c>
    </row>
    <row r="52" spans="1:9" ht="39" x14ac:dyDescent="0.35">
      <c r="A52" s="533" t="s">
        <v>176</v>
      </c>
      <c r="B52" s="314"/>
      <c r="C52" s="145" t="s">
        <v>177</v>
      </c>
      <c r="D52" s="146" t="s">
        <v>178</v>
      </c>
      <c r="E52" s="146" t="s">
        <v>179</v>
      </c>
      <c r="F52" s="147" t="s">
        <v>180</v>
      </c>
      <c r="G52" s="534" t="s">
        <v>279</v>
      </c>
      <c r="H52" s="535" t="s">
        <v>280</v>
      </c>
      <c r="I52" s="536" t="s">
        <v>281</v>
      </c>
    </row>
    <row r="53" spans="1:9" x14ac:dyDescent="0.35">
      <c r="A53" s="544" t="s">
        <v>186</v>
      </c>
      <c r="B53" s="537"/>
      <c r="C53" s="547" t="s">
        <v>182</v>
      </c>
      <c r="D53" s="538" t="s">
        <v>182</v>
      </c>
      <c r="E53" s="538" t="s">
        <v>182</v>
      </c>
      <c r="F53" s="538" t="s">
        <v>182</v>
      </c>
      <c r="G53" s="539" t="s">
        <v>282</v>
      </c>
      <c r="H53" s="539" t="s">
        <v>282</v>
      </c>
      <c r="I53" s="540" t="s">
        <v>182</v>
      </c>
    </row>
    <row r="54" spans="1:9" x14ac:dyDescent="0.35">
      <c r="A54" s="545">
        <v>2021</v>
      </c>
      <c r="B54" s="531"/>
      <c r="C54" s="548">
        <v>0</v>
      </c>
      <c r="D54" s="532">
        <v>0</v>
      </c>
      <c r="E54" s="532">
        <f>IFERROR(E10*(1+'Inputs-System'!$C$19)^(DRIPE!$A54-2021), 0)</f>
        <v>0</v>
      </c>
      <c r="F54" s="532">
        <f>IFERROR(F10*(1+'Inputs-System'!$C$19)^(DRIPE!$A54-2021), 0)</f>
        <v>0</v>
      </c>
      <c r="G54" s="532">
        <f>IFERROR(G10*(1+'Inputs-System'!$C$19)^(DRIPE!$A54-2021), 0)</f>
        <v>0</v>
      </c>
      <c r="H54" s="532">
        <f>IFERROR(H10*(1+'Inputs-System'!$C$19)^(DRIPE!$A54-2021), 0)</f>
        <v>0</v>
      </c>
      <c r="I54" s="541">
        <f>IFERROR(I10*(1+'Inputs-System'!$C$19)^(DRIPE!$A54-2021), 0)</f>
        <v>0</v>
      </c>
    </row>
    <row r="55" spans="1:9" x14ac:dyDescent="0.35">
      <c r="A55" s="545">
        <v>2022</v>
      </c>
      <c r="B55" s="531"/>
      <c r="C55" s="548">
        <v>0</v>
      </c>
      <c r="D55" s="532">
        <v>0</v>
      </c>
      <c r="E55" s="532">
        <f>IFERROR(E11*(1+'Inputs-System'!$C$19)^(DRIPE!$A55-2021), 0)</f>
        <v>1.9225308199599411E-3</v>
      </c>
      <c r="F55" s="532">
        <f>IFERROR(F11*(1+'Inputs-System'!$C$19)^(DRIPE!$A55-2021), 0)</f>
        <v>1.3302558003812249E-3</v>
      </c>
      <c r="G55" s="532">
        <f>IFERROR(G11*(1+'Inputs-System'!$C$19)^(DRIPE!$A55-2021), 0)</f>
        <v>6.1172477907970872</v>
      </c>
      <c r="H55" s="532">
        <f>IFERROR(H11*(1+'Inputs-System'!$C$19)^(DRIPE!$A55-2021), 0)</f>
        <v>0</v>
      </c>
      <c r="I55" s="541">
        <f>IFERROR(I11*(1+'Inputs-System'!$C$19)^(DRIPE!$A55-2021), 0)</f>
        <v>1.0881529025117309E-3</v>
      </c>
    </row>
    <row r="56" spans="1:9" x14ac:dyDescent="0.35">
      <c r="A56" s="545">
        <f>A55+1</f>
        <v>2023</v>
      </c>
      <c r="B56" s="531"/>
      <c r="C56" s="548">
        <v>0</v>
      </c>
      <c r="D56" s="532">
        <v>0</v>
      </c>
      <c r="E56" s="532">
        <f>IFERROR(E12*(1+'Inputs-System'!$C$19)^(DRIPE!$A56-2021), 0)</f>
        <v>3.5792076916649307E-3</v>
      </c>
      <c r="F56" s="532">
        <f>IFERROR(F12*(1+'Inputs-System'!$C$19)^(DRIPE!$A56-2021), 0)</f>
        <v>2.366000289611871E-3</v>
      </c>
      <c r="G56" s="532">
        <f>IFERROR(G12*(1+'Inputs-System'!$C$19)^(DRIPE!$A56-2021), 0)</f>
        <v>7.9224158566324014</v>
      </c>
      <c r="H56" s="532">
        <f>IFERROR(H12*(1+'Inputs-System'!$C$19)^(DRIPE!$A56-2021), 0)</f>
        <v>0</v>
      </c>
      <c r="I56" s="541">
        <f>IFERROR(I12*(1+'Inputs-System'!$C$19)^(DRIPE!$A56-2021), 0)</f>
        <v>1.7376991559162379E-3</v>
      </c>
    </row>
    <row r="57" spans="1:9" x14ac:dyDescent="0.35">
      <c r="A57" s="545">
        <f>A56+1</f>
        <v>2024</v>
      </c>
      <c r="B57" s="531"/>
      <c r="C57" s="548">
        <v>0</v>
      </c>
      <c r="D57" s="532">
        <v>0</v>
      </c>
      <c r="E57" s="532">
        <f>IFERROR(E13*(1+'Inputs-System'!$C$19)^(DRIPE!$A57-2021), 0)</f>
        <v>4.6694379694019262E-3</v>
      </c>
      <c r="F57" s="532">
        <f>IFERROR(F13*(1+'Inputs-System'!$C$19)^(DRIPE!$A57-2021), 0)</f>
        <v>2.9881087639552209E-3</v>
      </c>
      <c r="G57" s="532">
        <f>IFERROR(G13*(1+'Inputs-System'!$C$19)^(DRIPE!$A57-2021), 0)</f>
        <v>1.6345461714595013</v>
      </c>
      <c r="H57" s="532">
        <f>IFERROR(H13*(1+'Inputs-System'!$C$19)^(DRIPE!$A57-2021), 0)</f>
        <v>0</v>
      </c>
      <c r="I57" s="541">
        <f>IFERROR(I13*(1+'Inputs-System'!$C$19)^(DRIPE!$A57-2021), 0)</f>
        <v>1.823731662695841E-3</v>
      </c>
    </row>
    <row r="58" spans="1:9" x14ac:dyDescent="0.35">
      <c r="A58" s="545">
        <f t="shared" ref="A58:A66" si="0">A57+1</f>
        <v>2025</v>
      </c>
      <c r="B58" s="531"/>
      <c r="C58" s="548">
        <v>0</v>
      </c>
      <c r="D58" s="532">
        <v>0</v>
      </c>
      <c r="E58" s="532">
        <f>IFERROR(E14*(1+'Inputs-System'!$C$19)^(DRIPE!$A58-2021), 0)</f>
        <v>4.7294344541081307E-3</v>
      </c>
      <c r="F58" s="532">
        <f>IFERROR(F14*(1+'Inputs-System'!$C$19)^(DRIPE!$A58-2021), 0)</f>
        <v>2.8976398908520111E-3</v>
      </c>
      <c r="G58" s="532">
        <f>IFERROR(G14*(1+'Inputs-System'!$C$19)^(DRIPE!$A58-2021), 0)</f>
        <v>1.3576756406608519</v>
      </c>
      <c r="H58" s="532">
        <f>IFERROR(H14*(1+'Inputs-System'!$C$19)^(DRIPE!$A58-2021), 0)</f>
        <v>0</v>
      </c>
      <c r="I58" s="541">
        <f>IFERROR(I14*(1+'Inputs-System'!$C$19)^(DRIPE!$A58-2021), 0)</f>
        <v>1.8661651063718932E-3</v>
      </c>
    </row>
    <row r="59" spans="1:9" x14ac:dyDescent="0.35">
      <c r="A59" s="545">
        <f t="shared" si="0"/>
        <v>2026</v>
      </c>
      <c r="B59" s="531"/>
      <c r="C59" s="548">
        <v>0</v>
      </c>
      <c r="D59" s="532">
        <v>0</v>
      </c>
      <c r="E59" s="532">
        <f>IFERROR(E15*(1+'Inputs-System'!$C$19)^(DRIPE!$A59-2021), 0)</f>
        <v>4.1250805133012571E-3</v>
      </c>
      <c r="F59" s="532">
        <f>IFERROR(F15*(1+'Inputs-System'!$C$19)^(DRIPE!$A59-2021), 0)</f>
        <v>2.4727567736658974E-3</v>
      </c>
      <c r="G59" s="532">
        <f>IFERROR(G15*(1+'Inputs-System'!$C$19)^(DRIPE!$A59-2021), 0)</f>
        <v>0.92596371083870255</v>
      </c>
      <c r="H59" s="532">
        <f>IFERROR(H15*(1+'Inputs-System'!$C$19)^(DRIPE!$A59-2021), 0)</f>
        <v>0</v>
      </c>
      <c r="I59" s="541">
        <f>IFERROR(I15*(1+'Inputs-System'!$C$19)^(DRIPE!$A59-2021), 0)</f>
        <v>1.3987223148347095E-3</v>
      </c>
    </row>
    <row r="60" spans="1:9" x14ac:dyDescent="0.35">
      <c r="A60" s="545">
        <f t="shared" si="0"/>
        <v>2027</v>
      </c>
      <c r="B60" s="531"/>
      <c r="C60" s="548">
        <v>0</v>
      </c>
      <c r="D60" s="532">
        <v>0</v>
      </c>
      <c r="E60" s="532">
        <f>IFERROR(E16*(1+'Inputs-System'!$C$19)^(DRIPE!$A60-2021), 0)</f>
        <v>3.152585956649339E-3</v>
      </c>
      <c r="F60" s="532">
        <f>IFERROR(F16*(1+'Inputs-System'!$C$19)^(DRIPE!$A60-2021), 0)</f>
        <v>2.2383481757629648E-3</v>
      </c>
      <c r="G60" s="532">
        <f>IFERROR(G16*(1+'Inputs-System'!$C$19)^(DRIPE!$A60-2021), 0)</f>
        <v>0</v>
      </c>
      <c r="H60" s="532">
        <f>IFERROR(H16*(1+'Inputs-System'!$C$19)^(DRIPE!$A60-2021), 0)</f>
        <v>0.91667473959808399</v>
      </c>
      <c r="I60" s="541">
        <f>IFERROR(I16*(1+'Inputs-System'!$C$19)^(DRIPE!$A60-2021), 0)</f>
        <v>9.2970912919195122E-4</v>
      </c>
    </row>
    <row r="61" spans="1:9" x14ac:dyDescent="0.35">
      <c r="A61" s="545">
        <f t="shared" si="0"/>
        <v>2028</v>
      </c>
      <c r="B61" s="531"/>
      <c r="C61" s="548">
        <v>0</v>
      </c>
      <c r="D61" s="532">
        <v>0</v>
      </c>
      <c r="E61" s="532">
        <f>IFERROR(E17*(1+'Inputs-System'!$C$19)^(DRIPE!$A61-2021), 0)</f>
        <v>2.5927930042804761E-3</v>
      </c>
      <c r="F61" s="532">
        <f>IFERROR(F17*(1+'Inputs-System'!$C$19)^(DRIPE!$A61-2021), 0)</f>
        <v>1.8048229275339077E-3</v>
      </c>
      <c r="G61" s="532">
        <f>IFERROR(G17*(1+'Inputs-System'!$C$19)^(DRIPE!$A61-2021), 0)</f>
        <v>0</v>
      </c>
      <c r="H61" s="532">
        <f>IFERROR(H17*(1+'Inputs-System'!$C$19)^(DRIPE!$A61-2021), 0)</f>
        <v>20.809985162247816</v>
      </c>
      <c r="I61" s="541">
        <f>IFERROR(I17*(1+'Inputs-System'!$C$19)^(DRIPE!$A61-2021), 0)</f>
        <v>7.2607749497387167E-4</v>
      </c>
    </row>
    <row r="62" spans="1:9" x14ac:dyDescent="0.35">
      <c r="A62" s="545">
        <f t="shared" si="0"/>
        <v>2029</v>
      </c>
      <c r="B62" s="531"/>
      <c r="C62" s="548">
        <v>0</v>
      </c>
      <c r="D62" s="532">
        <v>0</v>
      </c>
      <c r="E62" s="532">
        <f>IFERROR(E18*(1+'Inputs-System'!$C$19)^(DRIPE!$A62-2021), 0)</f>
        <v>2.0540561343578402E-3</v>
      </c>
      <c r="F62" s="532">
        <f>IFERROR(F18*(1+'Inputs-System'!$C$19)^(DRIPE!$A62-2021), 0)</f>
        <v>1.3746915935342124E-3</v>
      </c>
      <c r="G62" s="532">
        <f>IFERROR(G18*(1+'Inputs-System'!$C$19)^(DRIPE!$A62-2021), 0)</f>
        <v>0</v>
      </c>
      <c r="H62" s="532">
        <f>IFERROR(H18*(1+'Inputs-System'!$C$19)^(DRIPE!$A62-2021), 0)</f>
        <v>29.124343546581503</v>
      </c>
      <c r="I62" s="541">
        <f>IFERROR(I18*(1+'Inputs-System'!$C$19)^(DRIPE!$A62-2021), 0)</f>
        <v>5.2049459911199573E-4</v>
      </c>
    </row>
    <row r="63" spans="1:9" x14ac:dyDescent="0.35">
      <c r="A63" s="545">
        <f t="shared" si="0"/>
        <v>2030</v>
      </c>
      <c r="B63" s="531"/>
      <c r="C63" s="548">
        <v>0</v>
      </c>
      <c r="D63" s="532">
        <v>0</v>
      </c>
      <c r="E63" s="532">
        <f>IFERROR(E19*(1+'Inputs-System'!$C$19)^(DRIPE!$A63-2021), 0)</f>
        <v>1.0338899045226153E-3</v>
      </c>
      <c r="F63" s="532">
        <f>IFERROR(F19*(1+'Inputs-System'!$C$19)^(DRIPE!$A63-2021), 0)</f>
        <v>6.9014550051981415E-4</v>
      </c>
      <c r="G63" s="532">
        <f>IFERROR(G19*(1+'Inputs-System'!$C$19)^(DRIPE!$A63-2021), 0)</f>
        <v>0</v>
      </c>
      <c r="H63" s="532">
        <f>IFERROR(H19*(1+'Inputs-System'!$C$19)^(DRIPE!$A63-2021), 0)</f>
        <v>34.587644934050587</v>
      </c>
      <c r="I63" s="541">
        <f>IFERROR(I19*(1+'Inputs-System'!$C$19)^(DRIPE!$A63-2021), 0)</f>
        <v>3.1584545021442459E-4</v>
      </c>
    </row>
    <row r="64" spans="1:9" x14ac:dyDescent="0.35">
      <c r="A64" s="545">
        <f t="shared" si="0"/>
        <v>2031</v>
      </c>
      <c r="B64" s="531"/>
      <c r="C64" s="548">
        <v>0</v>
      </c>
      <c r="D64" s="532">
        <v>0</v>
      </c>
      <c r="E64" s="532">
        <f>IFERROR(E20*(1+'Inputs-System'!$C$19)^(DRIPE!$A64-2021), 0)</f>
        <v>6.5925359187816578E-4</v>
      </c>
      <c r="F64" s="532">
        <f>IFERROR(F20*(1+'Inputs-System'!$C$19)^(DRIPE!$A64-2021), 0)</f>
        <v>4.1383333760644671E-4</v>
      </c>
      <c r="G64" s="532">
        <f>IFERROR(G20*(1+'Inputs-System'!$C$19)^(DRIPE!$A64-2021), 0)</f>
        <v>0</v>
      </c>
      <c r="H64" s="532">
        <f>IFERROR(H20*(1+'Inputs-System'!$C$19)^(DRIPE!$A64-2021), 0)</f>
        <v>34.6552681081834</v>
      </c>
      <c r="I64" s="541">
        <f>IFERROR(I20*(1+'Inputs-System'!$C$19)^(DRIPE!$A64-2021), 0)</f>
        <v>1.1224903625324493E-4</v>
      </c>
    </row>
    <row r="65" spans="1:9" x14ac:dyDescent="0.35">
      <c r="A65" s="545">
        <f t="shared" si="0"/>
        <v>2032</v>
      </c>
      <c r="B65" s="531"/>
      <c r="C65" s="548">
        <v>0</v>
      </c>
      <c r="D65" s="532">
        <v>0</v>
      </c>
      <c r="E65" s="532">
        <f>IFERROR(E21*(1+'Inputs-System'!$C$19)^(DRIPE!$A65-2021), 0)</f>
        <v>0</v>
      </c>
      <c r="F65" s="532">
        <f>IFERROR(F21*(1+'Inputs-System'!$C$19)^(DRIPE!$A65-2021), 0)</f>
        <v>0</v>
      </c>
      <c r="G65" s="532">
        <f>IFERROR(G21*(1+'Inputs-System'!$C$19)^(DRIPE!$A65-2021), 0)</f>
        <v>0</v>
      </c>
      <c r="H65" s="532">
        <f>IFERROR(H21*(1+'Inputs-System'!$C$19)^(DRIPE!$A65-2021), 0)</f>
        <v>27.247845627441794</v>
      </c>
      <c r="I65" s="541">
        <f>IFERROR(I21*(1+'Inputs-System'!$C$19)^(DRIPE!$A65-2021), 0)</f>
        <v>1.1524948611601506E-4</v>
      </c>
    </row>
    <row r="66" spans="1:9" x14ac:dyDescent="0.35">
      <c r="A66" s="545">
        <f t="shared" si="0"/>
        <v>2033</v>
      </c>
      <c r="B66" s="531"/>
      <c r="C66" s="548">
        <v>0</v>
      </c>
      <c r="D66" s="532">
        <v>0</v>
      </c>
      <c r="E66" s="532">
        <f>IFERROR(E22*(1+'Inputs-System'!$C$19)^(DRIPE!$A66-2021), 0)</f>
        <v>0</v>
      </c>
      <c r="F66" s="532">
        <f>IFERROR(F22*(1+'Inputs-System'!$C$19)^(DRIPE!$A66-2021), 0)</f>
        <v>0</v>
      </c>
      <c r="G66" s="532">
        <f>IFERROR(G22*(1+'Inputs-System'!$C$19)^(DRIPE!$A66-2021), 0)</f>
        <v>0</v>
      </c>
      <c r="H66" s="532">
        <f>IFERROR(H22*(1+'Inputs-System'!$C$19)^(DRIPE!$A66-2021), 0)</f>
        <v>15.316556015833585</v>
      </c>
      <c r="I66" s="541">
        <f>IFERROR(I22*(1+'Inputs-System'!$C$19)^(DRIPE!$A66-2021), 0)</f>
        <v>1.1818747144270928E-4</v>
      </c>
    </row>
    <row r="67" spans="1:9" x14ac:dyDescent="0.35">
      <c r="A67" s="545">
        <f>A66+1</f>
        <v>2034</v>
      </c>
      <c r="B67" s="531"/>
      <c r="C67" s="548">
        <v>0</v>
      </c>
      <c r="D67" s="532">
        <v>0</v>
      </c>
      <c r="E67" s="532">
        <f>IFERROR(E23*(1+'Inputs-System'!$C$19)^(DRIPE!$A67-2021), 0)</f>
        <v>0</v>
      </c>
      <c r="F67" s="532">
        <f>IFERROR(F23*(1+'Inputs-System'!$C$19)^(DRIPE!$A67-2021), 0)</f>
        <v>0</v>
      </c>
      <c r="G67" s="532">
        <f>IFERROR(G23*(1+'Inputs-System'!$C$19)^(DRIPE!$A67-2021), 0)</f>
        <v>0</v>
      </c>
      <c r="H67" s="532">
        <f>IFERROR(H23*(1+'Inputs-System'!$C$19)^(DRIPE!$A67-2021), 0)</f>
        <v>9.0182245807920722</v>
      </c>
      <c r="I67" s="541">
        <f>IFERROR(I23*(1+'Inputs-System'!$C$19)^(DRIPE!$A67-2021), 0)</f>
        <v>1.2055122087156346E-4</v>
      </c>
    </row>
    <row r="68" spans="1:9" x14ac:dyDescent="0.35">
      <c r="A68" s="545">
        <f>A67+1</f>
        <v>2035</v>
      </c>
      <c r="B68" s="531"/>
      <c r="C68" s="548">
        <v>0</v>
      </c>
      <c r="D68" s="532">
        <v>0</v>
      </c>
      <c r="E68" s="532">
        <f>IFERROR(E24*(1+'Inputs-System'!$C$19)^(DRIPE!$A68-2021), 0)</f>
        <v>0</v>
      </c>
      <c r="F68" s="532">
        <f>IFERROR(F24*(1+'Inputs-System'!$C$19)^(DRIPE!$A68-2021), 0)</f>
        <v>0</v>
      </c>
      <c r="G68" s="532">
        <f>IFERROR(G24*(1+'Inputs-System'!$C$19)^(DRIPE!$A68-2021), 0)</f>
        <v>0</v>
      </c>
      <c r="H68" s="532">
        <f>IFERROR(H24*(1+'Inputs-System'!$C$19)^(DRIPE!$A68-2021), 0)</f>
        <v>4.3244219291798593</v>
      </c>
      <c r="I68" s="541">
        <f>IFERROR(I24*(1+'Inputs-System'!$C$19)^(DRIPE!$A68-2021), 0)</f>
        <v>1.2296224528899474E-4</v>
      </c>
    </row>
    <row r="69" spans="1:9" x14ac:dyDescent="0.35">
      <c r="A69" s="545">
        <f t="shared" ref="A69:A75" si="1">A68+1</f>
        <v>2036</v>
      </c>
      <c r="B69" s="531"/>
      <c r="C69" s="548">
        <v>0</v>
      </c>
      <c r="D69" s="532">
        <v>0</v>
      </c>
      <c r="E69" s="532">
        <f>IFERROR(E25*(1+'Inputs-System'!$C$19)^(DRIPE!$A69-2021), 0)</f>
        <v>0</v>
      </c>
      <c r="F69" s="532">
        <f>IFERROR(F25*(1+'Inputs-System'!$C$19)^(DRIPE!$A69-2021), 0)</f>
        <v>0</v>
      </c>
      <c r="G69" s="532">
        <f>IFERROR(G25*(1+'Inputs-System'!$C$19)^(DRIPE!$A69-2021), 0)</f>
        <v>0</v>
      </c>
      <c r="H69" s="532">
        <f>IFERROR(H25*(1+'Inputs-System'!$C$19)^(DRIPE!$A69-2021), 0)</f>
        <v>1.0710034116266125</v>
      </c>
      <c r="I69" s="541">
        <f>IFERROR(I25*(1+'Inputs-System'!$C$19)^(DRIPE!$A69-2021), 0)</f>
        <v>1.254214901947746E-4</v>
      </c>
    </row>
    <row r="70" spans="1:9" x14ac:dyDescent="0.35">
      <c r="A70" s="545">
        <f t="shared" si="1"/>
        <v>2037</v>
      </c>
      <c r="B70" s="531"/>
      <c r="C70" s="548">
        <v>0</v>
      </c>
      <c r="D70" s="532">
        <v>0</v>
      </c>
      <c r="E70" s="532">
        <f>IFERROR(E26*(1+'Inputs-System'!$C$19)^(DRIPE!$A70-2021), 0)</f>
        <v>0</v>
      </c>
      <c r="F70" s="532">
        <f>IFERROR(F26*(1+'Inputs-System'!$C$19)^(DRIPE!$A70-2021), 0)</f>
        <v>0</v>
      </c>
      <c r="G70" s="532">
        <f>IFERROR(G26*(1+'Inputs-System'!$C$19)^(DRIPE!$A70-2021), 0)</f>
        <v>0</v>
      </c>
      <c r="H70" s="532">
        <f>IFERROR(H26*(1+'Inputs-System'!$C$19)^(DRIPE!$A70-2021), 0)</f>
        <v>0</v>
      </c>
      <c r="I70" s="541">
        <f>IFERROR(I26*(1+'Inputs-System'!$C$19)^(DRIPE!$A70-2021), 0)</f>
        <v>1.2792991999867012E-4</v>
      </c>
    </row>
    <row r="71" spans="1:9" x14ac:dyDescent="0.35">
      <c r="A71" s="545">
        <f t="shared" si="1"/>
        <v>2038</v>
      </c>
      <c r="B71" s="531"/>
      <c r="C71" s="548">
        <v>0</v>
      </c>
      <c r="D71" s="532">
        <v>0</v>
      </c>
      <c r="E71" s="532">
        <f>IFERROR(E27*(1+'Inputs-System'!$C$19)^(DRIPE!$A71-2021), 0)</f>
        <v>0</v>
      </c>
      <c r="F71" s="532">
        <f>IFERROR(F27*(1+'Inputs-System'!$C$19)^(DRIPE!$A71-2021), 0)</f>
        <v>0</v>
      </c>
      <c r="G71" s="532">
        <f>IFERROR(G27*(1+'Inputs-System'!$C$19)^(DRIPE!$A71-2021), 0)</f>
        <v>0</v>
      </c>
      <c r="H71" s="532">
        <f>IFERROR(H27*(1+'Inputs-System'!$C$19)^(DRIPE!$A71-2021), 0)</f>
        <v>0</v>
      </c>
      <c r="I71" s="541">
        <f>IFERROR(I27*(1+'Inputs-System'!$C$19)^(DRIPE!$A71-2021), 0)</f>
        <v>1.3048851839864354E-4</v>
      </c>
    </row>
    <row r="72" spans="1:9" x14ac:dyDescent="0.35">
      <c r="A72" s="545">
        <f t="shared" si="1"/>
        <v>2039</v>
      </c>
      <c r="B72" s="531"/>
      <c r="C72" s="548">
        <v>0</v>
      </c>
      <c r="D72" s="532">
        <v>0</v>
      </c>
      <c r="E72" s="532">
        <f>IFERROR(E28*(1+'Inputs-System'!$C$19)^(DRIPE!$A72-2021), 0)</f>
        <v>0</v>
      </c>
      <c r="F72" s="532">
        <f>IFERROR(F28*(1+'Inputs-System'!$C$19)^(DRIPE!$A72-2021), 0)</f>
        <v>0</v>
      </c>
      <c r="G72" s="532">
        <f>IFERROR(G28*(1+'Inputs-System'!$C$19)^(DRIPE!$A72-2021), 0)</f>
        <v>0</v>
      </c>
      <c r="H72" s="532">
        <f>IFERROR(H28*(1+'Inputs-System'!$C$19)^(DRIPE!$A72-2021), 0)</f>
        <v>0</v>
      </c>
      <c r="I72" s="541">
        <f>IFERROR(I28*(1+'Inputs-System'!$C$19)^(DRIPE!$A72-2021), 0)</f>
        <v>1.3309828876661639E-4</v>
      </c>
    </row>
    <row r="73" spans="1:9" x14ac:dyDescent="0.35">
      <c r="A73" s="545">
        <f t="shared" si="1"/>
        <v>2040</v>
      </c>
      <c r="B73" s="531"/>
      <c r="C73" s="548">
        <v>0</v>
      </c>
      <c r="D73" s="532">
        <v>0</v>
      </c>
      <c r="E73" s="532">
        <f>IFERROR(E29*(1+'Inputs-System'!$C$19)^(DRIPE!$A73-2021), 0)</f>
        <v>0</v>
      </c>
      <c r="F73" s="532">
        <f>IFERROR(F29*(1+'Inputs-System'!$C$19)^(DRIPE!$A73-2021), 0)</f>
        <v>0</v>
      </c>
      <c r="G73" s="532">
        <f>IFERROR(G29*(1+'Inputs-System'!$C$19)^(DRIPE!$A73-2021), 0)</f>
        <v>0</v>
      </c>
      <c r="H73" s="532">
        <f>IFERROR(H29*(1+'Inputs-System'!$C$19)^(DRIPE!$A73-2021), 0)</f>
        <v>0</v>
      </c>
      <c r="I73" s="541">
        <f>IFERROR(I29*(1+'Inputs-System'!$C$19)^(DRIPE!$A73-2021), 0)</f>
        <v>1.357602545419487E-4</v>
      </c>
    </row>
    <row r="74" spans="1:9" x14ac:dyDescent="0.35">
      <c r="A74" s="545">
        <f t="shared" si="1"/>
        <v>2041</v>
      </c>
      <c r="B74" s="531"/>
      <c r="C74" s="548">
        <v>0</v>
      </c>
      <c r="D74" s="532">
        <v>0</v>
      </c>
      <c r="E74" s="532">
        <f>IFERROR(E30*(1+'Inputs-System'!$C$19)^(DRIPE!$A74-2021), 0)</f>
        <v>0</v>
      </c>
      <c r="F74" s="532">
        <f>IFERROR(F30*(1+'Inputs-System'!$C$19)^(DRIPE!$A74-2021), 0)</f>
        <v>0</v>
      </c>
      <c r="G74" s="532">
        <f>IFERROR(G30*(1+'Inputs-System'!$C$19)^(DRIPE!$A74-2021), 0)</f>
        <v>0</v>
      </c>
      <c r="H74" s="532">
        <f>IFERROR(H30*(1+'Inputs-System'!$C$19)^(DRIPE!$A74-2021), 0)</f>
        <v>0</v>
      </c>
      <c r="I74" s="541">
        <f>IFERROR(I30*(1+'Inputs-System'!$C$19)^(DRIPE!$A74-2021), 0)</f>
        <v>1.3847545963278769E-4</v>
      </c>
    </row>
    <row r="75" spans="1:9" x14ac:dyDescent="0.35">
      <c r="A75" s="545">
        <f t="shared" si="1"/>
        <v>2042</v>
      </c>
      <c r="B75" s="531"/>
      <c r="C75" s="548">
        <v>0</v>
      </c>
      <c r="D75" s="532">
        <v>0</v>
      </c>
      <c r="E75" s="532">
        <f>IFERROR(E31*(1+'Inputs-System'!$C$19)^(DRIPE!$A75-2021), 0)</f>
        <v>0</v>
      </c>
      <c r="F75" s="532">
        <f>IFERROR(F31*(1+'Inputs-System'!$C$19)^(DRIPE!$A75-2021), 0)</f>
        <v>0</v>
      </c>
      <c r="G75" s="532">
        <f>IFERROR(G31*(1+'Inputs-System'!$C$19)^(DRIPE!$A75-2021), 0)</f>
        <v>0</v>
      </c>
      <c r="H75" s="532">
        <f>IFERROR(H31*(1+'Inputs-System'!$C$19)^(DRIPE!$A75-2021), 0)</f>
        <v>0</v>
      </c>
      <c r="I75" s="541">
        <f>IFERROR(I31*(1+'Inputs-System'!$C$19)^(DRIPE!$A75-2021), 0)</f>
        <v>1.4124496882544343E-4</v>
      </c>
    </row>
    <row r="76" spans="1:9" x14ac:dyDescent="0.35">
      <c r="A76" s="545">
        <f>A75+1</f>
        <v>2043</v>
      </c>
      <c r="B76" s="531"/>
      <c r="C76" s="548">
        <v>0</v>
      </c>
      <c r="D76" s="532">
        <v>0</v>
      </c>
      <c r="E76" s="532">
        <f>IFERROR(E32*(1+'Inputs-System'!$C$19)^(DRIPE!$A76-2021), 0)</f>
        <v>0</v>
      </c>
      <c r="F76" s="532">
        <f>IFERROR(F32*(1+'Inputs-System'!$C$19)^(DRIPE!$A76-2021), 0)</f>
        <v>0</v>
      </c>
      <c r="G76" s="532">
        <f>IFERROR(G32*(1+'Inputs-System'!$C$19)^(DRIPE!$A76-2021), 0)</f>
        <v>0</v>
      </c>
      <c r="H76" s="532">
        <f>IFERROR(H32*(1+'Inputs-System'!$C$19)^(DRIPE!$A76-2021), 0)</f>
        <v>0</v>
      </c>
      <c r="I76" s="541">
        <f>IFERROR(I32*(1+'Inputs-System'!$C$19)^(DRIPE!$A76-2021), 0)</f>
        <v>1.4406986820195231E-4</v>
      </c>
    </row>
    <row r="77" spans="1:9" x14ac:dyDescent="0.35">
      <c r="A77" s="545">
        <f>A76+1</f>
        <v>2044</v>
      </c>
      <c r="B77" s="531"/>
      <c r="C77" s="548">
        <v>0</v>
      </c>
      <c r="D77" s="532">
        <v>0</v>
      </c>
      <c r="E77" s="532">
        <f>IFERROR(E33*(1+'Inputs-System'!$C$19)^(DRIPE!$A77-2021), 0)</f>
        <v>0</v>
      </c>
      <c r="F77" s="532">
        <f>IFERROR(F33*(1+'Inputs-System'!$C$19)^(DRIPE!$A77-2021), 0)</f>
        <v>0</v>
      </c>
      <c r="G77" s="532">
        <f>IFERROR(G33*(1+'Inputs-System'!$C$19)^(DRIPE!$A77-2021), 0)</f>
        <v>0</v>
      </c>
      <c r="H77" s="532">
        <f>IFERROR(H33*(1+'Inputs-System'!$C$19)^(DRIPE!$A77-2021), 0)</f>
        <v>0</v>
      </c>
      <c r="I77" s="541">
        <f>IFERROR(I33*(1+'Inputs-System'!$C$19)^(DRIPE!$A77-2021), 0)</f>
        <v>1.4695126556599133E-4</v>
      </c>
    </row>
    <row r="78" spans="1:9" x14ac:dyDescent="0.35">
      <c r="A78" s="545">
        <f t="shared" ref="A78:A82" si="2">A77+1</f>
        <v>2045</v>
      </c>
      <c r="B78" s="531"/>
      <c r="C78" s="548">
        <v>0</v>
      </c>
      <c r="D78" s="532">
        <v>0</v>
      </c>
      <c r="E78" s="532">
        <f>IFERROR(E34*(1+'Inputs-System'!$C$19)^(DRIPE!$A78-2021), 0)</f>
        <v>0</v>
      </c>
      <c r="F78" s="532">
        <f>IFERROR(F34*(1+'Inputs-System'!$C$19)^(DRIPE!$A78-2021), 0)</f>
        <v>0</v>
      </c>
      <c r="G78" s="532">
        <f>IFERROR(G34*(1+'Inputs-System'!$C$19)^(DRIPE!$A78-2021), 0)</f>
        <v>0</v>
      </c>
      <c r="H78" s="532">
        <f>IFERROR(H34*(1+'Inputs-System'!$C$19)^(DRIPE!$A78-2021), 0)</f>
        <v>0</v>
      </c>
      <c r="I78" s="541">
        <f>IFERROR(I34*(1+'Inputs-System'!$C$19)^(DRIPE!$A78-2021), 0)</f>
        <v>1.4989029087731116E-4</v>
      </c>
    </row>
    <row r="79" spans="1:9" x14ac:dyDescent="0.35">
      <c r="A79" s="545">
        <f t="shared" si="2"/>
        <v>2046</v>
      </c>
      <c r="B79" s="531"/>
      <c r="C79" s="548">
        <v>0</v>
      </c>
      <c r="D79" s="532">
        <v>0</v>
      </c>
      <c r="E79" s="532">
        <f>IFERROR(E35*(1+'Inputs-System'!$C$19)^(DRIPE!$A79-2021), 0)</f>
        <v>0</v>
      </c>
      <c r="F79" s="532">
        <f>IFERROR(F35*(1+'Inputs-System'!$C$19)^(DRIPE!$A79-2021), 0)</f>
        <v>0</v>
      </c>
      <c r="G79" s="532">
        <f>IFERROR(G35*(1+'Inputs-System'!$C$19)^(DRIPE!$A79-2021), 0)</f>
        <v>0</v>
      </c>
      <c r="H79" s="532">
        <f>IFERROR(H35*(1+'Inputs-System'!$C$19)^(DRIPE!$A79-2021), 0)</f>
        <v>0</v>
      </c>
      <c r="I79" s="541">
        <f>IFERROR(I35*(1+'Inputs-System'!$C$19)^(DRIPE!$A79-2021), 0)</f>
        <v>1.5288809669485739E-4</v>
      </c>
    </row>
    <row r="80" spans="1:9" x14ac:dyDescent="0.35">
      <c r="A80" s="545">
        <f t="shared" si="2"/>
        <v>2047</v>
      </c>
      <c r="B80" s="531"/>
      <c r="C80" s="548">
        <v>0</v>
      </c>
      <c r="D80" s="532">
        <v>0</v>
      </c>
      <c r="E80" s="532">
        <f>IFERROR(E36*(1+'Inputs-System'!$C$19)^(DRIPE!$A80-2021), 0)</f>
        <v>0</v>
      </c>
      <c r="F80" s="532">
        <f>IFERROR(F36*(1+'Inputs-System'!$C$19)^(DRIPE!$A80-2021), 0)</f>
        <v>0</v>
      </c>
      <c r="G80" s="532">
        <f>IFERROR(G36*(1+'Inputs-System'!$C$19)^(DRIPE!$A80-2021), 0)</f>
        <v>0</v>
      </c>
      <c r="H80" s="532">
        <f>IFERROR(H36*(1+'Inputs-System'!$C$19)^(DRIPE!$A80-2021), 0)</f>
        <v>0</v>
      </c>
      <c r="I80" s="541">
        <f>IFERROR(I36*(1+'Inputs-System'!$C$19)^(DRIPE!$A80-2021), 0)</f>
        <v>1.5594585862875455E-4</v>
      </c>
    </row>
    <row r="81" spans="1:9" x14ac:dyDescent="0.35">
      <c r="A81" s="545">
        <f t="shared" si="2"/>
        <v>2048</v>
      </c>
      <c r="B81" s="531"/>
      <c r="C81" s="548">
        <v>0</v>
      </c>
      <c r="D81" s="532">
        <v>0</v>
      </c>
      <c r="E81" s="532">
        <f>IFERROR(E37*(1+'Inputs-System'!$C$19)^(DRIPE!$A81-2021), 0)</f>
        <v>0</v>
      </c>
      <c r="F81" s="532">
        <f>IFERROR(F37*(1+'Inputs-System'!$C$19)^(DRIPE!$A81-2021), 0)</f>
        <v>0</v>
      </c>
      <c r="G81" s="532">
        <f>IFERROR(G37*(1+'Inputs-System'!$C$19)^(DRIPE!$A81-2021), 0)</f>
        <v>0</v>
      </c>
      <c r="H81" s="532">
        <f>IFERROR(H37*(1+'Inputs-System'!$C$19)^(DRIPE!$A81-2021), 0)</f>
        <v>0</v>
      </c>
      <c r="I81" s="541">
        <f>IFERROR(I37*(1+'Inputs-System'!$C$19)^(DRIPE!$A81-2021), 0)</f>
        <v>1.5906477580132961E-4</v>
      </c>
    </row>
    <row r="82" spans="1:9" x14ac:dyDescent="0.35">
      <c r="A82" s="545">
        <f t="shared" si="2"/>
        <v>2049</v>
      </c>
      <c r="B82" s="531"/>
      <c r="C82" s="548">
        <v>0</v>
      </c>
      <c r="D82" s="532">
        <v>0</v>
      </c>
      <c r="E82" s="532">
        <f>IFERROR(E38*(1+'Inputs-System'!$C$19)^(DRIPE!$A82-2021), 0)</f>
        <v>0</v>
      </c>
      <c r="F82" s="532">
        <f>IFERROR(F38*(1+'Inputs-System'!$C$19)^(DRIPE!$A82-2021), 0)</f>
        <v>0</v>
      </c>
      <c r="G82" s="532">
        <f>IFERROR(G38*(1+'Inputs-System'!$C$19)^(DRIPE!$A82-2021), 0)</f>
        <v>0</v>
      </c>
      <c r="H82" s="532">
        <f>IFERROR(H38*(1+'Inputs-System'!$C$19)^(DRIPE!$A82-2021), 0)</f>
        <v>0</v>
      </c>
      <c r="I82" s="541">
        <f>IFERROR(I38*(1+'Inputs-System'!$C$19)^(DRIPE!$A82-2021), 0)</f>
        <v>1.6224607131735624E-4</v>
      </c>
    </row>
    <row r="83" spans="1:9" x14ac:dyDescent="0.35">
      <c r="A83" s="545">
        <f>A82+1</f>
        <v>2050</v>
      </c>
      <c r="C83" s="548">
        <v>0</v>
      </c>
      <c r="D83" s="532">
        <v>0</v>
      </c>
      <c r="E83" s="532">
        <f>IFERROR(E39*(1+'Inputs-System'!$C$19)^(DRIPE!$A83-2021), 0)</f>
        <v>0</v>
      </c>
      <c r="F83" s="532">
        <f>IFERROR(F39*(1+'Inputs-System'!$C$19)^(DRIPE!$A83-2021), 0)</f>
        <v>0</v>
      </c>
      <c r="G83" s="532">
        <f>IFERROR(G39*(1+'Inputs-System'!$C$19)^(DRIPE!$A83-2021), 0)</f>
        <v>0</v>
      </c>
      <c r="H83" s="532">
        <f>IFERROR(H39*(1+'Inputs-System'!$C$19)^(DRIPE!$A83-2021), 0)</f>
        <v>0</v>
      </c>
      <c r="I83" s="541">
        <f>IFERROR(I39*(1+'Inputs-System'!$C$19)^(DRIPE!$A83-2021), 0)</f>
        <v>1.6549099274370334E-4</v>
      </c>
    </row>
    <row r="84" spans="1:9" x14ac:dyDescent="0.35">
      <c r="A84" s="545">
        <f>A83+1</f>
        <v>2051</v>
      </c>
      <c r="C84" s="548">
        <v>0</v>
      </c>
      <c r="D84" s="532">
        <v>0</v>
      </c>
      <c r="E84" s="532">
        <f>IFERROR(E40*(1+'Inputs-System'!$C$19)^(DRIPE!$A84-2021), 0)</f>
        <v>0</v>
      </c>
      <c r="F84" s="532">
        <f>IFERROR(F40*(1+'Inputs-System'!$C$19)^(DRIPE!$A84-2021), 0)</f>
        <v>0</v>
      </c>
      <c r="G84" s="532">
        <f>IFERROR(G40*(1+'Inputs-System'!$C$19)^(DRIPE!$A84-2021), 0)</f>
        <v>0</v>
      </c>
      <c r="H84" s="532">
        <f>IFERROR(H40*(1+'Inputs-System'!$C$19)^(DRIPE!$A84-2021), 0)</f>
        <v>0</v>
      </c>
      <c r="I84" s="541">
        <f>IFERROR(I40*(1+'Inputs-System'!$C$19)^(DRIPE!$A84-2021), 0)</f>
        <v>1.6880081259857744E-4</v>
      </c>
    </row>
    <row r="85" spans="1:9" x14ac:dyDescent="0.35">
      <c r="A85" s="545">
        <f t="shared" ref="A85" si="3">A84+1</f>
        <v>2052</v>
      </c>
      <c r="C85" s="548">
        <v>0</v>
      </c>
      <c r="D85" s="532">
        <v>0</v>
      </c>
      <c r="E85" s="532">
        <f>IFERROR(E41*(1+'Inputs-System'!$C$19)^(DRIPE!$A85-2021), 0)</f>
        <v>0</v>
      </c>
      <c r="F85" s="532">
        <f>IFERROR(F41*(1+'Inputs-System'!$C$19)^(DRIPE!$A85-2021), 0)</f>
        <v>0</v>
      </c>
      <c r="G85" s="532">
        <f>IFERROR(G41*(1+'Inputs-System'!$C$19)^(DRIPE!$A85-2021), 0)</f>
        <v>0</v>
      </c>
      <c r="H85" s="532">
        <f>IFERROR(H41*(1+'Inputs-System'!$C$19)^(DRIPE!$A85-2021), 0)</f>
        <v>0</v>
      </c>
      <c r="I85" s="541">
        <f>IFERROR(I41*(1+'Inputs-System'!$C$19)^(DRIPE!$A85-2021), 0)</f>
        <v>1.7217682885054894E-4</v>
      </c>
    </row>
    <row r="86" spans="1:9" x14ac:dyDescent="0.35">
      <c r="A86" s="546">
        <f>A85+1</f>
        <v>2053</v>
      </c>
      <c r="B86" s="53"/>
      <c r="C86" s="549">
        <v>0</v>
      </c>
      <c r="D86" s="542">
        <v>0</v>
      </c>
      <c r="E86" s="542">
        <f>IFERROR(E42*(1+'Inputs-System'!$C$19)^(DRIPE!$A86-2021), 0)</f>
        <v>0</v>
      </c>
      <c r="F86" s="542">
        <f>IFERROR(F42*(1+'Inputs-System'!$C$19)^(DRIPE!$A86-2021), 0)</f>
        <v>0</v>
      </c>
      <c r="G86" s="542">
        <f>IFERROR(G42*(1+'Inputs-System'!$C$19)^(DRIPE!$A86-2021), 0)</f>
        <v>0</v>
      </c>
      <c r="H86" s="542">
        <f>IFERROR(H42*(1+'Inputs-System'!$C$19)^(DRIPE!$A86-2021), 0)</f>
        <v>0</v>
      </c>
      <c r="I86" s="543">
        <f>IFERROR(I42*(1+'Inputs-System'!$C$19)^(DRIPE!$A86-2021), 0)</f>
        <v>1.7562036542755996E-4</v>
      </c>
    </row>
  </sheetData>
  <mergeCells count="15">
    <mergeCell ref="C7:F7"/>
    <mergeCell ref="G7:H7"/>
    <mergeCell ref="A1:I1"/>
    <mergeCell ref="A5:I5"/>
    <mergeCell ref="A6:I6"/>
    <mergeCell ref="O5:W5"/>
    <mergeCell ref="O6:W6"/>
    <mergeCell ref="O7:R7"/>
    <mergeCell ref="S7:T7"/>
    <mergeCell ref="U7:W7"/>
    <mergeCell ref="C51:F51"/>
    <mergeCell ref="G51:H51"/>
    <mergeCell ref="A45:I45"/>
    <mergeCell ref="A49:I49"/>
    <mergeCell ref="A50:I50"/>
  </mergeCell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148C"/>
  </sheetPr>
  <dimension ref="A1:G96"/>
  <sheetViews>
    <sheetView workbookViewId="0">
      <selection activeCell="A46" sqref="A46"/>
    </sheetView>
  </sheetViews>
  <sheetFormatPr defaultColWidth="9.1796875" defaultRowHeight="14.5" x14ac:dyDescent="0.35"/>
  <cols>
    <col min="1" max="1" width="9.1796875" style="3"/>
    <col min="2" max="2" width="2.453125" style="3" customWidth="1"/>
    <col min="3" max="3" width="17.26953125" style="3" customWidth="1"/>
    <col min="4" max="4" width="10" style="3" bestFit="1" customWidth="1"/>
    <col min="5" max="5" width="31.81640625" style="3" bestFit="1" customWidth="1"/>
    <col min="6" max="6" width="11.54296875" style="3" customWidth="1"/>
    <col min="7" max="7" width="10.54296875" style="3" customWidth="1"/>
    <col min="8" max="16384" width="9.1796875" style="3"/>
  </cols>
  <sheetData>
    <row r="1" spans="1:5" ht="28.5" customHeight="1" x14ac:dyDescent="0.35">
      <c r="A1" s="653" t="s">
        <v>286</v>
      </c>
      <c r="B1" s="653"/>
      <c r="C1" s="653"/>
      <c r="D1" s="653"/>
      <c r="E1" s="653"/>
    </row>
    <row r="3" spans="1:5" x14ac:dyDescent="0.35">
      <c r="A3" s="3" t="s">
        <v>287</v>
      </c>
    </row>
    <row r="5" spans="1:5" ht="15.75" customHeight="1" thickBot="1" x14ac:dyDescent="0.4">
      <c r="A5" s="267"/>
      <c r="B5" s="293"/>
      <c r="C5" s="713" t="s">
        <v>288</v>
      </c>
      <c r="D5" s="715"/>
      <c r="E5" s="777" t="s">
        <v>289</v>
      </c>
    </row>
    <row r="6" spans="1:5" x14ac:dyDescent="0.35">
      <c r="A6" s="268"/>
      <c r="B6" s="294"/>
      <c r="C6" s="779" t="s">
        <v>290</v>
      </c>
      <c r="D6" s="781" t="s">
        <v>280</v>
      </c>
      <c r="E6" s="778"/>
    </row>
    <row r="7" spans="1:5" x14ac:dyDescent="0.35">
      <c r="A7" s="271"/>
      <c r="B7" s="294"/>
      <c r="C7" s="780"/>
      <c r="D7" s="782"/>
      <c r="E7" s="778"/>
    </row>
    <row r="8" spans="1:5" x14ac:dyDescent="0.3">
      <c r="A8" s="239" t="s">
        <v>181</v>
      </c>
      <c r="B8" s="295"/>
      <c r="C8" s="240" t="s">
        <v>282</v>
      </c>
      <c r="D8" s="241" t="s">
        <v>282</v>
      </c>
      <c r="E8" s="242" t="s">
        <v>282</v>
      </c>
    </row>
    <row r="9" spans="1:5" x14ac:dyDescent="0.3">
      <c r="A9" s="237">
        <v>2021</v>
      </c>
      <c r="B9" s="296"/>
      <c r="C9" s="161">
        <v>55.6</v>
      </c>
      <c r="D9" s="162">
        <v>0</v>
      </c>
      <c r="E9" s="238">
        <v>84</v>
      </c>
    </row>
    <row r="10" spans="1:5" x14ac:dyDescent="0.3">
      <c r="A10" s="141">
        <v>2022</v>
      </c>
      <c r="B10" s="297"/>
      <c r="C10" s="163">
        <v>44.7</v>
      </c>
      <c r="D10" s="164">
        <v>0</v>
      </c>
      <c r="E10" s="157">
        <v>84</v>
      </c>
    </row>
    <row r="11" spans="1:5" x14ac:dyDescent="0.3">
      <c r="A11" s="237">
        <v>2023</v>
      </c>
      <c r="B11" s="297"/>
      <c r="C11" s="163">
        <v>23.1</v>
      </c>
      <c r="D11" s="164">
        <v>0</v>
      </c>
      <c r="E11" s="157">
        <v>84</v>
      </c>
    </row>
    <row r="12" spans="1:5" x14ac:dyDescent="0.3">
      <c r="A12" s="141">
        <v>2024</v>
      </c>
      <c r="B12" s="297"/>
      <c r="C12" s="163">
        <v>29.5</v>
      </c>
      <c r="D12" s="164">
        <v>0</v>
      </c>
      <c r="E12" s="157">
        <v>84</v>
      </c>
    </row>
    <row r="13" spans="1:5" x14ac:dyDescent="0.3">
      <c r="A13" s="237">
        <v>2025</v>
      </c>
      <c r="B13" s="297"/>
      <c r="C13" s="163">
        <v>32.299999999999997</v>
      </c>
      <c r="D13" s="164">
        <v>0</v>
      </c>
      <c r="E13" s="238">
        <v>84</v>
      </c>
    </row>
    <row r="14" spans="1:5" x14ac:dyDescent="0.3">
      <c r="A14" s="141">
        <v>2026</v>
      </c>
      <c r="B14" s="297"/>
      <c r="C14" s="163">
        <v>32.299999999999997</v>
      </c>
      <c r="D14" s="164">
        <v>10.9</v>
      </c>
      <c r="E14" s="157">
        <v>84</v>
      </c>
    </row>
    <row r="15" spans="1:5" x14ac:dyDescent="0.3">
      <c r="A15" s="237">
        <v>2027</v>
      </c>
      <c r="B15" s="297"/>
      <c r="C15" s="163">
        <v>39.9</v>
      </c>
      <c r="D15" s="164">
        <v>22.7</v>
      </c>
      <c r="E15" s="157">
        <v>84</v>
      </c>
    </row>
    <row r="16" spans="1:5" x14ac:dyDescent="0.3">
      <c r="A16" s="141">
        <v>2028</v>
      </c>
      <c r="B16" s="297"/>
      <c r="C16" s="163">
        <v>39.6</v>
      </c>
      <c r="D16" s="164">
        <v>31.6</v>
      </c>
      <c r="E16" s="157">
        <v>84</v>
      </c>
    </row>
    <row r="17" spans="1:5" x14ac:dyDescent="0.3">
      <c r="A17" s="237">
        <v>2029</v>
      </c>
      <c r="B17" s="297"/>
      <c r="C17" s="163">
        <v>40.9</v>
      </c>
      <c r="D17" s="164">
        <v>42</v>
      </c>
      <c r="E17" s="238">
        <v>84</v>
      </c>
    </row>
    <row r="18" spans="1:5" x14ac:dyDescent="0.3">
      <c r="A18" s="141">
        <v>2030</v>
      </c>
      <c r="B18" s="297"/>
      <c r="C18" s="163">
        <v>45.2</v>
      </c>
      <c r="D18" s="164">
        <v>51.5</v>
      </c>
      <c r="E18" s="157">
        <v>84</v>
      </c>
    </row>
    <row r="19" spans="1:5" x14ac:dyDescent="0.3">
      <c r="A19" s="237">
        <v>2031</v>
      </c>
      <c r="B19" s="297"/>
      <c r="C19" s="163">
        <v>45.8</v>
      </c>
      <c r="D19" s="164">
        <v>36.5</v>
      </c>
      <c r="E19" s="157">
        <v>84</v>
      </c>
    </row>
    <row r="20" spans="1:5" x14ac:dyDescent="0.3">
      <c r="A20" s="141">
        <v>2032</v>
      </c>
      <c r="B20" s="297"/>
      <c r="C20" s="163">
        <v>46.3</v>
      </c>
      <c r="D20" s="164">
        <v>26.4</v>
      </c>
      <c r="E20" s="157">
        <v>84</v>
      </c>
    </row>
    <row r="21" spans="1:5" x14ac:dyDescent="0.3">
      <c r="A21" s="237">
        <v>2033</v>
      </c>
      <c r="B21" s="297"/>
      <c r="C21" s="163">
        <v>48.2</v>
      </c>
      <c r="D21" s="164">
        <v>16.5</v>
      </c>
      <c r="E21" s="238">
        <v>84</v>
      </c>
    </row>
    <row r="22" spans="1:5" x14ac:dyDescent="0.3">
      <c r="A22" s="141">
        <v>2034</v>
      </c>
      <c r="B22" s="297"/>
      <c r="C22" s="163">
        <v>53.7</v>
      </c>
      <c r="D22" s="164">
        <v>6.1</v>
      </c>
      <c r="E22" s="157">
        <v>84</v>
      </c>
    </row>
    <row r="23" spans="1:5" x14ac:dyDescent="0.3">
      <c r="A23" s="237">
        <v>2035</v>
      </c>
      <c r="B23" s="297"/>
      <c r="C23" s="163">
        <v>46.3</v>
      </c>
      <c r="D23" s="164">
        <v>0</v>
      </c>
      <c r="E23" s="157">
        <v>84</v>
      </c>
    </row>
    <row r="24" spans="1:5" x14ac:dyDescent="0.3">
      <c r="A24" s="141">
        <v>2036</v>
      </c>
      <c r="B24" s="297"/>
      <c r="C24" s="163">
        <v>47.1</v>
      </c>
      <c r="D24" s="164">
        <v>0</v>
      </c>
      <c r="E24" s="157">
        <v>84</v>
      </c>
    </row>
    <row r="25" spans="1:5" x14ac:dyDescent="0.3">
      <c r="A25" s="237">
        <v>2037</v>
      </c>
      <c r="B25" s="297"/>
      <c r="C25" s="163">
        <v>48</v>
      </c>
      <c r="D25" s="164">
        <v>0</v>
      </c>
      <c r="E25" s="238">
        <v>84</v>
      </c>
    </row>
    <row r="26" spans="1:5" x14ac:dyDescent="0.3">
      <c r="A26" s="141">
        <v>2038</v>
      </c>
      <c r="B26" s="297"/>
      <c r="C26" s="163">
        <v>48.9</v>
      </c>
      <c r="D26" s="164">
        <v>0</v>
      </c>
      <c r="E26" s="157">
        <v>84</v>
      </c>
    </row>
    <row r="27" spans="1:5" x14ac:dyDescent="0.3">
      <c r="A27" s="237">
        <v>2039</v>
      </c>
      <c r="B27" s="297"/>
      <c r="C27" s="163">
        <v>49.8</v>
      </c>
      <c r="D27" s="164">
        <v>0</v>
      </c>
      <c r="E27" s="157">
        <v>84</v>
      </c>
    </row>
    <row r="28" spans="1:5" x14ac:dyDescent="0.3">
      <c r="A28" s="141">
        <v>2040</v>
      </c>
      <c r="B28" s="297"/>
      <c r="C28" s="163">
        <v>50.8</v>
      </c>
      <c r="D28" s="164">
        <v>0</v>
      </c>
      <c r="E28" s="157">
        <v>84</v>
      </c>
    </row>
    <row r="29" spans="1:5" x14ac:dyDescent="0.3">
      <c r="A29" s="237">
        <v>2041</v>
      </c>
      <c r="B29" s="297"/>
      <c r="C29" s="163">
        <v>51.7</v>
      </c>
      <c r="D29" s="164">
        <v>0</v>
      </c>
      <c r="E29" s="238">
        <v>84</v>
      </c>
    </row>
    <row r="30" spans="1:5" x14ac:dyDescent="0.3">
      <c r="A30" s="141">
        <v>2042</v>
      </c>
      <c r="B30" s="297"/>
      <c r="C30" s="163">
        <v>52.7</v>
      </c>
      <c r="D30" s="164">
        <v>0</v>
      </c>
      <c r="E30" s="157">
        <v>84</v>
      </c>
    </row>
    <row r="31" spans="1:5" x14ac:dyDescent="0.3">
      <c r="A31" s="237">
        <v>2043</v>
      </c>
      <c r="B31" s="297"/>
      <c r="C31" s="163">
        <v>53.7</v>
      </c>
      <c r="D31" s="164">
        <v>0</v>
      </c>
      <c r="E31" s="157">
        <v>84</v>
      </c>
    </row>
    <row r="32" spans="1:5" x14ac:dyDescent="0.3">
      <c r="A32" s="141">
        <v>2044</v>
      </c>
      <c r="B32" s="297"/>
      <c r="C32" s="163">
        <v>54.7</v>
      </c>
      <c r="D32" s="164">
        <v>0</v>
      </c>
      <c r="E32" s="157">
        <v>84</v>
      </c>
    </row>
    <row r="33" spans="1:5" x14ac:dyDescent="0.3">
      <c r="A33" s="237">
        <v>2045</v>
      </c>
      <c r="B33" s="297"/>
      <c r="C33" s="163">
        <v>55.7</v>
      </c>
      <c r="D33" s="164">
        <v>0</v>
      </c>
      <c r="E33" s="238">
        <v>84</v>
      </c>
    </row>
    <row r="34" spans="1:5" x14ac:dyDescent="0.3">
      <c r="A34" s="141">
        <v>2046</v>
      </c>
      <c r="B34" s="297"/>
      <c r="C34" s="163">
        <v>56.7</v>
      </c>
      <c r="D34" s="164">
        <v>0</v>
      </c>
      <c r="E34" s="157">
        <v>84</v>
      </c>
    </row>
    <row r="35" spans="1:5" x14ac:dyDescent="0.3">
      <c r="A35" s="237">
        <v>2047</v>
      </c>
      <c r="B35" s="297"/>
      <c r="C35" s="163">
        <v>57.8</v>
      </c>
      <c r="D35" s="164">
        <v>0</v>
      </c>
      <c r="E35" s="157">
        <v>84</v>
      </c>
    </row>
    <row r="36" spans="1:5" x14ac:dyDescent="0.3">
      <c r="A36" s="141">
        <v>2048</v>
      </c>
      <c r="B36" s="297"/>
      <c r="C36" s="163">
        <v>58.9</v>
      </c>
      <c r="D36" s="164">
        <v>0</v>
      </c>
      <c r="E36" s="157">
        <v>84</v>
      </c>
    </row>
    <row r="37" spans="1:5" x14ac:dyDescent="0.3">
      <c r="A37" s="237">
        <v>2049</v>
      </c>
      <c r="B37" s="297"/>
      <c r="C37" s="163">
        <v>60</v>
      </c>
      <c r="D37" s="164">
        <v>0</v>
      </c>
      <c r="E37" s="238">
        <v>84</v>
      </c>
    </row>
    <row r="38" spans="1:5" x14ac:dyDescent="0.3">
      <c r="A38" s="141">
        <v>2050</v>
      </c>
      <c r="B38" s="297"/>
      <c r="C38" s="163">
        <v>61.1</v>
      </c>
      <c r="D38" s="164">
        <v>0</v>
      </c>
      <c r="E38" s="157">
        <v>84</v>
      </c>
    </row>
    <row r="39" spans="1:5" x14ac:dyDescent="0.3">
      <c r="A39" s="237">
        <v>2051</v>
      </c>
      <c r="B39" s="290"/>
      <c r="C39" s="163">
        <v>62.3</v>
      </c>
      <c r="D39" s="164">
        <v>0</v>
      </c>
      <c r="E39" s="157">
        <v>84</v>
      </c>
    </row>
    <row r="40" spans="1:5" x14ac:dyDescent="0.3">
      <c r="A40" s="141">
        <v>2052</v>
      </c>
      <c r="B40" s="290"/>
      <c r="C40" s="163">
        <v>63.4</v>
      </c>
      <c r="D40" s="164">
        <v>0</v>
      </c>
      <c r="E40" s="157">
        <v>84</v>
      </c>
    </row>
    <row r="41" spans="1:5" x14ac:dyDescent="0.3">
      <c r="A41" s="237">
        <v>2053</v>
      </c>
      <c r="B41" s="298"/>
      <c r="C41" s="165">
        <v>64.599999999999994</v>
      </c>
      <c r="D41" s="166">
        <v>0</v>
      </c>
      <c r="E41" s="238">
        <v>84</v>
      </c>
    </row>
    <row r="44" spans="1:5" ht="21" customHeight="1" x14ac:dyDescent="0.35">
      <c r="A44" s="712" t="s">
        <v>291</v>
      </c>
      <c r="B44" s="712"/>
      <c r="C44" s="712"/>
      <c r="D44" s="712"/>
      <c r="E44" s="712"/>
    </row>
    <row r="46" spans="1:5" x14ac:dyDescent="0.35">
      <c r="A46" s="484" t="s">
        <v>204</v>
      </c>
      <c r="B46" s="215"/>
    </row>
    <row r="48" spans="1:5" ht="14.5" customHeight="1" x14ac:dyDescent="0.35">
      <c r="A48" s="267"/>
      <c r="B48" s="293"/>
      <c r="C48" s="713" t="s">
        <v>288</v>
      </c>
      <c r="D48" s="715"/>
      <c r="E48" s="774" t="s">
        <v>292</v>
      </c>
    </row>
    <row r="49" spans="1:5" ht="14.5" customHeight="1" x14ac:dyDescent="0.35">
      <c r="A49" s="268"/>
      <c r="B49" s="294"/>
      <c r="C49" s="716"/>
      <c r="D49" s="718"/>
      <c r="E49" s="775"/>
    </row>
    <row r="50" spans="1:5" ht="14.5" customHeight="1" x14ac:dyDescent="0.3">
      <c r="A50" s="269"/>
      <c r="B50" s="299"/>
      <c r="C50" s="772"/>
      <c r="D50" s="773"/>
      <c r="E50" s="776"/>
    </row>
    <row r="51" spans="1:5" ht="14.5" customHeight="1" x14ac:dyDescent="0.3">
      <c r="A51" s="270"/>
      <c r="B51" s="300"/>
      <c r="C51" s="170" t="s">
        <v>290</v>
      </c>
      <c r="D51" s="171" t="s">
        <v>280</v>
      </c>
      <c r="E51" s="172" t="s">
        <v>293</v>
      </c>
    </row>
    <row r="52" spans="1:5" s="42" customFormat="1" x14ac:dyDescent="0.3">
      <c r="A52" s="169" t="s">
        <v>181</v>
      </c>
      <c r="B52" s="301"/>
      <c r="C52" s="175" t="s">
        <v>282</v>
      </c>
      <c r="D52" s="176" t="s">
        <v>282</v>
      </c>
      <c r="E52" s="640" t="s">
        <v>282</v>
      </c>
    </row>
    <row r="53" spans="1:5" s="42" customFormat="1" x14ac:dyDescent="0.3">
      <c r="A53" s="140">
        <f>'Inputs-System'!C7</f>
        <v>0</v>
      </c>
      <c r="B53" s="302"/>
      <c r="C53" s="167">
        <f>C9*(1+'Inputs-System'!$C$19)^(Capacity!$A53-2021)</f>
        <v>2.3127445209000413E-16</v>
      </c>
      <c r="D53" s="138">
        <f>D9*(1+'Inputs-System'!$C$19)^(Capacity!$A53-2021)</f>
        <v>0</v>
      </c>
      <c r="E53" s="173">
        <f>E9*(1+'Inputs-System'!$C$19)^($A53-2021)</f>
        <v>3.4940744560360334E-16</v>
      </c>
    </row>
    <row r="54" spans="1:5" x14ac:dyDescent="0.3">
      <c r="A54" s="141">
        <f>A53+1</f>
        <v>1</v>
      </c>
      <c r="B54" s="297"/>
      <c r="C54" s="167">
        <f>C10*(1+'Inputs-System'!$C$19)^(Capacity!$A54-2021)</f>
        <v>1.8965336993869872E-16</v>
      </c>
      <c r="D54" s="138">
        <f>D10*(1+'Inputs-System'!$C$19)^(Capacity!$A54-2021)</f>
        <v>0</v>
      </c>
      <c r="E54" s="173">
        <f>E10*(1+'Inputs-System'!$C$19)^($A54-2021)</f>
        <v>3.5639559451567543E-16</v>
      </c>
    </row>
    <row r="55" spans="1:5" x14ac:dyDescent="0.3">
      <c r="A55" s="141">
        <f t="shared" ref="A55:A85" si="0">A54+1</f>
        <v>2</v>
      </c>
      <c r="B55" s="297"/>
      <c r="C55" s="167">
        <f>C11*(1+'Inputs-System'!$C$19)^(Capacity!$A55-2021)</f>
        <v>9.9968964261646964E-17</v>
      </c>
      <c r="D55" s="138">
        <f>D11*(1+'Inputs-System'!$C$19)^(Capacity!$A55-2021)</f>
        <v>0</v>
      </c>
      <c r="E55" s="173">
        <f>E11*(1+'Inputs-System'!$C$19)^($A55-2021)</f>
        <v>3.6352350640598896E-16</v>
      </c>
    </row>
    <row r="56" spans="1:5" x14ac:dyDescent="0.3">
      <c r="A56" s="141">
        <f t="shared" si="0"/>
        <v>3</v>
      </c>
      <c r="B56" s="297"/>
      <c r="C56" s="167">
        <f>C12*(1+'Inputs-System'!$C$19)^(Capacity!$A56-2021)</f>
        <v>1.3021931318757393E-16</v>
      </c>
      <c r="D56" s="138">
        <f>D12*(1+'Inputs-System'!$C$19)^(Capacity!$A56-2021)</f>
        <v>0</v>
      </c>
      <c r="E56" s="173">
        <f>E12*(1+'Inputs-System'!$C$19)^($A56-2021)</f>
        <v>3.7079397653410878E-16</v>
      </c>
    </row>
    <row r="57" spans="1:5" x14ac:dyDescent="0.3">
      <c r="A57" s="141">
        <f t="shared" si="0"/>
        <v>4</v>
      </c>
      <c r="B57" s="297"/>
      <c r="C57" s="167">
        <f>C13*(1+'Inputs-System'!$C$19)^(Capacity!$A57-2021)</f>
        <v>1.4543069465348506E-16</v>
      </c>
      <c r="D57" s="138">
        <f>D13*(1+'Inputs-System'!$C$19)^(Capacity!$A57-2021)</f>
        <v>0</v>
      </c>
      <c r="E57" s="173">
        <f>E13*(1+'Inputs-System'!$C$19)^($A57-2021)</f>
        <v>3.782098560647909E-16</v>
      </c>
    </row>
    <row r="58" spans="1:5" x14ac:dyDescent="0.3">
      <c r="A58" s="141">
        <f t="shared" si="0"/>
        <v>5</v>
      </c>
      <c r="B58" s="297"/>
      <c r="C58" s="167">
        <f>C14*(1+'Inputs-System'!$C$19)^(Capacity!$A58-2021)</f>
        <v>1.4833930854655478E-16</v>
      </c>
      <c r="D58" s="138">
        <f>D14*(1+'Inputs-System'!$C$19)^(Capacity!$A58-2021)</f>
        <v>5.0058775949146975E-17</v>
      </c>
      <c r="E58" s="173">
        <f>E14*(1+'Inputs-System'!$C$19)^($A58-2021)</f>
        <v>3.8577405318608674E-16</v>
      </c>
    </row>
    <row r="59" spans="1:5" x14ac:dyDescent="0.3">
      <c r="A59" s="141">
        <f t="shared" si="0"/>
        <v>6</v>
      </c>
      <c r="B59" s="297"/>
      <c r="C59" s="167">
        <f>C15*(1+'Inputs-System'!$C$19)^(Capacity!$A59-2021)</f>
        <v>1.8690752876865902E-16</v>
      </c>
      <c r="D59" s="138">
        <f>D15*(1+'Inputs-System'!$C$19)^(Capacity!$A59-2021)</f>
        <v>1.0633586223179348E-16</v>
      </c>
      <c r="E59" s="173">
        <f>E15*(1+'Inputs-System'!$C$19)^($A59-2021)</f>
        <v>3.9348953424980851E-16</v>
      </c>
    </row>
    <row r="60" spans="1:5" x14ac:dyDescent="0.3">
      <c r="A60" s="141">
        <f t="shared" si="0"/>
        <v>7</v>
      </c>
      <c r="B60" s="297"/>
      <c r="C60" s="167">
        <f>C16*(1+'Inputs-System'!$C$19)^(Capacity!$A60-2021)</f>
        <v>1.8921225318355072E-16</v>
      </c>
      <c r="D60" s="138">
        <f>D16*(1+'Inputs-System'!$C$19)^(Capacity!$A60-2021)</f>
        <v>1.5098755557071221E-16</v>
      </c>
      <c r="E60" s="173">
        <f>E16*(1+'Inputs-System'!$C$19)^($A60-2021)</f>
        <v>4.0135932493480454E-16</v>
      </c>
    </row>
    <row r="61" spans="1:5" x14ac:dyDescent="0.3">
      <c r="A61" s="141">
        <f t="shared" si="0"/>
        <v>8</v>
      </c>
      <c r="B61" s="297"/>
      <c r="C61" s="167">
        <f>C17*(1+'Inputs-System'!$C$19)^(Capacity!$A61-2021)</f>
        <v>1.9933224187654971E-16</v>
      </c>
      <c r="D61" s="138">
        <f>D17*(1+'Inputs-System'!$C$19)^(Capacity!$A61-2021)</f>
        <v>2.0469325571675033E-16</v>
      </c>
      <c r="E61" s="173">
        <f>E17*(1+'Inputs-System'!$C$19)^($A61-2021)</f>
        <v>4.0938651143350065E-16</v>
      </c>
    </row>
    <row r="62" spans="1:5" x14ac:dyDescent="0.3">
      <c r="A62" s="141">
        <f t="shared" si="0"/>
        <v>9</v>
      </c>
      <c r="B62" s="297"/>
      <c r="C62" s="167">
        <f>C18*(1+'Inputs-System'!$C$19)^(Capacity!$A62-2021)</f>
        <v>2.246947109896442E-16</v>
      </c>
      <c r="D62" s="138">
        <f>D18*(1+'Inputs-System'!$C$19)^(Capacity!$A62-2021)</f>
        <v>2.56012779114307E-16</v>
      </c>
      <c r="E62" s="173">
        <f>E18*(1+'Inputs-System'!$C$19)^($A62-2021)</f>
        <v>4.1757424166217063E-16</v>
      </c>
    </row>
    <row r="63" spans="1:5" x14ac:dyDescent="0.3">
      <c r="A63" s="141">
        <f t="shared" si="0"/>
        <v>10</v>
      </c>
      <c r="B63" s="297"/>
      <c r="C63" s="167">
        <f>C19*(1+'Inputs-System'!$C$19)^(Capacity!$A63-2021)</f>
        <v>2.3223093182726155E-16</v>
      </c>
      <c r="D63" s="138">
        <f>D19*(1+'Inputs-System'!$C$19)^(Capacity!$A63-2021)</f>
        <v>1.8507486925098355E-16</v>
      </c>
      <c r="E63" s="173">
        <f>E19*(1+'Inputs-System'!$C$19)^($A63-2021)</f>
        <v>4.2592572649541417E-16</v>
      </c>
    </row>
    <row r="64" spans="1:5" x14ac:dyDescent="0.3">
      <c r="A64" s="141">
        <f t="shared" si="0"/>
        <v>11</v>
      </c>
      <c r="B64" s="297"/>
      <c r="C64" s="167">
        <f>C20*(1+'Inputs-System'!$C$19)^(Capacity!$A64-2021)</f>
        <v>2.3946152808895741E-16</v>
      </c>
      <c r="D64" s="138">
        <f>D20*(1+'Inputs-System'!$C$19)^(Capacity!$A64-2021)</f>
        <v>1.3653961860795844E-16</v>
      </c>
      <c r="E64" s="173">
        <f>E20*(1+'Inputs-System'!$C$19)^($A64-2021)</f>
        <v>4.3444424102532235E-16</v>
      </c>
    </row>
    <row r="65" spans="1:5" x14ac:dyDescent="0.3">
      <c r="A65" s="141">
        <f t="shared" si="0"/>
        <v>12</v>
      </c>
      <c r="B65" s="297"/>
      <c r="C65" s="167">
        <f>C21*(1+'Inputs-System'!$C$19)^(Capacity!$A65-2021)</f>
        <v>2.5427400792582081E-16</v>
      </c>
      <c r="D65" s="138">
        <f>D21*(1+'Inputs-System'!$C$19)^(Capacity!$A65-2021)</f>
        <v>8.7044006862573517E-17</v>
      </c>
      <c r="E65" s="173">
        <f>E21*(1+'Inputs-System'!$C$19)^($A65-2021)</f>
        <v>4.4313312584582879E-16</v>
      </c>
    </row>
    <row r="66" spans="1:5" x14ac:dyDescent="0.3">
      <c r="A66" s="141">
        <f t="shared" si="0"/>
        <v>13</v>
      </c>
      <c r="B66" s="297"/>
      <c r="C66" s="167">
        <f>C22*(1+'Inputs-System'!$C$19)^(Capacity!$A66-2021)</f>
        <v>2.8895445041761229E-16</v>
      </c>
      <c r="D66" s="138">
        <f>D22*(1+'Inputs-System'!$C$19)^(Capacity!$A66-2021)</f>
        <v>3.2823503678723182E-17</v>
      </c>
      <c r="E66" s="173">
        <f>E22*(1+'Inputs-System'!$C$19)^($A66-2021)</f>
        <v>4.5199578836274554E-16</v>
      </c>
    </row>
    <row r="67" spans="1:5" x14ac:dyDescent="0.3">
      <c r="A67" s="141">
        <f t="shared" si="0"/>
        <v>14</v>
      </c>
      <c r="B67" s="297"/>
      <c r="C67" s="167">
        <f>C23*(1+'Inputs-System'!$C$19)^(Capacity!$A67-2021)</f>
        <v>2.5411848930022639E-16</v>
      </c>
      <c r="D67" s="138">
        <f>D23*(1+'Inputs-System'!$C$19)^(Capacity!$A67-2021)</f>
        <v>0</v>
      </c>
      <c r="E67" s="173">
        <f>E23*(1+'Inputs-System'!$C$19)^($A67-2021)</f>
        <v>4.6103570413000039E-16</v>
      </c>
    </row>
    <row r="68" spans="1:5" x14ac:dyDescent="0.3">
      <c r="A68" s="141">
        <f t="shared" si="0"/>
        <v>15</v>
      </c>
      <c r="B68" s="297"/>
      <c r="C68" s="167">
        <f>C24*(1+'Inputs-System'!$C$19)^(Capacity!$A68-2021)</f>
        <v>2.6367949164063664E-16</v>
      </c>
      <c r="D68" s="138">
        <f>D24*(1+'Inputs-System'!$C$19)^(Capacity!$A68-2021)</f>
        <v>0</v>
      </c>
      <c r="E68" s="173">
        <f>E24*(1+'Inputs-System'!$C$19)^($A68-2021)</f>
        <v>4.7025641821260037E-16</v>
      </c>
    </row>
    <row r="69" spans="1:5" x14ac:dyDescent="0.3">
      <c r="A69" s="141">
        <f t="shared" si="0"/>
        <v>16</v>
      </c>
      <c r="B69" s="297"/>
      <c r="C69" s="167">
        <f>C25*(1+'Inputs-System'!$C$19)^(Capacity!$A69-2021)</f>
        <v>2.7409231232962992E-16</v>
      </c>
      <c r="D69" s="138">
        <f>D25*(1+'Inputs-System'!$C$19)^(Capacity!$A69-2021)</f>
        <v>0</v>
      </c>
      <c r="E69" s="173">
        <f>E25*(1+'Inputs-System'!$C$19)^($A69-2021)</f>
        <v>4.7966154657685239E-16</v>
      </c>
    </row>
    <row r="70" spans="1:5" x14ac:dyDescent="0.3">
      <c r="A70" s="141">
        <f t="shared" si="0"/>
        <v>17</v>
      </c>
      <c r="B70" s="297"/>
      <c r="C70" s="167">
        <f>C26*(1+'Inputs-System'!$C$19)^(Capacity!$A70-2021)</f>
        <v>2.848161740495267E-16</v>
      </c>
      <c r="D70" s="138">
        <f>D26*(1+'Inputs-System'!$C$19)^(Capacity!$A70-2021)</f>
        <v>0</v>
      </c>
      <c r="E70" s="173">
        <f>E26*(1+'Inputs-System'!$C$19)^($A70-2021)</f>
        <v>4.8925477750838948E-16</v>
      </c>
    </row>
    <row r="71" spans="1:5" x14ac:dyDescent="0.3">
      <c r="A71" s="141">
        <f t="shared" si="0"/>
        <v>18</v>
      </c>
      <c r="B71" s="297"/>
      <c r="C71" s="167">
        <f>C27*(1+'Inputs-System'!$C$19)^(Capacity!$A71-2021)</f>
        <v>2.9585935331328745E-16</v>
      </c>
      <c r="D71" s="138">
        <f>D27*(1+'Inputs-System'!$C$19)^(Capacity!$A71-2021)</f>
        <v>0</v>
      </c>
      <c r="E71" s="173">
        <f>E27*(1+'Inputs-System'!$C$19)^($A71-2021)</f>
        <v>4.9903987305855715E-16</v>
      </c>
    </row>
    <row r="72" spans="1:5" x14ac:dyDescent="0.3">
      <c r="A72" s="141">
        <f t="shared" si="0"/>
        <v>19</v>
      </c>
      <c r="B72" s="297"/>
      <c r="C72" s="167">
        <f>C28*(1+'Inputs-System'!$C$19)^(Capacity!$A72-2021)</f>
        <v>3.0783631026669288E-16</v>
      </c>
      <c r="D72" s="138">
        <f>D28*(1+'Inputs-System'!$C$19)^(Capacity!$A72-2021)</f>
        <v>0</v>
      </c>
      <c r="E72" s="173">
        <f>E28*(1+'Inputs-System'!$C$19)^($A72-2021)</f>
        <v>5.090206705197284E-16</v>
      </c>
    </row>
    <row r="73" spans="1:5" x14ac:dyDescent="0.3">
      <c r="A73" s="141">
        <f t="shared" si="0"/>
        <v>20</v>
      </c>
      <c r="B73" s="297"/>
      <c r="C73" s="167">
        <f>C29*(1+'Inputs-System'!$C$19)^(Capacity!$A73-2021)</f>
        <v>3.1955590522842089E-16</v>
      </c>
      <c r="D73" s="138">
        <f>D29*(1+'Inputs-System'!$C$19)^(Capacity!$A73-2021)</f>
        <v>0</v>
      </c>
      <c r="E73" s="173">
        <f>E29*(1+'Inputs-System'!$C$19)^($A73-2021)</f>
        <v>5.1920108393012292E-16</v>
      </c>
    </row>
    <row r="74" spans="1:5" x14ac:dyDescent="0.3">
      <c r="A74" s="141">
        <f t="shared" si="0"/>
        <v>21</v>
      </c>
      <c r="B74" s="297"/>
      <c r="C74" s="167">
        <f>C30*(1+'Inputs-System'!$C$19)^(Capacity!$A74-2021)</f>
        <v>3.3225160792356938E-16</v>
      </c>
      <c r="D74" s="138">
        <f>D30*(1+'Inputs-System'!$C$19)^(Capacity!$A74-2021)</f>
        <v>0</v>
      </c>
      <c r="E74" s="173">
        <f>E30*(1+'Inputs-System'!$C$19)^($A74-2021)</f>
        <v>5.2958510560872539E-16</v>
      </c>
    </row>
    <row r="75" spans="1:5" x14ac:dyDescent="0.3">
      <c r="A75" s="141">
        <f t="shared" si="0"/>
        <v>22</v>
      </c>
      <c r="B75" s="297"/>
      <c r="C75" s="167">
        <f>C31*(1+'Inputs-System'!$C$19)^(Capacity!$A75-2021)</f>
        <v>3.4532731636443238E-16</v>
      </c>
      <c r="D75" s="138">
        <f>D31*(1+'Inputs-System'!$C$19)^(Capacity!$A75-2021)</f>
        <v>0</v>
      </c>
      <c r="E75" s="173">
        <f>E31*(1+'Inputs-System'!$C$19)^($A75-2021)</f>
        <v>5.4017680772089981E-16</v>
      </c>
    </row>
    <row r="76" spans="1:5" x14ac:dyDescent="0.3">
      <c r="A76" s="141">
        <f t="shared" si="0"/>
        <v>23</v>
      </c>
      <c r="B76" s="297"/>
      <c r="C76" s="167">
        <f>C32*(1+'Inputs-System'!$C$19)^(Capacity!$A76-2021)</f>
        <v>3.5879315249976051E-16</v>
      </c>
      <c r="D76" s="138">
        <f>D32*(1+'Inputs-System'!$C$19)^(Capacity!$A76-2021)</f>
        <v>0</v>
      </c>
      <c r="E76" s="173">
        <f>E32*(1+'Inputs-System'!$C$19)^($A76-2021)</f>
        <v>5.5098034387531772E-16</v>
      </c>
    </row>
    <row r="77" spans="1:5" x14ac:dyDescent="0.3">
      <c r="A77" s="141">
        <f t="shared" si="0"/>
        <v>24</v>
      </c>
      <c r="B77" s="297"/>
      <c r="C77" s="167">
        <f>C33*(1+'Inputs-System'!$C$19)^(Capacity!$A77-2021)</f>
        <v>3.7265949115395601E-16</v>
      </c>
      <c r="D77" s="138">
        <f>D33*(1+'Inputs-System'!$C$19)^(Capacity!$A77-2021)</f>
        <v>0</v>
      </c>
      <c r="E77" s="173">
        <f>E33*(1+'Inputs-System'!$C$19)^($A77-2021)</f>
        <v>5.6199995075282413E-16</v>
      </c>
    </row>
    <row r="78" spans="1:5" x14ac:dyDescent="0.3">
      <c r="A78" s="141">
        <f t="shared" si="0"/>
        <v>25</v>
      </c>
      <c r="B78" s="297"/>
      <c r="C78" s="167">
        <f>C34*(1+'Inputs-System'!$C$19)^(Capacity!$A78-2021)</f>
        <v>3.8693696609331939E-16</v>
      </c>
      <c r="D78" s="138">
        <f>D34*(1+'Inputs-System'!$C$19)^(Capacity!$A78-2021)</f>
        <v>0</v>
      </c>
      <c r="E78" s="173">
        <f>E34*(1+'Inputs-System'!$C$19)^($A78-2021)</f>
        <v>5.7323994976788057E-16</v>
      </c>
    </row>
    <row r="79" spans="1:5" x14ac:dyDescent="0.3">
      <c r="A79" s="141">
        <f t="shared" si="0"/>
        <v>26</v>
      </c>
      <c r="B79" s="297"/>
      <c r="C79" s="167">
        <f>C35*(1+'Inputs-System'!$C$19)^(Capacity!$A79-2021)</f>
        <v>4.0233255331565689E-16</v>
      </c>
      <c r="D79" s="138">
        <f>D35*(1+'Inputs-System'!$C$19)^(Capacity!$A79-2021)</f>
        <v>0</v>
      </c>
      <c r="E79" s="173">
        <f>E35*(1+'Inputs-System'!$C$19)^($A79-2021)</f>
        <v>5.8470474876323842E-16</v>
      </c>
    </row>
    <row r="80" spans="1:5" x14ac:dyDescent="0.3">
      <c r="A80" s="141">
        <f t="shared" si="0"/>
        <v>27</v>
      </c>
      <c r="B80" s="297"/>
      <c r="C80" s="167">
        <f>C36*(1+'Inputs-System'!$C$19)^(Capacity!$A80-2021)</f>
        <v>4.1818918924045015E-16</v>
      </c>
      <c r="D80" s="138">
        <f>D36*(1+'Inputs-System'!$C$19)^(Capacity!$A80-2021)</f>
        <v>0</v>
      </c>
      <c r="E80" s="173">
        <f>E36*(1+'Inputs-System'!$C$19)^($A80-2021)</f>
        <v>5.9639884373850284E-16</v>
      </c>
    </row>
    <row r="81" spans="1:7" x14ac:dyDescent="0.3">
      <c r="A81" s="141">
        <f t="shared" si="0"/>
        <v>28</v>
      </c>
      <c r="B81" s="297"/>
      <c r="C81" s="167">
        <f>C37*(1+'Inputs-System'!$C$19)^(Capacity!$A81-2021)</f>
        <v>4.3451915758090933E-16</v>
      </c>
      <c r="D81" s="138">
        <f>D37*(1+'Inputs-System'!$C$19)^(Capacity!$A81-2021)</f>
        <v>0</v>
      </c>
      <c r="E81" s="173">
        <f>E37*(1+'Inputs-System'!$C$19)^($A81-2021)</f>
        <v>6.0832682061327314E-16</v>
      </c>
    </row>
    <row r="82" spans="1:7" x14ac:dyDescent="0.3">
      <c r="A82" s="141">
        <f t="shared" si="0"/>
        <v>29</v>
      </c>
      <c r="B82" s="297"/>
      <c r="C82" s="167">
        <f>C38*(1+'Inputs-System'!$C$19)^(Capacity!$A82-2021)</f>
        <v>4.5133504897929047E-16</v>
      </c>
      <c r="D82" s="138">
        <f>D38*(1+'Inputs-System'!$C$19)^(Capacity!$A82-2021)</f>
        <v>0</v>
      </c>
      <c r="E82" s="173">
        <f>E38*(1+'Inputs-System'!$C$19)^($A82-2021)</f>
        <v>6.2049335702553836E-16</v>
      </c>
    </row>
    <row r="83" spans="1:7" x14ac:dyDescent="0.3">
      <c r="A83" s="141">
        <f t="shared" si="0"/>
        <v>30</v>
      </c>
      <c r="B83" s="297"/>
      <c r="C83" s="167">
        <f>C39*(1+'Inputs-System'!$C$19)^(Capacity!$A83-2021)</f>
        <v>4.6940322458981995E-16</v>
      </c>
      <c r="D83" s="138">
        <f>D39*(1+'Inputs-System'!$C$19)^(Capacity!$A83-2021)</f>
        <v>0</v>
      </c>
      <c r="E83" s="173">
        <f>E39*(1+'Inputs-System'!$C$19)^($A83-2021)</f>
        <v>6.3290322416604938E-16</v>
      </c>
    </row>
    <row r="84" spans="1:7" x14ac:dyDescent="0.3">
      <c r="A84" s="141">
        <f t="shared" si="0"/>
        <v>31</v>
      </c>
      <c r="B84" s="297"/>
      <c r="C84" s="167">
        <f>C40*(1+'Inputs-System'!$C$19)^(Capacity!$A84-2021)</f>
        <v>4.8724506786154854E-16</v>
      </c>
      <c r="D84" s="138">
        <f>D40*(1+'Inputs-System'!$C$19)^(Capacity!$A84-2021)</f>
        <v>0</v>
      </c>
      <c r="E84" s="173">
        <f>E40*(1+'Inputs-System'!$C$19)^($A84-2021)</f>
        <v>6.4556128864937029E-16</v>
      </c>
    </row>
    <row r="85" spans="1:7" x14ac:dyDescent="0.3">
      <c r="A85" s="142">
        <f t="shared" si="0"/>
        <v>32</v>
      </c>
      <c r="B85" s="303"/>
      <c r="C85" s="177">
        <f>C41*(1+'Inputs-System'!$C$19)^(Capacity!$A85-2021)</f>
        <v>5.0639671942481312E-16</v>
      </c>
      <c r="D85" s="178">
        <f>D41*(1+'Inputs-System'!$C$19)^(Capacity!$A85-2021)</f>
        <v>0</v>
      </c>
      <c r="E85" s="174">
        <f>E41*(1+'Inputs-System'!$C$19)^($A85-2021)</f>
        <v>6.5847251442235766E-16</v>
      </c>
    </row>
    <row r="86" spans="1:7" x14ac:dyDescent="0.3">
      <c r="A86" s="139"/>
      <c r="B86" s="139"/>
      <c r="C86" s="168"/>
      <c r="D86" s="168"/>
      <c r="E86" s="168"/>
      <c r="F86" s="158"/>
      <c r="G86" s="158"/>
    </row>
    <row r="87" spans="1:7" x14ac:dyDescent="0.3">
      <c r="A87" s="130"/>
      <c r="B87" s="130"/>
      <c r="C87" s="134"/>
      <c r="D87" s="134"/>
    </row>
    <row r="88" spans="1:7" x14ac:dyDescent="0.3">
      <c r="A88" s="130"/>
      <c r="B88" s="130"/>
      <c r="C88" s="134"/>
      <c r="D88" s="134"/>
    </row>
    <row r="89" spans="1:7" x14ac:dyDescent="0.3">
      <c r="A89" s="159"/>
      <c r="B89" s="159"/>
      <c r="C89" s="160"/>
      <c r="D89" s="134"/>
    </row>
    <row r="90" spans="1:7" x14ac:dyDescent="0.3">
      <c r="A90" s="135"/>
      <c r="B90" s="135"/>
      <c r="C90" s="137"/>
      <c r="D90" s="134"/>
    </row>
    <row r="91" spans="1:7" x14ac:dyDescent="0.3">
      <c r="A91" s="135"/>
      <c r="B91" s="135"/>
      <c r="C91" s="137"/>
      <c r="D91" s="134"/>
    </row>
    <row r="92" spans="1:7" x14ac:dyDescent="0.3">
      <c r="A92" s="135"/>
      <c r="B92" s="135"/>
      <c r="C92" s="137"/>
      <c r="D92" s="134"/>
    </row>
    <row r="93" spans="1:7" x14ac:dyDescent="0.3">
      <c r="A93" s="135"/>
      <c r="B93" s="135"/>
      <c r="C93" s="136"/>
      <c r="D93" s="134"/>
    </row>
    <row r="94" spans="1:7" x14ac:dyDescent="0.3">
      <c r="A94" s="135"/>
      <c r="B94" s="135"/>
      <c r="C94" s="136"/>
      <c r="D94" s="134"/>
    </row>
    <row r="95" spans="1:7" x14ac:dyDescent="0.3">
      <c r="A95" s="135"/>
      <c r="B95" s="135"/>
      <c r="C95" s="136"/>
      <c r="D95" s="134"/>
    </row>
    <row r="96" spans="1:7" x14ac:dyDescent="0.3">
      <c r="A96" s="135"/>
      <c r="B96" s="135"/>
      <c r="C96" s="136"/>
      <c r="D96" s="134"/>
    </row>
  </sheetData>
  <mergeCells count="8">
    <mergeCell ref="A1:E1"/>
    <mergeCell ref="C48:D50"/>
    <mergeCell ref="E48:E50"/>
    <mergeCell ref="A44:E44"/>
    <mergeCell ref="C5:D5"/>
    <mergeCell ref="E5:E7"/>
    <mergeCell ref="C6:C7"/>
    <mergeCell ref="D6:D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148C"/>
  </sheetPr>
  <dimension ref="A1:Z37"/>
  <sheetViews>
    <sheetView zoomScaleNormal="100" workbookViewId="0">
      <selection activeCell="S16" sqref="S16"/>
    </sheetView>
  </sheetViews>
  <sheetFormatPr defaultColWidth="9.1796875" defaultRowHeight="14.5" x14ac:dyDescent="0.35"/>
  <cols>
    <col min="1" max="1" width="18.453125" style="3" bestFit="1" customWidth="1"/>
    <col min="2" max="2" width="18.453125" style="3" customWidth="1"/>
    <col min="3" max="4" width="15.7265625" style="3" customWidth="1"/>
    <col min="5" max="24" width="12.7265625" style="3" customWidth="1"/>
    <col min="27" max="16384" width="9.1796875" style="3"/>
  </cols>
  <sheetData>
    <row r="1" spans="1:24" ht="28.5" customHeight="1" x14ac:dyDescent="0.35">
      <c r="A1" s="592" t="s">
        <v>294</v>
      </c>
      <c r="B1" s="243"/>
      <c r="C1" s="243"/>
      <c r="D1" s="243"/>
      <c r="E1" s="243"/>
      <c r="F1" s="243"/>
      <c r="G1" s="243"/>
      <c r="H1" s="243"/>
      <c r="I1" s="243"/>
      <c r="J1" s="243"/>
      <c r="K1" s="243"/>
      <c r="L1" s="243"/>
      <c r="M1" s="243"/>
      <c r="N1" s="243"/>
      <c r="O1" s="243"/>
      <c r="P1" s="243"/>
      <c r="Q1" s="243"/>
      <c r="R1" s="243"/>
      <c r="S1" s="243"/>
      <c r="T1" s="243"/>
      <c r="U1" s="243"/>
      <c r="V1" s="243"/>
      <c r="W1" s="243"/>
      <c r="X1" s="243"/>
    </row>
    <row r="2" spans="1:24" ht="15" thickBot="1" x14ac:dyDescent="0.4"/>
    <row r="3" spans="1:24" ht="15" thickBot="1" x14ac:dyDescent="0.4">
      <c r="E3" s="700" t="s">
        <v>295</v>
      </c>
      <c r="F3" s="701"/>
      <c r="G3" s="701"/>
      <c r="H3" s="701"/>
      <c r="I3" s="701"/>
      <c r="J3" s="701"/>
      <c r="K3" s="701"/>
      <c r="L3" s="701"/>
      <c r="M3" s="701"/>
      <c r="N3" s="701"/>
      <c r="O3" s="701"/>
      <c r="P3" s="701"/>
      <c r="Q3" s="701"/>
      <c r="R3" s="701"/>
      <c r="S3" s="701"/>
      <c r="T3" s="701"/>
      <c r="U3" s="701"/>
      <c r="V3" s="701"/>
      <c r="W3" s="701"/>
      <c r="X3" s="702"/>
    </row>
    <row r="4" spans="1:24" ht="15" thickBot="1" x14ac:dyDescent="0.4">
      <c r="A4" s="196" t="s">
        <v>154</v>
      </c>
      <c r="B4" s="635" t="s">
        <v>296</v>
      </c>
      <c r="C4" s="198" t="s">
        <v>297</v>
      </c>
      <c r="D4" s="200" t="s">
        <v>298</v>
      </c>
      <c r="E4" s="198">
        <f>'Inputs-System'!C7</f>
        <v>0</v>
      </c>
      <c r="F4" s="199">
        <f>E4+1</f>
        <v>1</v>
      </c>
      <c r="G4" s="199">
        <f t="shared" ref="G4:X4" si="0">F4+1</f>
        <v>2</v>
      </c>
      <c r="H4" s="199">
        <f t="shared" si="0"/>
        <v>3</v>
      </c>
      <c r="I4" s="199">
        <f t="shared" si="0"/>
        <v>4</v>
      </c>
      <c r="J4" s="199">
        <f t="shared" si="0"/>
        <v>5</v>
      </c>
      <c r="K4" s="199">
        <f t="shared" si="0"/>
        <v>6</v>
      </c>
      <c r="L4" s="199">
        <f t="shared" si="0"/>
        <v>7</v>
      </c>
      <c r="M4" s="199">
        <f t="shared" si="0"/>
        <v>8</v>
      </c>
      <c r="N4" s="199">
        <f t="shared" si="0"/>
        <v>9</v>
      </c>
      <c r="O4" s="199">
        <f t="shared" si="0"/>
        <v>10</v>
      </c>
      <c r="P4" s="199">
        <f t="shared" si="0"/>
        <v>11</v>
      </c>
      <c r="Q4" s="199">
        <f t="shared" si="0"/>
        <v>12</v>
      </c>
      <c r="R4" s="199">
        <f t="shared" si="0"/>
        <v>13</v>
      </c>
      <c r="S4" s="199">
        <f t="shared" si="0"/>
        <v>14</v>
      </c>
      <c r="T4" s="199">
        <f t="shared" si="0"/>
        <v>15</v>
      </c>
      <c r="U4" s="199">
        <f t="shared" si="0"/>
        <v>16</v>
      </c>
      <c r="V4" s="199">
        <f t="shared" si="0"/>
        <v>17</v>
      </c>
      <c r="W4" s="199">
        <f t="shared" si="0"/>
        <v>18</v>
      </c>
      <c r="X4" s="200">
        <f t="shared" si="0"/>
        <v>19</v>
      </c>
    </row>
    <row r="5" spans="1:24" x14ac:dyDescent="0.35">
      <c r="A5" s="783" t="str">
        <f>'Inputs-Proposals'!C2</f>
        <v>Approximate Value</v>
      </c>
      <c r="B5" s="191" t="s">
        <v>299</v>
      </c>
      <c r="C5" s="201">
        <f t="shared" ref="C5:C37" si="1">SUM(E5:X5)</f>
        <v>0</v>
      </c>
      <c r="D5" s="144">
        <f>NPV('Inputs-System'!$C$20,'Cost Calculator'!E5,'Cost Calculator'!F5,'Cost Calculator'!G5,'Cost Calculator'!H5,'Cost Calculator'!I5,'Cost Calculator'!J5,'Cost Calculator'!K5,'Cost Calculator'!L5,'Cost Calculator'!M5,'Cost Calculator'!N5,'Cost Calculator'!O5,'Cost Calculator'!P5,'Cost Calculator'!Q5,'Cost Calculator'!R5,'Cost Calculator'!S5,'Cost Calculator'!T5,'Cost Calculator'!U5,'Cost Calculator'!V5,'Cost Calculator'!W5,'Cost Calculator'!X5)</f>
        <v>0</v>
      </c>
      <c r="E5" s="197">
        <f>'Inputs-Proposals'!C6</f>
        <v>0</v>
      </c>
      <c r="F5" s="185">
        <f>_xlfn.IFNA(_xlfn.IFS(AND('Inputs-Proposals'!$C$5-2&gt;=0,'Inputs-Proposals'!$C$8="Yes"),E$5*(1+'Inputs-Proposals'!$C$9),'Inputs-Proposals'!$C$5-2&gt;=0,'Inputs-Proposals'!$C$7),0)</f>
        <v>0</v>
      </c>
      <c r="G5" s="185">
        <f>_xlfn.IFNA(_xlfn.IFS(AND('Inputs-Proposals'!$C$5-3&gt;=0,'Inputs-Proposals'!$C$8="Yes"),F$5*(1+'Inputs-Proposals'!$C$9),'Inputs-Proposals'!$C$5-3&gt;=0,'Inputs-Proposals'!$C$7),0)</f>
        <v>0</v>
      </c>
      <c r="H5" s="185">
        <f>_xlfn.IFNA(_xlfn.IFS(AND('Inputs-Proposals'!$C$5-4&gt;=0,'Inputs-Proposals'!$C$8="Yes"),G$5*(1+'Inputs-Proposals'!$C$9),'Inputs-Proposals'!$C$5-4&gt;=0,'Inputs-Proposals'!$C$7),0)</f>
        <v>0</v>
      </c>
      <c r="I5" s="185">
        <f>_xlfn.IFNA(_xlfn.IFS(AND('Inputs-Proposals'!$C$5-5&gt;=0,'Inputs-Proposals'!$C$8="Yes"),H$5*(1+'Inputs-Proposals'!$C$9),'Inputs-Proposals'!$C$5-5&gt;=0,'Inputs-Proposals'!$C$7),0)</f>
        <v>0</v>
      </c>
      <c r="J5" s="185">
        <f>_xlfn.IFNA(_xlfn.IFS(AND('Inputs-Proposals'!$C$5-6&gt;=0,'Inputs-Proposals'!$C$8="Yes"),I$5*(1+'Inputs-Proposals'!$C$9),'Inputs-Proposals'!$C$5-6&gt;=0,'Inputs-Proposals'!$C$7),0)</f>
        <v>0</v>
      </c>
      <c r="K5" s="185">
        <f>_xlfn.IFNA(_xlfn.IFS(AND('Inputs-Proposals'!$C$5-7&gt;=0,'Inputs-Proposals'!$C$8="Yes"),J$5*(1+'Inputs-Proposals'!$C$9),'Inputs-Proposals'!$C$5-7&gt;=0,'Inputs-Proposals'!$C$7),0)</f>
        <v>0</v>
      </c>
      <c r="L5" s="185">
        <f>_xlfn.IFNA(_xlfn.IFS(AND('Inputs-Proposals'!$C$5-8&gt;=0,'Inputs-Proposals'!$C$8="Yes"),K$5*(1+'Inputs-Proposals'!$C$9),'Inputs-Proposals'!$C$5-8&gt;=0,'Inputs-Proposals'!$C$7),0)</f>
        <v>0</v>
      </c>
      <c r="M5" s="185">
        <f>_xlfn.IFNA(_xlfn.IFS(AND('Inputs-Proposals'!$C$5-9&gt;=0,'Inputs-Proposals'!$C$8="Yes"),L$5*(1+'Inputs-Proposals'!$C$9),'Inputs-Proposals'!$C$5-9&gt;=0,'Inputs-Proposals'!$C$7),0)</f>
        <v>0</v>
      </c>
      <c r="N5" s="185">
        <f>_xlfn.IFNA(_xlfn.IFS(AND('Inputs-Proposals'!$C$5-10&gt;=0,'Inputs-Proposals'!$C$8="Yes"),M$5*(1+'Inputs-Proposals'!$C$9),'Inputs-Proposals'!$C$5-10&gt;=0,'Inputs-Proposals'!$C$7),0)</f>
        <v>0</v>
      </c>
      <c r="O5" s="185">
        <f>_xlfn.IFNA(_xlfn.IFS(AND('Inputs-Proposals'!$C$5-11&gt;=0,'Inputs-Proposals'!$C$8="Yes"),N$5*(1+'Inputs-Proposals'!$C$9),'Inputs-Proposals'!$C$5-11&gt;=0,'Inputs-Proposals'!$C$7),0)</f>
        <v>0</v>
      </c>
      <c r="P5" s="185">
        <f>_xlfn.IFNA(_xlfn.IFS(AND('Inputs-Proposals'!$C$5-12&gt;=0,'Inputs-Proposals'!$C$8="Yes"),O$5*(1+'Inputs-Proposals'!$C$9),'Inputs-Proposals'!$C$5-12&gt;=0,'Inputs-Proposals'!$C$7),0)</f>
        <v>0</v>
      </c>
      <c r="Q5" s="185">
        <f>_xlfn.IFNA(_xlfn.IFS(AND('Inputs-Proposals'!$C$5-13&gt;=0,'Inputs-Proposals'!$C$8="Yes"),P$5*(1+'Inputs-Proposals'!$C$9),'Inputs-Proposals'!$C$5-13&gt;=0,'Inputs-Proposals'!$C$7),0)</f>
        <v>0</v>
      </c>
      <c r="R5" s="185">
        <f>_xlfn.IFNA(_xlfn.IFS(AND('Inputs-Proposals'!$C$5-14&gt;=0,'Inputs-Proposals'!$C$8="Yes"),Q$5*(1+'Inputs-Proposals'!$C$9),'Inputs-Proposals'!$C$5-14&gt;=0,'Inputs-Proposals'!$C$7),0)</f>
        <v>0</v>
      </c>
      <c r="S5" s="185">
        <f>_xlfn.IFNA(_xlfn.IFS(AND('Inputs-Proposals'!$C$5-15&gt;=0,'Inputs-Proposals'!$C$8="Yes"),R$5*(1+'Inputs-Proposals'!$C$9),'Inputs-Proposals'!$C$5-15&gt;=0,'Inputs-Proposals'!$C$7),0)</f>
        <v>0</v>
      </c>
      <c r="T5" s="185">
        <f>_xlfn.IFNA(_xlfn.IFS(AND('Inputs-Proposals'!$C$5-16&gt;=0,'Inputs-Proposals'!$C$8="Yes"),S$5*(1+'Inputs-Proposals'!$C$9),'Inputs-Proposals'!$C$5-16&gt;=0,'Inputs-Proposals'!$C$7),0)</f>
        <v>0</v>
      </c>
      <c r="U5" s="185">
        <f>_xlfn.IFNA(_xlfn.IFS(AND('Inputs-Proposals'!$C$5-17&gt;=0,'Inputs-Proposals'!$C$8="Yes"),T$5*(1+'Inputs-Proposals'!$C$9),'Inputs-Proposals'!$C$5-17&gt;=0,'Inputs-Proposals'!$C$7),0)</f>
        <v>0</v>
      </c>
      <c r="V5" s="185">
        <f>_xlfn.IFNA(_xlfn.IFS(AND('Inputs-Proposals'!$C$5-18&gt;=0,'Inputs-Proposals'!$C$8="Yes"),U$5*(1+'Inputs-Proposals'!$C$9),'Inputs-Proposals'!$C$5-18&gt;=0,'Inputs-Proposals'!$C$7),0)</f>
        <v>0</v>
      </c>
      <c r="W5" s="185">
        <f>_xlfn.IFNA(_xlfn.IFS(AND('Inputs-Proposals'!$C$5-19&gt;=0,'Inputs-Proposals'!$C$8="Yes"),V$5*(1+'Inputs-Proposals'!$C$9),'Inputs-Proposals'!$C$5-19&gt;=0,'Inputs-Proposals'!$C$7),0)</f>
        <v>0</v>
      </c>
      <c r="X5" s="247">
        <f>_xlfn.IFNA(_xlfn.IFS(AND('Inputs-Proposals'!$C$5-20&gt;=0,'Inputs-Proposals'!$C$8="Yes"),W$5*(1+'Inputs-Proposals'!$C$9),'Inputs-Proposals'!$C$5-20&gt;=0,'Inputs-Proposals'!$C$7),0)</f>
        <v>0</v>
      </c>
    </row>
    <row r="6" spans="1:24" x14ac:dyDescent="0.35">
      <c r="A6" s="784"/>
      <c r="B6" s="192" t="s">
        <v>300</v>
      </c>
      <c r="C6" s="202">
        <f t="shared" si="1"/>
        <v>40000</v>
      </c>
      <c r="D6" s="50">
        <f>NPV('Inputs-System'!$C$20,'Cost Calculator'!E6,'Cost Calculator'!F6,'Cost Calculator'!G6,'Cost Calculator'!H6,'Cost Calculator'!I6,'Cost Calculator'!J6,'Cost Calculator'!K6,'Cost Calculator'!L6,'Cost Calculator'!M6,'Cost Calculator'!N6,'Cost Calculator'!O6,'Cost Calculator'!P6,'Cost Calculator'!Q6,'Cost Calculator'!R6,'Cost Calculator'!S6,'Cost Calculator'!T6,'Cost Calculator'!U6,'Cost Calculator'!V6,'Cost Calculator'!W6,'Cost Calculator'!X6)</f>
        <v>37393.661774329245</v>
      </c>
      <c r="E6" s="194">
        <f>'Inputs-Proposals'!C11</f>
        <v>40000</v>
      </c>
      <c r="F6" s="186">
        <f>IF('Inputs-Proposals'!$C$5-2&gt;=0,'Inputs-Proposals'!$C$11,0)</f>
        <v>0</v>
      </c>
      <c r="G6" s="186">
        <f>IF('Inputs-Proposals'!$C$5-3&gt;=0,'Inputs-Proposals'!$C$11,0)</f>
        <v>0</v>
      </c>
      <c r="H6" s="186">
        <f>IF('Inputs-Proposals'!$C$5-4&gt;=0,'Inputs-Proposals'!$C$11,0)</f>
        <v>0</v>
      </c>
      <c r="I6" s="186">
        <f>IF('Inputs-Proposals'!$C$5-5&gt;=0,'Inputs-Proposals'!$C$11,0)</f>
        <v>0</v>
      </c>
      <c r="J6" s="186">
        <f>IF('Inputs-Proposals'!$C$5-6&gt;=0,'Inputs-Proposals'!$C$11,0)</f>
        <v>0</v>
      </c>
      <c r="K6" s="186">
        <f>IF('Inputs-Proposals'!$C$5-7&gt;=0,'Inputs-Proposals'!$C$11,0)</f>
        <v>0</v>
      </c>
      <c r="L6" s="186">
        <f>IF('Inputs-Proposals'!$C$5-8&gt;=0,'Inputs-Proposals'!$C$11,0)</f>
        <v>0</v>
      </c>
      <c r="M6" s="186">
        <f>IF('Inputs-Proposals'!$C$5-9&gt;=0,'Inputs-Proposals'!$C$11,0)</f>
        <v>0</v>
      </c>
      <c r="N6" s="186">
        <f>IF('Inputs-Proposals'!$C$5-10&gt;=0,'Inputs-Proposals'!$C$11,0)</f>
        <v>0</v>
      </c>
      <c r="O6" s="186">
        <f>IF('Inputs-Proposals'!$C$5-11&gt;=0,'Inputs-Proposals'!$C$11,0)</f>
        <v>0</v>
      </c>
      <c r="P6" s="186">
        <f>IF('Inputs-Proposals'!$C$5-12&gt;=0,'Inputs-Proposals'!$C$11,0)</f>
        <v>0</v>
      </c>
      <c r="Q6" s="186">
        <f>IF('Inputs-Proposals'!$C$5-13&gt;=0,'Inputs-Proposals'!$C$11,0)</f>
        <v>0</v>
      </c>
      <c r="R6" s="186">
        <f>IF('Inputs-Proposals'!$C$5-14&gt;=0,'Inputs-Proposals'!$C$11,0)</f>
        <v>0</v>
      </c>
      <c r="S6" s="186">
        <f>IF('Inputs-Proposals'!$C$5-15&gt;=0,'Inputs-Proposals'!$C$11,0)</f>
        <v>0</v>
      </c>
      <c r="T6" s="186">
        <f>IF('Inputs-Proposals'!$C$5-16&gt;=0,'Inputs-Proposals'!$C$11,0)</f>
        <v>0</v>
      </c>
      <c r="U6" s="186">
        <f>IF('Inputs-Proposals'!$C$5-17&gt;=0,'Inputs-Proposals'!$C$11,0)</f>
        <v>0</v>
      </c>
      <c r="V6" s="186">
        <f>IF('Inputs-Proposals'!$C$5-18&gt;=0,'Inputs-Proposals'!$C$11,0)</f>
        <v>0</v>
      </c>
      <c r="W6" s="186">
        <f>IF('Inputs-Proposals'!$C$5-19&gt;=0,'Inputs-Proposals'!$C$11,0)</f>
        <v>0</v>
      </c>
      <c r="X6" s="245">
        <f>IF('Inputs-Proposals'!$C$5-20&gt;=0,'Inputs-Proposals'!$C$11,0)</f>
        <v>0</v>
      </c>
    </row>
    <row r="7" spans="1:24" ht="15" thickBot="1" x14ac:dyDescent="0.4">
      <c r="A7" s="785"/>
      <c r="B7" s="193" t="s">
        <v>126</v>
      </c>
      <c r="C7" s="203">
        <f t="shared" si="1"/>
        <v>0</v>
      </c>
      <c r="D7" s="179">
        <f>E7</f>
        <v>0</v>
      </c>
      <c r="E7" s="195">
        <f>'Inputs-Proposals'!C12</f>
        <v>0</v>
      </c>
      <c r="F7" s="190">
        <v>0</v>
      </c>
      <c r="G7" s="190">
        <v>0</v>
      </c>
      <c r="H7" s="190">
        <v>0</v>
      </c>
      <c r="I7" s="190">
        <v>0</v>
      </c>
      <c r="J7" s="190">
        <v>0</v>
      </c>
      <c r="K7" s="190">
        <v>0</v>
      </c>
      <c r="L7" s="190">
        <v>0</v>
      </c>
      <c r="M7" s="190">
        <v>0</v>
      </c>
      <c r="N7" s="190">
        <v>0</v>
      </c>
      <c r="O7" s="190">
        <v>0</v>
      </c>
      <c r="P7" s="190">
        <v>0</v>
      </c>
      <c r="Q7" s="190">
        <v>0</v>
      </c>
      <c r="R7" s="190">
        <v>0</v>
      </c>
      <c r="S7" s="190">
        <v>0</v>
      </c>
      <c r="T7" s="190">
        <v>0</v>
      </c>
      <c r="U7" s="190">
        <v>0</v>
      </c>
      <c r="V7" s="190">
        <v>0</v>
      </c>
      <c r="W7" s="190">
        <v>0</v>
      </c>
      <c r="X7" s="246">
        <v>0</v>
      </c>
    </row>
    <row r="8" spans="1:24" x14ac:dyDescent="0.35">
      <c r="A8" s="783" t="str">
        <f>'Inputs-Proposals'!D2</f>
        <v>Storage</v>
      </c>
      <c r="B8" s="180" t="s">
        <v>299</v>
      </c>
      <c r="C8" s="204">
        <f t="shared" si="1"/>
        <v>0</v>
      </c>
      <c r="D8" s="49">
        <f>NPV('Inputs-System'!$C$20,'Cost Calculator'!E8,'Cost Calculator'!F8,'Cost Calculator'!G8,'Cost Calculator'!H8,'Cost Calculator'!I8,'Cost Calculator'!J8,'Cost Calculator'!K8,'Cost Calculator'!L8,'Cost Calculator'!M8,'Cost Calculator'!N8,'Cost Calculator'!O8,'Cost Calculator'!P8,'Cost Calculator'!Q8,'Cost Calculator'!R8,'Cost Calculator'!S8,'Cost Calculator'!T8,'Cost Calculator'!U8,'Cost Calculator'!V8,'Cost Calculator'!W8,'Cost Calculator'!X8)</f>
        <v>0</v>
      </c>
      <c r="E8" s="184">
        <f>'Inputs-Proposals'!D6</f>
        <v>0</v>
      </c>
      <c r="F8" s="185">
        <f>_xlfn.IFNA(_xlfn.IFS(AND('Inputs-Proposals'!$D$5-2&gt;=0,'Inputs-Proposals'!$D$8="Yes"),E$8*(1+'Inputs-Proposals'!$D$9),'Inputs-Proposals'!$D$5-2&gt;=0,'Inputs-Proposals'!$D$7),0)</f>
        <v>0</v>
      </c>
      <c r="G8" s="185">
        <f>_xlfn.IFNA(_xlfn.IFS(AND('Inputs-Proposals'!$D$5-3&gt;=0,'Inputs-Proposals'!$D$8="Yes"),F$8*(1+'Inputs-Proposals'!$D$9),'Inputs-Proposals'!$D$5-3&gt;=0,'Inputs-Proposals'!$D$7),0)</f>
        <v>0</v>
      </c>
      <c r="H8" s="185">
        <f>_xlfn.IFNA(_xlfn.IFS(AND('Inputs-Proposals'!$D$5-4&gt;=0,'Inputs-Proposals'!$D$8="Yes"),G$8*(1+'Inputs-Proposals'!$D$9),'Inputs-Proposals'!$D$5-4&gt;=0,'Inputs-Proposals'!$D$7),0)</f>
        <v>0</v>
      </c>
      <c r="I8" s="185">
        <f>_xlfn.IFNA(_xlfn.IFS(AND('Inputs-Proposals'!$D$5-5&gt;=0,'Inputs-Proposals'!$D$8="Yes"),H$8*(1+'Inputs-Proposals'!$D$9),'Inputs-Proposals'!$D$5-5&gt;=0,'Inputs-Proposals'!$D$7),0)</f>
        <v>0</v>
      </c>
      <c r="J8" s="185">
        <f>_xlfn.IFNA(_xlfn.IFS(AND('Inputs-Proposals'!$D$5-6&gt;=0,'Inputs-Proposals'!$D$8="Yes"),I$8*(1+'Inputs-Proposals'!$D$9),'Inputs-Proposals'!$D$5-6&gt;=0,'Inputs-Proposals'!$D$7),0)</f>
        <v>0</v>
      </c>
      <c r="K8" s="185">
        <f>_xlfn.IFNA(_xlfn.IFS(AND('Inputs-Proposals'!$D$5-7&gt;=0,'Inputs-Proposals'!$D$8="Yes"),J$8*(1+'Inputs-Proposals'!$D$9),'Inputs-Proposals'!$D$5-7&gt;=0,'Inputs-Proposals'!$D$7),0)</f>
        <v>0</v>
      </c>
      <c r="L8" s="185">
        <f>_xlfn.IFNA(_xlfn.IFS(AND('Inputs-Proposals'!$D$5-8&gt;=0,'Inputs-Proposals'!$D$8="Yes"),K$8*(1+'Inputs-Proposals'!$D$9),'Inputs-Proposals'!$D$5-8&gt;=0,'Inputs-Proposals'!$D$7),0)</f>
        <v>0</v>
      </c>
      <c r="M8" s="185">
        <f>_xlfn.IFNA(_xlfn.IFS(AND('Inputs-Proposals'!$D$5-9&gt;=0,'Inputs-Proposals'!$D$8="Yes"),L$8*(1+'Inputs-Proposals'!$D$9),'Inputs-Proposals'!$D$5-9&gt;=0,'Inputs-Proposals'!$D$7),0)</f>
        <v>0</v>
      </c>
      <c r="N8" s="185">
        <f>_xlfn.IFNA(_xlfn.IFS(AND('Inputs-Proposals'!$D$5-10&gt;=0,'Inputs-Proposals'!$D$8="Yes"),M$8*(1+'Inputs-Proposals'!$D$9),'Inputs-Proposals'!$D$5-10&gt;=0,'Inputs-Proposals'!$D$7),0)</f>
        <v>0</v>
      </c>
      <c r="O8" s="185">
        <f>_xlfn.IFNA(_xlfn.IFS(AND('Inputs-Proposals'!$D$5-11&gt;=0,'Inputs-Proposals'!$D$8="Yes"),N$8*(1+'Inputs-Proposals'!$D$9),'Inputs-Proposals'!$D$5-11&gt;=0,'Inputs-Proposals'!$D$7),0)</f>
        <v>0</v>
      </c>
      <c r="P8" s="185">
        <f>_xlfn.IFNA(_xlfn.IFS(AND('Inputs-Proposals'!$D$5-12&gt;=0,'Inputs-Proposals'!$D$8="Yes"),O$8*(1+'Inputs-Proposals'!$D$9),'Inputs-Proposals'!$D$5-12&gt;=0,'Inputs-Proposals'!$D$7),0)</f>
        <v>0</v>
      </c>
      <c r="Q8" s="185">
        <f>_xlfn.IFNA(_xlfn.IFS(AND('Inputs-Proposals'!$D$5-13&gt;=0,'Inputs-Proposals'!$D$8="Yes"),P$8*(1+'Inputs-Proposals'!$D$9),'Inputs-Proposals'!$D$5-13&gt;=0,'Inputs-Proposals'!$D$7),0)</f>
        <v>0</v>
      </c>
      <c r="R8" s="185">
        <f>_xlfn.IFNA(_xlfn.IFS(AND('Inputs-Proposals'!$D$5-14&gt;=0,'Inputs-Proposals'!$D$8="Yes"),Q$8*(1+'Inputs-Proposals'!$D$9),'Inputs-Proposals'!$D$5-14&gt;=0,'Inputs-Proposals'!$D$7),0)</f>
        <v>0</v>
      </c>
      <c r="S8" s="185">
        <f>_xlfn.IFNA(_xlfn.IFS(AND('Inputs-Proposals'!$D$5-15&gt;=0,'Inputs-Proposals'!$D$8="Yes"),R$8*(1+'Inputs-Proposals'!$D$9),'Inputs-Proposals'!$D$5-15&gt;=0,'Inputs-Proposals'!$D$7),0)</f>
        <v>0</v>
      </c>
      <c r="T8" s="185">
        <f>_xlfn.IFNA(_xlfn.IFS(AND('Inputs-Proposals'!$D$5-16&gt;=0,'Inputs-Proposals'!$D$8="Yes"),S$8*(1+'Inputs-Proposals'!$D$9),'Inputs-Proposals'!$D$5-16&gt;=0,'Inputs-Proposals'!$D$7),0)</f>
        <v>0</v>
      </c>
      <c r="U8" s="185">
        <f>_xlfn.IFNA(_xlfn.IFS(AND('Inputs-Proposals'!$D$5-17&gt;=0,'Inputs-Proposals'!$D$8="Yes"),T$8*(1+'Inputs-Proposals'!$D$9),'Inputs-Proposals'!$D$5-17&gt;=0,'Inputs-Proposals'!$D$7),0)</f>
        <v>0</v>
      </c>
      <c r="V8" s="185">
        <f>_xlfn.IFNA(_xlfn.IFS(AND('Inputs-Proposals'!$D$5-18&gt;=0,'Inputs-Proposals'!$D$8="Yes"),U$8*(1+'Inputs-Proposals'!$D$9),'Inputs-Proposals'!$D$5-18&gt;=0,'Inputs-Proposals'!$D$7),0)</f>
        <v>0</v>
      </c>
      <c r="W8" s="185">
        <f>_xlfn.IFNA(_xlfn.IFS(AND('Inputs-Proposals'!$D$5-19&gt;=0,'Inputs-Proposals'!$D$8="Yes"),V$8*(1+'Inputs-Proposals'!$D$9),'Inputs-Proposals'!$D$5-19&gt;=0,'Inputs-Proposals'!$D$7),0)</f>
        <v>0</v>
      </c>
      <c r="X8" s="247">
        <f>_xlfn.IFNA(_xlfn.IFS(AND('Inputs-Proposals'!$D$5-20&gt;=0,'Inputs-Proposals'!$D$8="Yes"),W$8*(1+'Inputs-Proposals'!$D$9),'Inputs-Proposals'!$D$5-20&gt;=0,'Inputs-Proposals'!$D$7),0)</f>
        <v>0</v>
      </c>
    </row>
    <row r="9" spans="1:24" x14ac:dyDescent="0.35">
      <c r="A9" s="784"/>
      <c r="B9" s="106" t="s">
        <v>300</v>
      </c>
      <c r="C9" s="202">
        <f t="shared" si="1"/>
        <v>0</v>
      </c>
      <c r="D9" s="50">
        <f>NPV('Inputs-System'!$C$20,'Cost Calculator'!E9,'Cost Calculator'!F9,'Cost Calculator'!G9,'Cost Calculator'!H9,'Cost Calculator'!I9,'Cost Calculator'!J9,'Cost Calculator'!K9,'Cost Calculator'!L9,'Cost Calculator'!M9,'Cost Calculator'!N9,'Cost Calculator'!O9,'Cost Calculator'!P9,'Cost Calculator'!Q9,'Cost Calculator'!R9,'Cost Calculator'!S9,'Cost Calculator'!T9,'Cost Calculator'!U9,'Cost Calculator'!V9,'Cost Calculator'!W9,'Cost Calculator'!X9)</f>
        <v>0</v>
      </c>
      <c r="E9" s="183">
        <f>'Inputs-Proposals'!D11</f>
        <v>0</v>
      </c>
      <c r="F9" s="186">
        <f>IF('Inputs-Proposals'!$D$5-2&gt;=0,'Inputs-Proposals'!$D$11,0)</f>
        <v>0</v>
      </c>
      <c r="G9" s="186">
        <f>IF('Inputs-Proposals'!$D$5-3&gt;=0,'Inputs-Proposals'!$D$11,0)</f>
        <v>0</v>
      </c>
      <c r="H9" s="186">
        <f>IF('Inputs-Proposals'!$D$5-4&gt;=0,'Inputs-Proposals'!$D$11,0)</f>
        <v>0</v>
      </c>
      <c r="I9" s="186">
        <f>IF('Inputs-Proposals'!$D$5-5&gt;=0,'Inputs-Proposals'!$D$11,0)</f>
        <v>0</v>
      </c>
      <c r="J9" s="186">
        <f>IF('Inputs-Proposals'!$D$5-6&gt;=0,'Inputs-Proposals'!$D$11,0)</f>
        <v>0</v>
      </c>
      <c r="K9" s="186">
        <f>IF('Inputs-Proposals'!$D$5-7&gt;=0,'Inputs-Proposals'!$D$11,0)</f>
        <v>0</v>
      </c>
      <c r="L9" s="186">
        <f>IF('Inputs-Proposals'!$D$5-8&gt;=0,'Inputs-Proposals'!$D$11,0)</f>
        <v>0</v>
      </c>
      <c r="M9" s="186">
        <f>IF('Inputs-Proposals'!$D$5-9&gt;=0,'Inputs-Proposals'!$D$11,0)</f>
        <v>0</v>
      </c>
      <c r="N9" s="186">
        <f>IF('Inputs-Proposals'!$D$5-10&gt;=0,'Inputs-Proposals'!$D$11,0)</f>
        <v>0</v>
      </c>
      <c r="O9" s="186">
        <f>IF('Inputs-Proposals'!$D$5-11&gt;=0,'Inputs-Proposals'!$D$11,0)</f>
        <v>0</v>
      </c>
      <c r="P9" s="186">
        <f>IF('Inputs-Proposals'!$D$5-12&gt;=0,'Inputs-Proposals'!$D$11,0)</f>
        <v>0</v>
      </c>
      <c r="Q9" s="186">
        <f>IF('Inputs-Proposals'!$D$5-13&gt;=0,'Inputs-Proposals'!$D$11,0)</f>
        <v>0</v>
      </c>
      <c r="R9" s="186">
        <f>IF('Inputs-Proposals'!$D$5-14&gt;=0,'Inputs-Proposals'!$D$11,0)</f>
        <v>0</v>
      </c>
      <c r="S9" s="186">
        <f>IF('Inputs-Proposals'!$D$5-15&gt;=0,'Inputs-Proposals'!$D$11,0)</f>
        <v>0</v>
      </c>
      <c r="T9" s="186">
        <f>IF('Inputs-Proposals'!$D$5-16&gt;=0,'Inputs-Proposals'!$D$11,0)</f>
        <v>0</v>
      </c>
      <c r="U9" s="186">
        <f>IF('Inputs-Proposals'!$D$5-17&gt;=0,'Inputs-Proposals'!$D$11,0)</f>
        <v>0</v>
      </c>
      <c r="V9" s="186">
        <f>IF('Inputs-Proposals'!$D$5-18&gt;=0,'Inputs-Proposals'!$D$11,0)</f>
        <v>0</v>
      </c>
      <c r="W9" s="186">
        <f>IF('Inputs-Proposals'!$D$5-19&gt;=0,'Inputs-Proposals'!$D$11,0)</f>
        <v>0</v>
      </c>
      <c r="X9" s="245">
        <f>IF('Inputs-Proposals'!$D$5-20&gt;=0,'Inputs-Proposals'!$D$11,0)</f>
        <v>0</v>
      </c>
    </row>
    <row r="10" spans="1:24" ht="15" thickBot="1" x14ac:dyDescent="0.4">
      <c r="A10" s="786"/>
      <c r="B10" s="182" t="s">
        <v>126</v>
      </c>
      <c r="C10" s="205">
        <f t="shared" si="1"/>
        <v>0</v>
      </c>
      <c r="D10" s="51">
        <f>E10</f>
        <v>0</v>
      </c>
      <c r="E10" s="189">
        <f>'Inputs-Proposals'!D12</f>
        <v>0</v>
      </c>
      <c r="F10" s="190">
        <v>0</v>
      </c>
      <c r="G10" s="190">
        <v>0</v>
      </c>
      <c r="H10" s="190">
        <v>0</v>
      </c>
      <c r="I10" s="190">
        <v>0</v>
      </c>
      <c r="J10" s="190">
        <v>0</v>
      </c>
      <c r="K10" s="190">
        <v>0</v>
      </c>
      <c r="L10" s="190">
        <v>0</v>
      </c>
      <c r="M10" s="190">
        <v>0</v>
      </c>
      <c r="N10" s="190">
        <v>0</v>
      </c>
      <c r="O10" s="190">
        <v>0</v>
      </c>
      <c r="P10" s="190">
        <v>0</v>
      </c>
      <c r="Q10" s="190">
        <v>0</v>
      </c>
      <c r="R10" s="190">
        <v>0</v>
      </c>
      <c r="S10" s="190">
        <v>0</v>
      </c>
      <c r="T10" s="190">
        <v>0</v>
      </c>
      <c r="U10" s="190">
        <v>0</v>
      </c>
      <c r="V10" s="190">
        <v>0</v>
      </c>
      <c r="W10" s="190">
        <v>0</v>
      </c>
      <c r="X10" s="246">
        <v>0</v>
      </c>
    </row>
    <row r="11" spans="1:24" x14ac:dyDescent="0.35">
      <c r="A11" s="783">
        <f>'Inputs-Proposals'!E2</f>
        <v>0</v>
      </c>
      <c r="B11" s="180" t="s">
        <v>299</v>
      </c>
      <c r="C11" s="204">
        <f t="shared" si="1"/>
        <v>0</v>
      </c>
      <c r="D11" s="49">
        <f>NPV('Inputs-System'!$C$20,'Cost Calculator'!E11,'Cost Calculator'!F11,'Cost Calculator'!G11,'Cost Calculator'!H11,'Cost Calculator'!I11,'Cost Calculator'!J11,'Cost Calculator'!K11,'Cost Calculator'!L11,'Cost Calculator'!M11,'Cost Calculator'!N11,'Cost Calculator'!O11,'Cost Calculator'!P11,'Cost Calculator'!Q11,'Cost Calculator'!R11,'Cost Calculator'!S11,'Cost Calculator'!T11,'Cost Calculator'!U11,'Cost Calculator'!V11,'Cost Calculator'!W11,'Cost Calculator'!X11)</f>
        <v>0</v>
      </c>
      <c r="E11" s="184">
        <f>'Inputs-Proposals'!E6</f>
        <v>0</v>
      </c>
      <c r="F11" s="185">
        <f>_xlfn.IFNA(_xlfn.IFS(AND('Inputs-Proposals'!$E$5-2&gt;=0,'Inputs-Proposals'!$E$8="Yes"),E$11*(1+'Inputs-Proposals'!$E$9),'Inputs-Proposals'!$E$5-2&gt;=0,'Inputs-Proposals'!$E$7),0)</f>
        <v>0</v>
      </c>
      <c r="G11" s="185">
        <f>_xlfn.IFNA(_xlfn.IFS(AND('Inputs-Proposals'!$E$5-3&gt;=0,'Inputs-Proposals'!$E$8="Yes"),F$11*(1+'Inputs-Proposals'!$E$9),'Inputs-Proposals'!$E$5-3&gt;=0,'Inputs-Proposals'!$E$7),0)</f>
        <v>0</v>
      </c>
      <c r="H11" s="185">
        <f>_xlfn.IFNA(_xlfn.IFS(AND('Inputs-Proposals'!$E$5-4&gt;=0,'Inputs-Proposals'!$E$8="Yes"),G$11*(1+'Inputs-Proposals'!$E$9),'Inputs-Proposals'!$E$5-4&gt;=0,'Inputs-Proposals'!$E$7),0)</f>
        <v>0</v>
      </c>
      <c r="I11" s="185">
        <f>_xlfn.IFNA(_xlfn.IFS(AND('Inputs-Proposals'!$E$5-5&gt;=0,'Inputs-Proposals'!$E$8="Yes"),H$11*(1+'Inputs-Proposals'!$E$9),'Inputs-Proposals'!$E$5-5&gt;=0,'Inputs-Proposals'!$E$7),0)</f>
        <v>0</v>
      </c>
      <c r="J11" s="185">
        <f>_xlfn.IFNA(_xlfn.IFS(AND('Inputs-Proposals'!$E$5-6&gt;=0,'Inputs-Proposals'!$E$8="Yes"),I$11*(1+'Inputs-Proposals'!$E$9),'Inputs-Proposals'!$E$5-6&gt;=0,'Inputs-Proposals'!$E$7),0)</f>
        <v>0</v>
      </c>
      <c r="K11" s="185">
        <f>_xlfn.IFNA(_xlfn.IFS(AND('Inputs-Proposals'!$E$5-7&gt;=0,'Inputs-Proposals'!$E$8="Yes"),J$11*(1+'Inputs-Proposals'!$E$9),'Inputs-Proposals'!$E$5-7&gt;=0,'Inputs-Proposals'!$E$7),0)</f>
        <v>0</v>
      </c>
      <c r="L11" s="185">
        <f>_xlfn.IFNA(_xlfn.IFS(AND('Inputs-Proposals'!$E$5-8&gt;=0,'Inputs-Proposals'!$E$8="Yes"),K$11*(1+'Inputs-Proposals'!$E$9),'Inputs-Proposals'!$E$5-8&gt;=0,'Inputs-Proposals'!$E$7),0)</f>
        <v>0</v>
      </c>
      <c r="M11" s="185">
        <f>_xlfn.IFNA(_xlfn.IFS(AND('Inputs-Proposals'!$E$5-9&gt;=0,'Inputs-Proposals'!$E$8="Yes"),L$11*(1+'Inputs-Proposals'!$E$9),'Inputs-Proposals'!$E$5-9&gt;=0,'Inputs-Proposals'!$E$7),0)</f>
        <v>0</v>
      </c>
      <c r="N11" s="185">
        <f>_xlfn.IFNA(_xlfn.IFS(AND('Inputs-Proposals'!$E$5-10&gt;=0,'Inputs-Proposals'!$E$8="Yes"),M$11*(1+'Inputs-Proposals'!$E$9),'Inputs-Proposals'!$E$5-10&gt;=0,'Inputs-Proposals'!$E$7),0)</f>
        <v>0</v>
      </c>
      <c r="O11" s="185">
        <f>_xlfn.IFNA(_xlfn.IFS(AND('Inputs-Proposals'!$E$5-11&gt;=0,'Inputs-Proposals'!$E$8="Yes"),N$11*(1+'Inputs-Proposals'!$E$9),'Inputs-Proposals'!$E$5-11&gt;=0,'Inputs-Proposals'!$E$7),0)</f>
        <v>0</v>
      </c>
      <c r="P11" s="185">
        <f>_xlfn.IFNA(_xlfn.IFS(AND('Inputs-Proposals'!$E$5-12&gt;=0,'Inputs-Proposals'!$E$8="Yes"),O$11*(1+'Inputs-Proposals'!$E$9),'Inputs-Proposals'!$E$5-12&gt;=0,'Inputs-Proposals'!$E$7),0)</f>
        <v>0</v>
      </c>
      <c r="Q11" s="185">
        <f>_xlfn.IFNA(_xlfn.IFS(AND('Inputs-Proposals'!$E$5-13&gt;=0,'Inputs-Proposals'!$E$8="Yes"),P$11*(1+'Inputs-Proposals'!$E$9),'Inputs-Proposals'!$E$5-13&gt;=0,'Inputs-Proposals'!$E$7),0)</f>
        <v>0</v>
      </c>
      <c r="R11" s="185">
        <f>_xlfn.IFNA(_xlfn.IFS(AND('Inputs-Proposals'!$E$5-14&gt;=0,'Inputs-Proposals'!$E$8="Yes"),Q$11*(1+'Inputs-Proposals'!$E$9),'Inputs-Proposals'!$E$5-14&gt;=0,'Inputs-Proposals'!$E$7),0)</f>
        <v>0</v>
      </c>
      <c r="S11" s="185">
        <f>_xlfn.IFNA(_xlfn.IFS(AND('Inputs-Proposals'!$E$5-15&gt;=0,'Inputs-Proposals'!$E$8="Yes"),R$11*(1+'Inputs-Proposals'!$E$9),'Inputs-Proposals'!$E$5-15&gt;=0,'Inputs-Proposals'!$E$7),0)</f>
        <v>0</v>
      </c>
      <c r="T11" s="185">
        <f>_xlfn.IFNA(_xlfn.IFS(AND('Inputs-Proposals'!$E$5-16&gt;=0,'Inputs-Proposals'!$E$8="Yes"),S$11*(1+'Inputs-Proposals'!$E$9),'Inputs-Proposals'!$E$5-16&gt;=0,'Inputs-Proposals'!$E$7),0)</f>
        <v>0</v>
      </c>
      <c r="U11" s="185">
        <f>_xlfn.IFNA(_xlfn.IFS(AND('Inputs-Proposals'!$E$5-17&gt;=0,'Inputs-Proposals'!$E$8="Yes"),T$11*(1+'Inputs-Proposals'!$E$9),'Inputs-Proposals'!$E$5-17&gt;=0,'Inputs-Proposals'!$E$7),0)</f>
        <v>0</v>
      </c>
      <c r="V11" s="185">
        <f>_xlfn.IFNA(_xlfn.IFS(AND('Inputs-Proposals'!$E$5-18&gt;=0,'Inputs-Proposals'!$E$8="Yes"),U$11*(1+'Inputs-Proposals'!$E$9),'Inputs-Proposals'!$E$5-18&gt;=0,'Inputs-Proposals'!$E$7),0)</f>
        <v>0</v>
      </c>
      <c r="W11" s="185">
        <f>_xlfn.IFNA(_xlfn.IFS(AND('Inputs-Proposals'!$E$5-19&gt;=0,'Inputs-Proposals'!$E$8="Yes"),V$11*(1+'Inputs-Proposals'!$E$9),'Inputs-Proposals'!$E$5-19&gt;=0,'Inputs-Proposals'!$E$7),0)</f>
        <v>0</v>
      </c>
      <c r="X11" s="247">
        <f>_xlfn.IFNA(_xlfn.IFS(AND('Inputs-Proposals'!$E$5-20&gt;=0,'Inputs-Proposals'!$E$8="Yes"),W$11*(1+'Inputs-Proposals'!$E$9),'Inputs-Proposals'!$E$5-20&gt;=0,'Inputs-Proposals'!$E$7),0)</f>
        <v>0</v>
      </c>
    </row>
    <row r="12" spans="1:24" x14ac:dyDescent="0.35">
      <c r="A12" s="784"/>
      <c r="B12" s="106" t="s">
        <v>300</v>
      </c>
      <c r="C12" s="202">
        <f t="shared" si="1"/>
        <v>0</v>
      </c>
      <c r="D12" s="50">
        <f>NPV('Inputs-System'!$C$20,'Cost Calculator'!E12,'Cost Calculator'!F12,'Cost Calculator'!G12,'Cost Calculator'!H12,'Cost Calculator'!I12,'Cost Calculator'!J12,'Cost Calculator'!K12,'Cost Calculator'!L12,'Cost Calculator'!M12,'Cost Calculator'!N12,'Cost Calculator'!O12,'Cost Calculator'!P12,'Cost Calculator'!Q12,'Cost Calculator'!R12,'Cost Calculator'!S12,'Cost Calculator'!T12,'Cost Calculator'!U12,'Cost Calculator'!V12,'Cost Calculator'!W12,'Cost Calculator'!X12)</f>
        <v>0</v>
      </c>
      <c r="E12" s="183">
        <f>'Inputs-Proposals'!E11</f>
        <v>0</v>
      </c>
      <c r="F12" s="186">
        <f>IF('Inputs-Proposals'!$E$5-2&gt;=0,'Inputs-Proposals'!$E$11,0)</f>
        <v>0</v>
      </c>
      <c r="G12" s="186">
        <f>IF('Inputs-Proposals'!$E$5-3&gt;=0,'Inputs-Proposals'!$E$11,0)</f>
        <v>0</v>
      </c>
      <c r="H12" s="186">
        <f>IF('Inputs-Proposals'!$E$5-4&gt;=0,'Inputs-Proposals'!$E$11,0)</f>
        <v>0</v>
      </c>
      <c r="I12" s="186">
        <f>IF('Inputs-Proposals'!$E$5-5&gt;=0,'Inputs-Proposals'!$E$11,0)</f>
        <v>0</v>
      </c>
      <c r="J12" s="186">
        <f>IF('Inputs-Proposals'!$E$5-6&gt;=0,'Inputs-Proposals'!$E$11,0)</f>
        <v>0</v>
      </c>
      <c r="K12" s="186">
        <f>IF('Inputs-Proposals'!$E$5-7&gt;=0,'Inputs-Proposals'!$E$11,0)</f>
        <v>0</v>
      </c>
      <c r="L12" s="186">
        <f>IF('Inputs-Proposals'!$E$5-8&gt;=0,'Inputs-Proposals'!$E$11,0)</f>
        <v>0</v>
      </c>
      <c r="M12" s="186">
        <f>IF('Inputs-Proposals'!$E$5-9&gt;=0,'Inputs-Proposals'!$E$11,0)</f>
        <v>0</v>
      </c>
      <c r="N12" s="186">
        <f>IF('Inputs-Proposals'!$E$5-10&gt;=0,'Inputs-Proposals'!$E$11,0)</f>
        <v>0</v>
      </c>
      <c r="O12" s="186">
        <f>IF('Inputs-Proposals'!$E$5-11&gt;=0,'Inputs-Proposals'!$E$11,0)</f>
        <v>0</v>
      </c>
      <c r="P12" s="186">
        <f>IF('Inputs-Proposals'!$E$5-12&gt;=0,'Inputs-Proposals'!$E$11,0)</f>
        <v>0</v>
      </c>
      <c r="Q12" s="186">
        <f>IF('Inputs-Proposals'!$E$5-13&gt;=0,'Inputs-Proposals'!$E$11,0)</f>
        <v>0</v>
      </c>
      <c r="R12" s="186">
        <f>IF('Inputs-Proposals'!$E$5-14&gt;=0,'Inputs-Proposals'!$E$11,0)</f>
        <v>0</v>
      </c>
      <c r="S12" s="186">
        <f>IF('Inputs-Proposals'!$E$5-15&gt;=0,'Inputs-Proposals'!$E$11,0)</f>
        <v>0</v>
      </c>
      <c r="T12" s="186">
        <f>IF('Inputs-Proposals'!$E$5-16&gt;=0,'Inputs-Proposals'!$E$11,0)</f>
        <v>0</v>
      </c>
      <c r="U12" s="186">
        <f>IF('Inputs-Proposals'!$E$5-17&gt;=0,'Inputs-Proposals'!$E$11,0)</f>
        <v>0</v>
      </c>
      <c r="V12" s="186">
        <f>IF('Inputs-Proposals'!$E$5-18&gt;=0,'Inputs-Proposals'!$E$11,0)</f>
        <v>0</v>
      </c>
      <c r="W12" s="186">
        <f>IF('Inputs-Proposals'!$E$5-19&gt;=0,'Inputs-Proposals'!$E$11,0)</f>
        <v>0</v>
      </c>
      <c r="X12" s="245">
        <f>IF('Inputs-Proposals'!$E$5-20&gt;=0,'Inputs-Proposals'!$D$11,0)</f>
        <v>0</v>
      </c>
    </row>
    <row r="13" spans="1:24" ht="15" thickBot="1" x14ac:dyDescent="0.4">
      <c r="A13" s="785"/>
      <c r="B13" s="181" t="s">
        <v>126</v>
      </c>
      <c r="C13" s="203">
        <f t="shared" si="1"/>
        <v>0</v>
      </c>
      <c r="D13" s="179">
        <f>E13</f>
        <v>0</v>
      </c>
      <c r="E13" s="187">
        <f>'Inputs-Proposals'!E12</f>
        <v>0</v>
      </c>
      <c r="F13" s="188">
        <v>0</v>
      </c>
      <c r="G13" s="188">
        <v>0</v>
      </c>
      <c r="H13" s="188">
        <v>0</v>
      </c>
      <c r="I13" s="188">
        <v>0</v>
      </c>
      <c r="J13" s="188">
        <v>0</v>
      </c>
      <c r="K13" s="188">
        <v>0</v>
      </c>
      <c r="L13" s="188">
        <v>0</v>
      </c>
      <c r="M13" s="188">
        <v>0</v>
      </c>
      <c r="N13" s="188">
        <v>0</v>
      </c>
      <c r="O13" s="188">
        <v>0</v>
      </c>
      <c r="P13" s="188">
        <v>0</v>
      </c>
      <c r="Q13" s="188">
        <v>0</v>
      </c>
      <c r="R13" s="188">
        <v>0</v>
      </c>
      <c r="S13" s="188">
        <v>0</v>
      </c>
      <c r="T13" s="188">
        <v>0</v>
      </c>
      <c r="U13" s="188">
        <v>0</v>
      </c>
      <c r="V13" s="188">
        <v>0</v>
      </c>
      <c r="W13" s="188">
        <v>0</v>
      </c>
      <c r="X13" s="248">
        <v>0</v>
      </c>
    </row>
    <row r="14" spans="1:24" x14ac:dyDescent="0.35">
      <c r="A14" s="783">
        <f>'Inputs-Proposals'!F2</f>
        <v>0</v>
      </c>
      <c r="B14" s="180" t="s">
        <v>299</v>
      </c>
      <c r="C14" s="204">
        <f t="shared" si="1"/>
        <v>0</v>
      </c>
      <c r="D14" s="49">
        <f>NPV('Inputs-System'!$C$20,'Cost Calculator'!E14,'Cost Calculator'!F14,'Cost Calculator'!G14,'Cost Calculator'!H14,'Cost Calculator'!I14,'Cost Calculator'!J14,'Cost Calculator'!K14,'Cost Calculator'!L14,'Cost Calculator'!M14,'Cost Calculator'!N14,'Cost Calculator'!O14,'Cost Calculator'!P14,'Cost Calculator'!Q14,'Cost Calculator'!R14,'Cost Calculator'!S14,'Cost Calculator'!T14,'Cost Calculator'!U14,'Cost Calculator'!V14,'Cost Calculator'!W14,'Cost Calculator'!X14)</f>
        <v>0</v>
      </c>
      <c r="E14" s="184">
        <f>'Inputs-Proposals'!F6</f>
        <v>0</v>
      </c>
      <c r="F14" s="185">
        <f>_xlfn.IFNA(_xlfn.IFS(AND('Inputs-Proposals'!$F$5-2&gt;=0,'Inputs-Proposals'!$F$8="Yes"),E$14*(1+'Inputs-Proposals'!$F$9),'Inputs-Proposals'!$F$5-2&gt;=0,'Inputs-Proposals'!$F$7),0)</f>
        <v>0</v>
      </c>
      <c r="G14" s="185">
        <f>_xlfn.IFNA(_xlfn.IFS(AND('Inputs-Proposals'!$F$5-3&gt;=0,'Inputs-Proposals'!$F$8="Yes"),F$14*(1+'Inputs-Proposals'!$F$9),'Inputs-Proposals'!$F$5-3&gt;=0,'Inputs-Proposals'!$F$7),0)</f>
        <v>0</v>
      </c>
      <c r="H14" s="185">
        <f>_xlfn.IFNA(_xlfn.IFS(AND('Inputs-Proposals'!$F$5-4&gt;=0,'Inputs-Proposals'!$F$8="Yes"),G$14*(1+'Inputs-Proposals'!$F$9),'Inputs-Proposals'!$F$5-4&gt;=0,'Inputs-Proposals'!$F$7),0)</f>
        <v>0</v>
      </c>
      <c r="I14" s="185">
        <f>_xlfn.IFNA(_xlfn.IFS(AND('Inputs-Proposals'!$F$5-5&gt;=0,'Inputs-Proposals'!$F$8="Yes"),H$14*(1+'Inputs-Proposals'!$F$9),'Inputs-Proposals'!$F$5-5&gt;=0,'Inputs-Proposals'!$F$7),0)</f>
        <v>0</v>
      </c>
      <c r="J14" s="185">
        <f>_xlfn.IFNA(_xlfn.IFS(AND('Inputs-Proposals'!$F$5-6&gt;=0,'Inputs-Proposals'!$F$8="Yes"),I$14*(1+'Inputs-Proposals'!$F$9),'Inputs-Proposals'!$F$5-6&gt;=0,'Inputs-Proposals'!$F$7),0)</f>
        <v>0</v>
      </c>
      <c r="K14" s="185">
        <f>_xlfn.IFNA(_xlfn.IFS(AND('Inputs-Proposals'!$F$5-7&gt;=0,'Inputs-Proposals'!$F$8="Yes"),J$14*(1+'Inputs-Proposals'!$F$9),'Inputs-Proposals'!$F$5-7&gt;=0,'Inputs-Proposals'!$F$7),0)</f>
        <v>0</v>
      </c>
      <c r="L14" s="185">
        <f>_xlfn.IFNA(_xlfn.IFS(AND('Inputs-Proposals'!$F$5-8&gt;=0,'Inputs-Proposals'!$F$8="Yes"),K$14*(1+'Inputs-Proposals'!$F$9),'Inputs-Proposals'!$F$5-8&gt;=0,'Inputs-Proposals'!$F$7),0)</f>
        <v>0</v>
      </c>
      <c r="M14" s="185">
        <f>_xlfn.IFNA(_xlfn.IFS(AND('Inputs-Proposals'!$F$5-9&gt;=0,'Inputs-Proposals'!$F$8="Yes"),L$14*(1+'Inputs-Proposals'!$F$9),'Inputs-Proposals'!$F$5-9&gt;=0,'Inputs-Proposals'!$F$7),0)</f>
        <v>0</v>
      </c>
      <c r="N14" s="185">
        <f>_xlfn.IFNA(_xlfn.IFS(AND('Inputs-Proposals'!$F$5-10&gt;=0,'Inputs-Proposals'!$F$8="Yes"),M$14*(1+'Inputs-Proposals'!$F$9),'Inputs-Proposals'!$F$5-10&gt;=0,'Inputs-Proposals'!$F$7),0)</f>
        <v>0</v>
      </c>
      <c r="O14" s="185">
        <f>_xlfn.IFNA(_xlfn.IFS(AND('Inputs-Proposals'!$F$5-11&gt;=0,'Inputs-Proposals'!$F$8="Yes"),N$14*(1+'Inputs-Proposals'!$F$9),'Inputs-Proposals'!$F$5-11&gt;=0,'Inputs-Proposals'!$F$7),0)</f>
        <v>0</v>
      </c>
      <c r="P14" s="185">
        <f>_xlfn.IFNA(_xlfn.IFS(AND('Inputs-Proposals'!$F$5-12&gt;=0,'Inputs-Proposals'!$F$8="Yes"),O$14*(1+'Inputs-Proposals'!$F$9),'Inputs-Proposals'!$F$5-12&gt;=0,'Inputs-Proposals'!$F$7),0)</f>
        <v>0</v>
      </c>
      <c r="Q14" s="185">
        <f>_xlfn.IFNA(_xlfn.IFS(AND('Inputs-Proposals'!$F$5-13&gt;=0,'Inputs-Proposals'!$F$8="Yes"),P$14*(1+'Inputs-Proposals'!$F$9),'Inputs-Proposals'!$F$5-13&gt;=0,'Inputs-Proposals'!$F$7),0)</f>
        <v>0</v>
      </c>
      <c r="R14" s="185">
        <f>_xlfn.IFNA(_xlfn.IFS(AND('Inputs-Proposals'!$F$5-14&gt;=0,'Inputs-Proposals'!$F$8="Yes"),Q$14*(1+'Inputs-Proposals'!$F$9),'Inputs-Proposals'!$F$5-14&gt;=0,'Inputs-Proposals'!$F$7),0)</f>
        <v>0</v>
      </c>
      <c r="S14" s="185">
        <f>_xlfn.IFNA(_xlfn.IFS(AND('Inputs-Proposals'!$F$5-15&gt;=0,'Inputs-Proposals'!$F$8="Yes"),R$14*(1+'Inputs-Proposals'!$F$9),'Inputs-Proposals'!$F$5-15&gt;=0,'Inputs-Proposals'!$F$7),0)</f>
        <v>0</v>
      </c>
      <c r="T14" s="185">
        <f>_xlfn.IFNA(_xlfn.IFS(AND('Inputs-Proposals'!$F$5-16&gt;=0,'Inputs-Proposals'!$F$8="Yes"),S$14*(1+'Inputs-Proposals'!$F$9),'Inputs-Proposals'!$F$5-16&gt;=0,'Inputs-Proposals'!$F$7),0)</f>
        <v>0</v>
      </c>
      <c r="U14" s="185">
        <f>_xlfn.IFNA(_xlfn.IFS(AND('Inputs-Proposals'!$F$5-17&gt;=0,'Inputs-Proposals'!$F$8="Yes"),T$14*(1+'Inputs-Proposals'!$F$9),'Inputs-Proposals'!$F$5-17&gt;=0,'Inputs-Proposals'!$F$7),0)</f>
        <v>0</v>
      </c>
      <c r="V14" s="185">
        <f>_xlfn.IFNA(_xlfn.IFS(AND('Inputs-Proposals'!$F$5-18&gt;=0,'Inputs-Proposals'!$F$8="Yes"),U$14*(1+'Inputs-Proposals'!$F$9),'Inputs-Proposals'!$F$5-18&gt;=0,'Inputs-Proposals'!$F$7),0)</f>
        <v>0</v>
      </c>
      <c r="W14" s="185">
        <f>_xlfn.IFNA(_xlfn.IFS(AND('Inputs-Proposals'!$F$5-19&gt;=0,'Inputs-Proposals'!$F$8="Yes"),V$14*(1+'Inputs-Proposals'!$F$9),'Inputs-Proposals'!$F$5-19&gt;=0,'Inputs-Proposals'!$F$7),0)</f>
        <v>0</v>
      </c>
      <c r="X14" s="247">
        <f>_xlfn.IFNA(_xlfn.IFS(AND('Inputs-Proposals'!$F$5-20&gt;=0,'Inputs-Proposals'!$F$8="Yes"),W$14*(1+'Inputs-Proposals'!$F$9),'Inputs-Proposals'!$F$5-20&gt;=0,'Inputs-Proposals'!$F$7),0)</f>
        <v>0</v>
      </c>
    </row>
    <row r="15" spans="1:24" x14ac:dyDescent="0.35">
      <c r="A15" s="784"/>
      <c r="B15" s="106" t="s">
        <v>300</v>
      </c>
      <c r="C15" s="202">
        <f t="shared" si="1"/>
        <v>0</v>
      </c>
      <c r="D15" s="50">
        <f>NPV('Inputs-System'!$C$20,'Cost Calculator'!E15,'Cost Calculator'!F15,'Cost Calculator'!G15,'Cost Calculator'!H15,'Cost Calculator'!I15,'Cost Calculator'!J15,'Cost Calculator'!K15,'Cost Calculator'!L15,'Cost Calculator'!M15,'Cost Calculator'!N15,'Cost Calculator'!O15,'Cost Calculator'!P15,'Cost Calculator'!Q15,'Cost Calculator'!R15,'Cost Calculator'!S15,'Cost Calculator'!T15,'Cost Calculator'!U15,'Cost Calculator'!V15,'Cost Calculator'!W15,'Cost Calculator'!X15)</f>
        <v>0</v>
      </c>
      <c r="E15" s="183">
        <f>'Inputs-Proposals'!F11</f>
        <v>0</v>
      </c>
      <c r="F15" s="186">
        <f>IF('Inputs-Proposals'!$F$5-2&gt;=0,'Inputs-Proposals'!$F$11,0)</f>
        <v>0</v>
      </c>
      <c r="G15" s="186">
        <f>IF('Inputs-Proposals'!$F$5-3&gt;=0,'Inputs-Proposals'!$F$11,0)</f>
        <v>0</v>
      </c>
      <c r="H15" s="186">
        <f>IF('Inputs-Proposals'!$F$5-4&gt;=0,'Inputs-Proposals'!$F$11,0)</f>
        <v>0</v>
      </c>
      <c r="I15" s="186">
        <f>IF('Inputs-Proposals'!$F$5-5&gt;=0,'Inputs-Proposals'!$F$11,0)</f>
        <v>0</v>
      </c>
      <c r="J15" s="186">
        <f>IF('Inputs-Proposals'!$F$5-6&gt;=0,'Inputs-Proposals'!$F$11,0)</f>
        <v>0</v>
      </c>
      <c r="K15" s="186">
        <f>IF('Inputs-Proposals'!$F$5-7&gt;=0,'Inputs-Proposals'!$F$11,0)</f>
        <v>0</v>
      </c>
      <c r="L15" s="186">
        <f>IF('Inputs-Proposals'!$F$5-8&gt;=0,'Inputs-Proposals'!$F$11,0)</f>
        <v>0</v>
      </c>
      <c r="M15" s="186">
        <f>IF('Inputs-Proposals'!$F$5-9&gt;=0,'Inputs-Proposals'!$F$11,0)</f>
        <v>0</v>
      </c>
      <c r="N15" s="186">
        <f>IF('Inputs-Proposals'!$F$5-10&gt;=0,'Inputs-Proposals'!$F$11,0)</f>
        <v>0</v>
      </c>
      <c r="O15" s="186">
        <f>IF('Inputs-Proposals'!$F$5-11&gt;=0,'Inputs-Proposals'!$F$11,0)</f>
        <v>0</v>
      </c>
      <c r="P15" s="186">
        <f>IF('Inputs-Proposals'!$F$5-12&gt;=0,'Inputs-Proposals'!$F$11,0)</f>
        <v>0</v>
      </c>
      <c r="Q15" s="186">
        <f>IF('Inputs-Proposals'!$F$5-13&gt;=0,'Inputs-Proposals'!$F$11,0)</f>
        <v>0</v>
      </c>
      <c r="R15" s="186">
        <f>IF('Inputs-Proposals'!$F$5-14&gt;=0,'Inputs-Proposals'!$F$11,0)</f>
        <v>0</v>
      </c>
      <c r="S15" s="186">
        <f>IF('Inputs-Proposals'!$F$5-15&gt;=0,'Inputs-Proposals'!$F$11,0)</f>
        <v>0</v>
      </c>
      <c r="T15" s="186">
        <f>IF('Inputs-Proposals'!$F$5-16&gt;=0,'Inputs-Proposals'!$F$11,0)</f>
        <v>0</v>
      </c>
      <c r="U15" s="186">
        <f>IF('Inputs-Proposals'!$F$5-17&gt;=0,'Inputs-Proposals'!$F$11,0)</f>
        <v>0</v>
      </c>
      <c r="V15" s="186">
        <f>IF('Inputs-Proposals'!$F$5-18&gt;=0,'Inputs-Proposals'!$F$11,0)</f>
        <v>0</v>
      </c>
      <c r="W15" s="186">
        <f>IF('Inputs-Proposals'!$F$5-19&gt;=0,'Inputs-Proposals'!$F$11,0)</f>
        <v>0</v>
      </c>
      <c r="X15" s="245">
        <f>IF('Inputs-Proposals'!$F$5-20&gt;=0,'Inputs-Proposals'!$F$11,0)</f>
        <v>0</v>
      </c>
    </row>
    <row r="16" spans="1:24" ht="15" thickBot="1" x14ac:dyDescent="0.4">
      <c r="A16" s="786"/>
      <c r="B16" s="182" t="s">
        <v>126</v>
      </c>
      <c r="C16" s="205">
        <f t="shared" si="1"/>
        <v>0</v>
      </c>
      <c r="D16" s="51">
        <f>E16</f>
        <v>0</v>
      </c>
      <c r="E16" s="189">
        <f>'Inputs-Proposals'!F12</f>
        <v>0</v>
      </c>
      <c r="F16" s="190">
        <v>0</v>
      </c>
      <c r="G16" s="190">
        <v>0</v>
      </c>
      <c r="H16" s="190">
        <v>0</v>
      </c>
      <c r="I16" s="190">
        <v>0</v>
      </c>
      <c r="J16" s="190">
        <v>0</v>
      </c>
      <c r="K16" s="190">
        <v>0</v>
      </c>
      <c r="L16" s="190">
        <v>0</v>
      </c>
      <c r="M16" s="190">
        <v>0</v>
      </c>
      <c r="N16" s="190">
        <v>0</v>
      </c>
      <c r="O16" s="190">
        <v>0</v>
      </c>
      <c r="P16" s="190">
        <v>0</v>
      </c>
      <c r="Q16" s="190">
        <v>0</v>
      </c>
      <c r="R16" s="190">
        <v>0</v>
      </c>
      <c r="S16" s="190">
        <v>0</v>
      </c>
      <c r="T16" s="190">
        <v>0</v>
      </c>
      <c r="U16" s="190">
        <v>0</v>
      </c>
      <c r="V16" s="190">
        <v>0</v>
      </c>
      <c r="W16" s="190">
        <v>0</v>
      </c>
      <c r="X16" s="246">
        <v>0</v>
      </c>
    </row>
    <row r="17" spans="1:24" x14ac:dyDescent="0.35">
      <c r="A17" s="783">
        <f>'Inputs-Proposals'!G2</f>
        <v>0</v>
      </c>
      <c r="B17" s="180" t="s">
        <v>299</v>
      </c>
      <c r="C17" s="204">
        <f t="shared" si="1"/>
        <v>0</v>
      </c>
      <c r="D17" s="49">
        <f>NPV('Inputs-System'!$C$20,'Cost Calculator'!E17,'Cost Calculator'!F17,'Cost Calculator'!G17,'Cost Calculator'!H17,'Cost Calculator'!I17,'Cost Calculator'!J17,'Cost Calculator'!K17,'Cost Calculator'!L17,'Cost Calculator'!M17,'Cost Calculator'!N17,'Cost Calculator'!O17,'Cost Calculator'!P17,'Cost Calculator'!Q17,'Cost Calculator'!R17,'Cost Calculator'!S17,'Cost Calculator'!T17,'Cost Calculator'!U17,'Cost Calculator'!V17,'Cost Calculator'!W17,'Cost Calculator'!X17)</f>
        <v>0</v>
      </c>
      <c r="E17" s="184">
        <f>'Inputs-Proposals'!G6</f>
        <v>0</v>
      </c>
      <c r="F17" s="185">
        <f>_xlfn.IFNA(_xlfn.IFS(AND('Inputs-Proposals'!$G$5-2&gt;=0,'Inputs-Proposals'!$G$8="Yes"),E$17*(1+'Inputs-Proposals'!$G$9),'Inputs-Proposals'!$G$5-2&gt;=0,'Inputs-Proposals'!$G$7),0)</f>
        <v>0</v>
      </c>
      <c r="G17" s="185">
        <f>_xlfn.IFNA(_xlfn.IFS(AND('Inputs-Proposals'!$G$5-3&gt;=0,'Inputs-Proposals'!$G$8="Yes"),F$17*(1+'Inputs-Proposals'!$G$9),'Inputs-Proposals'!$G$5-3&gt;=0,'Inputs-Proposals'!$G$7),0)</f>
        <v>0</v>
      </c>
      <c r="H17" s="185">
        <f>_xlfn.IFNA(_xlfn.IFS(AND('Inputs-Proposals'!$G$5-4&gt;=0,'Inputs-Proposals'!$G$8="Yes"),G$17*(1+'Inputs-Proposals'!$G$9),'Inputs-Proposals'!$G$5-4&gt;=0,'Inputs-Proposals'!$G$7),0)</f>
        <v>0</v>
      </c>
      <c r="I17" s="185">
        <f>_xlfn.IFNA(_xlfn.IFS(AND('Inputs-Proposals'!$G$5-5&gt;=0,'Inputs-Proposals'!$G$8="Yes"),H$17*(1+'Inputs-Proposals'!$G$9),'Inputs-Proposals'!$G$5-5&gt;=0,'Inputs-Proposals'!$G$7),0)</f>
        <v>0</v>
      </c>
      <c r="J17" s="185">
        <f>_xlfn.IFNA(_xlfn.IFS(AND('Inputs-Proposals'!$G$5-6&gt;=0,'Inputs-Proposals'!$G$8="Yes"),I$17*(1+'Inputs-Proposals'!$G$9),'Inputs-Proposals'!$G$5-6&gt;=0,'Inputs-Proposals'!$G$7),0)</f>
        <v>0</v>
      </c>
      <c r="K17" s="185">
        <f>_xlfn.IFNA(_xlfn.IFS(AND('Inputs-Proposals'!$G$5-7&gt;=0,'Inputs-Proposals'!$G$8="Yes"),J$17*(1+'Inputs-Proposals'!$G$9),'Inputs-Proposals'!$G$5-7&gt;=0,'Inputs-Proposals'!$G$7),0)</f>
        <v>0</v>
      </c>
      <c r="L17" s="185">
        <f>_xlfn.IFNA(_xlfn.IFS(AND('Inputs-Proposals'!$G$5-8&gt;=0,'Inputs-Proposals'!$G$8="Yes"),K$17*(1+'Inputs-Proposals'!$G$9),'Inputs-Proposals'!$G$5-8&gt;=0,'Inputs-Proposals'!$G$7),0)</f>
        <v>0</v>
      </c>
      <c r="M17" s="185">
        <f>_xlfn.IFNA(_xlfn.IFS(AND('Inputs-Proposals'!$G$5-9&gt;=0,'Inputs-Proposals'!$G$8="Yes"),L$17*(1+'Inputs-Proposals'!$G$9),'Inputs-Proposals'!$G$5-9&gt;=0,'Inputs-Proposals'!$G$7),0)</f>
        <v>0</v>
      </c>
      <c r="N17" s="185">
        <f>_xlfn.IFNA(_xlfn.IFS(AND('Inputs-Proposals'!$G$5-10&gt;=0,'Inputs-Proposals'!$G$8="Yes"),M$17*(1+'Inputs-Proposals'!$G$9),'Inputs-Proposals'!$G$5-10&gt;=0,'Inputs-Proposals'!$G$7),0)</f>
        <v>0</v>
      </c>
      <c r="O17" s="185">
        <f>_xlfn.IFNA(_xlfn.IFS(AND('Inputs-Proposals'!$G$5-11&gt;=0,'Inputs-Proposals'!$G$8="Yes"),N$17*(1+'Inputs-Proposals'!$G$9),'Inputs-Proposals'!$G$5-11&gt;=0,'Inputs-Proposals'!$G$7),0)</f>
        <v>0</v>
      </c>
      <c r="P17" s="185">
        <f>_xlfn.IFNA(_xlfn.IFS(AND('Inputs-Proposals'!$G$5-12&gt;=0,'Inputs-Proposals'!$G$8="Yes"),O$17*(1+'Inputs-Proposals'!$G$9),'Inputs-Proposals'!$G$5-12&gt;=0,'Inputs-Proposals'!$G$7),0)</f>
        <v>0</v>
      </c>
      <c r="Q17" s="185">
        <f>_xlfn.IFNA(_xlfn.IFS(AND('Inputs-Proposals'!$G$5-13&gt;=0,'Inputs-Proposals'!$G$8="Yes"),P$17*(1+'Inputs-Proposals'!$G$9),'Inputs-Proposals'!$G$5-13&gt;=0,'Inputs-Proposals'!$G$7),0)</f>
        <v>0</v>
      </c>
      <c r="R17" s="185">
        <f>_xlfn.IFNA(_xlfn.IFS(AND('Inputs-Proposals'!$G$5-14&gt;=0,'Inputs-Proposals'!$G$8="Yes"),Q$17*(1+'Inputs-Proposals'!$G$9),'Inputs-Proposals'!$G$5-14&gt;=0,'Inputs-Proposals'!$G$7),0)</f>
        <v>0</v>
      </c>
      <c r="S17" s="185">
        <f>_xlfn.IFNA(_xlfn.IFS(AND('Inputs-Proposals'!$G$5-15&gt;=0,'Inputs-Proposals'!$G$8="Yes"),R$17*(1+'Inputs-Proposals'!$G$9),'Inputs-Proposals'!$G$5-15&gt;=0,'Inputs-Proposals'!$G$7),0)</f>
        <v>0</v>
      </c>
      <c r="T17" s="185">
        <f>_xlfn.IFNA(_xlfn.IFS(AND('Inputs-Proposals'!$G$5-16&gt;=0,'Inputs-Proposals'!$G$8="Yes"),S$17*(1+'Inputs-Proposals'!$G$9),'Inputs-Proposals'!$G$5-16&gt;=0,'Inputs-Proposals'!$G$7),0)</f>
        <v>0</v>
      </c>
      <c r="U17" s="185">
        <f>_xlfn.IFNA(_xlfn.IFS(AND('Inputs-Proposals'!$G$5-17&gt;=0,'Inputs-Proposals'!$G$8="Yes"),T$17*(1+'Inputs-Proposals'!$G$9),'Inputs-Proposals'!$G$5-17&gt;=0,'Inputs-Proposals'!$G$7),0)</f>
        <v>0</v>
      </c>
      <c r="V17" s="185">
        <f>_xlfn.IFNA(_xlfn.IFS(AND('Inputs-Proposals'!$G$5-18&gt;=0,'Inputs-Proposals'!$G$8="Yes"),U$17*(1+'Inputs-Proposals'!$G$9),'Inputs-Proposals'!$G$5-18&gt;=0,'Inputs-Proposals'!$G$7),0)</f>
        <v>0</v>
      </c>
      <c r="W17" s="185">
        <f>_xlfn.IFNA(_xlfn.IFS(AND('Inputs-Proposals'!$G$5-19&gt;=0,'Inputs-Proposals'!$G$8="Yes"),V$17*(1+'Inputs-Proposals'!$G$9),'Inputs-Proposals'!$G$5-19&gt;=0,'Inputs-Proposals'!$G$7),0)</f>
        <v>0</v>
      </c>
      <c r="X17" s="247">
        <f>_xlfn.IFNA(_xlfn.IFS(AND('Inputs-Proposals'!$G$5-20&gt;=0,'Inputs-Proposals'!$G$8="Yes"),W$17*(1+'Inputs-Proposals'!$G$9),'Inputs-Proposals'!$G$5-20&gt;=0,'Inputs-Proposals'!$G$7),0)</f>
        <v>0</v>
      </c>
    </row>
    <row r="18" spans="1:24" x14ac:dyDescent="0.35">
      <c r="A18" s="784"/>
      <c r="B18" s="106" t="s">
        <v>300</v>
      </c>
      <c r="C18" s="202">
        <f t="shared" si="1"/>
        <v>0</v>
      </c>
      <c r="D18" s="50">
        <f>NPV('Inputs-System'!$C$20,'Cost Calculator'!E18,'Cost Calculator'!F18,'Cost Calculator'!G18,'Cost Calculator'!H18,'Cost Calculator'!I18,'Cost Calculator'!J18,'Cost Calculator'!K18,'Cost Calculator'!L18,'Cost Calculator'!M18,'Cost Calculator'!N18,'Cost Calculator'!O18,'Cost Calculator'!P18,'Cost Calculator'!Q18,'Cost Calculator'!R18,'Cost Calculator'!S18,'Cost Calculator'!T18,'Cost Calculator'!U18,'Cost Calculator'!V18,'Cost Calculator'!W18,'Cost Calculator'!X18)</f>
        <v>0</v>
      </c>
      <c r="E18" s="183">
        <f>'Inputs-Proposals'!G11</f>
        <v>0</v>
      </c>
      <c r="F18" s="186">
        <f>IF('Inputs-Proposals'!$G$5-2&gt;=0,'Inputs-Proposals'!$G$11,0)</f>
        <v>0</v>
      </c>
      <c r="G18" s="186">
        <f>IF('Inputs-Proposals'!$G$5-3&gt;=0,'Inputs-Proposals'!$G$11,0)</f>
        <v>0</v>
      </c>
      <c r="H18" s="186">
        <f>IF('Inputs-Proposals'!$G$5-4&gt;=0,'Inputs-Proposals'!$G$11,0)</f>
        <v>0</v>
      </c>
      <c r="I18" s="186">
        <f>IF('Inputs-Proposals'!$G$5-5&gt;=0,'Inputs-Proposals'!$G$11,0)</f>
        <v>0</v>
      </c>
      <c r="J18" s="186">
        <f>IF('Inputs-Proposals'!$G$5-6&gt;=0,'Inputs-Proposals'!$G$11,0)</f>
        <v>0</v>
      </c>
      <c r="K18" s="186">
        <f>IF('Inputs-Proposals'!$G$5-7&gt;=0,'Inputs-Proposals'!$G$11,0)</f>
        <v>0</v>
      </c>
      <c r="L18" s="186">
        <f>IF('Inputs-Proposals'!$G$5-8&gt;=0,'Inputs-Proposals'!$G$11,0)</f>
        <v>0</v>
      </c>
      <c r="M18" s="186">
        <f>IF('Inputs-Proposals'!$G$5-9&gt;=0,'Inputs-Proposals'!$G$11,0)</f>
        <v>0</v>
      </c>
      <c r="N18" s="186">
        <f>IF('Inputs-Proposals'!$G$5-10&gt;=0,'Inputs-Proposals'!$G$11,0)</f>
        <v>0</v>
      </c>
      <c r="O18" s="186">
        <f>IF('Inputs-Proposals'!$G$5-11&gt;=0,'Inputs-Proposals'!$G$11,0)</f>
        <v>0</v>
      </c>
      <c r="P18" s="186">
        <f>IF('Inputs-Proposals'!$G$5-12&gt;=0,'Inputs-Proposals'!$G$11,0)</f>
        <v>0</v>
      </c>
      <c r="Q18" s="186">
        <f>IF('Inputs-Proposals'!$G$5-13&gt;=0,'Inputs-Proposals'!$G$11,0)</f>
        <v>0</v>
      </c>
      <c r="R18" s="186">
        <f>IF('Inputs-Proposals'!$G$5-14&gt;=0,'Inputs-Proposals'!$G$11,0)</f>
        <v>0</v>
      </c>
      <c r="S18" s="186">
        <f>IF('Inputs-Proposals'!$G$5-15&gt;=0,'Inputs-Proposals'!$G$11,0)</f>
        <v>0</v>
      </c>
      <c r="T18" s="186">
        <f>IF('Inputs-Proposals'!$G$5-16&gt;=0,'Inputs-Proposals'!$G$11,0)</f>
        <v>0</v>
      </c>
      <c r="U18" s="186">
        <f>IF('Inputs-Proposals'!$G$5-17&gt;=0,'Inputs-Proposals'!$G$11,0)</f>
        <v>0</v>
      </c>
      <c r="V18" s="186">
        <f>IF('Inputs-Proposals'!$G$5-18&gt;=0,'Inputs-Proposals'!$G$11,0)</f>
        <v>0</v>
      </c>
      <c r="W18" s="186">
        <f>IF('Inputs-Proposals'!$G$5-19&gt;=0,'Inputs-Proposals'!$G$11,0)</f>
        <v>0</v>
      </c>
      <c r="X18" s="245">
        <f>IF('Inputs-Proposals'!$G$5-20&gt;=0,'Inputs-Proposals'!$G$11,0)</f>
        <v>0</v>
      </c>
    </row>
    <row r="19" spans="1:24" ht="15" thickBot="1" x14ac:dyDescent="0.4">
      <c r="A19" s="786"/>
      <c r="B19" s="182" t="s">
        <v>126</v>
      </c>
      <c r="C19" s="205">
        <f t="shared" si="1"/>
        <v>0</v>
      </c>
      <c r="D19" s="51">
        <f>E19</f>
        <v>0</v>
      </c>
      <c r="E19" s="189">
        <f>'Inputs-Proposals'!G12</f>
        <v>0</v>
      </c>
      <c r="F19" s="190">
        <v>0</v>
      </c>
      <c r="G19" s="190">
        <v>0</v>
      </c>
      <c r="H19" s="190">
        <v>0</v>
      </c>
      <c r="I19" s="190">
        <v>0</v>
      </c>
      <c r="J19" s="190">
        <v>0</v>
      </c>
      <c r="K19" s="190">
        <v>0</v>
      </c>
      <c r="L19" s="190">
        <v>0</v>
      </c>
      <c r="M19" s="190">
        <v>0</v>
      </c>
      <c r="N19" s="190">
        <v>0</v>
      </c>
      <c r="O19" s="190">
        <v>0</v>
      </c>
      <c r="P19" s="190">
        <v>0</v>
      </c>
      <c r="Q19" s="190">
        <v>0</v>
      </c>
      <c r="R19" s="190">
        <v>0</v>
      </c>
      <c r="S19" s="190">
        <v>0</v>
      </c>
      <c r="T19" s="190">
        <v>0</v>
      </c>
      <c r="U19" s="190">
        <v>0</v>
      </c>
      <c r="V19" s="190">
        <v>0</v>
      </c>
      <c r="W19" s="190">
        <v>0</v>
      </c>
      <c r="X19" s="246">
        <v>0</v>
      </c>
    </row>
    <row r="20" spans="1:24" x14ac:dyDescent="0.35">
      <c r="A20" s="783">
        <f>'Inputs-Proposals'!H2</f>
        <v>0</v>
      </c>
      <c r="B20" s="180" t="s">
        <v>299</v>
      </c>
      <c r="C20" s="204">
        <f t="shared" si="1"/>
        <v>0</v>
      </c>
      <c r="D20" s="49">
        <f>NPV('Inputs-System'!$C$20,'Cost Calculator'!E20,'Cost Calculator'!F20,'Cost Calculator'!G20,'Cost Calculator'!H20,'Cost Calculator'!I20,'Cost Calculator'!J20,'Cost Calculator'!K20,'Cost Calculator'!L20,'Cost Calculator'!M20,'Cost Calculator'!N20,'Cost Calculator'!O20,'Cost Calculator'!P20,'Cost Calculator'!Q20,'Cost Calculator'!R20,'Cost Calculator'!S20,'Cost Calculator'!T20,'Cost Calculator'!U20,'Cost Calculator'!V20,'Cost Calculator'!W20,'Cost Calculator'!X20)</f>
        <v>0</v>
      </c>
      <c r="E20" s="184">
        <f>'Inputs-Proposals'!H6</f>
        <v>0</v>
      </c>
      <c r="F20" s="185">
        <f>_xlfn.IFNA(_xlfn.IFS(AND('Inputs-Proposals'!$H$5-2&gt;=0,'Inputs-Proposals'!$H$8="Yes"),E$20*(1+'Inputs-Proposals'!$H$9),'Inputs-Proposals'!$H$5-2&gt;=0,'Inputs-Proposals'!$H$7),0)</f>
        <v>0</v>
      </c>
      <c r="G20" s="185">
        <f>_xlfn.IFNA(_xlfn.IFS(AND('Inputs-Proposals'!$H$5-3&gt;=0,'Inputs-Proposals'!$H$8="Yes"),F$20*(1+'Inputs-Proposals'!$H$9),'Inputs-Proposals'!$H$5-3&gt;=0,'Inputs-Proposals'!$H$7),0)</f>
        <v>0</v>
      </c>
      <c r="H20" s="185">
        <f>_xlfn.IFNA(_xlfn.IFS(AND('Inputs-Proposals'!$H$5-4&gt;=0,'Inputs-Proposals'!$H$8="Yes"),G$20*(1+'Inputs-Proposals'!$H$9),'Inputs-Proposals'!$H$5-4&gt;=0,'Inputs-Proposals'!$H$7),0)</f>
        <v>0</v>
      </c>
      <c r="I20" s="185">
        <f>_xlfn.IFNA(_xlfn.IFS(AND('Inputs-Proposals'!$H$5-5&gt;=0,'Inputs-Proposals'!$H$8="Yes"),H$20*(1+'Inputs-Proposals'!$H$9),'Inputs-Proposals'!$H$5-5&gt;=0,'Inputs-Proposals'!$H$7),0)</f>
        <v>0</v>
      </c>
      <c r="J20" s="185">
        <f>_xlfn.IFNA(_xlfn.IFS(AND('Inputs-Proposals'!$H$5-6&gt;=0,'Inputs-Proposals'!$H$8="Yes"),I$20*(1+'Inputs-Proposals'!$H$9),'Inputs-Proposals'!$H$5-6&gt;=0,'Inputs-Proposals'!$H$7),0)</f>
        <v>0</v>
      </c>
      <c r="K20" s="185">
        <f>_xlfn.IFNA(_xlfn.IFS(AND('Inputs-Proposals'!$H$5-7&gt;=0,'Inputs-Proposals'!$H$8="Yes"),J$20*(1+'Inputs-Proposals'!$H$9),'Inputs-Proposals'!$H$5-7&gt;=0,'Inputs-Proposals'!$H$7),0)</f>
        <v>0</v>
      </c>
      <c r="L20" s="185">
        <f>_xlfn.IFNA(_xlfn.IFS(AND('Inputs-Proposals'!$H$5-8&gt;=0,'Inputs-Proposals'!$H$8="Yes"),K$20*(1+'Inputs-Proposals'!$H$9),'Inputs-Proposals'!$H$5-8&gt;=0,'Inputs-Proposals'!$H$7),0)</f>
        <v>0</v>
      </c>
      <c r="M20" s="185">
        <f>_xlfn.IFNA(_xlfn.IFS(AND('Inputs-Proposals'!$H$5-9&gt;=0,'Inputs-Proposals'!$H$8="Yes"),L$20*(1+'Inputs-Proposals'!$H$9),'Inputs-Proposals'!$H$5-9&gt;=0,'Inputs-Proposals'!$H$7),0)</f>
        <v>0</v>
      </c>
      <c r="N20" s="185">
        <f>_xlfn.IFNA(_xlfn.IFS(AND('Inputs-Proposals'!$H$5-10&gt;=0,'Inputs-Proposals'!$H$8="Yes"),M$20*(1+'Inputs-Proposals'!$H$9),'Inputs-Proposals'!$H$5-10&gt;=0,'Inputs-Proposals'!$H$7),0)</f>
        <v>0</v>
      </c>
      <c r="O20" s="185">
        <f>_xlfn.IFNA(_xlfn.IFS(AND('Inputs-Proposals'!$H$5-11&gt;=0,'Inputs-Proposals'!$H$8="Yes"),N$20*(1+'Inputs-Proposals'!$H$9),'Inputs-Proposals'!$H$5-11&gt;=0,'Inputs-Proposals'!$H$7),0)</f>
        <v>0</v>
      </c>
      <c r="P20" s="185">
        <f>_xlfn.IFNA(_xlfn.IFS(AND('Inputs-Proposals'!$H$5-12&gt;=0,'Inputs-Proposals'!$H$8="Yes"),O$20*(1+'Inputs-Proposals'!$H$9),'Inputs-Proposals'!$H$5-12&gt;=0,'Inputs-Proposals'!$H$7),0)</f>
        <v>0</v>
      </c>
      <c r="Q20" s="185">
        <f>_xlfn.IFNA(_xlfn.IFS(AND('Inputs-Proposals'!$H$5-13&gt;=0,'Inputs-Proposals'!$H$8="Yes"),P$20*(1+'Inputs-Proposals'!$H$9),'Inputs-Proposals'!$H$5-13&gt;=0,'Inputs-Proposals'!$H$7),0)</f>
        <v>0</v>
      </c>
      <c r="R20" s="185">
        <f>_xlfn.IFNA(_xlfn.IFS(AND('Inputs-Proposals'!$H$5-14&gt;=0,'Inputs-Proposals'!$H$8="Yes"),Q$20*(1+'Inputs-Proposals'!$H$9),'Inputs-Proposals'!$H$5-14&gt;=0,'Inputs-Proposals'!$H$7),0)</f>
        <v>0</v>
      </c>
      <c r="S20" s="185">
        <f>_xlfn.IFNA(_xlfn.IFS(AND('Inputs-Proposals'!$H$5-15&gt;=0,'Inputs-Proposals'!$H$8="Yes"),R$20*(1+'Inputs-Proposals'!$H$9),'Inputs-Proposals'!$H$5-15&gt;=0,'Inputs-Proposals'!$H$7),0)</f>
        <v>0</v>
      </c>
      <c r="T20" s="185">
        <f>_xlfn.IFNA(_xlfn.IFS(AND('Inputs-Proposals'!$H$5-16&gt;=0,'Inputs-Proposals'!$H$8="Yes"),S$20*(1+'Inputs-Proposals'!$H$9),'Inputs-Proposals'!$H$5-16&gt;=0,'Inputs-Proposals'!$H$7),0)</f>
        <v>0</v>
      </c>
      <c r="U20" s="185">
        <f>_xlfn.IFNA(_xlfn.IFS(AND('Inputs-Proposals'!$H$5-17&gt;=0,'Inputs-Proposals'!$H$8="Yes"),T$20*(1+'Inputs-Proposals'!$H$9),'Inputs-Proposals'!$H$5-17&gt;=0,'Inputs-Proposals'!$H$7),0)</f>
        <v>0</v>
      </c>
      <c r="V20" s="185">
        <f>_xlfn.IFNA(_xlfn.IFS(AND('Inputs-Proposals'!$H$5-18&gt;=0,'Inputs-Proposals'!$H$8="Yes"),U$20*(1+'Inputs-Proposals'!$H$9),'Inputs-Proposals'!$H$5-18&gt;=0,'Inputs-Proposals'!$H$7),0)</f>
        <v>0</v>
      </c>
      <c r="W20" s="185">
        <f>_xlfn.IFNA(_xlfn.IFS(AND('Inputs-Proposals'!$H$5-19&gt;=0,'Inputs-Proposals'!$H$8="Yes"),V$20*(1+'Inputs-Proposals'!$H$9),'Inputs-Proposals'!$H$5-19&gt;=0,'Inputs-Proposals'!$H$7),0)</f>
        <v>0</v>
      </c>
      <c r="X20" s="247">
        <f>_xlfn.IFNA(_xlfn.IFS(AND('Inputs-Proposals'!$H$5-20&gt;=0,'Inputs-Proposals'!$H$8="Yes"),W$20*(1+'Inputs-Proposals'!$H$9),'Inputs-Proposals'!$H$5-20&gt;=0,'Inputs-Proposals'!$H$7),0)</f>
        <v>0</v>
      </c>
    </row>
    <row r="21" spans="1:24" x14ac:dyDescent="0.35">
      <c r="A21" s="784"/>
      <c r="B21" s="106" t="s">
        <v>300</v>
      </c>
      <c r="C21" s="202">
        <f t="shared" si="1"/>
        <v>0</v>
      </c>
      <c r="D21" s="50">
        <f>NPV('Inputs-System'!$C$20,'Cost Calculator'!E21,'Cost Calculator'!F21,'Cost Calculator'!G21,'Cost Calculator'!H21,'Cost Calculator'!I21,'Cost Calculator'!J21,'Cost Calculator'!K21,'Cost Calculator'!L21,'Cost Calculator'!M21,'Cost Calculator'!N21,'Cost Calculator'!O21,'Cost Calculator'!P21,'Cost Calculator'!Q21,'Cost Calculator'!R21,'Cost Calculator'!S21,'Cost Calculator'!T21,'Cost Calculator'!U21,'Cost Calculator'!V21,'Cost Calculator'!W21,'Cost Calculator'!X21)</f>
        <v>0</v>
      </c>
      <c r="E21" s="183">
        <f>'Inputs-Proposals'!H11</f>
        <v>0</v>
      </c>
      <c r="F21" s="186">
        <f>IF('Inputs-Proposals'!$H$5-2&gt;=0,'Inputs-Proposals'!$H$11,0)</f>
        <v>0</v>
      </c>
      <c r="G21" s="186">
        <f>IF('Inputs-Proposals'!$H$5-3&gt;=0,'Inputs-Proposals'!$H$11,0)</f>
        <v>0</v>
      </c>
      <c r="H21" s="186">
        <f>IF('Inputs-Proposals'!$H$5-4&gt;=0,'Inputs-Proposals'!$H$11,0)</f>
        <v>0</v>
      </c>
      <c r="I21" s="186">
        <f>IF('Inputs-Proposals'!$H$5-5&gt;=0,'Inputs-Proposals'!$H$11,0)</f>
        <v>0</v>
      </c>
      <c r="J21" s="186">
        <f>IF('Inputs-Proposals'!$H$5-6&gt;=0,'Inputs-Proposals'!$H$11,0)</f>
        <v>0</v>
      </c>
      <c r="K21" s="186">
        <f>IF('Inputs-Proposals'!$H$5-7&gt;=0,'Inputs-Proposals'!$H$11,0)</f>
        <v>0</v>
      </c>
      <c r="L21" s="186">
        <f>IF('Inputs-Proposals'!$H$5-8&gt;=0,'Inputs-Proposals'!$H$11,0)</f>
        <v>0</v>
      </c>
      <c r="M21" s="186">
        <f>IF('Inputs-Proposals'!$H$5-9&gt;=0,'Inputs-Proposals'!$H$11,0)</f>
        <v>0</v>
      </c>
      <c r="N21" s="186">
        <f>IF('Inputs-Proposals'!$H$5-10&gt;=0,'Inputs-Proposals'!$H$11,0)</f>
        <v>0</v>
      </c>
      <c r="O21" s="186">
        <f>IF('Inputs-Proposals'!$H$5-11&gt;=0,'Inputs-Proposals'!$H$11,0)</f>
        <v>0</v>
      </c>
      <c r="P21" s="186">
        <f>IF('Inputs-Proposals'!$H$5-12&gt;=0,'Inputs-Proposals'!$H$11,0)</f>
        <v>0</v>
      </c>
      <c r="Q21" s="186">
        <f>IF('Inputs-Proposals'!$H$5-13&gt;=0,'Inputs-Proposals'!$H$11,0)</f>
        <v>0</v>
      </c>
      <c r="R21" s="186">
        <f>IF('Inputs-Proposals'!$H$5-14&gt;=0,'Inputs-Proposals'!$H$11,0)</f>
        <v>0</v>
      </c>
      <c r="S21" s="186">
        <f>IF('Inputs-Proposals'!$H$5-15&gt;=0,'Inputs-Proposals'!$H$11,0)</f>
        <v>0</v>
      </c>
      <c r="T21" s="186">
        <f>IF('Inputs-Proposals'!$H$5-16&gt;=0,'Inputs-Proposals'!$H$11,0)</f>
        <v>0</v>
      </c>
      <c r="U21" s="186">
        <f>IF('Inputs-Proposals'!$H$5-17&gt;=0,'Inputs-Proposals'!$H$11,0)</f>
        <v>0</v>
      </c>
      <c r="V21" s="186">
        <f>IF('Inputs-Proposals'!$H$5-18&gt;=0,'Inputs-Proposals'!$H$11,0)</f>
        <v>0</v>
      </c>
      <c r="W21" s="186">
        <f>IF('Inputs-Proposals'!$H$5-19&gt;=0,'Inputs-Proposals'!$H$11,0)</f>
        <v>0</v>
      </c>
      <c r="X21" s="245">
        <f>IF('Inputs-Proposals'!$H$5-20&gt;=0,'Inputs-Proposals'!$H$11,0)</f>
        <v>0</v>
      </c>
    </row>
    <row r="22" spans="1:24" ht="15" thickBot="1" x14ac:dyDescent="0.4">
      <c r="A22" s="786"/>
      <c r="B22" s="182" t="s">
        <v>126</v>
      </c>
      <c r="C22" s="205">
        <f t="shared" si="1"/>
        <v>0</v>
      </c>
      <c r="D22" s="51">
        <f>E22</f>
        <v>0</v>
      </c>
      <c r="E22" s="189">
        <f>'Inputs-Proposals'!H12</f>
        <v>0</v>
      </c>
      <c r="F22" s="190">
        <v>0</v>
      </c>
      <c r="G22" s="190">
        <v>0</v>
      </c>
      <c r="H22" s="190">
        <v>0</v>
      </c>
      <c r="I22" s="190">
        <v>0</v>
      </c>
      <c r="J22" s="190">
        <v>0</v>
      </c>
      <c r="K22" s="190">
        <v>0</v>
      </c>
      <c r="L22" s="190">
        <v>0</v>
      </c>
      <c r="M22" s="190">
        <v>0</v>
      </c>
      <c r="N22" s="190">
        <v>0</v>
      </c>
      <c r="O22" s="190">
        <v>0</v>
      </c>
      <c r="P22" s="190">
        <v>0</v>
      </c>
      <c r="Q22" s="190">
        <v>0</v>
      </c>
      <c r="R22" s="190">
        <v>0</v>
      </c>
      <c r="S22" s="190">
        <v>0</v>
      </c>
      <c r="T22" s="190">
        <v>0</v>
      </c>
      <c r="U22" s="190">
        <v>0</v>
      </c>
      <c r="V22" s="190">
        <v>0</v>
      </c>
      <c r="W22" s="190">
        <v>0</v>
      </c>
      <c r="X22" s="246">
        <v>0</v>
      </c>
    </row>
    <row r="23" spans="1:24" x14ac:dyDescent="0.35">
      <c r="A23" s="783">
        <f>'Inputs-Proposals'!I2</f>
        <v>0</v>
      </c>
      <c r="B23" s="180" t="s">
        <v>299</v>
      </c>
      <c r="C23" s="204">
        <f t="shared" si="1"/>
        <v>0</v>
      </c>
      <c r="D23" s="49">
        <f>NPV('Inputs-System'!$C$20,'Cost Calculator'!E23,'Cost Calculator'!F23,'Cost Calculator'!G23,'Cost Calculator'!H23,'Cost Calculator'!I23,'Cost Calculator'!J23,'Cost Calculator'!K23,'Cost Calculator'!L23,'Cost Calculator'!M23,'Cost Calculator'!N23,'Cost Calculator'!O23,'Cost Calculator'!P23,'Cost Calculator'!Q23,'Cost Calculator'!R23,'Cost Calculator'!S23,'Cost Calculator'!T23,'Cost Calculator'!U23,'Cost Calculator'!V23,'Cost Calculator'!W23,'Cost Calculator'!X23)</f>
        <v>0</v>
      </c>
      <c r="E23" s="184">
        <f>'Inputs-Proposals'!$I$6</f>
        <v>0</v>
      </c>
      <c r="F23" s="185">
        <f>_xlfn.IFNA(_xlfn.IFS(AND('Inputs-Proposals'!$I$5-2&gt;=0,'Inputs-Proposals'!$I$8="Yes"),E$23*(1+'Inputs-Proposals'!$I$9),'Inputs-Proposals'!$I$5-2&gt;=0,'Inputs-Proposals'!$I$7),0)</f>
        <v>0</v>
      </c>
      <c r="G23" s="185">
        <f>_xlfn.IFNA(_xlfn.IFS(AND('Inputs-Proposals'!$I$5-3&gt;=0,'Inputs-Proposals'!$I$8="Yes"),F$23*(1+'Inputs-Proposals'!$I$9),'Inputs-Proposals'!$I$5-3&gt;=0,'Inputs-Proposals'!$I$7),0)</f>
        <v>0</v>
      </c>
      <c r="H23" s="185">
        <f>_xlfn.IFNA(_xlfn.IFS(AND('Inputs-Proposals'!$I$5-4&gt;=0,'Inputs-Proposals'!$I$8="Yes"),G$23*(1+'Inputs-Proposals'!$I$9),'Inputs-Proposals'!$I$5-4&gt;=0,'Inputs-Proposals'!$I$7),0)</f>
        <v>0</v>
      </c>
      <c r="I23" s="185">
        <f>_xlfn.IFNA(_xlfn.IFS(AND('Inputs-Proposals'!$I$5-5&gt;=0,'Inputs-Proposals'!$I$8="Yes"),H$23*(1+'Inputs-Proposals'!$I$9),'Inputs-Proposals'!$I$5-5&gt;=0,'Inputs-Proposals'!$I$7),0)</f>
        <v>0</v>
      </c>
      <c r="J23" s="185">
        <f>_xlfn.IFNA(_xlfn.IFS(AND('Inputs-Proposals'!$I$5-6&gt;=0,'Inputs-Proposals'!$I$8="Yes"),I$23*(1+'Inputs-Proposals'!$I$9),'Inputs-Proposals'!$I$5-6&gt;=0,'Inputs-Proposals'!$I$7),0)</f>
        <v>0</v>
      </c>
      <c r="K23" s="185">
        <f>_xlfn.IFNA(_xlfn.IFS(AND('Inputs-Proposals'!$I$5-7&gt;=0,'Inputs-Proposals'!$I$8="Yes"),J$23*(1+'Inputs-Proposals'!$I$9),'Inputs-Proposals'!$I$5-7&gt;=0,'Inputs-Proposals'!$I$7),0)</f>
        <v>0</v>
      </c>
      <c r="L23" s="185">
        <f>_xlfn.IFNA(_xlfn.IFS(AND('Inputs-Proposals'!$I$5-8&gt;=0,'Inputs-Proposals'!$I$8="Yes"),K$23*(1+'Inputs-Proposals'!$I$9),'Inputs-Proposals'!$I$5-8&gt;=0,'Inputs-Proposals'!$I$7),0)</f>
        <v>0</v>
      </c>
      <c r="M23" s="185">
        <f>_xlfn.IFNA(_xlfn.IFS(AND('Inputs-Proposals'!$I$5-9&gt;=0,'Inputs-Proposals'!$I$8="Yes"),L$23*(1+'Inputs-Proposals'!$I$9),'Inputs-Proposals'!$I$5-9&gt;=0,'Inputs-Proposals'!$I$7),0)</f>
        <v>0</v>
      </c>
      <c r="N23" s="185">
        <f>_xlfn.IFNA(_xlfn.IFS(AND('Inputs-Proposals'!$I$5-10&gt;=0,'Inputs-Proposals'!$I$8="Yes"),M$23*(1+'Inputs-Proposals'!$I$9),'Inputs-Proposals'!$I$5-10&gt;=0,'Inputs-Proposals'!$I$7),0)</f>
        <v>0</v>
      </c>
      <c r="O23" s="185">
        <f>_xlfn.IFNA(_xlfn.IFS(AND('Inputs-Proposals'!$I$5-11&gt;=0,'Inputs-Proposals'!$I$8="Yes"),N$23*(1+'Inputs-Proposals'!$I$9),'Inputs-Proposals'!$I$5-11&gt;=0,'Inputs-Proposals'!$I$7),0)</f>
        <v>0</v>
      </c>
      <c r="P23" s="185">
        <f>_xlfn.IFNA(_xlfn.IFS(AND('Inputs-Proposals'!$I$5-12&gt;=0,'Inputs-Proposals'!$I$8="Yes"),O$23*(1+'Inputs-Proposals'!$I$9),'Inputs-Proposals'!$I$5-12&gt;=0,'Inputs-Proposals'!$I$7),0)</f>
        <v>0</v>
      </c>
      <c r="Q23" s="185">
        <f>_xlfn.IFNA(_xlfn.IFS(AND('Inputs-Proposals'!$I$5-13&gt;=0,'Inputs-Proposals'!$I$8="Yes"),P$23*(1+'Inputs-Proposals'!$I$9),'Inputs-Proposals'!$I$5-13&gt;=0,'Inputs-Proposals'!$I$7),0)</f>
        <v>0</v>
      </c>
      <c r="R23" s="185">
        <f>_xlfn.IFNA(_xlfn.IFS(AND('Inputs-Proposals'!$I$5-14&gt;=0,'Inputs-Proposals'!$I$8="Yes"),Q$23*(1+'Inputs-Proposals'!$I$9),'Inputs-Proposals'!$I$5-14&gt;=0,'Inputs-Proposals'!$I$7),0)</f>
        <v>0</v>
      </c>
      <c r="S23" s="185">
        <f>_xlfn.IFNA(_xlfn.IFS(AND('Inputs-Proposals'!$I$5-15&gt;=0,'Inputs-Proposals'!$I$8="Yes"),R$23*(1+'Inputs-Proposals'!$I$9),'Inputs-Proposals'!$I$5-15&gt;=0,'Inputs-Proposals'!$I$7),0)</f>
        <v>0</v>
      </c>
      <c r="T23" s="185">
        <f>_xlfn.IFNA(_xlfn.IFS(AND('Inputs-Proposals'!$I$5-16&gt;=0,'Inputs-Proposals'!$I$8="Yes"),S$23*(1+'Inputs-Proposals'!$I$9),'Inputs-Proposals'!$I$5-16&gt;=0,'Inputs-Proposals'!$I$7),0)</f>
        <v>0</v>
      </c>
      <c r="U23" s="185">
        <f>_xlfn.IFNA(_xlfn.IFS(AND('Inputs-Proposals'!$I$5-17&gt;=0,'Inputs-Proposals'!$I$8="Yes"),T$23*(1+'Inputs-Proposals'!$I$9),'Inputs-Proposals'!$I$5-17&gt;=0,'Inputs-Proposals'!$I$7),0)</f>
        <v>0</v>
      </c>
      <c r="V23" s="185">
        <f>_xlfn.IFNA(_xlfn.IFS(AND('Inputs-Proposals'!$I$5-18&gt;=0,'Inputs-Proposals'!$I$8="Yes"),U$23*(1+'Inputs-Proposals'!$I$9),'Inputs-Proposals'!$I$5-18&gt;=0,'Inputs-Proposals'!$I$7),0)</f>
        <v>0</v>
      </c>
      <c r="W23" s="185">
        <f>_xlfn.IFNA(_xlfn.IFS(AND('Inputs-Proposals'!$I$5-19&gt;=0,'Inputs-Proposals'!$I$8="Yes"),V$23*(1+'Inputs-Proposals'!$I$9),'Inputs-Proposals'!$I$5-19&gt;=0,'Inputs-Proposals'!$I$7),0)</f>
        <v>0</v>
      </c>
      <c r="X23" s="247">
        <f>_xlfn.IFNA(_xlfn.IFS(AND('Inputs-Proposals'!$I$5-20&gt;=0,'Inputs-Proposals'!$I$8="Yes"),W$23*(1+'Inputs-Proposals'!$I$9),'Inputs-Proposals'!$I$5-20&gt;=0,'Inputs-Proposals'!$I$7),0)</f>
        <v>0</v>
      </c>
    </row>
    <row r="24" spans="1:24" x14ac:dyDescent="0.35">
      <c r="A24" s="784"/>
      <c r="B24" s="106" t="s">
        <v>300</v>
      </c>
      <c r="C24" s="202">
        <f t="shared" si="1"/>
        <v>0</v>
      </c>
      <c r="D24" s="50">
        <f>NPV('Inputs-System'!$C$20,'Cost Calculator'!E24,'Cost Calculator'!F24,'Cost Calculator'!G24,'Cost Calculator'!H24,'Cost Calculator'!I24,'Cost Calculator'!J24,'Cost Calculator'!K24,'Cost Calculator'!L24,'Cost Calculator'!M24,'Cost Calculator'!N24,'Cost Calculator'!O24,'Cost Calculator'!P24,'Cost Calculator'!Q24,'Cost Calculator'!R24,'Cost Calculator'!S24,'Cost Calculator'!T24,'Cost Calculator'!U24,'Cost Calculator'!V24,'Cost Calculator'!W24,'Cost Calculator'!X24)</f>
        <v>0</v>
      </c>
      <c r="E24" s="183">
        <f>'Inputs-Proposals'!$I$11</f>
        <v>0</v>
      </c>
      <c r="F24" s="186">
        <f>IF('Inputs-Proposals'!$I$5-2&gt;=0,'Inputs-Proposals'!$I$11,0)</f>
        <v>0</v>
      </c>
      <c r="G24" s="186">
        <f>IF('Inputs-Proposals'!$I$5-3&gt;=0,'Inputs-Proposals'!$I$11,0)</f>
        <v>0</v>
      </c>
      <c r="H24" s="186">
        <f>IF('Inputs-Proposals'!$I$5-4&gt;=0,'Inputs-Proposals'!$I$11,0)</f>
        <v>0</v>
      </c>
      <c r="I24" s="186">
        <f>IF('Inputs-Proposals'!$I$5-5&gt;=0,'Inputs-Proposals'!$I$11,0)</f>
        <v>0</v>
      </c>
      <c r="J24" s="186">
        <f>IF('Inputs-Proposals'!$I$5-6&gt;=0,'Inputs-Proposals'!$I$11,0)</f>
        <v>0</v>
      </c>
      <c r="K24" s="186">
        <f>IF('Inputs-Proposals'!$I$5-7&gt;=0,'Inputs-Proposals'!$I$11,0)</f>
        <v>0</v>
      </c>
      <c r="L24" s="186">
        <f>IF('Inputs-Proposals'!$I$5-8&gt;=0,'Inputs-Proposals'!$I$11,0)</f>
        <v>0</v>
      </c>
      <c r="M24" s="186">
        <f>IF('Inputs-Proposals'!$I$5-9&gt;=0,'Inputs-Proposals'!$I$11,0)</f>
        <v>0</v>
      </c>
      <c r="N24" s="186">
        <f>IF('Inputs-Proposals'!$I$5-10&gt;=0,'Inputs-Proposals'!$I$11,0)</f>
        <v>0</v>
      </c>
      <c r="O24" s="186">
        <f>IF('Inputs-Proposals'!$I$5-11&gt;=0,'Inputs-Proposals'!$I$11,0)</f>
        <v>0</v>
      </c>
      <c r="P24" s="186">
        <f>IF('Inputs-Proposals'!$I$5-12&gt;=0,'Inputs-Proposals'!$I$11,0)</f>
        <v>0</v>
      </c>
      <c r="Q24" s="186">
        <f>IF('Inputs-Proposals'!$I$5-13&gt;=0,'Inputs-Proposals'!$I$11,0)</f>
        <v>0</v>
      </c>
      <c r="R24" s="186">
        <f>IF('Inputs-Proposals'!$I$5-14&gt;=0,'Inputs-Proposals'!$I$11,0)</f>
        <v>0</v>
      </c>
      <c r="S24" s="186">
        <f>IF('Inputs-Proposals'!$I$5-15&gt;=0,'Inputs-Proposals'!$I$11,0)</f>
        <v>0</v>
      </c>
      <c r="T24" s="186">
        <f>IF('Inputs-Proposals'!$I$5-16&gt;=0,'Inputs-Proposals'!$I$11,0)</f>
        <v>0</v>
      </c>
      <c r="U24" s="186">
        <f>IF('Inputs-Proposals'!$I$5-17&gt;=0,'Inputs-Proposals'!$I$11,0)</f>
        <v>0</v>
      </c>
      <c r="V24" s="186">
        <f>IF('Inputs-Proposals'!$I$5-18&gt;=0,'Inputs-Proposals'!$I$11,0)</f>
        <v>0</v>
      </c>
      <c r="W24" s="186">
        <f>IF('Inputs-Proposals'!$I$5-19&gt;=0,'Inputs-Proposals'!$I$11,0)</f>
        <v>0</v>
      </c>
      <c r="X24" s="245">
        <f>IF('Inputs-Proposals'!$I$5-20&gt;=0,'Inputs-Proposals'!$D$11,0)</f>
        <v>0</v>
      </c>
    </row>
    <row r="25" spans="1:24" ht="15" thickBot="1" x14ac:dyDescent="0.4">
      <c r="A25" s="786"/>
      <c r="B25" s="182" t="s">
        <v>126</v>
      </c>
      <c r="C25" s="205">
        <f t="shared" si="1"/>
        <v>0</v>
      </c>
      <c r="D25" s="51">
        <f>E25</f>
        <v>0</v>
      </c>
      <c r="E25" s="189">
        <f>'Inputs-Proposals'!$I$12</f>
        <v>0</v>
      </c>
      <c r="F25" s="190">
        <v>0</v>
      </c>
      <c r="G25" s="190">
        <v>0</v>
      </c>
      <c r="H25" s="190">
        <v>0</v>
      </c>
      <c r="I25" s="190">
        <v>0</v>
      </c>
      <c r="J25" s="190">
        <v>0</v>
      </c>
      <c r="K25" s="190">
        <v>0</v>
      </c>
      <c r="L25" s="190">
        <v>0</v>
      </c>
      <c r="M25" s="190">
        <v>0</v>
      </c>
      <c r="N25" s="190">
        <v>0</v>
      </c>
      <c r="O25" s="190">
        <v>0</v>
      </c>
      <c r="P25" s="190">
        <v>0</v>
      </c>
      <c r="Q25" s="190">
        <v>0</v>
      </c>
      <c r="R25" s="190">
        <v>0</v>
      </c>
      <c r="S25" s="190">
        <v>0</v>
      </c>
      <c r="T25" s="190">
        <v>0</v>
      </c>
      <c r="U25" s="190">
        <v>0</v>
      </c>
      <c r="V25" s="190">
        <v>0</v>
      </c>
      <c r="W25" s="190">
        <v>0</v>
      </c>
      <c r="X25" s="246">
        <v>0</v>
      </c>
    </row>
    <row r="26" spans="1:24" x14ac:dyDescent="0.35">
      <c r="A26" s="783">
        <f>'Inputs-Proposals'!J2</f>
        <v>0</v>
      </c>
      <c r="B26" s="180" t="s">
        <v>299</v>
      </c>
      <c r="C26" s="206">
        <f t="shared" si="1"/>
        <v>0</v>
      </c>
      <c r="D26" s="49">
        <f>NPV('Inputs-System'!$C$20,'Cost Calculator'!E26,'Cost Calculator'!F26,'Cost Calculator'!G26,'Cost Calculator'!H26,'Cost Calculator'!I26,'Cost Calculator'!J26,'Cost Calculator'!K26,'Cost Calculator'!L26,'Cost Calculator'!M26,'Cost Calculator'!N26,'Cost Calculator'!O26,'Cost Calculator'!P26,'Cost Calculator'!Q26,'Cost Calculator'!R26,'Cost Calculator'!S26,'Cost Calculator'!T26,'Cost Calculator'!U26,'Cost Calculator'!V26,'Cost Calculator'!W26,'Cost Calculator'!X26)</f>
        <v>0</v>
      </c>
      <c r="E26" s="184">
        <f>'Inputs-Proposals'!$J$6</f>
        <v>0</v>
      </c>
      <c r="F26" s="185">
        <f>_xlfn.IFNA(_xlfn.IFS(AND('Inputs-Proposals'!$J$5-2&gt;=0,'Inputs-Proposals'!$J$8="Yes"),E$26*(1+'Inputs-Proposals'!$J$9),'Inputs-Proposals'!$J$5-2&gt;=0,'Inputs-Proposals'!$J$7),0)</f>
        <v>0</v>
      </c>
      <c r="G26" s="185">
        <f>_xlfn.IFNA(_xlfn.IFS(AND('Inputs-Proposals'!$J$5-3&gt;=0,'Inputs-Proposals'!$J$8="Yes"),F$26*(1+'Inputs-Proposals'!$J$9),'Inputs-Proposals'!$J$5-3&gt;=0,'Inputs-Proposals'!$J$7),0)</f>
        <v>0</v>
      </c>
      <c r="H26" s="185">
        <f>_xlfn.IFNA(_xlfn.IFS(AND('Inputs-Proposals'!$J$5-4&gt;=0,'Inputs-Proposals'!$J$8="Yes"),G$26*(1+'Inputs-Proposals'!$J$9),'Inputs-Proposals'!$J$5-4&gt;=0,'Inputs-Proposals'!$J$7),0)</f>
        <v>0</v>
      </c>
      <c r="I26" s="185">
        <f>_xlfn.IFNA(_xlfn.IFS(AND('Inputs-Proposals'!$J$5-5&gt;=0,'Inputs-Proposals'!$J$8="Yes"),H$26*(1+'Inputs-Proposals'!$J$9),'Inputs-Proposals'!$J$5-5&gt;=0,'Inputs-Proposals'!$J$7),0)</f>
        <v>0</v>
      </c>
      <c r="J26" s="185">
        <f>_xlfn.IFNA(_xlfn.IFS(AND('Inputs-Proposals'!$J$5-6&gt;=0,'Inputs-Proposals'!$J$8="Yes"),I$26*(1+'Inputs-Proposals'!$J$9),'Inputs-Proposals'!$J$5-6&gt;=0,'Inputs-Proposals'!$J$7),0)</f>
        <v>0</v>
      </c>
      <c r="K26" s="185">
        <f>_xlfn.IFNA(_xlfn.IFS(AND('Inputs-Proposals'!$J$5-7&gt;=0,'Inputs-Proposals'!$J$8="Yes"),J$26*(1+'Inputs-Proposals'!$J$9),'Inputs-Proposals'!$J$5-7&gt;=0,'Inputs-Proposals'!$J$7),0)</f>
        <v>0</v>
      </c>
      <c r="L26" s="185">
        <f>_xlfn.IFNA(_xlfn.IFS(AND('Inputs-Proposals'!$J$5-8&gt;=0,'Inputs-Proposals'!$J$8="Yes"),K$26*(1+'Inputs-Proposals'!$J$9),'Inputs-Proposals'!$J$5-8&gt;=0,'Inputs-Proposals'!$J$7),0)</f>
        <v>0</v>
      </c>
      <c r="M26" s="185">
        <f>_xlfn.IFNA(_xlfn.IFS(AND('Inputs-Proposals'!$J$5-9&gt;=0,'Inputs-Proposals'!$J$8="Yes"),L$26*(1+'Inputs-Proposals'!$J$9),'Inputs-Proposals'!$J$5-9&gt;=0,'Inputs-Proposals'!$J$7),0)</f>
        <v>0</v>
      </c>
      <c r="N26" s="185">
        <f>_xlfn.IFNA(_xlfn.IFS(AND('Inputs-Proposals'!$J$5-10&gt;=0,'Inputs-Proposals'!$J$8="Yes"),M$26*(1+'Inputs-Proposals'!$J$9),'Inputs-Proposals'!$J$5-10&gt;=0,'Inputs-Proposals'!$J$7),0)</f>
        <v>0</v>
      </c>
      <c r="O26" s="185">
        <f>_xlfn.IFNA(_xlfn.IFS(AND('Inputs-Proposals'!$J$5-11&gt;=0,'Inputs-Proposals'!$J$8="Yes"),N$26*(1+'Inputs-Proposals'!$J$9),'Inputs-Proposals'!$J$5-11&gt;=0,'Inputs-Proposals'!$J$7),0)</f>
        <v>0</v>
      </c>
      <c r="P26" s="185">
        <f>_xlfn.IFNA(_xlfn.IFS(AND('Inputs-Proposals'!$J$5-12&gt;=0,'Inputs-Proposals'!$J$8="Yes"),O$26*(1+'Inputs-Proposals'!$J$9),'Inputs-Proposals'!$J$5-12&gt;=0,'Inputs-Proposals'!$J$7),0)</f>
        <v>0</v>
      </c>
      <c r="Q26" s="185">
        <f>_xlfn.IFNA(_xlfn.IFS(AND('Inputs-Proposals'!$J$5-13&gt;=0,'Inputs-Proposals'!$J$8="Yes"),P$26*(1+'Inputs-Proposals'!$J$9),'Inputs-Proposals'!$J$5-13&gt;=0,'Inputs-Proposals'!$J$7),0)</f>
        <v>0</v>
      </c>
      <c r="R26" s="185">
        <f>_xlfn.IFNA(_xlfn.IFS(AND('Inputs-Proposals'!$J$5-14&gt;=0,'Inputs-Proposals'!$J$8="Yes"),Q$26*(1+'Inputs-Proposals'!$J$9),'Inputs-Proposals'!$J$5-14&gt;=0,'Inputs-Proposals'!$J$7),0)</f>
        <v>0</v>
      </c>
      <c r="S26" s="185">
        <f>_xlfn.IFNA(_xlfn.IFS(AND('Inputs-Proposals'!$J$5-15&gt;=0,'Inputs-Proposals'!$J$8="Yes"),R$26*(1+'Inputs-Proposals'!$J$9),'Inputs-Proposals'!$J$5-15&gt;=0,'Inputs-Proposals'!$J$7),0)</f>
        <v>0</v>
      </c>
      <c r="T26" s="185">
        <f>_xlfn.IFNA(_xlfn.IFS(AND('Inputs-Proposals'!$J$5-16&gt;=0,'Inputs-Proposals'!$J$8="Yes"),S$26*(1+'Inputs-Proposals'!$J$9),'Inputs-Proposals'!$J$5-16&gt;=0,'Inputs-Proposals'!$J$7),0)</f>
        <v>0</v>
      </c>
      <c r="U26" s="185">
        <f>_xlfn.IFNA(_xlfn.IFS(AND('Inputs-Proposals'!$J$5-17&gt;=0,'Inputs-Proposals'!$J$8="Yes"),T$26*(1+'Inputs-Proposals'!$J$9),'Inputs-Proposals'!$J$5-17&gt;=0,'Inputs-Proposals'!$J$7),0)</f>
        <v>0</v>
      </c>
      <c r="V26" s="185">
        <f>_xlfn.IFNA(_xlfn.IFS(AND('Inputs-Proposals'!$J$5-18&gt;=0,'Inputs-Proposals'!$J$8="Yes"),U$26*(1+'Inputs-Proposals'!$J$9),'Inputs-Proposals'!$J$5-18&gt;=0,'Inputs-Proposals'!$J$7),0)</f>
        <v>0</v>
      </c>
      <c r="W26" s="185">
        <f>_xlfn.IFNA(_xlfn.IFS(AND('Inputs-Proposals'!$J$5-19&gt;=0,'Inputs-Proposals'!$J$8="Yes"),V$26*(1+'Inputs-Proposals'!$J$9),'Inputs-Proposals'!$J$5-19&gt;=0,'Inputs-Proposals'!$J$7),0)</f>
        <v>0</v>
      </c>
      <c r="X26" s="247">
        <f>_xlfn.IFNA(_xlfn.IFS(AND('Inputs-Proposals'!$J$5-20&gt;=0,'Inputs-Proposals'!$J$8="Yes"),W$26*(1+'Inputs-Proposals'!$J$9),'Inputs-Proposals'!$J$5-20&gt;=0,'Inputs-Proposals'!$J$7),0)</f>
        <v>0</v>
      </c>
    </row>
    <row r="27" spans="1:24" x14ac:dyDescent="0.35">
      <c r="A27" s="784"/>
      <c r="B27" s="106" t="s">
        <v>300</v>
      </c>
      <c r="C27" s="207">
        <f t="shared" si="1"/>
        <v>0</v>
      </c>
      <c r="D27" s="50">
        <f>NPV('Inputs-System'!$C$20,'Cost Calculator'!E27,'Cost Calculator'!F27,'Cost Calculator'!G27,'Cost Calculator'!H27,'Cost Calculator'!I27,'Cost Calculator'!J27,'Cost Calculator'!K27,'Cost Calculator'!L27,'Cost Calculator'!M27,'Cost Calculator'!N27,'Cost Calculator'!O27,'Cost Calculator'!P27,'Cost Calculator'!Q27,'Cost Calculator'!R27,'Cost Calculator'!S27,'Cost Calculator'!T27,'Cost Calculator'!U27,'Cost Calculator'!V27,'Cost Calculator'!W27,'Cost Calculator'!X27)</f>
        <v>0</v>
      </c>
      <c r="E27" s="183">
        <f>'Inputs-Proposals'!$J$11</f>
        <v>0</v>
      </c>
      <c r="F27" s="186">
        <f>IF('Inputs-Proposals'!$J$5-2&gt;=0,'Inputs-Proposals'!$J$11,0)</f>
        <v>0</v>
      </c>
      <c r="G27" s="186">
        <f>IF('Inputs-Proposals'!$J$5-3&gt;=0,'Inputs-Proposals'!$J$11,0)</f>
        <v>0</v>
      </c>
      <c r="H27" s="186">
        <f>IF('Inputs-Proposals'!$J$5-4&gt;=0,'Inputs-Proposals'!$J$11,0)</f>
        <v>0</v>
      </c>
      <c r="I27" s="186">
        <f>IF('Inputs-Proposals'!$J$5-5&gt;=0,'Inputs-Proposals'!$J$11,0)</f>
        <v>0</v>
      </c>
      <c r="J27" s="186">
        <f>IF('Inputs-Proposals'!$J$5-6&gt;=0,'Inputs-Proposals'!$J$11,0)</f>
        <v>0</v>
      </c>
      <c r="K27" s="186">
        <f>IF('Inputs-Proposals'!$J$5-7&gt;=0,'Inputs-Proposals'!$J$11,0)</f>
        <v>0</v>
      </c>
      <c r="L27" s="186">
        <f>IF('Inputs-Proposals'!$J$5-8&gt;=0,'Inputs-Proposals'!$J$11,0)</f>
        <v>0</v>
      </c>
      <c r="M27" s="186">
        <f>IF('Inputs-Proposals'!$J$5-9&gt;=0,'Inputs-Proposals'!$J$11,0)</f>
        <v>0</v>
      </c>
      <c r="N27" s="186">
        <f>IF('Inputs-Proposals'!$J$5-10&gt;=0,'Inputs-Proposals'!$J$11,0)</f>
        <v>0</v>
      </c>
      <c r="O27" s="186">
        <f>IF('Inputs-Proposals'!$J$5-11&gt;=0,'Inputs-Proposals'!$J$11,0)</f>
        <v>0</v>
      </c>
      <c r="P27" s="186">
        <f>IF('Inputs-Proposals'!$J$5-12&gt;=0,'Inputs-Proposals'!$J$11,0)</f>
        <v>0</v>
      </c>
      <c r="Q27" s="186">
        <f>IF('Inputs-Proposals'!$J$5-13&gt;=0,'Inputs-Proposals'!$J$11,0)</f>
        <v>0</v>
      </c>
      <c r="R27" s="186">
        <f>IF('Inputs-Proposals'!$J$5-14&gt;=0,'Inputs-Proposals'!$J$11,0)</f>
        <v>0</v>
      </c>
      <c r="S27" s="186">
        <f>IF('Inputs-Proposals'!$J$5-15&gt;=0,'Inputs-Proposals'!$J$11,0)</f>
        <v>0</v>
      </c>
      <c r="T27" s="186">
        <f>IF('Inputs-Proposals'!$J$5-16&gt;=0,'Inputs-Proposals'!$J$11,0)</f>
        <v>0</v>
      </c>
      <c r="U27" s="186">
        <f>IF('Inputs-Proposals'!$J$5-17&gt;=0,'Inputs-Proposals'!$J$11,0)</f>
        <v>0</v>
      </c>
      <c r="V27" s="186">
        <f>IF('Inputs-Proposals'!$J$5-18&gt;=0,'Inputs-Proposals'!$J$11,0)</f>
        <v>0</v>
      </c>
      <c r="W27" s="186">
        <f>IF('Inputs-Proposals'!$J$5-19&gt;=0,'Inputs-Proposals'!$J$11,0)</f>
        <v>0</v>
      </c>
      <c r="X27" s="245">
        <f>IF('Inputs-Proposals'!$J$5-20&gt;=0,'Inputs-Proposals'!$J$11,0)</f>
        <v>0</v>
      </c>
    </row>
    <row r="28" spans="1:24" ht="15" thickBot="1" x14ac:dyDescent="0.4">
      <c r="A28" s="786"/>
      <c r="B28" s="182" t="s">
        <v>126</v>
      </c>
      <c r="C28" s="208">
        <f t="shared" si="1"/>
        <v>0</v>
      </c>
      <c r="D28" s="51">
        <f>E28</f>
        <v>0</v>
      </c>
      <c r="E28" s="189">
        <f>'Inputs-Proposals'!$J$12</f>
        <v>0</v>
      </c>
      <c r="F28" s="190">
        <v>0</v>
      </c>
      <c r="G28" s="190">
        <v>0</v>
      </c>
      <c r="H28" s="190">
        <v>0</v>
      </c>
      <c r="I28" s="190">
        <v>0</v>
      </c>
      <c r="J28" s="190">
        <v>0</v>
      </c>
      <c r="K28" s="190">
        <v>0</v>
      </c>
      <c r="L28" s="190">
        <v>0</v>
      </c>
      <c r="M28" s="190">
        <v>0</v>
      </c>
      <c r="N28" s="190">
        <v>0</v>
      </c>
      <c r="O28" s="190">
        <v>0</v>
      </c>
      <c r="P28" s="190">
        <v>0</v>
      </c>
      <c r="Q28" s="190">
        <v>0</v>
      </c>
      <c r="R28" s="190">
        <v>0</v>
      </c>
      <c r="S28" s="190">
        <v>0</v>
      </c>
      <c r="T28" s="190">
        <v>0</v>
      </c>
      <c r="U28" s="190">
        <v>0</v>
      </c>
      <c r="V28" s="190">
        <v>0</v>
      </c>
      <c r="W28" s="190">
        <v>0</v>
      </c>
      <c r="X28" s="246">
        <v>0</v>
      </c>
    </row>
    <row r="29" spans="1:24" x14ac:dyDescent="0.35">
      <c r="A29" s="783">
        <f>'Inputs-Proposals'!K2</f>
        <v>0</v>
      </c>
      <c r="B29" s="180" t="s">
        <v>299</v>
      </c>
      <c r="C29" s="206">
        <f t="shared" si="1"/>
        <v>0</v>
      </c>
      <c r="D29" s="49">
        <f>NPV('Inputs-System'!$C$20,'Cost Calculator'!E29,'Cost Calculator'!F29,'Cost Calculator'!G29,'Cost Calculator'!H29,'Cost Calculator'!I29,'Cost Calculator'!J29,'Cost Calculator'!K29,'Cost Calculator'!L29,'Cost Calculator'!M29,'Cost Calculator'!N29,'Cost Calculator'!O29,'Cost Calculator'!P29,'Cost Calculator'!Q29,'Cost Calculator'!R29,'Cost Calculator'!S29,'Cost Calculator'!T29,'Cost Calculator'!U29,'Cost Calculator'!V29,'Cost Calculator'!W29,'Cost Calculator'!X29)</f>
        <v>0</v>
      </c>
      <c r="E29" s="184">
        <f>'Inputs-Proposals'!$K$6</f>
        <v>0</v>
      </c>
      <c r="F29" s="185">
        <f>_xlfn.IFNA(_xlfn.IFS(AND('Inputs-Proposals'!$K$5-2&gt;=0,'Inputs-Proposals'!$K$8="Yes"),E$29*(1+'Inputs-Proposals'!$K$9),'Inputs-Proposals'!$K$5-2&gt;=0,'Inputs-Proposals'!$K$7),0)</f>
        <v>0</v>
      </c>
      <c r="G29" s="185">
        <f>_xlfn.IFNA(_xlfn.IFS(AND('Inputs-Proposals'!$K$5-3&gt;=0,'Inputs-Proposals'!$K$8="Yes"),F$29*(1+'Inputs-Proposals'!$K$9),'Inputs-Proposals'!$K$5-3&gt;=0,'Inputs-Proposals'!$K$7),0)</f>
        <v>0</v>
      </c>
      <c r="H29" s="185">
        <f>_xlfn.IFNA(_xlfn.IFS(AND('Inputs-Proposals'!$K$5-4&gt;=0,'Inputs-Proposals'!$K$8="Yes"),G$29*(1+'Inputs-Proposals'!$K$9),'Inputs-Proposals'!$K$5-4&gt;=0,'Inputs-Proposals'!$K$7),0)</f>
        <v>0</v>
      </c>
      <c r="I29" s="185">
        <f>_xlfn.IFNA(_xlfn.IFS(AND('Inputs-Proposals'!$K$5-5&gt;=0,'Inputs-Proposals'!$K$8="Yes"),H$29*(1+'Inputs-Proposals'!$K$9),'Inputs-Proposals'!$K$5-5&gt;=0,'Inputs-Proposals'!$K$7),0)</f>
        <v>0</v>
      </c>
      <c r="J29" s="185">
        <f>_xlfn.IFNA(_xlfn.IFS(AND('Inputs-Proposals'!$K$5-6&gt;=0,'Inputs-Proposals'!$K$8="Yes"),I$29*(1+'Inputs-Proposals'!$K$9),'Inputs-Proposals'!$K$5-6&gt;=0,'Inputs-Proposals'!$K$7),0)</f>
        <v>0</v>
      </c>
      <c r="K29" s="185">
        <f>_xlfn.IFNA(_xlfn.IFS(AND('Inputs-Proposals'!$K$5-7&gt;=0,'Inputs-Proposals'!$K$8="Yes"),J$29*(1+'Inputs-Proposals'!$K$9),'Inputs-Proposals'!$K$5-7&gt;=0,'Inputs-Proposals'!$K$7),0)</f>
        <v>0</v>
      </c>
      <c r="L29" s="185">
        <f>_xlfn.IFNA(_xlfn.IFS(AND('Inputs-Proposals'!$K$5-8&gt;=0,'Inputs-Proposals'!$K$8="Yes"),K$29*(1+'Inputs-Proposals'!$K$9),'Inputs-Proposals'!$K$5-8&gt;=0,'Inputs-Proposals'!$K$7),0)</f>
        <v>0</v>
      </c>
      <c r="M29" s="185">
        <f>_xlfn.IFNA(_xlfn.IFS(AND('Inputs-Proposals'!$K$5-9&gt;=0,'Inputs-Proposals'!$K$8="Yes"),L$29*(1+'Inputs-Proposals'!$K$9),'Inputs-Proposals'!$K$5-9&gt;=0,'Inputs-Proposals'!$K$7),0)</f>
        <v>0</v>
      </c>
      <c r="N29" s="185">
        <f>_xlfn.IFNA(_xlfn.IFS(AND('Inputs-Proposals'!$K$5-10&gt;=0,'Inputs-Proposals'!$K$8="Yes"),M$29*(1+'Inputs-Proposals'!$K$9),'Inputs-Proposals'!$K$5-10&gt;=0,'Inputs-Proposals'!$K$7),0)</f>
        <v>0</v>
      </c>
      <c r="O29" s="185">
        <f>_xlfn.IFNA(_xlfn.IFS(AND('Inputs-Proposals'!$K$5-11&gt;=0,'Inputs-Proposals'!$K$8="Yes"),N$29*(1+'Inputs-Proposals'!$K$9),'Inputs-Proposals'!$K$5-11&gt;=0,'Inputs-Proposals'!$K$7),0)</f>
        <v>0</v>
      </c>
      <c r="P29" s="185">
        <f>_xlfn.IFNA(_xlfn.IFS(AND('Inputs-Proposals'!$K$5-12&gt;=0,'Inputs-Proposals'!$K$8="Yes"),O$29*(1+'Inputs-Proposals'!$K$9),'Inputs-Proposals'!$K$5-12&gt;=0,'Inputs-Proposals'!$K$7),0)</f>
        <v>0</v>
      </c>
      <c r="Q29" s="185">
        <f>_xlfn.IFNA(_xlfn.IFS(AND('Inputs-Proposals'!$K$5-13&gt;=0,'Inputs-Proposals'!$K$8="Yes"),P$29*(1+'Inputs-Proposals'!$K$9),'Inputs-Proposals'!$K$5-13&gt;=0,'Inputs-Proposals'!$K$7),0)</f>
        <v>0</v>
      </c>
      <c r="R29" s="185">
        <f>_xlfn.IFNA(_xlfn.IFS(AND('Inputs-Proposals'!$K$5-14&gt;=0,'Inputs-Proposals'!$K$8="Yes"),Q$29*(1+'Inputs-Proposals'!$K$9),'Inputs-Proposals'!$K$5-14&gt;=0,'Inputs-Proposals'!$K$7),0)</f>
        <v>0</v>
      </c>
      <c r="S29" s="185">
        <f>_xlfn.IFNA(_xlfn.IFS(AND('Inputs-Proposals'!$K$5-15&gt;=0,'Inputs-Proposals'!$K$8="Yes"),R$29*(1+'Inputs-Proposals'!$K$9),'Inputs-Proposals'!$K$5-15&gt;=0,'Inputs-Proposals'!$K$7),0)</f>
        <v>0</v>
      </c>
      <c r="T29" s="185">
        <f>_xlfn.IFNA(_xlfn.IFS(AND('Inputs-Proposals'!$K$5-16&gt;=0,'Inputs-Proposals'!$K$8="Yes"),S$29*(1+'Inputs-Proposals'!$K$9),'Inputs-Proposals'!$K$5-16&gt;=0,'Inputs-Proposals'!$K$7),0)</f>
        <v>0</v>
      </c>
      <c r="U29" s="185">
        <f>_xlfn.IFNA(_xlfn.IFS(AND('Inputs-Proposals'!$K$5-17&gt;=0,'Inputs-Proposals'!$K$8="Yes"),T$29*(1+'Inputs-Proposals'!$K$9),'Inputs-Proposals'!$K$5-17&gt;=0,'Inputs-Proposals'!$K$7),0)</f>
        <v>0</v>
      </c>
      <c r="V29" s="185">
        <f>_xlfn.IFNA(_xlfn.IFS(AND('Inputs-Proposals'!$K$5-18&gt;=0,'Inputs-Proposals'!$K$8="Yes"),U$29*(1+'Inputs-Proposals'!$K$9),'Inputs-Proposals'!$K$5-18&gt;=0,'Inputs-Proposals'!$K$7),0)</f>
        <v>0</v>
      </c>
      <c r="W29" s="185">
        <f>_xlfn.IFNA(_xlfn.IFS(AND('Inputs-Proposals'!$K$5-19&gt;=0,'Inputs-Proposals'!$K$8="Yes"),V$29*(1+'Inputs-Proposals'!$K$9),'Inputs-Proposals'!$K$5-19&gt;=0,'Inputs-Proposals'!$K$7),0)</f>
        <v>0</v>
      </c>
      <c r="X29" s="247">
        <f>_xlfn.IFNA(_xlfn.IFS(AND('Inputs-Proposals'!$K$5-20&gt;=0,'Inputs-Proposals'!$K$8="Yes"),W$29*(1+'Inputs-Proposals'!$K$9),'Inputs-Proposals'!$K$5-20&gt;=0,'Inputs-Proposals'!$K$7),0)</f>
        <v>0</v>
      </c>
    </row>
    <row r="30" spans="1:24" x14ac:dyDescent="0.35">
      <c r="A30" s="784"/>
      <c r="B30" s="106" t="s">
        <v>300</v>
      </c>
      <c r="C30" s="207">
        <f t="shared" si="1"/>
        <v>0</v>
      </c>
      <c r="D30" s="50">
        <f>NPV('Inputs-System'!$C$20,'Cost Calculator'!E30,'Cost Calculator'!F30,'Cost Calculator'!G30,'Cost Calculator'!H30,'Cost Calculator'!I30,'Cost Calculator'!J30,'Cost Calculator'!K30,'Cost Calculator'!L30,'Cost Calculator'!M30,'Cost Calculator'!N30,'Cost Calculator'!O30,'Cost Calculator'!P30,'Cost Calculator'!Q30,'Cost Calculator'!R30,'Cost Calculator'!S30,'Cost Calculator'!T30,'Cost Calculator'!U30,'Cost Calculator'!V30,'Cost Calculator'!W30,'Cost Calculator'!X30)</f>
        <v>0</v>
      </c>
      <c r="E30" s="183">
        <f>'Inputs-Proposals'!$K$11</f>
        <v>0</v>
      </c>
      <c r="F30" s="186">
        <f>IF('Inputs-Proposals'!$K$5-2&gt;=0,'Inputs-Proposals'!$K$11,0)</f>
        <v>0</v>
      </c>
      <c r="G30" s="186">
        <f>IF('Inputs-Proposals'!$K$5-3&gt;=0,'Inputs-Proposals'!$K$11,0)</f>
        <v>0</v>
      </c>
      <c r="H30" s="186">
        <f>IF('Inputs-Proposals'!$K$5-4&gt;=0,'Inputs-Proposals'!$K$11,0)</f>
        <v>0</v>
      </c>
      <c r="I30" s="186">
        <f>IF('Inputs-Proposals'!$K$5-5&gt;=0,'Inputs-Proposals'!$K$11,0)</f>
        <v>0</v>
      </c>
      <c r="J30" s="186">
        <f>IF('Inputs-Proposals'!$K$5-6&gt;=0,'Inputs-Proposals'!$K$11,0)</f>
        <v>0</v>
      </c>
      <c r="K30" s="186">
        <f>IF('Inputs-Proposals'!$K$5-7&gt;=0,'Inputs-Proposals'!$K$11,0)</f>
        <v>0</v>
      </c>
      <c r="L30" s="186">
        <f>IF('Inputs-Proposals'!$K$5-8&gt;=0,'Inputs-Proposals'!$K$11,0)</f>
        <v>0</v>
      </c>
      <c r="M30" s="186">
        <f>IF('Inputs-Proposals'!$K$5-9&gt;=0,'Inputs-Proposals'!$K$11,0)</f>
        <v>0</v>
      </c>
      <c r="N30" s="186">
        <f>IF('Inputs-Proposals'!$K$5-10&gt;=0,'Inputs-Proposals'!$K$11,0)</f>
        <v>0</v>
      </c>
      <c r="O30" s="186">
        <f>IF('Inputs-Proposals'!$K$5-11&gt;=0,'Inputs-Proposals'!$K$11,0)</f>
        <v>0</v>
      </c>
      <c r="P30" s="186">
        <f>IF('Inputs-Proposals'!$K$5-12&gt;=0,'Inputs-Proposals'!$K$11,0)</f>
        <v>0</v>
      </c>
      <c r="Q30" s="186">
        <f>IF('Inputs-Proposals'!$K$5-13&gt;=0,'Inputs-Proposals'!$K$11,0)</f>
        <v>0</v>
      </c>
      <c r="R30" s="186">
        <f>IF('Inputs-Proposals'!$K$5-14&gt;=0,'Inputs-Proposals'!$K$11,0)</f>
        <v>0</v>
      </c>
      <c r="S30" s="186">
        <f>IF('Inputs-Proposals'!$K$5-15&gt;=0,'Inputs-Proposals'!$K$11,0)</f>
        <v>0</v>
      </c>
      <c r="T30" s="186">
        <f>IF('Inputs-Proposals'!$K$5-16&gt;=0,'Inputs-Proposals'!$K$11,0)</f>
        <v>0</v>
      </c>
      <c r="U30" s="186">
        <f>IF('Inputs-Proposals'!$K$5-17&gt;=0,'Inputs-Proposals'!$K$11,0)</f>
        <v>0</v>
      </c>
      <c r="V30" s="186">
        <f>IF('Inputs-Proposals'!$K$5-18&gt;=0,'Inputs-Proposals'!$K$11,0)</f>
        <v>0</v>
      </c>
      <c r="W30" s="186">
        <f>IF('Inputs-Proposals'!$K$5-19&gt;=0,'Inputs-Proposals'!$K$11,0)</f>
        <v>0</v>
      </c>
      <c r="X30" s="245">
        <f>IF('Inputs-Proposals'!$K$5-20&gt;=0,'Inputs-Proposals'!$D$11,0)</f>
        <v>0</v>
      </c>
    </row>
    <row r="31" spans="1:24" ht="15" thickBot="1" x14ac:dyDescent="0.4">
      <c r="A31" s="786"/>
      <c r="B31" s="182" t="s">
        <v>126</v>
      </c>
      <c r="C31" s="208">
        <f t="shared" si="1"/>
        <v>0</v>
      </c>
      <c r="D31" s="51">
        <f>E31</f>
        <v>0</v>
      </c>
      <c r="E31" s="189">
        <f>'Inputs-Proposals'!$K$12</f>
        <v>0</v>
      </c>
      <c r="F31" s="190">
        <v>0</v>
      </c>
      <c r="G31" s="190">
        <v>0</v>
      </c>
      <c r="H31" s="190">
        <v>0</v>
      </c>
      <c r="I31" s="190">
        <v>0</v>
      </c>
      <c r="J31" s="190">
        <v>0</v>
      </c>
      <c r="K31" s="190">
        <v>0</v>
      </c>
      <c r="L31" s="190">
        <v>0</v>
      </c>
      <c r="M31" s="190">
        <v>0</v>
      </c>
      <c r="N31" s="190">
        <v>0</v>
      </c>
      <c r="O31" s="190">
        <v>0</v>
      </c>
      <c r="P31" s="190">
        <v>0</v>
      </c>
      <c r="Q31" s="190">
        <v>0</v>
      </c>
      <c r="R31" s="190">
        <v>0</v>
      </c>
      <c r="S31" s="190">
        <v>0</v>
      </c>
      <c r="T31" s="190">
        <v>0</v>
      </c>
      <c r="U31" s="190">
        <v>0</v>
      </c>
      <c r="V31" s="190">
        <v>0</v>
      </c>
      <c r="W31" s="190">
        <v>0</v>
      </c>
      <c r="X31" s="246">
        <v>0</v>
      </c>
    </row>
    <row r="32" spans="1:24" x14ac:dyDescent="0.35">
      <c r="A32" s="783">
        <f>'Inputs-Proposals'!L2</f>
        <v>0</v>
      </c>
      <c r="B32" s="180" t="s">
        <v>299</v>
      </c>
      <c r="C32" s="206">
        <f t="shared" si="1"/>
        <v>0</v>
      </c>
      <c r="D32" s="49">
        <f>NPV('Inputs-System'!$C$20,'Cost Calculator'!E32,'Cost Calculator'!F32,'Cost Calculator'!G32,'Cost Calculator'!H32,'Cost Calculator'!I32,'Cost Calculator'!J32,'Cost Calculator'!K32,'Cost Calculator'!L32,'Cost Calculator'!M32,'Cost Calculator'!N32,'Cost Calculator'!O32,'Cost Calculator'!P32,'Cost Calculator'!Q32,'Cost Calculator'!R32,'Cost Calculator'!S32,'Cost Calculator'!T32,'Cost Calculator'!U32,'Cost Calculator'!V32,'Cost Calculator'!W32,'Cost Calculator'!X32)</f>
        <v>0</v>
      </c>
      <c r="E32" s="184">
        <f>'Inputs-Proposals'!$L$6</f>
        <v>0</v>
      </c>
      <c r="F32" s="185">
        <f>_xlfn.IFNA(_xlfn.IFS(AND('Inputs-Proposals'!$L$5-2&gt;=0,'Inputs-Proposals'!$L$8="Yes"),E$32*(1+'Inputs-Proposals'!$L$9),'Inputs-Proposals'!$L$5-2&gt;=0,'Inputs-Proposals'!$L$7),0)</f>
        <v>0</v>
      </c>
      <c r="G32" s="185">
        <f>_xlfn.IFNA(_xlfn.IFS(AND('Inputs-Proposals'!$L$5-3&gt;=0,'Inputs-Proposals'!$L$8="Yes"),F$32*(1+'Inputs-Proposals'!$L$9),'Inputs-Proposals'!$L$5-3&gt;=0,'Inputs-Proposals'!$L$7),0)</f>
        <v>0</v>
      </c>
      <c r="H32" s="185">
        <f>_xlfn.IFNA(_xlfn.IFS(AND('Inputs-Proposals'!$L$5-4&gt;=0,'Inputs-Proposals'!$L$8="Yes"),G$32*(1+'Inputs-Proposals'!$L$9),'Inputs-Proposals'!$L$5-4&gt;=0,'Inputs-Proposals'!$L$7),0)</f>
        <v>0</v>
      </c>
      <c r="I32" s="185">
        <f>_xlfn.IFNA(_xlfn.IFS(AND('Inputs-Proposals'!$L$5-5&gt;=0,'Inputs-Proposals'!$L$8="Yes"),H$32*(1+'Inputs-Proposals'!$L$9),'Inputs-Proposals'!$L$5-5&gt;=0,'Inputs-Proposals'!$L$7),0)</f>
        <v>0</v>
      </c>
      <c r="J32" s="185">
        <f>_xlfn.IFNA(_xlfn.IFS(AND('Inputs-Proposals'!$L$5-6&gt;=0,'Inputs-Proposals'!$L$8="Yes"),I$32*(1+'Inputs-Proposals'!$L$9),'Inputs-Proposals'!$L$5-6&gt;=0,'Inputs-Proposals'!$L$7),0)</f>
        <v>0</v>
      </c>
      <c r="K32" s="185">
        <f>_xlfn.IFNA(_xlfn.IFS(AND('Inputs-Proposals'!$L$5-7&gt;=0,'Inputs-Proposals'!$L$8="Yes"),J$32*(1+'Inputs-Proposals'!$L$9),'Inputs-Proposals'!$L$5-7&gt;=0,'Inputs-Proposals'!$L$7),0)</f>
        <v>0</v>
      </c>
      <c r="L32" s="185">
        <f>_xlfn.IFNA(_xlfn.IFS(AND('Inputs-Proposals'!$L$5-8&gt;=0,'Inputs-Proposals'!$L$8="Yes"),K$32*(1+'Inputs-Proposals'!$L$9),'Inputs-Proposals'!$L$5-8&gt;=0,'Inputs-Proposals'!$L$7),0)</f>
        <v>0</v>
      </c>
      <c r="M32" s="185">
        <f>_xlfn.IFNA(_xlfn.IFS(AND('Inputs-Proposals'!$L$5-9&gt;=0,'Inputs-Proposals'!$L$8="Yes"),L$32*(1+'Inputs-Proposals'!$L$9),'Inputs-Proposals'!$L$5-9&gt;=0,'Inputs-Proposals'!$L$7),0)</f>
        <v>0</v>
      </c>
      <c r="N32" s="185">
        <f>_xlfn.IFNA(_xlfn.IFS(AND('Inputs-Proposals'!$L$5-10&gt;=0,'Inputs-Proposals'!$L$8="Yes"),M$32*(1+'Inputs-Proposals'!$L$9),'Inputs-Proposals'!$L$5-10&gt;=0,'Inputs-Proposals'!$L$7),0)</f>
        <v>0</v>
      </c>
      <c r="O32" s="185">
        <f>_xlfn.IFNA(_xlfn.IFS(AND('Inputs-Proposals'!$L$5-11&gt;=0,'Inputs-Proposals'!$L$8="Yes"),N$32*(1+'Inputs-Proposals'!$L$9),'Inputs-Proposals'!$L$5-11&gt;=0,'Inputs-Proposals'!$L$7),0)</f>
        <v>0</v>
      </c>
      <c r="P32" s="185">
        <f>_xlfn.IFNA(_xlfn.IFS(AND('Inputs-Proposals'!$L$5-12&gt;=0,'Inputs-Proposals'!$L$8="Yes"),O$32*(1+'Inputs-Proposals'!$L$9),'Inputs-Proposals'!$L$5-12&gt;=0,'Inputs-Proposals'!$L$7),0)</f>
        <v>0</v>
      </c>
      <c r="Q32" s="185">
        <f>_xlfn.IFNA(_xlfn.IFS(AND('Inputs-Proposals'!$L$5-13&gt;=0,'Inputs-Proposals'!$L$8="Yes"),P$32*(1+'Inputs-Proposals'!$L$9),'Inputs-Proposals'!$L$5-13&gt;=0,'Inputs-Proposals'!$L$7),0)</f>
        <v>0</v>
      </c>
      <c r="R32" s="185">
        <f>_xlfn.IFNA(_xlfn.IFS(AND('Inputs-Proposals'!$L$5-14&gt;=0,'Inputs-Proposals'!$L$8="Yes"),Q$32*(1+'Inputs-Proposals'!$L$9),'Inputs-Proposals'!$L$5-14&gt;=0,'Inputs-Proposals'!$L$7),0)</f>
        <v>0</v>
      </c>
      <c r="S32" s="185">
        <f>_xlfn.IFNA(_xlfn.IFS(AND('Inputs-Proposals'!$L$5-15&gt;=0,'Inputs-Proposals'!$L$8="Yes"),R$32*(1+'Inputs-Proposals'!$L$9),'Inputs-Proposals'!$L$5-15&gt;=0,'Inputs-Proposals'!$L$7),0)</f>
        <v>0</v>
      </c>
      <c r="T32" s="185">
        <f>_xlfn.IFNA(_xlfn.IFS(AND('Inputs-Proposals'!$L$5-16&gt;=0,'Inputs-Proposals'!$L$8="Yes"),S$32*(1+'Inputs-Proposals'!$L$9),'Inputs-Proposals'!$L$5-16&gt;=0,'Inputs-Proposals'!$L$7),0)</f>
        <v>0</v>
      </c>
      <c r="U32" s="185">
        <f>_xlfn.IFNA(_xlfn.IFS(AND('Inputs-Proposals'!$L$5-17&gt;=0,'Inputs-Proposals'!$L$8="Yes"),T$32*(1+'Inputs-Proposals'!$L$9),'Inputs-Proposals'!$L$5-17&gt;=0,'Inputs-Proposals'!$L$7),0)</f>
        <v>0</v>
      </c>
      <c r="V32" s="185">
        <f>_xlfn.IFNA(_xlfn.IFS(AND('Inputs-Proposals'!$L$5-18&gt;=0,'Inputs-Proposals'!$L$8="Yes"),U$32*(1+'Inputs-Proposals'!$L$9),'Inputs-Proposals'!$L$5-18&gt;=0,'Inputs-Proposals'!$L$7),0)</f>
        <v>0</v>
      </c>
      <c r="W32" s="185">
        <f>_xlfn.IFNA(_xlfn.IFS(AND('Inputs-Proposals'!$L$5-19&gt;=0,'Inputs-Proposals'!$L$8="Yes"),V$32*(1+'Inputs-Proposals'!$L$9),'Inputs-Proposals'!$L$5-19&gt;=0,'Inputs-Proposals'!$L$7),0)</f>
        <v>0</v>
      </c>
      <c r="X32" s="247">
        <f>_xlfn.IFNA(_xlfn.IFS(AND('Inputs-Proposals'!$L$5-20&gt;=0,'Inputs-Proposals'!$L$8="Yes"),W$32*(1+'Inputs-Proposals'!$L$9),'Inputs-Proposals'!$L$5-20&gt;=0,'Inputs-Proposals'!$L$7),0)</f>
        <v>0</v>
      </c>
    </row>
    <row r="33" spans="1:24" x14ac:dyDescent="0.35">
      <c r="A33" s="784"/>
      <c r="B33" s="106" t="s">
        <v>300</v>
      </c>
      <c r="C33" s="207">
        <f t="shared" si="1"/>
        <v>0</v>
      </c>
      <c r="D33" s="50">
        <f>NPV('Inputs-System'!$C$20,'Cost Calculator'!E33,'Cost Calculator'!F33,'Cost Calculator'!G33,'Cost Calculator'!H33,'Cost Calculator'!I33,'Cost Calculator'!J33,'Cost Calculator'!K33,'Cost Calculator'!L33,'Cost Calculator'!M33,'Cost Calculator'!N33,'Cost Calculator'!O33,'Cost Calculator'!P33,'Cost Calculator'!Q33,'Cost Calculator'!R33,'Cost Calculator'!S33,'Cost Calculator'!T33,'Cost Calculator'!U33,'Cost Calculator'!V33,'Cost Calculator'!W33,'Cost Calculator'!X33)</f>
        <v>0</v>
      </c>
      <c r="E33" s="183">
        <f>'Inputs-Proposals'!$L$11</f>
        <v>0</v>
      </c>
      <c r="F33" s="186">
        <f>IF('Inputs-Proposals'!$L$5-2&gt;=0,'Inputs-Proposals'!$L$11,0)</f>
        <v>0</v>
      </c>
      <c r="G33" s="186">
        <f>IF('Inputs-Proposals'!$L$5-3&gt;=0,'Inputs-Proposals'!$L$11,0)</f>
        <v>0</v>
      </c>
      <c r="H33" s="186">
        <f>IF('Inputs-Proposals'!$L$5-4&gt;=0,'Inputs-Proposals'!$L$11,0)</f>
        <v>0</v>
      </c>
      <c r="I33" s="186">
        <f>IF('Inputs-Proposals'!$L$5-5&gt;=0,'Inputs-Proposals'!$L$11,0)</f>
        <v>0</v>
      </c>
      <c r="J33" s="186">
        <f>IF('Inputs-Proposals'!$L$5-6&gt;=0,'Inputs-Proposals'!$L$11,0)</f>
        <v>0</v>
      </c>
      <c r="K33" s="186">
        <f>IF('Inputs-Proposals'!$L$5-7&gt;=0,'Inputs-Proposals'!$L$11,0)</f>
        <v>0</v>
      </c>
      <c r="L33" s="186">
        <f>IF('Inputs-Proposals'!$L$5-8&gt;=0,'Inputs-Proposals'!$L$11,0)</f>
        <v>0</v>
      </c>
      <c r="M33" s="186">
        <f>IF('Inputs-Proposals'!$L$5-9&gt;=0,'Inputs-Proposals'!$L$11,0)</f>
        <v>0</v>
      </c>
      <c r="N33" s="186">
        <f>IF('Inputs-Proposals'!$L$5-10&gt;=0,'Inputs-Proposals'!$L$11,0)</f>
        <v>0</v>
      </c>
      <c r="O33" s="186">
        <f>IF('Inputs-Proposals'!$L$5-11&gt;=0,'Inputs-Proposals'!$L$11,0)</f>
        <v>0</v>
      </c>
      <c r="P33" s="186">
        <f>IF('Inputs-Proposals'!$L$5-12&gt;=0,'Inputs-Proposals'!$L$11,0)</f>
        <v>0</v>
      </c>
      <c r="Q33" s="186">
        <f>IF('Inputs-Proposals'!$L$5-13&gt;=0,'Inputs-Proposals'!$L$11,0)</f>
        <v>0</v>
      </c>
      <c r="R33" s="186">
        <f>IF('Inputs-Proposals'!$L$5-14&gt;=0,'Inputs-Proposals'!$L$11,0)</f>
        <v>0</v>
      </c>
      <c r="S33" s="186">
        <f>IF('Inputs-Proposals'!$L$5-15&gt;=0,'Inputs-Proposals'!$L$11,0)</f>
        <v>0</v>
      </c>
      <c r="T33" s="186">
        <f>IF('Inputs-Proposals'!$L$5-16&gt;=0,'Inputs-Proposals'!$L$11,0)</f>
        <v>0</v>
      </c>
      <c r="U33" s="186">
        <f>IF('Inputs-Proposals'!$L$5-17&gt;=0,'Inputs-Proposals'!$L$11,0)</f>
        <v>0</v>
      </c>
      <c r="V33" s="186">
        <f>IF('Inputs-Proposals'!$L$5-18&gt;=0,'Inputs-Proposals'!$L$11,0)</f>
        <v>0</v>
      </c>
      <c r="W33" s="186">
        <f>IF('Inputs-Proposals'!$L$5-19&gt;=0,'Inputs-Proposals'!$L$11,0)</f>
        <v>0</v>
      </c>
      <c r="X33" s="245">
        <f>IF('Inputs-Proposals'!$L$5-20&gt;=0,'Inputs-Proposals'!$D$11,0)</f>
        <v>0</v>
      </c>
    </row>
    <row r="34" spans="1:24" ht="15" thickBot="1" x14ac:dyDescent="0.4">
      <c r="A34" s="786"/>
      <c r="B34" s="182" t="s">
        <v>126</v>
      </c>
      <c r="C34" s="208">
        <f t="shared" si="1"/>
        <v>0</v>
      </c>
      <c r="D34" s="51">
        <f>E34</f>
        <v>0</v>
      </c>
      <c r="E34" s="189">
        <f>'Inputs-Proposals'!$L$12</f>
        <v>0</v>
      </c>
      <c r="F34" s="190">
        <v>0</v>
      </c>
      <c r="G34" s="190">
        <v>0</v>
      </c>
      <c r="H34" s="190">
        <v>0</v>
      </c>
      <c r="I34" s="190">
        <v>0</v>
      </c>
      <c r="J34" s="190">
        <v>0</v>
      </c>
      <c r="K34" s="190">
        <v>0</v>
      </c>
      <c r="L34" s="190">
        <v>0</v>
      </c>
      <c r="M34" s="190">
        <v>0</v>
      </c>
      <c r="N34" s="190">
        <v>0</v>
      </c>
      <c r="O34" s="190">
        <v>0</v>
      </c>
      <c r="P34" s="190">
        <v>0</v>
      </c>
      <c r="Q34" s="190">
        <v>0</v>
      </c>
      <c r="R34" s="190">
        <v>0</v>
      </c>
      <c r="S34" s="190">
        <v>0</v>
      </c>
      <c r="T34" s="190">
        <v>0</v>
      </c>
      <c r="U34" s="190">
        <v>0</v>
      </c>
      <c r="V34" s="190">
        <v>0</v>
      </c>
      <c r="W34" s="190">
        <v>0</v>
      </c>
      <c r="X34" s="246">
        <v>0</v>
      </c>
    </row>
    <row r="35" spans="1:24" x14ac:dyDescent="0.35">
      <c r="A35" s="783">
        <f>'Inputs-Proposals'!M2</f>
        <v>0</v>
      </c>
      <c r="B35" s="180" t="s">
        <v>299</v>
      </c>
      <c r="C35" s="206">
        <f t="shared" si="1"/>
        <v>0</v>
      </c>
      <c r="D35" s="49">
        <f>NPV('Inputs-System'!$C$20,'Cost Calculator'!E35,'Cost Calculator'!F35,'Cost Calculator'!G35,'Cost Calculator'!H35,'Cost Calculator'!I35,'Cost Calculator'!J35,'Cost Calculator'!K35,'Cost Calculator'!L35,'Cost Calculator'!M35,'Cost Calculator'!N35,'Cost Calculator'!O35,'Cost Calculator'!P35,'Cost Calculator'!Q35,'Cost Calculator'!R35,'Cost Calculator'!S35,'Cost Calculator'!T35,'Cost Calculator'!U35,'Cost Calculator'!V35,'Cost Calculator'!W35,'Cost Calculator'!X35)</f>
        <v>0</v>
      </c>
      <c r="E35" s="184">
        <f>'Inputs-Proposals'!$M$6</f>
        <v>0</v>
      </c>
      <c r="F35" s="185">
        <f>_xlfn.IFNA(_xlfn.IFS(AND('Inputs-Proposals'!$M$5-2&gt;=0,'Inputs-Proposals'!$M$8="Yes"),E$35*(1+'Inputs-Proposals'!$M$9),'Inputs-Proposals'!$M$5-2&gt;=0,'Inputs-Proposals'!$M$7),0)</f>
        <v>0</v>
      </c>
      <c r="G35" s="185">
        <f>_xlfn.IFNA(_xlfn.IFS(AND('Inputs-Proposals'!$M$5-3&gt;=0,'Inputs-Proposals'!$M$8="Yes"),F$35*(1+'Inputs-Proposals'!$M$9),'Inputs-Proposals'!$M$5-3&gt;=0,'Inputs-Proposals'!$M$7),0)</f>
        <v>0</v>
      </c>
      <c r="H35" s="185">
        <f>_xlfn.IFNA(_xlfn.IFS(AND('Inputs-Proposals'!$M$5-4&gt;=0,'Inputs-Proposals'!$M$8="Yes"),G$35*(1+'Inputs-Proposals'!$M$9),'Inputs-Proposals'!$M$5-4&gt;=0,'Inputs-Proposals'!$M$7),0)</f>
        <v>0</v>
      </c>
      <c r="I35" s="185">
        <f>_xlfn.IFNA(_xlfn.IFS(AND('Inputs-Proposals'!$M$5-5&gt;=0,'Inputs-Proposals'!$M$8="Yes"),H$35*(1+'Inputs-Proposals'!$M$9),'Inputs-Proposals'!$M$5-5&gt;=0,'Inputs-Proposals'!$M$7),0)</f>
        <v>0</v>
      </c>
      <c r="J35" s="185">
        <f>_xlfn.IFNA(_xlfn.IFS(AND('Inputs-Proposals'!$M$5-6&gt;=0,'Inputs-Proposals'!$M$8="Yes"),I$35*(1+'Inputs-Proposals'!$M$9),'Inputs-Proposals'!$M$5-6&gt;=0,'Inputs-Proposals'!$M$7),0)</f>
        <v>0</v>
      </c>
      <c r="K35" s="185">
        <f>_xlfn.IFNA(_xlfn.IFS(AND('Inputs-Proposals'!$M$5-7&gt;=0,'Inputs-Proposals'!$M$8="Yes"),J$35*(1+'Inputs-Proposals'!$M$9),'Inputs-Proposals'!$M$5-7&gt;=0,'Inputs-Proposals'!$M$7),0)</f>
        <v>0</v>
      </c>
      <c r="L35" s="185">
        <f>_xlfn.IFNA(_xlfn.IFS(AND('Inputs-Proposals'!$M$5-8&gt;=0,'Inputs-Proposals'!$M$8="Yes"),K$35*(1+'Inputs-Proposals'!$M$9),'Inputs-Proposals'!$M$5-8&gt;=0,'Inputs-Proposals'!$M$7),0)</f>
        <v>0</v>
      </c>
      <c r="M35" s="185">
        <f>_xlfn.IFNA(_xlfn.IFS(AND('Inputs-Proposals'!$M$5-9&gt;=0,'Inputs-Proposals'!$M$8="Yes"),L$35*(1+'Inputs-Proposals'!$M$9),'Inputs-Proposals'!$M$5-9&gt;=0,'Inputs-Proposals'!$M$7),0)</f>
        <v>0</v>
      </c>
      <c r="N35" s="185">
        <f>_xlfn.IFNA(_xlfn.IFS(AND('Inputs-Proposals'!$M$5-10&gt;=0,'Inputs-Proposals'!$M$8="Yes"),M$35*(1+'Inputs-Proposals'!$M$9),'Inputs-Proposals'!$M$5-10&gt;=0,'Inputs-Proposals'!$M$7),0)</f>
        <v>0</v>
      </c>
      <c r="O35" s="185">
        <f>_xlfn.IFNA(_xlfn.IFS(AND('Inputs-Proposals'!$M$5-11&gt;=0,'Inputs-Proposals'!$M$8="Yes"),N$35*(1+'Inputs-Proposals'!$M$9),'Inputs-Proposals'!$M$5-11&gt;=0,'Inputs-Proposals'!$M$7),0)</f>
        <v>0</v>
      </c>
      <c r="P35" s="185">
        <f>_xlfn.IFNA(_xlfn.IFS(AND('Inputs-Proposals'!$M$5-12&gt;=0,'Inputs-Proposals'!$M$8="Yes"),O$35*(1+'Inputs-Proposals'!$M$9),'Inputs-Proposals'!$M$5-12&gt;=0,'Inputs-Proposals'!$M$7),0)</f>
        <v>0</v>
      </c>
      <c r="Q35" s="185">
        <f>_xlfn.IFNA(_xlfn.IFS(AND('Inputs-Proposals'!$M$5-13&gt;=0,'Inputs-Proposals'!$M$8="Yes"),P$35*(1+'Inputs-Proposals'!$M$9),'Inputs-Proposals'!$M$5-13&gt;=0,'Inputs-Proposals'!$M$7),0)</f>
        <v>0</v>
      </c>
      <c r="R35" s="185">
        <f>_xlfn.IFNA(_xlfn.IFS(AND('Inputs-Proposals'!$M$5-14&gt;=0,'Inputs-Proposals'!$M$8="Yes"),Q$35*(1+'Inputs-Proposals'!$M$9),'Inputs-Proposals'!$M$5-14&gt;=0,'Inputs-Proposals'!$M$7),0)</f>
        <v>0</v>
      </c>
      <c r="S35" s="185">
        <f>_xlfn.IFNA(_xlfn.IFS(AND('Inputs-Proposals'!$M$5-15&gt;=0,'Inputs-Proposals'!$M$8="Yes"),R$35*(1+'Inputs-Proposals'!$M$9),'Inputs-Proposals'!$M$5-15&gt;=0,'Inputs-Proposals'!$M$7),0)</f>
        <v>0</v>
      </c>
      <c r="T35" s="185">
        <f>_xlfn.IFNA(_xlfn.IFS(AND('Inputs-Proposals'!$M$5-16&gt;=0,'Inputs-Proposals'!$M$8="Yes"),S$35*(1+'Inputs-Proposals'!$M$9),'Inputs-Proposals'!$M$5-16&gt;=0,'Inputs-Proposals'!$M$7),0)</f>
        <v>0</v>
      </c>
      <c r="U35" s="185">
        <f>_xlfn.IFNA(_xlfn.IFS(AND('Inputs-Proposals'!$M$5-17&gt;=0,'Inputs-Proposals'!$M$8="Yes"),T$35*(1+'Inputs-Proposals'!$M$9),'Inputs-Proposals'!$M$5-17&gt;=0,'Inputs-Proposals'!$M$7),0)</f>
        <v>0</v>
      </c>
      <c r="V35" s="185">
        <f>_xlfn.IFNA(_xlfn.IFS(AND('Inputs-Proposals'!$M$5-18&gt;=0,'Inputs-Proposals'!$M$8="Yes"),U$35*(1+'Inputs-Proposals'!$M$9),'Inputs-Proposals'!$M$5-18&gt;=0,'Inputs-Proposals'!$M$7),0)</f>
        <v>0</v>
      </c>
      <c r="W35" s="185">
        <f>_xlfn.IFNA(_xlfn.IFS(AND('Inputs-Proposals'!$M$5-19&gt;=0,'Inputs-Proposals'!$M$8="Yes"),V$35*(1+'Inputs-Proposals'!$M$9),'Inputs-Proposals'!$M$5-19&gt;=0,'Inputs-Proposals'!$M$7),0)</f>
        <v>0</v>
      </c>
      <c r="X35" s="247">
        <f>_xlfn.IFNA(_xlfn.IFS(AND('Inputs-Proposals'!$M$5-20&gt;=0,'Inputs-Proposals'!$M$8="Yes"),W$35*(1+'Inputs-Proposals'!$M$9),'Inputs-Proposals'!$M$5-20&gt;=0,'Inputs-Proposals'!$M$7),0)</f>
        <v>0</v>
      </c>
    </row>
    <row r="36" spans="1:24" x14ac:dyDescent="0.35">
      <c r="A36" s="784"/>
      <c r="B36" s="106" t="s">
        <v>300</v>
      </c>
      <c r="C36" s="207">
        <f t="shared" si="1"/>
        <v>0</v>
      </c>
      <c r="D36" s="50">
        <f>NPV('Inputs-System'!$C$20,'Cost Calculator'!E36,'Cost Calculator'!F36,'Cost Calculator'!G36,'Cost Calculator'!H36,'Cost Calculator'!I36,'Cost Calculator'!J36,'Cost Calculator'!K36,'Cost Calculator'!L36,'Cost Calculator'!M36,'Cost Calculator'!N36,'Cost Calculator'!O36,'Cost Calculator'!P36,'Cost Calculator'!Q36,'Cost Calculator'!R36,'Cost Calculator'!S36,'Cost Calculator'!T36,'Cost Calculator'!U36,'Cost Calculator'!V36,'Cost Calculator'!W36,'Cost Calculator'!X36)</f>
        <v>0</v>
      </c>
      <c r="E36" s="183">
        <f>'Inputs-Proposals'!$M$11</f>
        <v>0</v>
      </c>
      <c r="F36" s="186">
        <f>IF('Inputs-Proposals'!$M$5-2&gt;=0,'Inputs-Proposals'!$M$11,0)</f>
        <v>0</v>
      </c>
      <c r="G36" s="186">
        <f>IF('Inputs-Proposals'!$M$5-3&gt;=0,'Inputs-Proposals'!$M$11,0)</f>
        <v>0</v>
      </c>
      <c r="H36" s="186">
        <f>IF('Inputs-Proposals'!$M$5-4&gt;=0,'Inputs-Proposals'!$M$11,0)</f>
        <v>0</v>
      </c>
      <c r="I36" s="186">
        <f>IF('Inputs-Proposals'!$M$5-5&gt;=0,'Inputs-Proposals'!$M$11,0)</f>
        <v>0</v>
      </c>
      <c r="J36" s="186">
        <f>IF('Inputs-Proposals'!$M$5-6&gt;=0,'Inputs-Proposals'!$M$11,0)</f>
        <v>0</v>
      </c>
      <c r="K36" s="186">
        <f>IF('Inputs-Proposals'!$M$5-7&gt;=0,'Inputs-Proposals'!$M$11,0)</f>
        <v>0</v>
      </c>
      <c r="L36" s="186">
        <f>IF('Inputs-Proposals'!$M$5-8&gt;=0,'Inputs-Proposals'!$M$11,0)</f>
        <v>0</v>
      </c>
      <c r="M36" s="186">
        <f>IF('Inputs-Proposals'!$M$5-9&gt;=0,'Inputs-Proposals'!$M$11,0)</f>
        <v>0</v>
      </c>
      <c r="N36" s="186">
        <f>IF('Inputs-Proposals'!$M$5-10&gt;=0,'Inputs-Proposals'!$M$11,0)</f>
        <v>0</v>
      </c>
      <c r="O36" s="186">
        <f>IF('Inputs-Proposals'!$M$5-11&gt;=0,'Inputs-Proposals'!$M$11,0)</f>
        <v>0</v>
      </c>
      <c r="P36" s="186">
        <f>IF('Inputs-Proposals'!$M$5-12&gt;=0,'Inputs-Proposals'!$M$11,0)</f>
        <v>0</v>
      </c>
      <c r="Q36" s="186">
        <f>IF('Inputs-Proposals'!$M$5-13&gt;=0,'Inputs-Proposals'!$M$11,0)</f>
        <v>0</v>
      </c>
      <c r="R36" s="186">
        <f>IF('Inputs-Proposals'!$M$5-14&gt;=0,'Inputs-Proposals'!$M$11,0)</f>
        <v>0</v>
      </c>
      <c r="S36" s="186">
        <f>IF('Inputs-Proposals'!$M$5-15&gt;=0,'Inputs-Proposals'!$M$11,0)</f>
        <v>0</v>
      </c>
      <c r="T36" s="186">
        <f>IF('Inputs-Proposals'!$M$5-16&gt;=0,'Inputs-Proposals'!$M$11,0)</f>
        <v>0</v>
      </c>
      <c r="U36" s="186">
        <f>IF('Inputs-Proposals'!$M$5-17&gt;=0,'Inputs-Proposals'!$M$11,0)</f>
        <v>0</v>
      </c>
      <c r="V36" s="186">
        <f>IF('Inputs-Proposals'!$M$5-18&gt;=0,'Inputs-Proposals'!$M$11,0)</f>
        <v>0</v>
      </c>
      <c r="W36" s="186">
        <f>IF('Inputs-Proposals'!$M$5-19&gt;=0,'Inputs-Proposals'!$M$11,0)</f>
        <v>0</v>
      </c>
      <c r="X36" s="245">
        <f>IF('Inputs-Proposals'!$M$5-20&gt;=0,'Inputs-Proposals'!$D$11,0)</f>
        <v>0</v>
      </c>
    </row>
    <row r="37" spans="1:24" ht="15" thickBot="1" x14ac:dyDescent="0.4">
      <c r="A37" s="786"/>
      <c r="B37" s="182" t="s">
        <v>126</v>
      </c>
      <c r="C37" s="208">
        <f t="shared" si="1"/>
        <v>0</v>
      </c>
      <c r="D37" s="51">
        <f>E37</f>
        <v>0</v>
      </c>
      <c r="E37" s="189">
        <f>'Inputs-Proposals'!$M$12</f>
        <v>0</v>
      </c>
      <c r="F37" s="190">
        <v>0</v>
      </c>
      <c r="G37" s="190">
        <v>0</v>
      </c>
      <c r="H37" s="190">
        <v>0</v>
      </c>
      <c r="I37" s="190">
        <v>0</v>
      </c>
      <c r="J37" s="190">
        <v>0</v>
      </c>
      <c r="K37" s="190">
        <v>0</v>
      </c>
      <c r="L37" s="190">
        <v>0</v>
      </c>
      <c r="M37" s="190">
        <v>0</v>
      </c>
      <c r="N37" s="190">
        <v>0</v>
      </c>
      <c r="O37" s="190">
        <v>0</v>
      </c>
      <c r="P37" s="190">
        <v>0</v>
      </c>
      <c r="Q37" s="190">
        <v>0</v>
      </c>
      <c r="R37" s="190">
        <v>0</v>
      </c>
      <c r="S37" s="190">
        <v>0</v>
      </c>
      <c r="T37" s="190">
        <v>0</v>
      </c>
      <c r="U37" s="190">
        <v>0</v>
      </c>
      <c r="V37" s="190">
        <v>0</v>
      </c>
      <c r="W37" s="190">
        <v>0</v>
      </c>
      <c r="X37" s="246">
        <v>0</v>
      </c>
    </row>
  </sheetData>
  <mergeCells count="12">
    <mergeCell ref="A26:A28"/>
    <mergeCell ref="A29:A31"/>
    <mergeCell ref="A32:A34"/>
    <mergeCell ref="A35:A37"/>
    <mergeCell ref="A17:A19"/>
    <mergeCell ref="A20:A22"/>
    <mergeCell ref="A23:A25"/>
    <mergeCell ref="A5:A7"/>
    <mergeCell ref="E3:X3"/>
    <mergeCell ref="A8:A10"/>
    <mergeCell ref="A11:A13"/>
    <mergeCell ref="A14:A1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L42"/>
  <sheetViews>
    <sheetView workbookViewId="0">
      <selection activeCell="K10" sqref="K10"/>
    </sheetView>
  </sheetViews>
  <sheetFormatPr defaultColWidth="9.1796875" defaultRowHeight="14.5" x14ac:dyDescent="0.35"/>
  <cols>
    <col min="1" max="1" width="16.7265625" style="3" bestFit="1" customWidth="1"/>
    <col min="2" max="2" width="10.1796875" style="3" bestFit="1" customWidth="1"/>
    <col min="3" max="3" width="10.1796875" style="3" customWidth="1"/>
    <col min="4" max="5" width="9.1796875" style="3"/>
    <col min="6" max="6" width="17.7265625" style="3" bestFit="1" customWidth="1"/>
    <col min="7" max="7" width="9.1796875" style="3"/>
    <col min="8" max="8" width="17.7265625" style="3" bestFit="1" customWidth="1"/>
    <col min="9" max="9" width="17.81640625" style="3" bestFit="1" customWidth="1"/>
    <col min="10" max="10" width="9.1796875" style="3"/>
    <col min="11" max="11" width="25.81640625" style="3" bestFit="1" customWidth="1"/>
    <col min="12" max="12" width="5.54296875" style="3" bestFit="1" customWidth="1"/>
    <col min="13" max="16384" width="9.1796875" style="3"/>
  </cols>
  <sheetData>
    <row r="1" spans="1:12" ht="28.5" customHeight="1" x14ac:dyDescent="0.35">
      <c r="A1" s="653" t="s">
        <v>301</v>
      </c>
      <c r="B1" s="653"/>
      <c r="C1" s="653"/>
      <c r="D1" s="653"/>
      <c r="E1" s="653"/>
      <c r="F1" s="653"/>
      <c r="G1" s="653"/>
      <c r="H1" s="653"/>
      <c r="I1" s="653"/>
      <c r="J1" s="653"/>
      <c r="K1" s="653"/>
      <c r="L1" s="653"/>
    </row>
    <row r="3" spans="1:12" x14ac:dyDescent="0.35">
      <c r="A3" s="354" t="s">
        <v>302</v>
      </c>
      <c r="B3" s="354" t="s">
        <v>303</v>
      </c>
      <c r="C3" s="354"/>
      <c r="D3" s="354"/>
      <c r="F3" s="94" t="s">
        <v>107</v>
      </c>
      <c r="H3" s="94" t="s">
        <v>100</v>
      </c>
      <c r="I3" s="94" t="s">
        <v>304</v>
      </c>
      <c r="K3" s="94" t="s">
        <v>305</v>
      </c>
      <c r="L3" s="94" t="s">
        <v>306</v>
      </c>
    </row>
    <row r="4" spans="1:12" x14ac:dyDescent="0.35">
      <c r="A4" s="2" t="s">
        <v>307</v>
      </c>
      <c r="B4" s="3" t="s">
        <v>308</v>
      </c>
      <c r="F4" s="3" t="s">
        <v>90</v>
      </c>
      <c r="H4" s="3" t="s">
        <v>101</v>
      </c>
      <c r="I4" s="3">
        <v>1</v>
      </c>
      <c r="K4" s="3" t="s">
        <v>309</v>
      </c>
      <c r="L4" s="95">
        <f>'Inputs-System'!C22-'Inputs-System'!C21</f>
        <v>0.33333333333333337</v>
      </c>
    </row>
    <row r="5" spans="1:12" x14ac:dyDescent="0.35">
      <c r="A5" s="2" t="s">
        <v>310</v>
      </c>
      <c r="B5" s="3" t="s">
        <v>308</v>
      </c>
      <c r="F5" s="3" t="s">
        <v>158</v>
      </c>
      <c r="H5" s="3" t="s">
        <v>311</v>
      </c>
      <c r="I5" s="3">
        <v>2</v>
      </c>
      <c r="K5" s="3" t="s">
        <v>312</v>
      </c>
      <c r="L5" s="95">
        <f>'Inputs-System'!C24-'Inputs-System'!C23</f>
        <v>0.16666666666666674</v>
      </c>
    </row>
    <row r="6" spans="1:12" x14ac:dyDescent="0.35">
      <c r="A6" s="2" t="s">
        <v>313</v>
      </c>
      <c r="B6" s="3" t="s">
        <v>308</v>
      </c>
      <c r="F6" s="3" t="s">
        <v>159</v>
      </c>
      <c r="H6" s="3" t="s">
        <v>314</v>
      </c>
      <c r="I6" s="3">
        <v>4</v>
      </c>
      <c r="K6" s="3" t="s">
        <v>315</v>
      </c>
      <c r="L6" s="3" t="str">
        <f>IF('Inputs-System'!C21&lt;'Inputs-System'!C23, "Yes", "No")</f>
        <v>Yes</v>
      </c>
    </row>
    <row r="7" spans="1:12" x14ac:dyDescent="0.35">
      <c r="A7" s="2" t="s">
        <v>316</v>
      </c>
      <c r="B7" s="3" t="s">
        <v>308</v>
      </c>
      <c r="F7" s="3" t="s">
        <v>160</v>
      </c>
      <c r="H7" s="3" t="s">
        <v>317</v>
      </c>
      <c r="I7" s="3">
        <v>12</v>
      </c>
      <c r="K7" s="3" t="s">
        <v>318</v>
      </c>
      <c r="L7" s="3" t="str">
        <f>IF('Inputs-System'!C22&gt;'Inputs-System'!C24, "Yes", "No")</f>
        <v>Yes</v>
      </c>
    </row>
    <row r="8" spans="1:12" x14ac:dyDescent="0.35">
      <c r="A8" s="2" t="s">
        <v>319</v>
      </c>
      <c r="B8" s="3" t="s">
        <v>320</v>
      </c>
      <c r="F8" s="3" t="s">
        <v>321</v>
      </c>
      <c r="H8" s="3" t="s">
        <v>322</v>
      </c>
    </row>
    <row r="9" spans="1:12" x14ac:dyDescent="0.35">
      <c r="A9" s="2" t="s">
        <v>323</v>
      </c>
      <c r="B9" s="3" t="s">
        <v>320</v>
      </c>
      <c r="F9" s="3" t="s">
        <v>324</v>
      </c>
    </row>
    <row r="10" spans="1:12" x14ac:dyDescent="0.35">
      <c r="A10" s="2" t="s">
        <v>325</v>
      </c>
      <c r="B10" s="3" t="s">
        <v>308</v>
      </c>
      <c r="F10" s="3" t="s">
        <v>108</v>
      </c>
    </row>
    <row r="11" spans="1:12" x14ac:dyDescent="0.35">
      <c r="A11" s="2" t="s">
        <v>326</v>
      </c>
      <c r="B11" s="3" t="s">
        <v>308</v>
      </c>
    </row>
    <row r="12" spans="1:12" x14ac:dyDescent="0.35">
      <c r="A12" s="2" t="s">
        <v>327</v>
      </c>
      <c r="B12" s="3" t="s">
        <v>320</v>
      </c>
    </row>
    <row r="13" spans="1:12" x14ac:dyDescent="0.35">
      <c r="A13" s="2" t="s">
        <v>328</v>
      </c>
      <c r="B13" s="3" t="s">
        <v>308</v>
      </c>
    </row>
    <row r="14" spans="1:12" x14ac:dyDescent="0.35">
      <c r="A14" s="2" t="s">
        <v>329</v>
      </c>
      <c r="B14" s="3" t="s">
        <v>320</v>
      </c>
    </row>
    <row r="15" spans="1:12" x14ac:dyDescent="0.35">
      <c r="A15" s="2" t="s">
        <v>330</v>
      </c>
      <c r="B15" s="3" t="s">
        <v>308</v>
      </c>
    </row>
    <row r="16" spans="1:12" x14ac:dyDescent="0.35">
      <c r="A16" s="2" t="s">
        <v>331</v>
      </c>
      <c r="B16" s="3" t="s">
        <v>308</v>
      </c>
    </row>
    <row r="17" spans="1:2" x14ac:dyDescent="0.35">
      <c r="A17" s="2" t="s">
        <v>332</v>
      </c>
      <c r="B17" s="3" t="s">
        <v>320</v>
      </c>
    </row>
    <row r="18" spans="1:2" x14ac:dyDescent="0.35">
      <c r="A18" s="2" t="s">
        <v>333</v>
      </c>
      <c r="B18" s="3" t="s">
        <v>320</v>
      </c>
    </row>
    <row r="19" spans="1:2" x14ac:dyDescent="0.35">
      <c r="A19" s="2" t="s">
        <v>334</v>
      </c>
      <c r="B19" s="3" t="s">
        <v>308</v>
      </c>
    </row>
    <row r="20" spans="1:2" x14ac:dyDescent="0.35">
      <c r="A20" s="2" t="s">
        <v>335</v>
      </c>
      <c r="B20" s="3" t="s">
        <v>308</v>
      </c>
    </row>
    <row r="21" spans="1:2" x14ac:dyDescent="0.35">
      <c r="A21" s="2" t="s">
        <v>336</v>
      </c>
      <c r="B21" s="3" t="s">
        <v>320</v>
      </c>
    </row>
    <row r="22" spans="1:2" x14ac:dyDescent="0.35">
      <c r="A22" s="2" t="s">
        <v>337</v>
      </c>
      <c r="B22" s="3" t="s">
        <v>320</v>
      </c>
    </row>
    <row r="23" spans="1:2" x14ac:dyDescent="0.35">
      <c r="A23" s="2" t="s">
        <v>338</v>
      </c>
      <c r="B23" s="3" t="s">
        <v>320</v>
      </c>
    </row>
    <row r="24" spans="1:2" x14ac:dyDescent="0.35">
      <c r="A24" s="2" t="s">
        <v>339</v>
      </c>
      <c r="B24" s="3" t="s">
        <v>320</v>
      </c>
    </row>
    <row r="25" spans="1:2" x14ac:dyDescent="0.35">
      <c r="A25" s="2" t="s">
        <v>340</v>
      </c>
      <c r="B25" s="3" t="s">
        <v>320</v>
      </c>
    </row>
    <row r="26" spans="1:2" x14ac:dyDescent="0.35">
      <c r="A26" s="2" t="s">
        <v>341</v>
      </c>
      <c r="B26" s="3" t="s">
        <v>320</v>
      </c>
    </row>
    <row r="27" spans="1:2" x14ac:dyDescent="0.35">
      <c r="A27" s="2" t="s">
        <v>342</v>
      </c>
      <c r="B27" s="3" t="s">
        <v>308</v>
      </c>
    </row>
    <row r="28" spans="1:2" x14ac:dyDescent="0.35">
      <c r="A28" s="2" t="s">
        <v>343</v>
      </c>
      <c r="B28" s="3" t="s">
        <v>308</v>
      </c>
    </row>
    <row r="29" spans="1:2" x14ac:dyDescent="0.35">
      <c r="A29" s="2" t="s">
        <v>344</v>
      </c>
      <c r="B29" s="3" t="s">
        <v>308</v>
      </c>
    </row>
    <row r="30" spans="1:2" x14ac:dyDescent="0.35">
      <c r="A30" s="2" t="s">
        <v>345</v>
      </c>
      <c r="B30" s="3" t="s">
        <v>320</v>
      </c>
    </row>
    <row r="31" spans="1:2" x14ac:dyDescent="0.35">
      <c r="A31" s="2" t="s">
        <v>346</v>
      </c>
      <c r="B31" s="3" t="s">
        <v>308</v>
      </c>
    </row>
    <row r="32" spans="1:2" x14ac:dyDescent="0.35">
      <c r="A32" s="2" t="s">
        <v>347</v>
      </c>
      <c r="B32" s="3" t="s">
        <v>320</v>
      </c>
    </row>
    <row r="33" spans="1:2" x14ac:dyDescent="0.35">
      <c r="A33" s="2" t="s">
        <v>348</v>
      </c>
      <c r="B33" s="3" t="s">
        <v>308</v>
      </c>
    </row>
    <row r="34" spans="1:2" x14ac:dyDescent="0.35">
      <c r="A34" s="2" t="s">
        <v>349</v>
      </c>
      <c r="B34" s="3" t="s">
        <v>308</v>
      </c>
    </row>
    <row r="35" spans="1:2" x14ac:dyDescent="0.35">
      <c r="A35" s="2" t="s">
        <v>350</v>
      </c>
      <c r="B35" s="3" t="s">
        <v>320</v>
      </c>
    </row>
    <row r="36" spans="1:2" x14ac:dyDescent="0.35">
      <c r="A36" s="2" t="s">
        <v>351</v>
      </c>
      <c r="B36" s="3" t="s">
        <v>320</v>
      </c>
    </row>
    <row r="37" spans="1:2" x14ac:dyDescent="0.35">
      <c r="A37" s="2" t="s">
        <v>352</v>
      </c>
      <c r="B37" s="3" t="s">
        <v>308</v>
      </c>
    </row>
    <row r="38" spans="1:2" x14ac:dyDescent="0.35">
      <c r="A38" s="2" t="s">
        <v>353</v>
      </c>
      <c r="B38" s="3" t="s">
        <v>320</v>
      </c>
    </row>
    <row r="39" spans="1:2" x14ac:dyDescent="0.35">
      <c r="A39" s="2" t="s">
        <v>354</v>
      </c>
      <c r="B39" s="3" t="s">
        <v>320</v>
      </c>
    </row>
    <row r="40" spans="1:2" x14ac:dyDescent="0.35">
      <c r="A40" s="2" t="s">
        <v>355</v>
      </c>
      <c r="B40" s="3" t="s">
        <v>320</v>
      </c>
    </row>
    <row r="41" spans="1:2" x14ac:dyDescent="0.35">
      <c r="A41" s="2" t="s">
        <v>356</v>
      </c>
      <c r="B41" s="3" t="s">
        <v>320</v>
      </c>
    </row>
    <row r="42" spans="1:2" x14ac:dyDescent="0.35">
      <c r="A42" s="2" t="s">
        <v>357</v>
      </c>
      <c r="B42" s="3" t="s">
        <v>308</v>
      </c>
    </row>
  </sheetData>
  <mergeCells count="1">
    <mergeCell ref="A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D67"/>
  <sheetViews>
    <sheetView workbookViewId="0">
      <selection activeCell="C21" sqref="C21"/>
    </sheetView>
  </sheetViews>
  <sheetFormatPr defaultColWidth="9.1796875" defaultRowHeight="14.5" x14ac:dyDescent="0.35"/>
  <cols>
    <col min="1" max="1" width="15" style="42" customWidth="1"/>
    <col min="2" max="2" width="40.7265625" style="3" bestFit="1" customWidth="1"/>
    <col min="3" max="3" width="17.7265625" style="3" customWidth="1"/>
    <col min="4" max="4" width="80.1796875" style="3" bestFit="1" customWidth="1"/>
    <col min="5" max="16384" width="9.1796875" style="3"/>
  </cols>
  <sheetData>
    <row r="1" spans="1:4" ht="28.5" x14ac:dyDescent="0.35">
      <c r="A1" s="653" t="s">
        <v>13</v>
      </c>
      <c r="B1" s="653"/>
      <c r="C1" s="653"/>
      <c r="D1" s="653"/>
    </row>
    <row r="2" spans="1:4" ht="14.5" customHeight="1" x14ac:dyDescent="0.35"/>
    <row r="3" spans="1:4" ht="14.5" customHeight="1" thickBot="1" x14ac:dyDescent="0.4">
      <c r="A3" s="55" t="s">
        <v>14</v>
      </c>
      <c r="B3" s="43" t="s">
        <v>15</v>
      </c>
      <c r="C3" s="43" t="s">
        <v>16</v>
      </c>
      <c r="D3" s="43" t="s">
        <v>10</v>
      </c>
    </row>
    <row r="4" spans="1:4" x14ac:dyDescent="0.35">
      <c r="A4" s="669" t="s">
        <v>17</v>
      </c>
      <c r="B4" s="76" t="s">
        <v>18</v>
      </c>
      <c r="C4" s="113"/>
      <c r="D4" s="37" t="s">
        <v>19</v>
      </c>
    </row>
    <row r="5" spans="1:4" x14ac:dyDescent="0.35">
      <c r="A5" s="670"/>
      <c r="B5" s="31" t="s">
        <v>20</v>
      </c>
      <c r="C5" s="96"/>
      <c r="D5" s="38" t="s">
        <v>21</v>
      </c>
    </row>
    <row r="6" spans="1:4" x14ac:dyDescent="0.35">
      <c r="A6" s="670"/>
      <c r="B6" s="31" t="s">
        <v>22</v>
      </c>
      <c r="C6" s="97" t="str">
        <f>IFERROR(VLOOKUP(C5,Lists!A4:B42,2,FALSE),"")</f>
        <v/>
      </c>
      <c r="D6" s="38" t="s">
        <v>23</v>
      </c>
    </row>
    <row r="7" spans="1:4" x14ac:dyDescent="0.35">
      <c r="A7" s="670"/>
      <c r="B7" s="31" t="s">
        <v>24</v>
      </c>
      <c r="C7" s="34"/>
      <c r="D7" s="38" t="s">
        <v>25</v>
      </c>
    </row>
    <row r="8" spans="1:4" x14ac:dyDescent="0.35">
      <c r="A8" s="670"/>
      <c r="B8" s="31" t="s">
        <v>26</v>
      </c>
      <c r="C8" s="34"/>
      <c r="D8" s="38" t="s">
        <v>21</v>
      </c>
    </row>
    <row r="9" spans="1:4" x14ac:dyDescent="0.35">
      <c r="A9" s="670"/>
      <c r="B9" s="31" t="s">
        <v>27</v>
      </c>
      <c r="C9" s="78">
        <f>(C8-C7)+1</f>
        <v>1</v>
      </c>
      <c r="D9" s="38" t="s">
        <v>23</v>
      </c>
    </row>
    <row r="10" spans="1:4" x14ac:dyDescent="0.35">
      <c r="A10" s="670"/>
      <c r="B10" s="31" t="s">
        <v>28</v>
      </c>
      <c r="C10" s="79"/>
      <c r="D10" s="38" t="s">
        <v>21</v>
      </c>
    </row>
    <row r="11" spans="1:4" x14ac:dyDescent="0.35">
      <c r="A11" s="670"/>
      <c r="B11" s="31" t="s">
        <v>29</v>
      </c>
      <c r="C11" s="79"/>
      <c r="D11" s="38" t="s">
        <v>21</v>
      </c>
    </row>
    <row r="12" spans="1:4" ht="15" thickBot="1" x14ac:dyDescent="0.4">
      <c r="A12" s="671"/>
      <c r="B12" s="77" t="s">
        <v>30</v>
      </c>
      <c r="C12" s="77"/>
      <c r="D12" s="39" t="s">
        <v>21</v>
      </c>
    </row>
    <row r="13" spans="1:4" x14ac:dyDescent="0.35">
      <c r="A13" s="660" t="s">
        <v>31</v>
      </c>
      <c r="B13" s="64" t="s">
        <v>32</v>
      </c>
      <c r="C13" s="80">
        <v>0</v>
      </c>
      <c r="D13" s="74" t="s">
        <v>21</v>
      </c>
    </row>
    <row r="14" spans="1:4" x14ac:dyDescent="0.35">
      <c r="A14" s="661"/>
      <c r="B14" s="29" t="s">
        <v>33</v>
      </c>
      <c r="C14" s="28">
        <v>0</v>
      </c>
      <c r="D14" s="62" t="s">
        <v>21</v>
      </c>
    </row>
    <row r="15" spans="1:4" x14ac:dyDescent="0.35">
      <c r="A15" s="661"/>
      <c r="B15" s="29" t="s">
        <v>34</v>
      </c>
      <c r="C15" s="6"/>
      <c r="D15" s="62" t="s">
        <v>21</v>
      </c>
    </row>
    <row r="16" spans="1:4" x14ac:dyDescent="0.35">
      <c r="A16" s="661"/>
      <c r="B16" s="29" t="s">
        <v>35</v>
      </c>
      <c r="C16" s="30">
        <v>0</v>
      </c>
      <c r="D16" s="62" t="s">
        <v>36</v>
      </c>
    </row>
    <row r="17" spans="1:4" ht="15" thickBot="1" x14ac:dyDescent="0.4">
      <c r="A17" s="662"/>
      <c r="B17" s="54" t="s">
        <v>37</v>
      </c>
      <c r="C17" s="68">
        <v>0</v>
      </c>
      <c r="D17" s="66" t="s">
        <v>36</v>
      </c>
    </row>
    <row r="18" spans="1:4" x14ac:dyDescent="0.35">
      <c r="A18" s="663" t="s">
        <v>38</v>
      </c>
      <c r="B18" s="60" t="s">
        <v>39</v>
      </c>
      <c r="C18" s="67">
        <v>0.08</v>
      </c>
      <c r="D18" s="61" t="s">
        <v>40</v>
      </c>
    </row>
    <row r="19" spans="1:4" x14ac:dyDescent="0.35">
      <c r="A19" s="664"/>
      <c r="B19" s="29" t="s">
        <v>41</v>
      </c>
      <c r="C19" s="36">
        <v>0.02</v>
      </c>
      <c r="D19" s="62" t="s">
        <v>42</v>
      </c>
    </row>
    <row r="20" spans="1:4" ht="15" thickBot="1" x14ac:dyDescent="0.4">
      <c r="A20" s="665"/>
      <c r="B20" s="54" t="s">
        <v>43</v>
      </c>
      <c r="C20" s="71">
        <v>6.9699999999999998E-2</v>
      </c>
      <c r="D20" s="66" t="s">
        <v>42</v>
      </c>
    </row>
    <row r="21" spans="1:4" x14ac:dyDescent="0.35">
      <c r="A21" s="654" t="s">
        <v>44</v>
      </c>
      <c r="B21" s="60" t="s">
        <v>45</v>
      </c>
      <c r="C21" s="69">
        <v>0.5</v>
      </c>
      <c r="D21" s="61" t="s">
        <v>46</v>
      </c>
    </row>
    <row r="22" spans="1:4" x14ac:dyDescent="0.35">
      <c r="A22" s="655"/>
      <c r="B22" s="29" t="s">
        <v>47</v>
      </c>
      <c r="C22" s="58">
        <v>0.83333333333333337</v>
      </c>
      <c r="D22" s="62" t="s">
        <v>46</v>
      </c>
    </row>
    <row r="23" spans="1:4" x14ac:dyDescent="0.35">
      <c r="A23" s="655"/>
      <c r="B23" s="29" t="s">
        <v>48</v>
      </c>
      <c r="C23" s="59">
        <v>0.54166666666666663</v>
      </c>
      <c r="D23" s="62" t="s">
        <v>49</v>
      </c>
    </row>
    <row r="24" spans="1:4" ht="15" thickBot="1" x14ac:dyDescent="0.4">
      <c r="A24" s="656"/>
      <c r="B24" s="65" t="s">
        <v>50</v>
      </c>
      <c r="C24" s="70">
        <v>0.70833333333333337</v>
      </c>
      <c r="D24" s="63" t="s">
        <v>49</v>
      </c>
    </row>
    <row r="25" spans="1:4" x14ac:dyDescent="0.35">
      <c r="A25" s="666" t="s">
        <v>51</v>
      </c>
      <c r="B25" s="64" t="s">
        <v>52</v>
      </c>
      <c r="C25" s="72">
        <v>1855000</v>
      </c>
      <c r="D25" s="73" t="s">
        <v>53</v>
      </c>
    </row>
    <row r="26" spans="1:4" ht="15" customHeight="1" x14ac:dyDescent="0.35">
      <c r="A26" s="667"/>
      <c r="B26" s="29" t="s">
        <v>54</v>
      </c>
      <c r="C26" s="212">
        <v>1</v>
      </c>
      <c r="D26" s="15" t="s">
        <v>55</v>
      </c>
    </row>
    <row r="27" spans="1:4" x14ac:dyDescent="0.35">
      <c r="A27" s="667"/>
      <c r="B27" s="29" t="s">
        <v>56</v>
      </c>
      <c r="C27" s="212">
        <v>0</v>
      </c>
      <c r="D27" s="15" t="s">
        <v>57</v>
      </c>
    </row>
    <row r="28" spans="1:4" x14ac:dyDescent="0.35">
      <c r="A28" s="667"/>
      <c r="B28" s="29" t="s">
        <v>58</v>
      </c>
      <c r="C28" s="115" t="s">
        <v>59</v>
      </c>
      <c r="D28" s="15" t="s">
        <v>60</v>
      </c>
    </row>
    <row r="29" spans="1:4" ht="15" thickBot="1" x14ac:dyDescent="0.4">
      <c r="A29" s="668"/>
      <c r="B29" s="54" t="s">
        <v>61</v>
      </c>
      <c r="C29" s="16">
        <f>C10/C25</f>
        <v>0</v>
      </c>
      <c r="D29" s="41" t="s">
        <v>62</v>
      </c>
    </row>
    <row r="30" spans="1:4" x14ac:dyDescent="0.35">
      <c r="A30" s="657" t="s">
        <v>63</v>
      </c>
      <c r="B30" s="57" t="s">
        <v>64</v>
      </c>
      <c r="C30" s="17">
        <v>1</v>
      </c>
      <c r="D30" s="14" t="s">
        <v>65</v>
      </c>
    </row>
    <row r="31" spans="1:4" x14ac:dyDescent="0.35">
      <c r="A31" s="658"/>
      <c r="B31" s="56" t="s">
        <v>66</v>
      </c>
      <c r="C31" s="7">
        <v>0</v>
      </c>
      <c r="D31" s="15"/>
    </row>
    <row r="32" spans="1:4" x14ac:dyDescent="0.35">
      <c r="A32" s="658"/>
      <c r="B32" s="6" t="s">
        <v>67</v>
      </c>
      <c r="C32" s="7">
        <v>0</v>
      </c>
      <c r="D32" s="15"/>
    </row>
    <row r="33" spans="1:4" ht="15" thickBot="1" x14ac:dyDescent="0.4">
      <c r="A33" s="659"/>
      <c r="B33" s="13" t="s">
        <v>68</v>
      </c>
      <c r="C33" s="40">
        <v>0</v>
      </c>
      <c r="D33" s="41"/>
    </row>
    <row r="34" spans="1:4" ht="15" customHeight="1" x14ac:dyDescent="0.35">
      <c r="A34" s="672" t="s">
        <v>69</v>
      </c>
      <c r="B34" s="641" t="s">
        <v>70</v>
      </c>
      <c r="C34" s="213">
        <v>125</v>
      </c>
      <c r="D34" s="108" t="s">
        <v>71</v>
      </c>
    </row>
    <row r="35" spans="1:4" ht="15" customHeight="1" x14ac:dyDescent="0.35">
      <c r="A35" s="673"/>
      <c r="B35" s="642" t="s">
        <v>72</v>
      </c>
      <c r="C35" s="427">
        <v>678</v>
      </c>
      <c r="D35" s="15" t="s">
        <v>73</v>
      </c>
    </row>
    <row r="36" spans="1:4" ht="15" customHeight="1" x14ac:dyDescent="0.35">
      <c r="A36" s="673"/>
      <c r="B36" s="642" t="s">
        <v>74</v>
      </c>
      <c r="C36" s="427">
        <v>626</v>
      </c>
      <c r="D36" s="15" t="s">
        <v>73</v>
      </c>
    </row>
    <row r="37" spans="1:4" x14ac:dyDescent="0.35">
      <c r="A37" s="673"/>
      <c r="B37" s="642" t="s">
        <v>75</v>
      </c>
      <c r="C37" s="428">
        <v>0.1</v>
      </c>
      <c r="D37" s="15" t="s">
        <v>73</v>
      </c>
    </row>
    <row r="38" spans="1:4" x14ac:dyDescent="0.35">
      <c r="A38" s="673"/>
      <c r="B38" s="642" t="s">
        <v>76</v>
      </c>
      <c r="C38" s="428">
        <v>0.1</v>
      </c>
      <c r="D38" s="15" t="s">
        <v>73</v>
      </c>
    </row>
    <row r="39" spans="1:4" x14ac:dyDescent="0.35">
      <c r="A39" s="673"/>
      <c r="B39" s="642" t="s">
        <v>77</v>
      </c>
      <c r="C39" s="428">
        <v>0.03</v>
      </c>
      <c r="D39" s="15" t="s">
        <v>73</v>
      </c>
    </row>
    <row r="40" spans="1:4" x14ac:dyDescent="0.35">
      <c r="A40" s="674"/>
      <c r="B40" s="643" t="s">
        <v>78</v>
      </c>
      <c r="C40" s="429">
        <v>0.02</v>
      </c>
      <c r="D40" s="109" t="s">
        <v>73</v>
      </c>
    </row>
    <row r="41" spans="1:4" x14ac:dyDescent="0.35">
      <c r="A41" s="675" t="s">
        <v>79</v>
      </c>
      <c r="B41" s="31" t="s">
        <v>80</v>
      </c>
      <c r="C41" s="644">
        <v>0.09</v>
      </c>
      <c r="D41" s="75" t="s">
        <v>81</v>
      </c>
    </row>
    <row r="42" spans="1:4" x14ac:dyDescent="0.35">
      <c r="A42" s="676"/>
      <c r="B42" s="31" t="s">
        <v>82</v>
      </c>
      <c r="C42" s="645">
        <v>0.16</v>
      </c>
      <c r="D42" s="75" t="s">
        <v>81</v>
      </c>
    </row>
    <row r="43" spans="1:4" x14ac:dyDescent="0.35">
      <c r="A43" s="677"/>
      <c r="B43" s="646" t="s">
        <v>83</v>
      </c>
      <c r="C43" s="647">
        <v>0.08</v>
      </c>
      <c r="D43" s="75" t="s">
        <v>81</v>
      </c>
    </row>
    <row r="44" spans="1:4" x14ac:dyDescent="0.35">
      <c r="A44" s="93" t="s">
        <v>84</v>
      </c>
      <c r="B44" s="81" t="s">
        <v>85</v>
      </c>
      <c r="C44" s="82">
        <v>0.2</v>
      </c>
      <c r="D44" s="83" t="s">
        <v>86</v>
      </c>
    </row>
    <row r="45" spans="1:4" x14ac:dyDescent="0.35">
      <c r="B45" s="5"/>
      <c r="C45" s="8"/>
      <c r="D45" s="5"/>
    </row>
    <row r="46" spans="1:4" x14ac:dyDescent="0.35">
      <c r="B46" s="5"/>
    </row>
    <row r="47" spans="1:4" x14ac:dyDescent="0.35">
      <c r="B47" s="5"/>
    </row>
    <row r="48" spans="1:4" x14ac:dyDescent="0.35">
      <c r="B48" s="5"/>
    </row>
    <row r="49" spans="2:4" x14ac:dyDescent="0.35">
      <c r="B49" s="5"/>
    </row>
    <row r="50" spans="2:4" x14ac:dyDescent="0.35">
      <c r="B50" s="5"/>
    </row>
    <row r="51" spans="2:4" x14ac:dyDescent="0.35">
      <c r="B51" s="5"/>
    </row>
    <row r="52" spans="2:4" x14ac:dyDescent="0.35">
      <c r="B52" s="5"/>
    </row>
    <row r="53" spans="2:4" x14ac:dyDescent="0.35">
      <c r="B53" s="5"/>
      <c r="C53" s="8"/>
      <c r="D53" s="5"/>
    </row>
    <row r="54" spans="2:4" x14ac:dyDescent="0.35">
      <c r="B54" s="5"/>
      <c r="C54" s="8"/>
      <c r="D54" s="5"/>
    </row>
    <row r="55" spans="2:4" x14ac:dyDescent="0.35">
      <c r="B55" s="5"/>
      <c r="C55" s="8"/>
      <c r="D55" s="5"/>
    </row>
    <row r="56" spans="2:4" x14ac:dyDescent="0.35">
      <c r="B56" s="5"/>
      <c r="C56" s="8"/>
      <c r="D56" s="5"/>
    </row>
    <row r="57" spans="2:4" x14ac:dyDescent="0.35">
      <c r="B57" s="5"/>
      <c r="C57" s="8"/>
      <c r="D57" s="5"/>
    </row>
    <row r="58" spans="2:4" x14ac:dyDescent="0.35">
      <c r="B58" s="5"/>
      <c r="C58" s="8"/>
      <c r="D58" s="5"/>
    </row>
    <row r="59" spans="2:4" x14ac:dyDescent="0.35">
      <c r="B59" s="5"/>
      <c r="C59" s="8"/>
      <c r="D59" s="5"/>
    </row>
    <row r="60" spans="2:4" x14ac:dyDescent="0.35">
      <c r="B60" s="5"/>
      <c r="C60" s="5"/>
      <c r="D60" s="5"/>
    </row>
    <row r="61" spans="2:4" x14ac:dyDescent="0.35">
      <c r="B61" s="5"/>
      <c r="C61" s="5"/>
      <c r="D61" s="5"/>
    </row>
    <row r="62" spans="2:4" x14ac:dyDescent="0.35">
      <c r="B62" s="5"/>
      <c r="C62" s="5"/>
      <c r="D62" s="5"/>
    </row>
    <row r="63" spans="2:4" x14ac:dyDescent="0.35">
      <c r="B63" s="5"/>
      <c r="C63" s="5"/>
      <c r="D63" s="5"/>
    </row>
    <row r="64" spans="2:4" x14ac:dyDescent="0.35">
      <c r="B64" s="5"/>
      <c r="C64" s="5"/>
      <c r="D64" s="5"/>
    </row>
    <row r="65" spans="2:4" x14ac:dyDescent="0.35">
      <c r="B65" s="5"/>
      <c r="C65" s="5"/>
      <c r="D65" s="5"/>
    </row>
    <row r="66" spans="2:4" x14ac:dyDescent="0.35">
      <c r="B66" s="5"/>
      <c r="C66" s="5"/>
      <c r="D66" s="5"/>
    </row>
    <row r="67" spans="2:4" x14ac:dyDescent="0.35">
      <c r="B67" s="5"/>
      <c r="C67" s="5"/>
      <c r="D67" s="5"/>
    </row>
  </sheetData>
  <mergeCells count="9">
    <mergeCell ref="A34:A40"/>
    <mergeCell ref="A41:A43"/>
    <mergeCell ref="A1:D1"/>
    <mergeCell ref="A21:A24"/>
    <mergeCell ref="A30:A33"/>
    <mergeCell ref="A13:A17"/>
    <mergeCell ref="A18:A20"/>
    <mergeCell ref="A25:A29"/>
    <mergeCell ref="A4:A1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Lists!$A$4:$A$42</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M36"/>
  <sheetViews>
    <sheetView zoomScaleNormal="100" workbookViewId="0">
      <selection activeCell="C20" sqref="C20"/>
    </sheetView>
  </sheetViews>
  <sheetFormatPr defaultColWidth="9.1796875" defaultRowHeight="14.5" x14ac:dyDescent="0.35"/>
  <cols>
    <col min="1" max="1" width="11.7265625" style="3" customWidth="1"/>
    <col min="2" max="2" width="35.54296875" style="3" bestFit="1" customWidth="1"/>
    <col min="3" max="9" width="13.81640625" style="3" customWidth="1"/>
    <col min="10" max="13" width="14" style="3" bestFit="1" customWidth="1"/>
    <col min="14" max="16384" width="9.1796875" style="3"/>
  </cols>
  <sheetData>
    <row r="1" spans="1:13" ht="28.5" x14ac:dyDescent="0.35">
      <c r="A1" s="653" t="s">
        <v>87</v>
      </c>
      <c r="B1" s="653"/>
      <c r="C1" s="653"/>
      <c r="D1" s="653"/>
      <c r="E1" s="653"/>
      <c r="F1" s="653"/>
      <c r="G1" s="653"/>
      <c r="H1" s="653"/>
      <c r="I1" s="653"/>
      <c r="J1" s="653"/>
      <c r="K1" s="653"/>
      <c r="L1" s="653"/>
      <c r="M1" s="653"/>
    </row>
    <row r="2" spans="1:13" s="18" customFormat="1" ht="30.75" customHeight="1" x14ac:dyDescent="0.35">
      <c r="A2" s="85"/>
      <c r="B2" s="86" t="s">
        <v>88</v>
      </c>
      <c r="C2" s="87" t="s">
        <v>89</v>
      </c>
      <c r="D2" s="87" t="s">
        <v>90</v>
      </c>
      <c r="E2" s="87"/>
      <c r="F2" s="87"/>
      <c r="G2" s="87"/>
      <c r="H2" s="87"/>
      <c r="I2" s="87"/>
      <c r="J2" s="87"/>
      <c r="K2" s="87"/>
      <c r="L2" s="87"/>
      <c r="M2" s="116"/>
    </row>
    <row r="3" spans="1:13" ht="15" customHeight="1" x14ac:dyDescent="0.35">
      <c r="A3" s="678" t="s">
        <v>91</v>
      </c>
      <c r="B3" s="88" t="s">
        <v>92</v>
      </c>
      <c r="C3" s="614">
        <f>'Inputs-System'!C7</f>
        <v>0</v>
      </c>
      <c r="D3" s="52"/>
      <c r="E3" s="52"/>
      <c r="F3" s="52"/>
      <c r="G3" s="52"/>
      <c r="H3" s="52"/>
      <c r="I3" s="52"/>
      <c r="J3" s="52"/>
      <c r="K3" s="52"/>
      <c r="L3" s="52"/>
      <c r="M3" s="117"/>
    </row>
    <row r="4" spans="1:13" ht="15" customHeight="1" x14ac:dyDescent="0.35">
      <c r="A4" s="679"/>
      <c r="B4" s="24" t="s">
        <v>93</v>
      </c>
      <c r="C4" s="615">
        <f>C3</f>
        <v>0</v>
      </c>
      <c r="M4" s="118"/>
    </row>
    <row r="5" spans="1:13" x14ac:dyDescent="0.35">
      <c r="A5" s="679"/>
      <c r="B5" s="24" t="s">
        <v>94</v>
      </c>
      <c r="C5" s="615">
        <f>'Inputs-System'!C9</f>
        <v>1</v>
      </c>
      <c r="M5" s="118"/>
    </row>
    <row r="6" spans="1:13" x14ac:dyDescent="0.35">
      <c r="A6" s="679"/>
      <c r="B6" s="24" t="s">
        <v>95</v>
      </c>
      <c r="C6" s="616">
        <v>0</v>
      </c>
      <c r="D6" s="44"/>
      <c r="E6" s="44"/>
      <c r="F6" s="44"/>
      <c r="G6" s="44"/>
      <c r="H6" s="44"/>
      <c r="I6" s="44"/>
      <c r="J6" s="44"/>
      <c r="K6" s="44"/>
      <c r="L6" s="44"/>
      <c r="M6" s="119"/>
    </row>
    <row r="7" spans="1:13" x14ac:dyDescent="0.35">
      <c r="A7" s="679"/>
      <c r="B7" s="24" t="s">
        <v>96</v>
      </c>
      <c r="C7" s="616">
        <v>0</v>
      </c>
      <c r="D7" s="44"/>
      <c r="E7" s="44"/>
      <c r="F7" s="44"/>
      <c r="G7" s="44"/>
      <c r="H7" s="44"/>
      <c r="I7" s="44"/>
      <c r="J7" s="44"/>
      <c r="K7" s="44"/>
      <c r="L7" s="44"/>
      <c r="M7" s="119"/>
    </row>
    <row r="8" spans="1:13" x14ac:dyDescent="0.35">
      <c r="A8" s="679"/>
      <c r="B8" s="24" t="s">
        <v>97</v>
      </c>
      <c r="C8" s="625" t="s">
        <v>98</v>
      </c>
      <c r="D8" s="626"/>
      <c r="E8" s="626"/>
      <c r="F8" s="626"/>
      <c r="G8" s="626"/>
      <c r="H8" s="626"/>
      <c r="I8" s="626"/>
      <c r="J8" s="626"/>
      <c r="K8" s="626"/>
      <c r="L8" s="626"/>
      <c r="M8" s="627"/>
    </row>
    <row r="9" spans="1:13" x14ac:dyDescent="0.35">
      <c r="A9" s="679"/>
      <c r="B9" s="24" t="s">
        <v>99</v>
      </c>
      <c r="C9" s="622">
        <v>0</v>
      </c>
      <c r="D9" s="623"/>
      <c r="E9" s="623"/>
      <c r="F9" s="623"/>
      <c r="G9" s="623"/>
      <c r="H9" s="623"/>
      <c r="I9" s="623"/>
      <c r="J9" s="623"/>
      <c r="K9" s="623"/>
      <c r="L9" s="623"/>
      <c r="M9" s="624"/>
    </row>
    <row r="10" spans="1:13" x14ac:dyDescent="0.35">
      <c r="A10" s="679"/>
      <c r="B10" s="24" t="s">
        <v>100</v>
      </c>
      <c r="C10" s="628" t="s">
        <v>101</v>
      </c>
      <c r="D10" s="629" t="s">
        <v>101</v>
      </c>
      <c r="E10" s="629" t="s">
        <v>101</v>
      </c>
      <c r="F10" s="629" t="s">
        <v>101</v>
      </c>
      <c r="G10" s="629" t="s">
        <v>101</v>
      </c>
      <c r="H10" s="629" t="s">
        <v>101</v>
      </c>
      <c r="I10" s="629" t="s">
        <v>101</v>
      </c>
      <c r="J10" s="629" t="s">
        <v>101</v>
      </c>
      <c r="K10" s="629" t="s">
        <v>101</v>
      </c>
      <c r="L10" s="629" t="s">
        <v>101</v>
      </c>
      <c r="M10" s="630" t="s">
        <v>101</v>
      </c>
    </row>
    <row r="11" spans="1:13" x14ac:dyDescent="0.35">
      <c r="A11" s="679"/>
      <c r="B11" s="24" t="s">
        <v>102</v>
      </c>
      <c r="C11" s="617">
        <v>40000</v>
      </c>
      <c r="D11" s="26"/>
      <c r="E11" s="26"/>
      <c r="F11" s="26"/>
      <c r="G11" s="26"/>
      <c r="H11" s="26"/>
      <c r="I11" s="26"/>
      <c r="J11" s="26"/>
      <c r="K11" s="26"/>
      <c r="L11" s="26"/>
      <c r="M11" s="430"/>
    </row>
    <row r="12" spans="1:13" x14ac:dyDescent="0.35">
      <c r="A12" s="679"/>
      <c r="B12" s="25" t="s">
        <v>103</v>
      </c>
      <c r="C12" s="617">
        <v>0</v>
      </c>
      <c r="D12" s="26"/>
      <c r="E12" s="26"/>
      <c r="F12" s="26"/>
      <c r="G12" s="26"/>
      <c r="H12" s="26"/>
      <c r="I12" s="26"/>
      <c r="J12" s="26"/>
      <c r="K12" s="26"/>
      <c r="L12" s="26"/>
      <c r="M12" s="430"/>
    </row>
    <row r="13" spans="1:13" x14ac:dyDescent="0.35">
      <c r="A13" s="679"/>
      <c r="B13" s="25" t="s">
        <v>104</v>
      </c>
      <c r="C13" s="617">
        <v>0</v>
      </c>
      <c r="D13" s="26"/>
      <c r="E13" s="26"/>
      <c r="F13" s="26"/>
      <c r="G13" s="26"/>
      <c r="H13" s="46"/>
      <c r="J13" s="46"/>
      <c r="L13" s="46"/>
      <c r="M13" s="118"/>
    </row>
    <row r="14" spans="1:13" x14ac:dyDescent="0.35">
      <c r="A14" s="679"/>
      <c r="B14" s="25" t="s">
        <v>105</v>
      </c>
      <c r="C14" s="315">
        <f t="shared" ref="C14:M14" si="0">SUM(C12,C11,C7*(C5-1),C6)</f>
        <v>40000</v>
      </c>
      <c r="D14" s="315">
        <f t="shared" si="0"/>
        <v>0</v>
      </c>
      <c r="E14" s="315">
        <f t="shared" si="0"/>
        <v>0</v>
      </c>
      <c r="F14" s="315">
        <f t="shared" si="0"/>
        <v>0</v>
      </c>
      <c r="G14" s="315">
        <f t="shared" si="0"/>
        <v>0</v>
      </c>
      <c r="H14" s="315">
        <f t="shared" si="0"/>
        <v>0</v>
      </c>
      <c r="I14" s="315">
        <f t="shared" si="0"/>
        <v>0</v>
      </c>
      <c r="J14" s="315">
        <f t="shared" si="0"/>
        <v>0</v>
      </c>
      <c r="K14" s="315">
        <f t="shared" si="0"/>
        <v>0</v>
      </c>
      <c r="L14" s="315">
        <f t="shared" si="0"/>
        <v>0</v>
      </c>
      <c r="M14" s="316">
        <f t="shared" si="0"/>
        <v>0</v>
      </c>
    </row>
    <row r="15" spans="1:13" ht="15" customHeight="1" x14ac:dyDescent="0.35">
      <c r="A15" s="680" t="s">
        <v>106</v>
      </c>
      <c r="B15" s="89" t="s">
        <v>107</v>
      </c>
      <c r="C15" s="619" t="s">
        <v>90</v>
      </c>
      <c r="D15" s="90" t="s">
        <v>90</v>
      </c>
      <c r="E15" s="90" t="s">
        <v>108</v>
      </c>
      <c r="F15" s="90" t="s">
        <v>108</v>
      </c>
      <c r="G15" s="90" t="s">
        <v>108</v>
      </c>
      <c r="H15" s="90" t="s">
        <v>108</v>
      </c>
      <c r="I15" s="90" t="s">
        <v>108</v>
      </c>
      <c r="J15" s="90" t="s">
        <v>108</v>
      </c>
      <c r="K15" s="90" t="s">
        <v>108</v>
      </c>
      <c r="L15" s="90" t="s">
        <v>108</v>
      </c>
      <c r="M15" s="351" t="s">
        <v>108</v>
      </c>
    </row>
    <row r="16" spans="1:13" ht="15" customHeight="1" x14ac:dyDescent="0.35">
      <c r="A16" s="681"/>
      <c r="B16" s="19" t="s">
        <v>109</v>
      </c>
      <c r="C16" s="618">
        <f>'Inputs-System'!C10</f>
        <v>0</v>
      </c>
      <c r="D16" s="21"/>
      <c r="E16" s="21"/>
      <c r="F16" s="21"/>
      <c r="G16" s="21"/>
      <c r="H16" s="21"/>
      <c r="I16" s="21"/>
      <c r="J16" s="21"/>
      <c r="K16" s="21"/>
      <c r="L16" s="21"/>
      <c r="M16" s="431"/>
    </row>
    <row r="17" spans="1:13" ht="15" customHeight="1" x14ac:dyDescent="0.35">
      <c r="A17" s="681"/>
      <c r="B17" s="20" t="s">
        <v>110</v>
      </c>
      <c r="C17" s="618">
        <f>'Inputs-System'!C11</f>
        <v>0</v>
      </c>
      <c r="D17" s="21">
        <f>D16*D18</f>
        <v>0</v>
      </c>
      <c r="E17" s="21">
        <f t="shared" ref="E17:L17" si="1">E16*E18</f>
        <v>0</v>
      </c>
      <c r="F17" s="21">
        <f t="shared" si="1"/>
        <v>0</v>
      </c>
      <c r="G17" s="21">
        <f t="shared" si="1"/>
        <v>0</v>
      </c>
      <c r="H17" s="21">
        <f t="shared" si="1"/>
        <v>0</v>
      </c>
      <c r="I17" s="21">
        <f t="shared" si="1"/>
        <v>0</v>
      </c>
      <c r="J17" s="21">
        <f t="shared" si="1"/>
        <v>0</v>
      </c>
      <c r="K17" s="21">
        <f t="shared" si="1"/>
        <v>0</v>
      </c>
      <c r="L17" s="21">
        <f t="shared" si="1"/>
        <v>0</v>
      </c>
      <c r="M17" s="431">
        <f>M16*M18</f>
        <v>0</v>
      </c>
    </row>
    <row r="18" spans="1:13" ht="15" customHeight="1" x14ac:dyDescent="0.35">
      <c r="A18" s="681"/>
      <c r="B18" s="20" t="s">
        <v>111</v>
      </c>
      <c r="C18" s="621">
        <f>MOD('Inputs-System'!C22-'Inputs-System'!C21,1)*24</f>
        <v>8</v>
      </c>
      <c r="D18" s="5"/>
      <c r="E18" s="5"/>
      <c r="F18" s="5"/>
      <c r="G18" s="5"/>
      <c r="H18" s="5"/>
      <c r="I18" s="5"/>
      <c r="J18" s="5"/>
      <c r="K18" s="5"/>
      <c r="L18" s="5"/>
      <c r="M18" s="556"/>
    </row>
    <row r="19" spans="1:13" ht="15" customHeight="1" x14ac:dyDescent="0.35">
      <c r="A19" s="681"/>
      <c r="B19" s="19" t="s">
        <v>112</v>
      </c>
      <c r="C19" s="618">
        <f>'Inputs-System'!C12</f>
        <v>0</v>
      </c>
      <c r="M19" s="118"/>
    </row>
    <row r="20" spans="1:13" x14ac:dyDescent="0.35">
      <c r="A20" s="682"/>
      <c r="B20" s="432" t="s">
        <v>113</v>
      </c>
      <c r="C20" s="620">
        <v>0.1</v>
      </c>
      <c r="D20" s="53"/>
      <c r="E20" s="53"/>
      <c r="F20" s="53"/>
      <c r="G20" s="53"/>
      <c r="H20" s="53"/>
      <c r="I20" s="53"/>
      <c r="J20" s="53"/>
      <c r="K20" s="53"/>
      <c r="L20" s="53"/>
      <c r="M20" s="433"/>
    </row>
    <row r="21" spans="1:13" ht="15" customHeight="1" x14ac:dyDescent="0.35">
      <c r="A21" s="683" t="s">
        <v>114</v>
      </c>
      <c r="B21" s="22" t="s">
        <v>107</v>
      </c>
      <c r="C21" s="434" t="s">
        <v>108</v>
      </c>
      <c r="D21" s="434" t="s">
        <v>108</v>
      </c>
      <c r="E21" s="434" t="s">
        <v>108</v>
      </c>
      <c r="F21" s="434" t="s">
        <v>108</v>
      </c>
      <c r="G21" s="434" t="s">
        <v>108</v>
      </c>
      <c r="H21" s="434" t="s">
        <v>108</v>
      </c>
      <c r="I21" s="434" t="s">
        <v>108</v>
      </c>
      <c r="J21" s="434" t="s">
        <v>108</v>
      </c>
      <c r="K21" s="434" t="s">
        <v>108</v>
      </c>
      <c r="L21" s="434" t="s">
        <v>108</v>
      </c>
      <c r="M21" s="435" t="s">
        <v>108</v>
      </c>
    </row>
    <row r="22" spans="1:13" x14ac:dyDescent="0.35">
      <c r="A22" s="683"/>
      <c r="B22" s="22" t="s">
        <v>109</v>
      </c>
      <c r="C22" s="393"/>
      <c r="D22" s="391"/>
      <c r="E22" s="391"/>
      <c r="F22" s="391"/>
      <c r="G22" s="391"/>
      <c r="H22" s="391"/>
      <c r="I22" s="391"/>
      <c r="J22" s="391"/>
      <c r="K22" s="391"/>
      <c r="L22" s="391"/>
      <c r="M22" s="392"/>
    </row>
    <row r="23" spans="1:13" x14ac:dyDescent="0.35">
      <c r="A23" s="683"/>
      <c r="B23" s="22" t="s">
        <v>110</v>
      </c>
      <c r="C23" s="393"/>
      <c r="D23" s="391">
        <f>D22*D24</f>
        <v>0</v>
      </c>
      <c r="E23" s="391">
        <f t="shared" ref="E23:L23" si="2">E22*E24</f>
        <v>0</v>
      </c>
      <c r="F23" s="391">
        <f t="shared" si="2"/>
        <v>0</v>
      </c>
      <c r="G23" s="391">
        <f t="shared" si="2"/>
        <v>0</v>
      </c>
      <c r="H23" s="391">
        <f t="shared" si="2"/>
        <v>0</v>
      </c>
      <c r="I23" s="391">
        <f t="shared" si="2"/>
        <v>0</v>
      </c>
      <c r="J23" s="391">
        <f t="shared" si="2"/>
        <v>0</v>
      </c>
      <c r="K23" s="391">
        <f t="shared" si="2"/>
        <v>0</v>
      </c>
      <c r="L23" s="391">
        <f t="shared" si="2"/>
        <v>0</v>
      </c>
      <c r="M23" s="392">
        <f>M22*M24</f>
        <v>0</v>
      </c>
    </row>
    <row r="24" spans="1:13" x14ac:dyDescent="0.35">
      <c r="A24" s="683"/>
      <c r="B24" s="22" t="s">
        <v>111</v>
      </c>
      <c r="C24" s="84"/>
      <c r="M24" s="111"/>
    </row>
    <row r="25" spans="1:13" x14ac:dyDescent="0.35">
      <c r="A25" s="683"/>
      <c r="B25" s="22" t="s">
        <v>112</v>
      </c>
      <c r="C25" s="84"/>
      <c r="M25" s="111"/>
    </row>
    <row r="26" spans="1:13" ht="15" thickBot="1" x14ac:dyDescent="0.4">
      <c r="A26" s="684"/>
      <c r="B26" s="360" t="s">
        <v>113</v>
      </c>
      <c r="C26" s="361"/>
      <c r="D26" s="47"/>
      <c r="E26" s="47"/>
      <c r="F26" s="47"/>
      <c r="G26" s="47"/>
      <c r="H26" s="47"/>
      <c r="I26" s="47"/>
      <c r="J26" s="47"/>
      <c r="K26" s="47"/>
      <c r="L26" s="47"/>
      <c r="M26" s="112"/>
    </row>
    <row r="27" spans="1:13" ht="15" customHeight="1" x14ac:dyDescent="0.35">
      <c r="A27" s="685" t="s">
        <v>115</v>
      </c>
      <c r="B27" s="362" t="s">
        <v>107</v>
      </c>
      <c r="C27" s="358" t="s">
        <v>108</v>
      </c>
      <c r="D27" s="358" t="s">
        <v>108</v>
      </c>
      <c r="E27" s="358" t="s">
        <v>108</v>
      </c>
      <c r="F27" s="358" t="s">
        <v>108</v>
      </c>
      <c r="G27" s="358" t="s">
        <v>108</v>
      </c>
      <c r="H27" s="358" t="s">
        <v>108</v>
      </c>
      <c r="I27" s="358" t="s">
        <v>108</v>
      </c>
      <c r="J27" s="358" t="s">
        <v>108</v>
      </c>
      <c r="K27" s="358" t="s">
        <v>108</v>
      </c>
      <c r="L27" s="358" t="s">
        <v>108</v>
      </c>
      <c r="M27" s="359" t="s">
        <v>108</v>
      </c>
    </row>
    <row r="28" spans="1:13" x14ac:dyDescent="0.35">
      <c r="A28" s="683"/>
      <c r="B28" s="23" t="s">
        <v>109</v>
      </c>
      <c r="C28" s="393"/>
      <c r="D28" s="391"/>
      <c r="E28" s="391"/>
      <c r="F28" s="391"/>
      <c r="G28" s="391"/>
      <c r="H28" s="391"/>
      <c r="I28" s="391"/>
      <c r="J28" s="391"/>
      <c r="K28" s="391"/>
      <c r="L28" s="391"/>
      <c r="M28" s="392"/>
    </row>
    <row r="29" spans="1:13" x14ac:dyDescent="0.35">
      <c r="A29" s="683"/>
      <c r="B29" s="23" t="s">
        <v>110</v>
      </c>
      <c r="C29" s="393"/>
      <c r="D29" s="391">
        <f>D28*D30</f>
        <v>0</v>
      </c>
      <c r="E29" s="391">
        <f t="shared" ref="E29:L29" si="3">E28*E30</f>
        <v>0</v>
      </c>
      <c r="F29" s="391">
        <f t="shared" si="3"/>
        <v>0</v>
      </c>
      <c r="G29" s="391">
        <f t="shared" si="3"/>
        <v>0</v>
      </c>
      <c r="H29" s="391">
        <f t="shared" si="3"/>
        <v>0</v>
      </c>
      <c r="I29" s="391">
        <f t="shared" si="3"/>
        <v>0</v>
      </c>
      <c r="J29" s="391">
        <f t="shared" si="3"/>
        <v>0</v>
      </c>
      <c r="K29" s="391">
        <f t="shared" si="3"/>
        <v>0</v>
      </c>
      <c r="L29" s="391">
        <f t="shared" si="3"/>
        <v>0</v>
      </c>
      <c r="M29" s="392">
        <f>M28*M30</f>
        <v>0</v>
      </c>
    </row>
    <row r="30" spans="1:13" x14ac:dyDescent="0.35">
      <c r="A30" s="683"/>
      <c r="B30" s="23" t="s">
        <v>111</v>
      </c>
      <c r="C30" s="84"/>
      <c r="M30" s="111"/>
    </row>
    <row r="31" spans="1:13" x14ac:dyDescent="0.35">
      <c r="A31" s="683"/>
      <c r="B31" s="23" t="s">
        <v>112</v>
      </c>
      <c r="C31" s="84"/>
      <c r="M31" s="111"/>
    </row>
    <row r="32" spans="1:13" ht="15" thickBot="1" x14ac:dyDescent="0.4">
      <c r="A32" s="684"/>
      <c r="B32" s="363" t="s">
        <v>113</v>
      </c>
      <c r="C32" s="364"/>
      <c r="D32" s="47"/>
      <c r="E32" s="47"/>
      <c r="F32" s="47"/>
      <c r="G32" s="47"/>
      <c r="H32" s="47"/>
      <c r="I32" s="47"/>
      <c r="J32" s="47"/>
      <c r="K32" s="47"/>
      <c r="L32" s="47"/>
      <c r="M32" s="112"/>
    </row>
    <row r="34" spans="1:1" x14ac:dyDescent="0.35">
      <c r="A34" s="120" t="s">
        <v>116</v>
      </c>
    </row>
    <row r="35" spans="1:1" x14ac:dyDescent="0.35">
      <c r="A35" s="120" t="s">
        <v>117</v>
      </c>
    </row>
    <row r="36" spans="1:1" x14ac:dyDescent="0.35">
      <c r="A36" s="120" t="s">
        <v>118</v>
      </c>
    </row>
  </sheetData>
  <mergeCells count="5">
    <mergeCell ref="A3:A14"/>
    <mergeCell ref="A1:M1"/>
    <mergeCell ref="A15:A20"/>
    <mergeCell ref="A21:A26"/>
    <mergeCell ref="A27:A32"/>
  </mergeCells>
  <dataValidations count="1">
    <dataValidation type="list" allowBlank="1" showInputMessage="1" showErrorMessage="1" sqref="C8:M8" xr:uid="{00000000-0002-0000-0300-000000000000}">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Lists!$H$4:$H$8</xm:f>
          </x14:formula1>
          <xm:sqref>C10:M10</xm:sqref>
        </x14:dataValidation>
        <x14:dataValidation type="list" allowBlank="1" showInputMessage="1" showErrorMessage="1" xr:uid="{00000000-0002-0000-0300-000002000000}">
          <x14:formula1>
            <xm:f>Lists!$F$4:$F$10</xm:f>
          </x14:formula1>
          <xm:sqref>C15:M15 C21:M21 C27:M27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M29"/>
  <sheetViews>
    <sheetView zoomScaleNormal="100" workbookViewId="0">
      <selection activeCell="C32" sqref="C32"/>
    </sheetView>
  </sheetViews>
  <sheetFormatPr defaultColWidth="9.1796875" defaultRowHeight="14.5" x14ac:dyDescent="0.35"/>
  <cols>
    <col min="1" max="1" width="20" style="3" customWidth="1"/>
    <col min="2" max="2" width="25.7265625" style="3" bestFit="1" customWidth="1"/>
    <col min="3" max="3" width="18.453125" style="3" bestFit="1" customWidth="1"/>
    <col min="4" max="13" width="14.7265625" style="3" customWidth="1"/>
    <col min="14" max="16384" width="9.1796875" style="3"/>
  </cols>
  <sheetData>
    <row r="1" spans="1:13" ht="28.5" x14ac:dyDescent="0.35">
      <c r="A1" s="653" t="s">
        <v>119</v>
      </c>
      <c r="B1" s="653"/>
      <c r="C1" s="653"/>
      <c r="D1" s="653"/>
      <c r="E1" s="653"/>
      <c r="F1" s="653"/>
      <c r="G1" s="653"/>
      <c r="H1" s="653"/>
      <c r="I1" s="653"/>
      <c r="J1" s="653"/>
      <c r="K1" s="653"/>
      <c r="L1" s="653"/>
      <c r="M1" s="653"/>
    </row>
    <row r="2" spans="1:13" ht="30.65" customHeight="1" thickBot="1" x14ac:dyDescent="0.4">
      <c r="A2" s="27"/>
      <c r="B2" s="91" t="str">
        <f>'Inputs-Proposals'!B2</f>
        <v>Bid (Vendor):</v>
      </c>
      <c r="C2" s="403" t="str">
        <f>'Inputs-Proposals'!C2</f>
        <v>Approximate Value</v>
      </c>
      <c r="D2" s="404" t="str">
        <f>'Inputs-Proposals'!D2</f>
        <v>Storage</v>
      </c>
      <c r="E2" s="404">
        <f>'Inputs-Proposals'!E2</f>
        <v>0</v>
      </c>
      <c r="F2" s="404">
        <f>'Inputs-Proposals'!F2</f>
        <v>0</v>
      </c>
      <c r="G2" s="404">
        <f>'Inputs-Proposals'!G2</f>
        <v>0</v>
      </c>
      <c r="H2" s="404">
        <f>'Inputs-Proposals'!H2</f>
        <v>0</v>
      </c>
      <c r="I2" s="404">
        <f>'Inputs-Proposals'!I2</f>
        <v>0</v>
      </c>
      <c r="J2" s="404">
        <f>'Inputs-Proposals'!J2</f>
        <v>0</v>
      </c>
      <c r="K2" s="404">
        <f>'Inputs-Proposals'!K2</f>
        <v>0</v>
      </c>
      <c r="L2" s="404">
        <f>'Inputs-Proposals'!L2</f>
        <v>0</v>
      </c>
      <c r="M2" s="405">
        <f>'Inputs-Proposals'!M2</f>
        <v>0</v>
      </c>
    </row>
    <row r="3" spans="1:13" x14ac:dyDescent="0.35">
      <c r="A3" s="694" t="s">
        <v>91</v>
      </c>
      <c r="B3" s="121" t="s">
        <v>120</v>
      </c>
      <c r="C3" s="249">
        <f>'Cost Calculator'!C5</f>
        <v>0</v>
      </c>
      <c r="D3" s="101">
        <f>'Cost Calculator'!C8</f>
        <v>0</v>
      </c>
      <c r="E3" s="101">
        <f>'Cost Calculator'!C11</f>
        <v>0</v>
      </c>
      <c r="F3" s="101">
        <f>'Cost Calculator'!C14</f>
        <v>0</v>
      </c>
      <c r="G3" s="101">
        <f>'Cost Calculator'!C17</f>
        <v>0</v>
      </c>
      <c r="H3" s="101">
        <f>'Cost Calculator'!C20</f>
        <v>0</v>
      </c>
      <c r="I3" s="101">
        <f>'Cost Calculator'!C23</f>
        <v>0</v>
      </c>
      <c r="J3" s="101">
        <f>'Cost Calculator'!C26</f>
        <v>0</v>
      </c>
      <c r="K3" s="101">
        <f>'Cost Calculator'!C29</f>
        <v>0</v>
      </c>
      <c r="L3" s="101">
        <f>'Cost Calculator'!C32</f>
        <v>0</v>
      </c>
      <c r="M3" s="127">
        <f>'Cost Calculator'!C35</f>
        <v>0</v>
      </c>
    </row>
    <row r="4" spans="1:13" x14ac:dyDescent="0.35">
      <c r="A4" s="695"/>
      <c r="B4" s="122" t="s">
        <v>121</v>
      </c>
      <c r="C4" s="250">
        <f>'Cost Calculator'!C6</f>
        <v>40000</v>
      </c>
      <c r="D4" s="92">
        <f>'Cost Calculator'!C9</f>
        <v>0</v>
      </c>
      <c r="E4" s="92">
        <f>'Cost Calculator'!C12</f>
        <v>0</v>
      </c>
      <c r="F4" s="92">
        <f>'Cost Calculator'!C15</f>
        <v>0</v>
      </c>
      <c r="G4" s="92">
        <f>'Cost Calculator'!C18</f>
        <v>0</v>
      </c>
      <c r="H4" s="92">
        <f>'Cost Calculator'!C21</f>
        <v>0</v>
      </c>
      <c r="I4" s="92">
        <f>'Cost Calculator'!C24</f>
        <v>0</v>
      </c>
      <c r="J4" s="92">
        <f>'Cost Calculator'!C27</f>
        <v>0</v>
      </c>
      <c r="K4" s="92">
        <f>'Cost Calculator'!C30</f>
        <v>0</v>
      </c>
      <c r="L4" s="92">
        <f>'Cost Calculator'!C33</f>
        <v>0</v>
      </c>
      <c r="M4" s="128">
        <f>'Cost Calculator'!C36</f>
        <v>0</v>
      </c>
    </row>
    <row r="5" spans="1:13" x14ac:dyDescent="0.35">
      <c r="A5" s="695"/>
      <c r="B5" s="122" t="s">
        <v>122</v>
      </c>
      <c r="C5" s="250">
        <f>'Cost Calculator'!C7</f>
        <v>0</v>
      </c>
      <c r="D5" s="92">
        <f>'Cost Calculator'!C10</f>
        <v>0</v>
      </c>
      <c r="E5" s="92">
        <f>'Cost Calculator'!C13</f>
        <v>0</v>
      </c>
      <c r="F5" s="92">
        <f>'Cost Calculator'!C16</f>
        <v>0</v>
      </c>
      <c r="G5" s="92">
        <f>'Cost Calculator'!C19</f>
        <v>0</v>
      </c>
      <c r="H5" s="92">
        <f>'Cost Calculator'!C22</f>
        <v>0</v>
      </c>
      <c r="I5" s="92">
        <f>'Cost Calculator'!C25</f>
        <v>0</v>
      </c>
      <c r="J5" s="92">
        <f>'Cost Calculator'!C28</f>
        <v>0</v>
      </c>
      <c r="K5" s="92">
        <f>'Cost Calculator'!C31</f>
        <v>0</v>
      </c>
      <c r="L5" s="92">
        <f>'Cost Calculator'!C34</f>
        <v>0</v>
      </c>
      <c r="M5" s="128">
        <f>'Cost Calculator'!C37</f>
        <v>0</v>
      </c>
    </row>
    <row r="6" spans="1:13" ht="15" thickBot="1" x14ac:dyDescent="0.4">
      <c r="A6" s="695"/>
      <c r="B6" s="123" t="s">
        <v>123</v>
      </c>
      <c r="C6" s="251">
        <f>SUM(C3:C5)</f>
        <v>40000</v>
      </c>
      <c r="D6" s="102">
        <f t="shared" ref="D6:M6" si="0">SUM(D3:D5)</f>
        <v>0</v>
      </c>
      <c r="E6" s="102">
        <f t="shared" si="0"/>
        <v>0</v>
      </c>
      <c r="F6" s="102">
        <f t="shared" si="0"/>
        <v>0</v>
      </c>
      <c r="G6" s="102">
        <f t="shared" si="0"/>
        <v>0</v>
      </c>
      <c r="H6" s="102">
        <f t="shared" si="0"/>
        <v>0</v>
      </c>
      <c r="I6" s="102">
        <f t="shared" si="0"/>
        <v>0</v>
      </c>
      <c r="J6" s="102">
        <f t="shared" si="0"/>
        <v>0</v>
      </c>
      <c r="K6" s="102">
        <f t="shared" si="0"/>
        <v>0</v>
      </c>
      <c r="L6" s="102">
        <f t="shared" si="0"/>
        <v>0</v>
      </c>
      <c r="M6" s="129">
        <f t="shared" si="0"/>
        <v>0</v>
      </c>
    </row>
    <row r="7" spans="1:13" x14ac:dyDescent="0.35">
      <c r="A7" s="695"/>
      <c r="B7" s="124" t="s">
        <v>124</v>
      </c>
      <c r="C7" s="249">
        <f>'Cost Calculator'!D5</f>
        <v>0</v>
      </c>
      <c r="D7" s="101">
        <f>'Cost Calculator'!D8</f>
        <v>0</v>
      </c>
      <c r="E7" s="101">
        <f>'Cost Calculator'!D11</f>
        <v>0</v>
      </c>
      <c r="F7" s="101">
        <f>'Cost Calculator'!D14</f>
        <v>0</v>
      </c>
      <c r="G7" s="101">
        <f>'Cost Calculator'!D17</f>
        <v>0</v>
      </c>
      <c r="H7" s="101">
        <f>'Cost Calculator'!D20</f>
        <v>0</v>
      </c>
      <c r="I7" s="101">
        <f>'Cost Calculator'!D23</f>
        <v>0</v>
      </c>
      <c r="J7" s="101">
        <f>'Cost Calculator'!D26</f>
        <v>0</v>
      </c>
      <c r="K7" s="101">
        <f>'Cost Calculator'!D29</f>
        <v>0</v>
      </c>
      <c r="L7" s="101">
        <f>'Cost Calculator'!D32</f>
        <v>0</v>
      </c>
      <c r="M7" s="127">
        <f>'Cost Calculator'!D35</f>
        <v>0</v>
      </c>
    </row>
    <row r="8" spans="1:13" x14ac:dyDescent="0.35">
      <c r="A8" s="695"/>
      <c r="B8" s="24" t="s">
        <v>125</v>
      </c>
      <c r="C8" s="250">
        <f>'Cost Calculator'!D6</f>
        <v>37393.661774329245</v>
      </c>
      <c r="D8" s="92">
        <f>'Cost Calculator'!D9</f>
        <v>0</v>
      </c>
      <c r="E8" s="92">
        <f>'Cost Calculator'!D12</f>
        <v>0</v>
      </c>
      <c r="F8" s="92">
        <f>'Cost Calculator'!D15</f>
        <v>0</v>
      </c>
      <c r="G8" s="92">
        <f>'Cost Calculator'!D18</f>
        <v>0</v>
      </c>
      <c r="H8" s="92">
        <f>'Cost Calculator'!D21</f>
        <v>0</v>
      </c>
      <c r="I8" s="92">
        <f>'Cost Calculator'!D24</f>
        <v>0</v>
      </c>
      <c r="J8" s="92">
        <f>'Cost Calculator'!D27</f>
        <v>0</v>
      </c>
      <c r="K8" s="92">
        <f>'Cost Calculator'!D30</f>
        <v>0</v>
      </c>
      <c r="L8" s="92">
        <f>'Cost Calculator'!D33</f>
        <v>0</v>
      </c>
      <c r="M8" s="128">
        <f>'Cost Calculator'!D36</f>
        <v>0</v>
      </c>
    </row>
    <row r="9" spans="1:13" x14ac:dyDescent="0.35">
      <c r="A9" s="695"/>
      <c r="B9" s="24" t="s">
        <v>126</v>
      </c>
      <c r="C9" s="250">
        <f>'Cost Calculator'!D7</f>
        <v>0</v>
      </c>
      <c r="D9" s="92">
        <f>'Cost Calculator'!D10</f>
        <v>0</v>
      </c>
      <c r="E9" s="92">
        <f>'Cost Calculator'!D13</f>
        <v>0</v>
      </c>
      <c r="F9" s="92">
        <f>'Cost Calculator'!D16</f>
        <v>0</v>
      </c>
      <c r="G9" s="92">
        <f>'Cost Calculator'!D19</f>
        <v>0</v>
      </c>
      <c r="H9" s="92">
        <f>'Cost Calculator'!D22</f>
        <v>0</v>
      </c>
      <c r="I9" s="92">
        <f>'Cost Calculator'!D25</f>
        <v>0</v>
      </c>
      <c r="J9" s="92">
        <f>'Cost Calculator'!D28</f>
        <v>0</v>
      </c>
      <c r="K9" s="92">
        <f>'Cost Calculator'!D31</f>
        <v>0</v>
      </c>
      <c r="L9" s="92">
        <f>'Cost Calculator'!D34</f>
        <v>0</v>
      </c>
      <c r="M9" s="128">
        <f>'Cost Calculator'!D37</f>
        <v>0</v>
      </c>
    </row>
    <row r="10" spans="1:13" ht="15" thickBot="1" x14ac:dyDescent="0.4">
      <c r="A10" s="696"/>
      <c r="B10" s="125" t="s">
        <v>127</v>
      </c>
      <c r="C10" s="251">
        <f>SUM(C7:C9)</f>
        <v>37393.661774329245</v>
      </c>
      <c r="D10" s="102">
        <f t="shared" ref="D10:M10" si="1">SUM(D7:D9)</f>
        <v>0</v>
      </c>
      <c r="E10" s="102">
        <f t="shared" si="1"/>
        <v>0</v>
      </c>
      <c r="F10" s="102">
        <f t="shared" si="1"/>
        <v>0</v>
      </c>
      <c r="G10" s="102">
        <f t="shared" si="1"/>
        <v>0</v>
      </c>
      <c r="H10" s="102">
        <f t="shared" si="1"/>
        <v>0</v>
      </c>
      <c r="I10" s="102">
        <f t="shared" si="1"/>
        <v>0</v>
      </c>
      <c r="J10" s="102">
        <f t="shared" si="1"/>
        <v>0</v>
      </c>
      <c r="K10" s="102">
        <f t="shared" si="1"/>
        <v>0</v>
      </c>
      <c r="L10" s="102">
        <f t="shared" si="1"/>
        <v>0</v>
      </c>
      <c r="M10" s="129">
        <f t="shared" si="1"/>
        <v>0</v>
      </c>
    </row>
    <row r="11" spans="1:13" x14ac:dyDescent="0.35">
      <c r="A11" s="697" t="s">
        <v>128</v>
      </c>
      <c r="B11" s="253" t="s">
        <v>63</v>
      </c>
      <c r="C11" s="250">
        <f>SUM('Benefits Calc'!J5:J10)</f>
        <v>0</v>
      </c>
      <c r="D11" s="92">
        <f>SUM('Benefits Calc'!J11:J16)</f>
        <v>0</v>
      </c>
      <c r="E11" s="92">
        <f>SUM('Benefits Calc'!J17:J22)</f>
        <v>0</v>
      </c>
      <c r="F11" s="92">
        <f>SUM('Benefits Calc'!J23:J28)</f>
        <v>0</v>
      </c>
      <c r="G11" s="92">
        <f>SUM('Benefits Calc'!J29:J34)</f>
        <v>0</v>
      </c>
      <c r="H11" s="92">
        <f>SUM('Benefits Calc'!J35:J40)</f>
        <v>0</v>
      </c>
      <c r="I11" s="92">
        <f>SUM('Benefits Calc'!J41:J46)</f>
        <v>0</v>
      </c>
      <c r="J11" s="92">
        <f>SUM('Benefits Calc'!J47:J52)</f>
        <v>0</v>
      </c>
      <c r="K11" s="92">
        <f>SUM('Benefits Calc'!J53:J58)</f>
        <v>0</v>
      </c>
      <c r="L11" s="92">
        <f>SUM('Benefits Calc'!J59:J64)</f>
        <v>0</v>
      </c>
      <c r="M11" s="114">
        <f>SUM('Benefits Calc'!J65:J70)</f>
        <v>0</v>
      </c>
    </row>
    <row r="12" spans="1:13" x14ac:dyDescent="0.35">
      <c r="A12" s="697"/>
      <c r="B12" s="253" t="s">
        <v>129</v>
      </c>
      <c r="C12" s="250">
        <f>SUM('Benefits Calc'!K5:K10)</f>
        <v>0</v>
      </c>
      <c r="D12" s="92">
        <f>SUM('Benefits Calc'!K11:K16)</f>
        <v>0</v>
      </c>
      <c r="E12" s="92">
        <f>SUM('Benefits Calc'!K17:K22)</f>
        <v>0</v>
      </c>
      <c r="F12" s="92">
        <f>SUM('Benefits Calc'!K23:K28)</f>
        <v>0</v>
      </c>
      <c r="G12" s="92">
        <f>SUM('Benefits Calc'!K29:K34)</f>
        <v>0</v>
      </c>
      <c r="H12" s="92">
        <f>SUM('Benefits Calc'!K35:K40)</f>
        <v>0</v>
      </c>
      <c r="I12" s="92">
        <f>SUM('Benefits Calc'!K41:K46)</f>
        <v>0</v>
      </c>
      <c r="J12" s="92">
        <f>SUM('Benefits Calc'!K47:K52)</f>
        <v>0</v>
      </c>
      <c r="K12" s="92">
        <f>SUM('Benefits Calc'!K53:K58)</f>
        <v>0</v>
      </c>
      <c r="L12" s="92">
        <f>SUM('Benefits Calc'!K59:K64)</f>
        <v>0</v>
      </c>
      <c r="M12" s="114">
        <f>SUM('Benefits Calc'!K65:K70)</f>
        <v>0</v>
      </c>
    </row>
    <row r="13" spans="1:13" x14ac:dyDescent="0.35">
      <c r="A13" s="697"/>
      <c r="B13" s="253" t="s">
        <v>130</v>
      </c>
      <c r="C13" s="250">
        <f>SUM('Benefits Calc'!L5:L10)</f>
        <v>0</v>
      </c>
      <c r="D13" s="92">
        <f>SUM('Benefits Calc'!L11:L16)</f>
        <v>0</v>
      </c>
      <c r="E13" s="92">
        <f>SUM('Benefits Calc'!L17:L22)</f>
        <v>0</v>
      </c>
      <c r="F13" s="92">
        <f>SUM('Benefits Calc'!L23:L28)</f>
        <v>0</v>
      </c>
      <c r="G13" s="92">
        <f>SUM('Benefits Calc'!L29:L34)</f>
        <v>0</v>
      </c>
      <c r="H13" s="92">
        <f>SUM('Benefits Calc'!L35:L40)</f>
        <v>0</v>
      </c>
      <c r="I13" s="92">
        <f>SUM('Benefits Calc'!L41:L46)</f>
        <v>0</v>
      </c>
      <c r="J13" s="92">
        <f>SUM('Benefits Calc'!L47:L52)</f>
        <v>0</v>
      </c>
      <c r="K13" s="92">
        <f>SUM('Benefits Calc'!L53:L58)</f>
        <v>0</v>
      </c>
      <c r="L13" s="92">
        <f>SUM('Benefits Calc'!L59:L64)</f>
        <v>0</v>
      </c>
      <c r="M13" s="114">
        <f>SUM('Benefits Calc'!L65:L70)</f>
        <v>0</v>
      </c>
    </row>
    <row r="14" spans="1:13" x14ac:dyDescent="0.35">
      <c r="A14" s="697"/>
      <c r="B14" s="253" t="s">
        <v>131</v>
      </c>
      <c r="C14" s="250">
        <f>SUM('Benefits Calc'!M5:M10)</f>
        <v>0</v>
      </c>
      <c r="D14" s="92">
        <f>SUM('Benefits Calc'!M11:M16)</f>
        <v>0</v>
      </c>
      <c r="E14" s="92">
        <f>SUM('Benefits Calc'!M17:M22)</f>
        <v>0</v>
      </c>
      <c r="F14" s="92">
        <f>SUM('Benefits Calc'!M23:M28)</f>
        <v>0</v>
      </c>
      <c r="G14" s="92">
        <f>SUM('Benefits Calc'!M29:M34)</f>
        <v>0</v>
      </c>
      <c r="H14" s="92">
        <f>SUM('Benefits Calc'!M35:M40)</f>
        <v>0</v>
      </c>
      <c r="I14" s="92">
        <f>SUM('Benefits Calc'!M41:M46)</f>
        <v>0</v>
      </c>
      <c r="J14" s="92">
        <f>SUM('Benefits Calc'!M47:M52)</f>
        <v>0</v>
      </c>
      <c r="K14" s="92">
        <f>SUM('Benefits Calc'!M53:M58)</f>
        <v>0</v>
      </c>
      <c r="L14" s="92">
        <f>SUM('Benefits Calc'!M59:M64)</f>
        <v>0</v>
      </c>
      <c r="M14" s="114">
        <f>SUM('Benefits Calc'!M65:M70)</f>
        <v>0</v>
      </c>
    </row>
    <row r="15" spans="1:13" x14ac:dyDescent="0.35">
      <c r="A15" s="697"/>
      <c r="B15" s="253" t="s">
        <v>132</v>
      </c>
      <c r="C15" s="250">
        <f>SUM('Benefits Calc'!O5:O10)</f>
        <v>0</v>
      </c>
      <c r="D15" s="92">
        <f>SUM('Benefits Calc'!O11:O16)</f>
        <v>0</v>
      </c>
      <c r="E15" s="92">
        <f>SUM('Benefits Calc'!O17:O22)</f>
        <v>0</v>
      </c>
      <c r="F15" s="92">
        <f>SUM('Benefits Calc'!O23:O28)</f>
        <v>0</v>
      </c>
      <c r="G15" s="92">
        <f>SUM('Benefits Calc'!O29:O34)</f>
        <v>0</v>
      </c>
      <c r="H15" s="92">
        <f>SUM('Benefits Calc'!O35:O40)</f>
        <v>0</v>
      </c>
      <c r="I15" s="92">
        <f>SUM('Benefits Calc'!O41:O46)</f>
        <v>0</v>
      </c>
      <c r="J15" s="92">
        <f>SUM('Benefits Calc'!O47:O52)</f>
        <v>0</v>
      </c>
      <c r="K15" s="92">
        <f>SUM('Benefits Calc'!O53:O58)</f>
        <v>0</v>
      </c>
      <c r="L15" s="92">
        <f>SUM('Benefits Calc'!O59:O64)</f>
        <v>0</v>
      </c>
      <c r="M15" s="114">
        <f>SUM('Benefits Calc'!O65:O70)</f>
        <v>0</v>
      </c>
    </row>
    <row r="16" spans="1:13" ht="15" thickBot="1" x14ac:dyDescent="0.4">
      <c r="A16" s="697"/>
      <c r="B16" s="253" t="s">
        <v>133</v>
      </c>
      <c r="C16" s="250">
        <f t="shared" ref="C16:M16" si="2">SUM(C11:C15)</f>
        <v>0</v>
      </c>
      <c r="D16" s="92">
        <f t="shared" si="2"/>
        <v>0</v>
      </c>
      <c r="E16" s="92">
        <f t="shared" si="2"/>
        <v>0</v>
      </c>
      <c r="F16" s="92">
        <f t="shared" si="2"/>
        <v>0</v>
      </c>
      <c r="G16" s="92">
        <f t="shared" si="2"/>
        <v>0</v>
      </c>
      <c r="H16" s="92">
        <f t="shared" si="2"/>
        <v>0</v>
      </c>
      <c r="I16" s="92">
        <f t="shared" si="2"/>
        <v>0</v>
      </c>
      <c r="J16" s="92">
        <f t="shared" si="2"/>
        <v>0</v>
      </c>
      <c r="K16" s="92">
        <f t="shared" si="2"/>
        <v>0</v>
      </c>
      <c r="L16" s="92">
        <f t="shared" si="2"/>
        <v>0</v>
      </c>
      <c r="M16" s="114">
        <f t="shared" si="2"/>
        <v>0</v>
      </c>
    </row>
    <row r="17" spans="1:13" x14ac:dyDescent="0.35">
      <c r="A17" s="689" t="s">
        <v>134</v>
      </c>
      <c r="B17" s="254" t="s">
        <v>135</v>
      </c>
      <c r="C17" s="249">
        <f>'Inputs-System'!$C$16</f>
        <v>0</v>
      </c>
      <c r="D17" s="101">
        <f>'Inputs-System'!$C$16</f>
        <v>0</v>
      </c>
      <c r="E17" s="101">
        <f>'Inputs-System'!$C$16</f>
        <v>0</v>
      </c>
      <c r="F17" s="101">
        <f>'Inputs-System'!$C$16</f>
        <v>0</v>
      </c>
      <c r="G17" s="101">
        <f>'Inputs-System'!$C$16</f>
        <v>0</v>
      </c>
      <c r="H17" s="101">
        <f>'Inputs-System'!$C$16</f>
        <v>0</v>
      </c>
      <c r="I17" s="101">
        <f>'Inputs-System'!$C$16</f>
        <v>0</v>
      </c>
      <c r="J17" s="101">
        <f>'Inputs-System'!$C$16</f>
        <v>0</v>
      </c>
      <c r="K17" s="101">
        <f>'Inputs-System'!$C$16</f>
        <v>0</v>
      </c>
      <c r="L17" s="101">
        <f>'Inputs-System'!$C$16</f>
        <v>0</v>
      </c>
      <c r="M17" s="127">
        <f>'Inputs-System'!$C$16</f>
        <v>0</v>
      </c>
    </row>
    <row r="18" spans="1:13" ht="15" thickBot="1" x14ac:dyDescent="0.4">
      <c r="A18" s="690"/>
      <c r="B18" s="255" t="s">
        <v>136</v>
      </c>
      <c r="C18" s="250">
        <f>'Inputs-System'!$C$17</f>
        <v>0</v>
      </c>
      <c r="D18" s="92">
        <f>'Inputs-System'!$C$17</f>
        <v>0</v>
      </c>
      <c r="E18" s="92">
        <f>'Inputs-System'!$C$17</f>
        <v>0</v>
      </c>
      <c r="F18" s="92">
        <f>'Inputs-System'!$C$17</f>
        <v>0</v>
      </c>
      <c r="G18" s="92">
        <f>'Inputs-System'!$C$17</f>
        <v>0</v>
      </c>
      <c r="H18" s="92">
        <f>'Inputs-System'!$C$17</f>
        <v>0</v>
      </c>
      <c r="I18" s="92">
        <f>'Inputs-System'!$C$17</f>
        <v>0</v>
      </c>
      <c r="J18" s="92">
        <f>'Inputs-System'!$C$17</f>
        <v>0</v>
      </c>
      <c r="K18" s="92">
        <f>'Inputs-System'!$C$17</f>
        <v>0</v>
      </c>
      <c r="L18" s="92">
        <f>'Inputs-System'!$C$17</f>
        <v>0</v>
      </c>
      <c r="M18" s="128">
        <f>'Inputs-System'!$C$17</f>
        <v>0</v>
      </c>
    </row>
    <row r="19" spans="1:13" x14ac:dyDescent="0.35">
      <c r="A19" s="687" t="s">
        <v>137</v>
      </c>
      <c r="B19" s="372" t="s">
        <v>138</v>
      </c>
      <c r="C19" s="373">
        <f>SUM(C16,C17,C18)</f>
        <v>0</v>
      </c>
      <c r="D19" s="374">
        <f>SUM(D16,D17,D18)</f>
        <v>0</v>
      </c>
      <c r="E19" s="374">
        <f t="shared" ref="E19:M19" si="3">SUM(E16,E17,E18)</f>
        <v>0</v>
      </c>
      <c r="F19" s="374">
        <f t="shared" si="3"/>
        <v>0</v>
      </c>
      <c r="G19" s="374">
        <f t="shared" si="3"/>
        <v>0</v>
      </c>
      <c r="H19" s="374">
        <f t="shared" si="3"/>
        <v>0</v>
      </c>
      <c r="I19" s="374">
        <f t="shared" si="3"/>
        <v>0</v>
      </c>
      <c r="J19" s="374">
        <f t="shared" si="3"/>
        <v>0</v>
      </c>
      <c r="K19" s="374">
        <f t="shared" si="3"/>
        <v>0</v>
      </c>
      <c r="L19" s="374">
        <f t="shared" si="3"/>
        <v>0</v>
      </c>
      <c r="M19" s="375">
        <f t="shared" si="3"/>
        <v>0</v>
      </c>
    </row>
    <row r="20" spans="1:13" ht="15" thickBot="1" x14ac:dyDescent="0.4">
      <c r="A20" s="688"/>
      <c r="B20" s="378" t="s">
        <v>139</v>
      </c>
      <c r="C20" s="379" t="e">
        <f>SUM(C16,C17,C18)-#REF!-C15</f>
        <v>#REF!</v>
      </c>
      <c r="D20" s="380" t="e">
        <f>SUM(D16,D17,D18)-#REF!-D15</f>
        <v>#REF!</v>
      </c>
      <c r="E20" s="380" t="e">
        <f>SUM(E16,E17,E18)-#REF!-E15</f>
        <v>#REF!</v>
      </c>
      <c r="F20" s="380" t="e">
        <f>SUM(F16,F17,F18)-#REF!-F15</f>
        <v>#REF!</v>
      </c>
      <c r="G20" s="380" t="e">
        <f>SUM(G16,G17,G18)-#REF!-G15</f>
        <v>#REF!</v>
      </c>
      <c r="H20" s="380" t="e">
        <f>SUM(H16,H17,H18)-#REF!-H15</f>
        <v>#REF!</v>
      </c>
      <c r="I20" s="380" t="e">
        <f>SUM(I16,I17,I18)-#REF!-I15</f>
        <v>#REF!</v>
      </c>
      <c r="J20" s="380" t="e">
        <f>SUM(J16,J17,J18)-#REF!-J15</f>
        <v>#REF!</v>
      </c>
      <c r="K20" s="380" t="e">
        <f>SUM(K16,K17,K18)-#REF!-K15</f>
        <v>#REF!</v>
      </c>
      <c r="L20" s="380" t="e">
        <f>SUM(L16,L17,L18)-#REF!-L15</f>
        <v>#REF!</v>
      </c>
      <c r="M20" s="381" t="e">
        <f>SUM(M16,M17,M18)-#REF!-M15</f>
        <v>#REF!</v>
      </c>
    </row>
    <row r="21" spans="1:13" x14ac:dyDescent="0.35">
      <c r="A21" s="691" t="s">
        <v>140</v>
      </c>
      <c r="B21" s="394" t="s">
        <v>141</v>
      </c>
      <c r="C21" s="395">
        <f t="shared" ref="C21:M21" si="4">C19/C10</f>
        <v>0</v>
      </c>
      <c r="D21" s="396" t="e">
        <f t="shared" si="4"/>
        <v>#DIV/0!</v>
      </c>
      <c r="E21" s="396" t="e">
        <f t="shared" si="4"/>
        <v>#DIV/0!</v>
      </c>
      <c r="F21" s="396" t="e">
        <f t="shared" si="4"/>
        <v>#DIV/0!</v>
      </c>
      <c r="G21" s="396" t="e">
        <f t="shared" si="4"/>
        <v>#DIV/0!</v>
      </c>
      <c r="H21" s="396" t="e">
        <f t="shared" si="4"/>
        <v>#DIV/0!</v>
      </c>
      <c r="I21" s="396" t="e">
        <f t="shared" si="4"/>
        <v>#DIV/0!</v>
      </c>
      <c r="J21" s="396" t="e">
        <f t="shared" si="4"/>
        <v>#DIV/0!</v>
      </c>
      <c r="K21" s="396" t="e">
        <f t="shared" si="4"/>
        <v>#DIV/0!</v>
      </c>
      <c r="L21" s="396" t="e">
        <f t="shared" si="4"/>
        <v>#DIV/0!</v>
      </c>
      <c r="M21" s="397" t="e">
        <f t="shared" si="4"/>
        <v>#DIV/0!</v>
      </c>
    </row>
    <row r="22" spans="1:13" x14ac:dyDescent="0.35">
      <c r="A22" s="692"/>
      <c r="B22" s="386" t="s">
        <v>142</v>
      </c>
      <c r="C22" s="384">
        <f t="shared" ref="C22:M22" si="5">C19-C10</f>
        <v>-37393.661774329245</v>
      </c>
      <c r="D22" s="385">
        <f t="shared" si="5"/>
        <v>0</v>
      </c>
      <c r="E22" s="385">
        <f t="shared" si="5"/>
        <v>0</v>
      </c>
      <c r="F22" s="385">
        <f t="shared" si="5"/>
        <v>0</v>
      </c>
      <c r="G22" s="385">
        <f t="shared" si="5"/>
        <v>0</v>
      </c>
      <c r="H22" s="385">
        <f t="shared" si="5"/>
        <v>0</v>
      </c>
      <c r="I22" s="385">
        <f t="shared" si="5"/>
        <v>0</v>
      </c>
      <c r="J22" s="385">
        <f t="shared" si="5"/>
        <v>0</v>
      </c>
      <c r="K22" s="385">
        <f t="shared" si="5"/>
        <v>0</v>
      </c>
      <c r="L22" s="385">
        <f t="shared" si="5"/>
        <v>0</v>
      </c>
      <c r="M22" s="398">
        <f t="shared" si="5"/>
        <v>0</v>
      </c>
    </row>
    <row r="23" spans="1:13" ht="15" thickBot="1" x14ac:dyDescent="0.4">
      <c r="A23" s="693"/>
      <c r="B23" s="399" t="s">
        <v>143</v>
      </c>
      <c r="C23" s="400" t="str">
        <f>IF(AND(SUM('Inputs-Proposals'!C16,'Inputs-Proposals'!C22,'Inputs-Proposals'!C28)&gt;='Inputs-System'!$C$10,SUM('Inputs-Proposals'!C17,'Inputs-Proposals'!C23,'Inputs-Proposals'!C29)&gt;='Inputs-System'!$C$11), "Yes", "No")</f>
        <v>Yes</v>
      </c>
      <c r="D23" s="401" t="str">
        <f>IF(AND(SUM('Inputs-Proposals'!D16,'Inputs-Proposals'!D22,'Inputs-Proposals'!D28)&gt;='Inputs-System'!$C$10,SUM('Inputs-Proposals'!D17,'Inputs-Proposals'!D23,'Inputs-Proposals'!D29)&gt;='Inputs-System'!$C$11), "Yes", "No")</f>
        <v>Yes</v>
      </c>
      <c r="E23" s="401" t="str">
        <f>IF(AND(SUM('Inputs-Proposals'!E16,'Inputs-Proposals'!E22,'Inputs-Proposals'!E28)&gt;='Inputs-System'!$C$10,SUM('Inputs-Proposals'!E17,'Inputs-Proposals'!E23,'Inputs-Proposals'!E29)&gt;='Inputs-System'!$C$11), "Yes", "No")</f>
        <v>Yes</v>
      </c>
      <c r="F23" s="401" t="str">
        <f>IF(AND(SUM('Inputs-Proposals'!F16,'Inputs-Proposals'!F22,'Inputs-Proposals'!F28)&gt;='Inputs-System'!$C$10,SUM('Inputs-Proposals'!F17,'Inputs-Proposals'!F23,'Inputs-Proposals'!F29)&gt;='Inputs-System'!$C$11), "Yes", "No")</f>
        <v>Yes</v>
      </c>
      <c r="G23" s="401" t="str">
        <f>IF(AND(SUM('Inputs-Proposals'!G16,'Inputs-Proposals'!G22,'Inputs-Proposals'!G28)&gt;='Inputs-System'!$C$10,SUM('Inputs-Proposals'!G17,'Inputs-Proposals'!G23,'Inputs-Proposals'!G29)&gt;='Inputs-System'!$C$11), "Yes", "No")</f>
        <v>Yes</v>
      </c>
      <c r="H23" s="401" t="str">
        <f>IF(AND(SUM('Inputs-Proposals'!H16,'Inputs-Proposals'!H22,'Inputs-Proposals'!H28)&gt;='Inputs-System'!$C$10,SUM('Inputs-Proposals'!H17,'Inputs-Proposals'!H23,'Inputs-Proposals'!H29)&gt;='Inputs-System'!$C$11), "Yes", "No")</f>
        <v>Yes</v>
      </c>
      <c r="I23" s="401" t="str">
        <f>IF(AND(SUM('Inputs-Proposals'!I16,'Inputs-Proposals'!I22,'Inputs-Proposals'!I28)&gt;='Inputs-System'!$C$10,SUM('Inputs-Proposals'!I17,'Inputs-Proposals'!I23,'Inputs-Proposals'!I29)&gt;='Inputs-System'!$C$11), "Yes", "No")</f>
        <v>Yes</v>
      </c>
      <c r="J23" s="401" t="str">
        <f>IF(AND(SUM('Inputs-Proposals'!J16,'Inputs-Proposals'!J22,'Inputs-Proposals'!J28)&gt;='Inputs-System'!$C$10,SUM('Inputs-Proposals'!J17,'Inputs-Proposals'!J23,'Inputs-Proposals'!J29)&gt;='Inputs-System'!$C$11), "Yes", "No")</f>
        <v>Yes</v>
      </c>
      <c r="K23" s="401" t="str">
        <f>IF(AND(SUM('Inputs-Proposals'!K16,'Inputs-Proposals'!K22,'Inputs-Proposals'!K28)&gt;='Inputs-System'!$C$10,SUM('Inputs-Proposals'!K17,'Inputs-Proposals'!K23,'Inputs-Proposals'!K29)&gt;='Inputs-System'!$C$11), "Yes", "No")</f>
        <v>Yes</v>
      </c>
      <c r="L23" s="401" t="str">
        <f>IF(AND(SUM('Inputs-Proposals'!L16,'Inputs-Proposals'!L22,'Inputs-Proposals'!L28)&gt;='Inputs-System'!$C$10,SUM('Inputs-Proposals'!L17,'Inputs-Proposals'!L23,'Inputs-Proposals'!L29)&gt;='Inputs-System'!$C$11), "Yes", "No")</f>
        <v>Yes</v>
      </c>
      <c r="M23" s="402" t="str">
        <f>IF(AND(SUM('Inputs-Proposals'!M16,'Inputs-Proposals'!M22,'Inputs-Proposals'!M28)&gt;='Inputs-System'!$C$10,SUM('Inputs-Proposals'!M17,'Inputs-Proposals'!M23,'Inputs-Proposals'!M29)&gt;='Inputs-System'!$C$11), "Yes", "No")</f>
        <v>Yes</v>
      </c>
    </row>
    <row r="24" spans="1:13" x14ac:dyDescent="0.35">
      <c r="A24" s="698" t="s">
        <v>144</v>
      </c>
      <c r="B24" s="376" t="s">
        <v>145</v>
      </c>
      <c r="C24" s="383" t="e">
        <f t="shared" ref="C24:M24" si="6">C20/C10</f>
        <v>#REF!</v>
      </c>
      <c r="D24" s="387" t="e">
        <f t="shared" si="6"/>
        <v>#REF!</v>
      </c>
      <c r="E24" s="387" t="e">
        <f t="shared" si="6"/>
        <v>#REF!</v>
      </c>
      <c r="F24" s="387" t="e">
        <f t="shared" si="6"/>
        <v>#REF!</v>
      </c>
      <c r="G24" s="387" t="e">
        <f t="shared" si="6"/>
        <v>#REF!</v>
      </c>
      <c r="H24" s="387" t="e">
        <f t="shared" si="6"/>
        <v>#REF!</v>
      </c>
      <c r="I24" s="387" t="e">
        <f t="shared" si="6"/>
        <v>#REF!</v>
      </c>
      <c r="J24" s="387" t="e">
        <f t="shared" si="6"/>
        <v>#REF!</v>
      </c>
      <c r="K24" s="387" t="e">
        <f t="shared" si="6"/>
        <v>#REF!</v>
      </c>
      <c r="L24" s="387" t="e">
        <f t="shared" si="6"/>
        <v>#REF!</v>
      </c>
      <c r="M24" s="388" t="e">
        <f t="shared" si="6"/>
        <v>#REF!</v>
      </c>
    </row>
    <row r="25" spans="1:13" ht="15" thickBot="1" x14ac:dyDescent="0.4">
      <c r="A25" s="699"/>
      <c r="B25" s="377" t="s">
        <v>146</v>
      </c>
      <c r="C25" s="382" t="e">
        <f t="shared" ref="C25:M25" si="7">C20-C10</f>
        <v>#REF!</v>
      </c>
      <c r="D25" s="389" t="e">
        <f t="shared" si="7"/>
        <v>#REF!</v>
      </c>
      <c r="E25" s="389" t="e">
        <f t="shared" si="7"/>
        <v>#REF!</v>
      </c>
      <c r="F25" s="389" t="e">
        <f t="shared" si="7"/>
        <v>#REF!</v>
      </c>
      <c r="G25" s="389" t="e">
        <f t="shared" si="7"/>
        <v>#REF!</v>
      </c>
      <c r="H25" s="389" t="e">
        <f t="shared" si="7"/>
        <v>#REF!</v>
      </c>
      <c r="I25" s="389" t="e">
        <f t="shared" si="7"/>
        <v>#REF!</v>
      </c>
      <c r="J25" s="389" t="e">
        <f t="shared" si="7"/>
        <v>#REF!</v>
      </c>
      <c r="K25" s="389" t="e">
        <f t="shared" si="7"/>
        <v>#REF!</v>
      </c>
      <c r="L25" s="389" t="e">
        <f t="shared" si="7"/>
        <v>#REF!</v>
      </c>
      <c r="M25" s="390" t="e">
        <f t="shared" si="7"/>
        <v>#REF!</v>
      </c>
    </row>
    <row r="26" spans="1:13" ht="29.5" thickBot="1" x14ac:dyDescent="0.4">
      <c r="A26" s="256" t="s">
        <v>147</v>
      </c>
      <c r="B26" s="257" t="s">
        <v>148</v>
      </c>
      <c r="C26" s="252" t="str">
        <f>IF(C21&gt;=('Inputs-System'!$C$15), "Yes", "No")</f>
        <v>Yes</v>
      </c>
      <c r="D26" s="126" t="e">
        <f>IF(D21&gt;=('Inputs-System'!$C$15), "Yes", "No")</f>
        <v>#DIV/0!</v>
      </c>
      <c r="E26" s="126" t="e">
        <f>IF(E21&gt;=('Inputs-System'!$C$15), "Yes", "No")</f>
        <v>#DIV/0!</v>
      </c>
      <c r="F26" s="126" t="e">
        <f>IF(F21&gt;=('Inputs-System'!$C$15), "Yes", "No")</f>
        <v>#DIV/0!</v>
      </c>
      <c r="G26" s="126" t="e">
        <f>IF(G21&gt;=('Inputs-System'!$C$15), "Yes", "No")</f>
        <v>#DIV/0!</v>
      </c>
      <c r="H26" s="126" t="e">
        <f>IF(H21&gt;=('Inputs-System'!$C$15), "Yes", "No")</f>
        <v>#DIV/0!</v>
      </c>
      <c r="I26" s="126" t="e">
        <f>IF(I21&gt;=('Inputs-System'!$C$15), "Yes", "No")</f>
        <v>#DIV/0!</v>
      </c>
      <c r="J26" s="126" t="e">
        <f>IF(J21&gt;=('Inputs-System'!$C$15), "Yes", "No")</f>
        <v>#DIV/0!</v>
      </c>
      <c r="K26" s="126" t="e">
        <f>IF(K21&gt;=('Inputs-System'!$C$15), "Yes", "No")</f>
        <v>#DIV/0!</v>
      </c>
      <c r="L26" s="126" t="e">
        <f>IF(L21&gt;=('Inputs-System'!$C$15), "Yes", "No")</f>
        <v>#DIV/0!</v>
      </c>
      <c r="M26" s="214" t="e">
        <f>IF(M21&gt;=('Inputs-System'!$C$15), "Yes", "No")</f>
        <v>#DIV/0!</v>
      </c>
    </row>
    <row r="28" spans="1:13" x14ac:dyDescent="0.35">
      <c r="A28" s="686" t="s">
        <v>149</v>
      </c>
      <c r="B28" s="686"/>
      <c r="C28" s="686"/>
      <c r="D28" s="686"/>
      <c r="E28" s="686"/>
      <c r="F28" s="686"/>
      <c r="G28" s="686"/>
      <c r="H28" s="686"/>
      <c r="I28" s="686"/>
      <c r="J28" s="686"/>
      <c r="K28" s="686"/>
      <c r="L28" s="686"/>
      <c r="M28" s="686"/>
    </row>
    <row r="29" spans="1:13" ht="24" customHeight="1" x14ac:dyDescent="0.35">
      <c r="A29" s="686" t="s">
        <v>150</v>
      </c>
      <c r="B29" s="686"/>
      <c r="C29" s="686"/>
      <c r="D29" s="686"/>
      <c r="E29" s="686"/>
      <c r="F29" s="686"/>
      <c r="G29" s="686"/>
      <c r="H29" s="686"/>
      <c r="I29" s="686"/>
      <c r="J29" s="686"/>
      <c r="K29" s="686"/>
      <c r="L29" s="686"/>
      <c r="M29" s="686"/>
    </row>
  </sheetData>
  <mergeCells count="9">
    <mergeCell ref="A29:M29"/>
    <mergeCell ref="A19:A20"/>
    <mergeCell ref="A28:M28"/>
    <mergeCell ref="A17:A18"/>
    <mergeCell ref="A1:M1"/>
    <mergeCell ref="A21:A23"/>
    <mergeCell ref="A3:A10"/>
    <mergeCell ref="A11:A16"/>
    <mergeCell ref="A24:A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148C"/>
  </sheetPr>
  <dimension ref="A1:EQ70"/>
  <sheetViews>
    <sheetView zoomScaleNormal="100" workbookViewId="0">
      <pane xSplit="2" ySplit="4" topLeftCell="C5" activePane="bottomRight" state="frozen"/>
      <selection pane="topRight" activeCell="C1" sqref="C1"/>
      <selection pane="bottomLeft" activeCell="A7" sqref="A7"/>
      <selection pane="bottomRight" activeCell="EB5" sqref="EB5"/>
    </sheetView>
  </sheetViews>
  <sheetFormatPr defaultColWidth="9.1796875" defaultRowHeight="14.5" x14ac:dyDescent="0.35"/>
  <cols>
    <col min="1" max="1" width="18.453125" style="3" bestFit="1" customWidth="1"/>
    <col min="2" max="2" width="17.7265625" style="3" bestFit="1" customWidth="1"/>
    <col min="3" max="3" width="6.81640625" style="3" bestFit="1" customWidth="1"/>
    <col min="4" max="6" width="12.7265625" style="3" customWidth="1"/>
    <col min="7" max="7" width="13.81640625" style="3" bestFit="1" customWidth="1"/>
    <col min="8" max="12" width="12.7265625" style="3" customWidth="1"/>
    <col min="13" max="13" width="13.81640625" style="3" bestFit="1" customWidth="1"/>
    <col min="14" max="135" width="12.7265625" style="3" customWidth="1"/>
    <col min="148" max="16384" width="9.1796875" style="3"/>
  </cols>
  <sheetData>
    <row r="1" spans="1:135" ht="28.5" customHeight="1" x14ac:dyDescent="0.35">
      <c r="A1" s="703" t="s">
        <v>151</v>
      </c>
      <c r="B1" s="703"/>
      <c r="C1" s="703"/>
      <c r="D1" s="703"/>
      <c r="E1" s="703"/>
      <c r="F1" s="703"/>
      <c r="G1" s="703"/>
      <c r="H1" s="703"/>
      <c r="I1" s="703"/>
      <c r="J1" s="703"/>
      <c r="K1" s="703"/>
      <c r="L1" s="703"/>
      <c r="M1" s="703"/>
      <c r="N1" s="703"/>
      <c r="O1" s="703"/>
      <c r="P1" s="365"/>
      <c r="Q1" s="365"/>
      <c r="R1" s="365"/>
      <c r="S1" s="365"/>
      <c r="T1" s="365"/>
      <c r="U1" s="365"/>
      <c r="V1" s="365"/>
      <c r="W1" s="365"/>
      <c r="X1" s="365"/>
      <c r="Y1" s="365"/>
      <c r="Z1" s="365"/>
      <c r="AA1" s="365"/>
      <c r="AB1" s="365"/>
      <c r="AC1" s="365"/>
      <c r="AD1" s="365"/>
      <c r="AE1" s="365"/>
      <c r="AF1" s="365"/>
      <c r="AG1" s="365"/>
    </row>
    <row r="2" spans="1:135" x14ac:dyDescent="0.35">
      <c r="R2" s="48"/>
    </row>
    <row r="3" spans="1:135" ht="15" thickBot="1" x14ac:dyDescent="0.4">
      <c r="D3" s="700" t="s">
        <v>152</v>
      </c>
      <c r="E3" s="701"/>
      <c r="F3" s="701"/>
      <c r="G3" s="701"/>
      <c r="H3" s="701"/>
      <c r="I3" s="702"/>
      <c r="J3" s="704" t="s">
        <v>153</v>
      </c>
      <c r="K3" s="705"/>
      <c r="L3" s="705"/>
      <c r="M3" s="705"/>
      <c r="N3" s="705"/>
      <c r="O3" s="706"/>
      <c r="P3" s="700">
        <f>'Inputs-System'!C7</f>
        <v>0</v>
      </c>
      <c r="Q3" s="701"/>
      <c r="R3" s="701"/>
      <c r="S3" s="701"/>
      <c r="T3" s="701"/>
      <c r="U3" s="702"/>
      <c r="V3" s="700" t="str">
        <f>IFERROR(IF('Inputs-System'!$C$8 &gt;=P3+1,P3+1,""),"")</f>
        <v/>
      </c>
      <c r="W3" s="701"/>
      <c r="X3" s="701"/>
      <c r="Y3" s="701"/>
      <c r="Z3" s="701"/>
      <c r="AA3" s="702"/>
      <c r="AB3" s="700" t="str">
        <f>IFERROR(IF('Inputs-System'!$C$8 &gt;=V3+1,V3+1,""),"")</f>
        <v/>
      </c>
      <c r="AC3" s="701"/>
      <c r="AD3" s="701"/>
      <c r="AE3" s="701"/>
      <c r="AF3" s="701"/>
      <c r="AG3" s="702"/>
      <c r="AH3" s="700" t="str">
        <f>IFERROR(IF('Inputs-System'!$C$8 &gt;=AB3+1,AB3+1,""),"")</f>
        <v/>
      </c>
      <c r="AI3" s="701"/>
      <c r="AJ3" s="701"/>
      <c r="AK3" s="701"/>
      <c r="AL3" s="701"/>
      <c r="AM3" s="702"/>
      <c r="AN3" s="700" t="str">
        <f>IFERROR(IF('Inputs-System'!$C$8 &gt;=AH3+1,AH3+1,""),"")</f>
        <v/>
      </c>
      <c r="AO3" s="701"/>
      <c r="AP3" s="701"/>
      <c r="AQ3" s="701"/>
      <c r="AR3" s="701"/>
      <c r="AS3" s="702"/>
      <c r="AT3" s="700" t="str">
        <f>IFERROR(IF('Inputs-System'!$C$8 &gt;=AN3+1,AN3+1,""),"")</f>
        <v/>
      </c>
      <c r="AU3" s="701"/>
      <c r="AV3" s="701"/>
      <c r="AW3" s="701"/>
      <c r="AX3" s="701"/>
      <c r="AY3" s="702"/>
      <c r="AZ3" s="700" t="str">
        <f>IFERROR(IF('Inputs-System'!$C$8 &gt;=AT3+1,AT3+1,""),"")</f>
        <v/>
      </c>
      <c r="BA3" s="701"/>
      <c r="BB3" s="701"/>
      <c r="BC3" s="701"/>
      <c r="BD3" s="701"/>
      <c r="BE3" s="702"/>
      <c r="BF3" s="700" t="str">
        <f>IFERROR(IF('Inputs-System'!$C$8 &gt;=AZ3+1,AZ3+1,""),"")</f>
        <v/>
      </c>
      <c r="BG3" s="701"/>
      <c r="BH3" s="701"/>
      <c r="BI3" s="701"/>
      <c r="BJ3" s="701"/>
      <c r="BK3" s="702"/>
      <c r="BL3" s="700" t="str">
        <f>IFERROR(IF('Inputs-System'!$C$8 &gt;=BF3+1,BF3+1,""),"")</f>
        <v/>
      </c>
      <c r="BM3" s="701"/>
      <c r="BN3" s="701"/>
      <c r="BO3" s="701"/>
      <c r="BP3" s="701"/>
      <c r="BQ3" s="702"/>
      <c r="BR3" s="700" t="str">
        <f>IFERROR(IF('Inputs-System'!$C$8 &gt;=BL3+1,BL3+1,""),"")</f>
        <v/>
      </c>
      <c r="BS3" s="701"/>
      <c r="BT3" s="701"/>
      <c r="BU3" s="701"/>
      <c r="BV3" s="701"/>
      <c r="BW3" s="702"/>
      <c r="BX3" s="700" t="str">
        <f>IFERROR(IF('Inputs-System'!$C$8 &gt;=BR3+1,BR3+1,""),"")</f>
        <v/>
      </c>
      <c r="BY3" s="701"/>
      <c r="BZ3" s="701"/>
      <c r="CA3" s="701"/>
      <c r="CB3" s="701"/>
      <c r="CC3" s="702"/>
      <c r="CD3" s="700" t="str">
        <f>IFERROR(IF('Inputs-System'!$C$8 &gt;=BX3+1,BX3+1,""),"")</f>
        <v/>
      </c>
      <c r="CE3" s="701"/>
      <c r="CF3" s="701"/>
      <c r="CG3" s="701"/>
      <c r="CH3" s="701"/>
      <c r="CI3" s="702"/>
      <c r="CJ3" s="700" t="str">
        <f>IFERROR(IF('Inputs-System'!$C$8 &gt;=CD3+1,CD3+1,""),"")</f>
        <v/>
      </c>
      <c r="CK3" s="701"/>
      <c r="CL3" s="701"/>
      <c r="CM3" s="701"/>
      <c r="CN3" s="701"/>
      <c r="CO3" s="702"/>
      <c r="CP3" s="700" t="str">
        <f>IFERROR(IF('Inputs-System'!$C$8 &gt;=CJ3+1,CJ3+1,""),"")</f>
        <v/>
      </c>
      <c r="CQ3" s="701"/>
      <c r="CR3" s="701"/>
      <c r="CS3" s="701"/>
      <c r="CT3" s="701"/>
      <c r="CU3" s="702"/>
      <c r="CV3" s="700" t="str">
        <f>IFERROR(IF('Inputs-System'!$C$8 &gt;=CP3+1,CP3+1,""),"")</f>
        <v/>
      </c>
      <c r="CW3" s="701"/>
      <c r="CX3" s="701"/>
      <c r="CY3" s="701"/>
      <c r="CZ3" s="701"/>
      <c r="DA3" s="702"/>
      <c r="DB3" s="700" t="str">
        <f>IFERROR(IF('Inputs-System'!$C$8 &gt;=CV3+1,CV3+1,""),"")</f>
        <v/>
      </c>
      <c r="DC3" s="701"/>
      <c r="DD3" s="701"/>
      <c r="DE3" s="701"/>
      <c r="DF3" s="701"/>
      <c r="DG3" s="702"/>
      <c r="DH3" s="700" t="str">
        <f>IFERROR(IF('Inputs-System'!$C$8 &gt;=DB3+1,DB3+1,""),"")</f>
        <v/>
      </c>
      <c r="DI3" s="701"/>
      <c r="DJ3" s="701"/>
      <c r="DK3" s="701"/>
      <c r="DL3" s="701"/>
      <c r="DM3" s="702"/>
      <c r="DN3" s="700" t="str">
        <f>IFERROR(IF('Inputs-System'!$C$8 &gt;=DH3+1,DH3+1,""),"")</f>
        <v/>
      </c>
      <c r="DO3" s="701"/>
      <c r="DP3" s="701"/>
      <c r="DQ3" s="701"/>
      <c r="DR3" s="701"/>
      <c r="DS3" s="702"/>
      <c r="DT3" s="700" t="str">
        <f>IFERROR(IF('Inputs-System'!$C$8 &gt;=DN3+1,DN3+1,""),"")</f>
        <v/>
      </c>
      <c r="DU3" s="701"/>
      <c r="DV3" s="701"/>
      <c r="DW3" s="701"/>
      <c r="DX3" s="701"/>
      <c r="DY3" s="702"/>
      <c r="DZ3" s="700" t="str">
        <f>IFERROR(IF('Inputs-System'!$C$8 &gt;=DT3+1,DT3+1,""),"")</f>
        <v/>
      </c>
      <c r="EA3" s="701"/>
      <c r="EB3" s="701"/>
      <c r="EC3" s="701"/>
      <c r="ED3" s="701"/>
      <c r="EE3" s="702"/>
    </row>
    <row r="4" spans="1:135" s="18" customFormat="1" ht="43.5" x14ac:dyDescent="0.35">
      <c r="A4" s="369" t="s">
        <v>154</v>
      </c>
      <c r="B4" s="370" t="s">
        <v>107</v>
      </c>
      <c r="C4" s="325" t="s">
        <v>155</v>
      </c>
      <c r="D4" s="259" t="s">
        <v>63</v>
      </c>
      <c r="E4" s="98" t="s">
        <v>129</v>
      </c>
      <c r="F4" s="98" t="s">
        <v>130</v>
      </c>
      <c r="G4" s="98" t="s">
        <v>131</v>
      </c>
      <c r="H4" s="98" t="s">
        <v>156</v>
      </c>
      <c r="I4" s="98" t="s">
        <v>157</v>
      </c>
      <c r="J4" s="371" t="s">
        <v>63</v>
      </c>
      <c r="K4" s="338" t="s">
        <v>129</v>
      </c>
      <c r="L4" s="338" t="s">
        <v>130</v>
      </c>
      <c r="M4" s="338" t="s">
        <v>131</v>
      </c>
      <c r="N4" s="338" t="s">
        <v>156</v>
      </c>
      <c r="O4" s="339" t="s">
        <v>157</v>
      </c>
      <c r="P4" s="98" t="s">
        <v>63</v>
      </c>
      <c r="Q4" s="98" t="s">
        <v>129</v>
      </c>
      <c r="R4" s="98" t="s">
        <v>130</v>
      </c>
      <c r="S4" s="98" t="s">
        <v>131</v>
      </c>
      <c r="T4" s="98" t="s">
        <v>156</v>
      </c>
      <c r="U4" s="258" t="s">
        <v>157</v>
      </c>
      <c r="V4" s="259" t="s">
        <v>63</v>
      </c>
      <c r="W4" s="98" t="s">
        <v>129</v>
      </c>
      <c r="X4" s="98" t="s">
        <v>130</v>
      </c>
      <c r="Y4" s="98" t="s">
        <v>131</v>
      </c>
      <c r="Z4" s="98" t="s">
        <v>156</v>
      </c>
      <c r="AA4" s="258" t="s">
        <v>157</v>
      </c>
      <c r="AB4" s="259" t="s">
        <v>63</v>
      </c>
      <c r="AC4" s="98" t="s">
        <v>129</v>
      </c>
      <c r="AD4" s="98" t="s">
        <v>130</v>
      </c>
      <c r="AE4" s="98" t="s">
        <v>131</v>
      </c>
      <c r="AF4" s="98" t="s">
        <v>156</v>
      </c>
      <c r="AG4" s="258" t="s">
        <v>157</v>
      </c>
      <c r="AH4" s="259" t="s">
        <v>63</v>
      </c>
      <c r="AI4" s="98" t="s">
        <v>129</v>
      </c>
      <c r="AJ4" s="98" t="s">
        <v>130</v>
      </c>
      <c r="AK4" s="98" t="s">
        <v>131</v>
      </c>
      <c r="AL4" s="98" t="s">
        <v>156</v>
      </c>
      <c r="AM4" s="258" t="s">
        <v>157</v>
      </c>
      <c r="AN4" s="259" t="s">
        <v>63</v>
      </c>
      <c r="AO4" s="98" t="s">
        <v>129</v>
      </c>
      <c r="AP4" s="98" t="s">
        <v>130</v>
      </c>
      <c r="AQ4" s="98" t="s">
        <v>131</v>
      </c>
      <c r="AR4" s="98" t="s">
        <v>156</v>
      </c>
      <c r="AS4" s="258" t="s">
        <v>157</v>
      </c>
      <c r="AT4" s="259" t="s">
        <v>63</v>
      </c>
      <c r="AU4" s="98" t="s">
        <v>129</v>
      </c>
      <c r="AV4" s="98" t="s">
        <v>130</v>
      </c>
      <c r="AW4" s="98" t="s">
        <v>131</v>
      </c>
      <c r="AX4" s="98" t="s">
        <v>156</v>
      </c>
      <c r="AY4" s="258" t="s">
        <v>157</v>
      </c>
      <c r="AZ4" s="259" t="s">
        <v>63</v>
      </c>
      <c r="BA4" s="98" t="s">
        <v>129</v>
      </c>
      <c r="BB4" s="98" t="s">
        <v>130</v>
      </c>
      <c r="BC4" s="98" t="s">
        <v>131</v>
      </c>
      <c r="BD4" s="98" t="s">
        <v>156</v>
      </c>
      <c r="BE4" s="258" t="s">
        <v>157</v>
      </c>
      <c r="BF4" s="259" t="s">
        <v>63</v>
      </c>
      <c r="BG4" s="98" t="s">
        <v>129</v>
      </c>
      <c r="BH4" s="98" t="s">
        <v>130</v>
      </c>
      <c r="BI4" s="98" t="s">
        <v>131</v>
      </c>
      <c r="BJ4" s="98" t="s">
        <v>156</v>
      </c>
      <c r="BK4" s="258" t="s">
        <v>157</v>
      </c>
      <c r="BL4" s="259" t="s">
        <v>63</v>
      </c>
      <c r="BM4" s="98" t="s">
        <v>129</v>
      </c>
      <c r="BN4" s="98" t="s">
        <v>130</v>
      </c>
      <c r="BO4" s="98" t="s">
        <v>131</v>
      </c>
      <c r="BP4" s="98" t="s">
        <v>156</v>
      </c>
      <c r="BQ4" s="258" t="s">
        <v>157</v>
      </c>
      <c r="BR4" s="259" t="s">
        <v>63</v>
      </c>
      <c r="BS4" s="98" t="s">
        <v>129</v>
      </c>
      <c r="BT4" s="98" t="s">
        <v>130</v>
      </c>
      <c r="BU4" s="98" t="s">
        <v>131</v>
      </c>
      <c r="BV4" s="98" t="s">
        <v>156</v>
      </c>
      <c r="BW4" s="258" t="s">
        <v>157</v>
      </c>
      <c r="BX4" s="259" t="s">
        <v>63</v>
      </c>
      <c r="BY4" s="98" t="s">
        <v>129</v>
      </c>
      <c r="BZ4" s="98" t="s">
        <v>130</v>
      </c>
      <c r="CA4" s="98" t="s">
        <v>131</v>
      </c>
      <c r="CB4" s="98" t="s">
        <v>156</v>
      </c>
      <c r="CC4" s="258" t="s">
        <v>157</v>
      </c>
      <c r="CD4" s="259" t="s">
        <v>63</v>
      </c>
      <c r="CE4" s="98" t="s">
        <v>129</v>
      </c>
      <c r="CF4" s="98" t="s">
        <v>130</v>
      </c>
      <c r="CG4" s="98" t="s">
        <v>131</v>
      </c>
      <c r="CH4" s="98" t="s">
        <v>156</v>
      </c>
      <c r="CI4" s="258" t="s">
        <v>157</v>
      </c>
      <c r="CJ4" s="259" t="s">
        <v>63</v>
      </c>
      <c r="CK4" s="98" t="s">
        <v>129</v>
      </c>
      <c r="CL4" s="98" t="s">
        <v>130</v>
      </c>
      <c r="CM4" s="98" t="s">
        <v>131</v>
      </c>
      <c r="CN4" s="98" t="s">
        <v>156</v>
      </c>
      <c r="CO4" s="258" t="s">
        <v>157</v>
      </c>
      <c r="CP4" s="259" t="s">
        <v>63</v>
      </c>
      <c r="CQ4" s="98" t="s">
        <v>129</v>
      </c>
      <c r="CR4" s="98" t="s">
        <v>130</v>
      </c>
      <c r="CS4" s="98" t="s">
        <v>131</v>
      </c>
      <c r="CT4" s="98" t="s">
        <v>156</v>
      </c>
      <c r="CU4" s="258" t="s">
        <v>157</v>
      </c>
      <c r="CV4" s="259" t="s">
        <v>63</v>
      </c>
      <c r="CW4" s="98" t="s">
        <v>129</v>
      </c>
      <c r="CX4" s="98" t="s">
        <v>130</v>
      </c>
      <c r="CY4" s="98" t="s">
        <v>131</v>
      </c>
      <c r="CZ4" s="98" t="s">
        <v>156</v>
      </c>
      <c r="DA4" s="258" t="s">
        <v>157</v>
      </c>
      <c r="DB4" s="259" t="s">
        <v>63</v>
      </c>
      <c r="DC4" s="98" t="s">
        <v>129</v>
      </c>
      <c r="DD4" s="98" t="s">
        <v>130</v>
      </c>
      <c r="DE4" s="98" t="s">
        <v>131</v>
      </c>
      <c r="DF4" s="98" t="s">
        <v>156</v>
      </c>
      <c r="DG4" s="258" t="s">
        <v>157</v>
      </c>
      <c r="DH4" s="259" t="s">
        <v>63</v>
      </c>
      <c r="DI4" s="98" t="s">
        <v>129</v>
      </c>
      <c r="DJ4" s="98" t="s">
        <v>130</v>
      </c>
      <c r="DK4" s="98" t="s">
        <v>131</v>
      </c>
      <c r="DL4" s="98" t="s">
        <v>156</v>
      </c>
      <c r="DM4" s="258" t="s">
        <v>157</v>
      </c>
      <c r="DN4" s="259" t="s">
        <v>63</v>
      </c>
      <c r="DO4" s="98" t="s">
        <v>129</v>
      </c>
      <c r="DP4" s="98" t="s">
        <v>130</v>
      </c>
      <c r="DQ4" s="98" t="s">
        <v>131</v>
      </c>
      <c r="DR4" s="98" t="s">
        <v>156</v>
      </c>
      <c r="DS4" s="258" t="s">
        <v>157</v>
      </c>
      <c r="DT4" s="259" t="s">
        <v>63</v>
      </c>
      <c r="DU4" s="98" t="s">
        <v>129</v>
      </c>
      <c r="DV4" s="98" t="s">
        <v>130</v>
      </c>
      <c r="DW4" s="98" t="s">
        <v>131</v>
      </c>
      <c r="DX4" s="98" t="s">
        <v>156</v>
      </c>
      <c r="DY4" s="258" t="s">
        <v>157</v>
      </c>
      <c r="DZ4" s="259" t="s">
        <v>63</v>
      </c>
      <c r="EA4" s="98" t="s">
        <v>129</v>
      </c>
      <c r="EB4" s="98" t="s">
        <v>130</v>
      </c>
      <c r="EC4" s="98" t="s">
        <v>131</v>
      </c>
      <c r="ED4" s="98" t="s">
        <v>156</v>
      </c>
      <c r="EE4" s="258" t="s">
        <v>157</v>
      </c>
    </row>
    <row r="5" spans="1:135" x14ac:dyDescent="0.35">
      <c r="A5" s="707" t="str">
        <f>'Inputs-Proposals'!C2</f>
        <v>Approximate Value</v>
      </c>
      <c r="B5" s="52" t="s">
        <v>90</v>
      </c>
      <c r="C5" s="117" t="str">
        <f>IFERROR(_xlfn.IFS('Benefits Calc'!B5='Inputs-Proposals'!$C$15, "1", 'Benefits Calc'!B5='Inputs-Proposals'!$C$21, "2", 'Benefits Calc'!B5='Inputs-Proposals'!$C$27, "3"), 0)</f>
        <v>1</v>
      </c>
      <c r="D5" s="318">
        <f t="shared" ref="D5:D66" si="0">P5+V5+AB5+AH5+AN5+AT5+AZ5+BF5+BL5+BR5+BX5+CD5+CJ5+CP5+CV5+DB5+DH5+DN5+DT5+DZ5</f>
        <v>0</v>
      </c>
      <c r="E5" s="318">
        <f t="shared" ref="E5:E66" si="1">Q5+W5+AC5+AI5+AO5+AU5+BA5+BG5+BM5+BS5+BY5+CE5+CK5+CQ5+CW5+DC5+DI5+DO5+DU5+EA5</f>
        <v>0</v>
      </c>
      <c r="F5" s="318">
        <f t="shared" ref="F5:F66" si="2">R5+X5+AD5+AJ5+AP5+AV5+BB5+BH5+BN5+BT5+BZ5+CF5+CL5+CR5+CX5+DD5+DJ5+DP5+DV5+EB5</f>
        <v>0</v>
      </c>
      <c r="G5" s="318">
        <f t="shared" ref="G5:G66" si="3">S5+Y5+AE5+AK5+AQ5+AW5+BC5+BI5+BO5+BU5+CA5+CG5+CM5+CS5+CY5+DE5+DK5+DQ5+DW5+EC5</f>
        <v>0</v>
      </c>
      <c r="H5" s="318">
        <f t="shared" ref="H5:H66" si="4">T5+Z5+AF5+AL5+AR5+AX5+BD5+BJ5+BP5+BV5+CB5+CH5+CN5+CT5+CZ5+DF5+DL5+DR5+DX5+ED5</f>
        <v>0</v>
      </c>
      <c r="I5" s="318">
        <f t="shared" ref="I5:I66" si="5">U5+AA5+AG5+AM5+AS5+AY5+BE5+BK5+BQ5+BW5+CC5+CI5+CO5+CU5+DA5+DG5+DM5+DS5+DY5+EE5</f>
        <v>0</v>
      </c>
      <c r="J5" s="340">
        <f>NPV('Inputs-System'!$C$20,P5+V5+AB5+AH5+AN5+AT5+AZ5+BF5+BL5+BR5+BX5+CD5+CJ5+CP5+CV5+DB5+DH5+DN5+DT5+DZ5)</f>
        <v>0</v>
      </c>
      <c r="K5" s="100">
        <f>NPV('Inputs-System'!$C$20,Q5+W5+AC5+AI5+AO5+AU5+BA5+BG5+BM5+BS5+BY5+CE5+CK5+CQ5+CW5+DC5+DI5+DO5+DU5+EA5)</f>
        <v>0</v>
      </c>
      <c r="L5" s="100">
        <f>NPV('Inputs-System'!$C$20,R5+X5+AD5+AJ5+AP5+AV5+BB5+BH5+BN5+BT5+BZ5+CF5+CL5+CR5+CX5+DD5+DJ5+DP5+DV5+EB5)</f>
        <v>0</v>
      </c>
      <c r="M5" s="100">
        <f>NPV('Inputs-System'!$C$20,S5+Y5+AE5+AK5+AQ5+AW5+BC5+BI5+BO5+BU5+CA5+CG5+CM5+CS5+CY5+DE5+DK5+DQ5+DW5+EC5)</f>
        <v>0</v>
      </c>
      <c r="N5" s="100">
        <f>NPV('Inputs-System'!$C$20,T5+Z5+AF5+AL5+AR5+AX5+BD5+BJ5+BP5+BV5+CB5+CH5+CN5+CT5+CZ5+DF5+DL5+DR5+DX5+ED5)</f>
        <v>0</v>
      </c>
      <c r="O5" s="100">
        <f>NPV('Inputs-System'!$C$20,U5+AA5+AG5+AM5+AS5+AY5+BE5+BK5+BQ5+BW5+CC5+CI5+CO5+CU5+DA5+DG5+DM5+DS5+DY5+EE5)</f>
        <v>0</v>
      </c>
      <c r="P5" s="344">
        <f>IFERROR(_xlfn.IFS($C5="1",('Inputs-System'!$C$30*'Coincidence Factors'!$B$5*(1+'Inputs-System'!$C$18)*(1+'Inputs-System'!$C$41)*('Inputs-Proposals'!$C$17*'Inputs-Proposals'!$C$19*(1-'Inputs-Proposals'!$C$20))*(VLOOKUP(P$3,Energy!$A$51:$K$83,5,FALSE)-VLOOKUP(P$3,Energy!$A$51:$K$83,6,FALSE))), $C5 = "2",('Inputs-System'!$C$30*'Coincidence Factors'!$B$5)*(1+'Inputs-System'!$C$18)*(1+'Inputs-System'!$C$41)*('Inputs-Proposals'!$C$23*'Inputs-Proposals'!$C$25*(1-'Inputs-Proposals'!$C$26))*(VLOOKUP(P$3,Energy!$A$51:$K$83,5,FALSE)-VLOOKUP(P$3,Energy!$A$51:$K$83,6,FALSE)), $C5= "3", ('Inputs-System'!$C$30*'Coincidence Factors'!$B$5*(1+'Inputs-System'!$C$18)*(1+'Inputs-System'!$C$41)*('Inputs-Proposals'!$C$29*'Inputs-Proposals'!$C$31*(1-'Inputs-Proposals'!$C$32))*(VLOOKUP(P$3,Energy!$A$51:$K$83,5,FALSE)-VLOOKUP(P$3,Energy!$A$51:$K$83,6,FALSE))), $C5= "0", 0), 0)</f>
        <v>0</v>
      </c>
      <c r="Q5" s="100">
        <f>IFERROR(_xlfn.IFS($C5="1", 'Inputs-System'!$C$30*'Coincidence Factors'!$B$5*(1+'Inputs-System'!$C$18)*(1+'Inputs-System'!$C$41)*'Inputs-Proposals'!$C$17*'Inputs-Proposals'!$C$19*(1-'Inputs-Proposals'!$C$20)*(VLOOKUP(P$3,'Embedded Emissions'!$A$47:$B$78,2,FALSE)+VLOOKUP(P$3,'Embedded Emissions'!$A$129:$B$158,2,FALSE)), $C5 = "2",'Inputs-System'!$C$30*'Coincidence Factors'!$B$5*(1+'Inputs-System'!$C$18)*(1+'Inputs-System'!$C$41)*'Inputs-Proposals'!$C$23*'Inputs-Proposals'!$C$25*(1-'Inputs-Proposals'!$C$20)*(VLOOKUP(P$3,'Embedded Emissions'!$A$47:$B$78,2,FALSE)+VLOOKUP(P$3,'Embedded Emissions'!$A$129:$B$158,2,FALSE)), $C5 = "3", 'Inputs-System'!$C$30*'Coincidence Factors'!$B$5*(1+'Inputs-System'!$C$18)*(1+'Inputs-System'!$C$41)*'Inputs-Proposals'!$C$29*'Inputs-Proposals'!$C$31*(1-'Inputs-Proposals'!$C$20)*(VLOOKUP(P$3,'Embedded Emissions'!$A$47:$B$78,2,FALSE)+VLOOKUP(P$3,'Embedded Emissions'!$A$129:$B$158,2,FALSE)), $C5 = "0", 0), 0)</f>
        <v>0</v>
      </c>
      <c r="R5" s="100">
        <f>IFERROR(_xlfn.IFS($C5="1",( 'Inputs-System'!$C$30*'Coincidence Factors'!$B$5*(1+'Inputs-System'!$C$18)*(1+'Inputs-System'!$C$41))*('Inputs-Proposals'!$C$17*'Inputs-Proposals'!$C$19*(1-'Inputs-Proposals'!$C$20))*(VLOOKUP(P$3,DRIPE!$A$54:$I$82,5,FALSE)-VLOOKUP(P$3,DRIPE!$A$54:$I$82,6,FALSE)+VLOOKUP(P$3,DRIPE!$A$54:$I$82,9,FALSE))+ ('Inputs-System'!$C$26*'Coincidence Factors'!$B$5*(1+'Inputs-System'!$C$18)*(1+'Inputs-System'!$C$42))*'Inputs-Proposals'!$C$16*VLOOKUP(P$3,DRIPE!$A$54:$I$80,8,FALSE), $C5 = "2",( 'Inputs-System'!$C$30*'Coincidence Factors'!$B$5*(1+'Inputs-System'!$C$18)*(1+'Inputs-System'!$C$41))*('Inputs-Proposals'!$C$23*'Inputs-Proposals'!$C$25*(1-'Inputs-Proposals'!$C$26))*(VLOOKUP(P$3,DRIPE!$A$54:$I$82,5,FALSE)-VLOOKUP(P$3,DRIPE!$A$54:$I$82,6,FALSE)+VLOOKUP(P$3,DRIPE!$A$54:$I$82,9,FALSE))+ ('Inputs-System'!$C$26*'Coincidence Factors'!$B$5*(1+'Inputs-System'!$C$18)*(1+'Inputs-System'!$C$42))+ ('Inputs-System'!$C$26*'Coincidence Factors'!$B$5)*'Inputs-Proposals'!$C$22*VLOOKUP(P$3,DRIPE!$A$54:$I$80,8,FALSE), $C5= "3", ('Inputs-System'!$C$30*'Coincidence Factors'!$B$5)*('Inputs-Proposals'!$C$29*'Inputs-Proposals'!$C$31*(1-'Inputs-Proposals'!$C$32))*(VLOOKUP(P$3,DRIPE!$A$54:$I$80,5,FALSE)-VLOOKUP(P$3,DRIPE!$A$54:$I$80,6,FALSE)+VLOOKUP(P$3,DRIPE!$A$54:$I$80,9,FALSE))+ ('Inputs-System'!$C$26*'Coincidence Factors'!$B$5*(1+'Inputs-System'!$C$18)*(1+'Inputs-System'!$C$42))*'Inputs-Proposals'!$C$28*VLOOKUP(P$3,DRIPE!$A$54:$I$80,8,FALSE), $C5 = "0", 0), 0)</f>
        <v>0</v>
      </c>
      <c r="S5" s="345">
        <f>IFERROR(_xlfn.IFS($C5="1",('Inputs-System'!$C$26*'Coincidence Factors'!$B$5*(1+'Inputs-System'!$C$18)*(1+'Inputs-System'!$C$42))*'Inputs-Proposals'!$D$16*(VLOOKUP(P$3,Capacity!$A$53:$E$85,4,FALSE)*(1+'Inputs-System'!$C$42)+VLOOKUP(P$3,Capacity!$A$53:$E$85,5,FALSE)*(1+'Inputs-System'!$C$43)*'Inputs-System'!$C$29), $C5 = "2", ('Inputs-System'!$C$26*'Coincidence Factors'!$B$5*(1+'Inputs-System'!$C$18))*'Inputs-Proposals'!$D$22*(VLOOKUP(P$3,Capacity!$A$53:$E$85,4,FALSE)*(1+'Inputs-System'!$C$42)+VLOOKUP(P$3,Capacity!$A$53:$E$85,5,FALSE)*'Inputs-System'!$C$29*(1+'Inputs-System'!$C$43)), $C5 = "3", ('Inputs-System'!$C$26*'Coincidence Factors'!$B$5*(1+'Inputs-System'!$C$18))*'Inputs-Proposals'!$D$28*(VLOOKUP(P$3,Capacity!$A$53:$E$85,4,FALSE)*(1+'Inputs-System'!$C$42)+VLOOKUP(P$3,Capacity!$A$53:$E$85,5,FALSE)*'Inputs-System'!$C$29*(1+'Inputs-System'!$C$43)), $C5 = "0", 0), 0)</f>
        <v>0</v>
      </c>
      <c r="T5" s="100">
        <v>0</v>
      </c>
      <c r="U5" s="346">
        <f>IFERROR(_xlfn.IFS($C5="1", 'Inputs-System'!$C$30*'Coincidence Factors'!$B$5*'Inputs-Proposals'!$C$17*'Inputs-Proposals'!$C$19*(VLOOKUP(P$3,'Non-Embedded Emissions'!$A$56:$D$90,2,FALSE)+VLOOKUP(P$3,'Non-Embedded Emissions'!$A$143:$D$174,2,FALSE)+VLOOKUP(P$3,'Non-Embedded Emissions'!$A$230:$D$259,2,FALSE)-VLOOKUP(P$3,'Non-Embedded Emissions'!$A$56:$D$90,3,FALSE)-VLOOKUP(P$3,'Non-Embedded Emissions'!$A$143:$D$174,3,FALSE)-VLOOKUP(P$3,'Non-Embedded Emissions'!$A$230:$D$259,3,FALSE)), $C5 = "2", 'Inputs-System'!$C$30*'Coincidence Factors'!$B$5*'Inputs-Proposals'!$C$23*'Inputs-Proposals'!$C$25*(VLOOKUP(P$3,'Non-Embedded Emissions'!$A$56:$D$90,2,FALSE)+VLOOKUP(P$3,'Non-Embedded Emissions'!$A$143:$D$174,2,FALSE)+VLOOKUP(P$3,'Non-Embedded Emissions'!$A$230:$D$259,2,FALSE)-VLOOKUP(P$3,'Non-Embedded Emissions'!$A$56:$D$90,3,FALSE)-VLOOKUP(P$3,'Non-Embedded Emissions'!$A$143:$D$174,3,FALSE)-VLOOKUP(P$3,'Non-Embedded Emissions'!$A$230:$D$259,3,FALSE)), $C5 = "3", 'Inputs-System'!$C$30*'Coincidence Factors'!$B$5*'Inputs-Proposals'!$C$29*'Inputs-Proposals'!$C$31*(VLOOKUP(P$3,'Non-Embedded Emissions'!$A$56:$D$90,2,FALSE)+VLOOKUP(P$3,'Non-Embedded Emissions'!$A$143:$D$174,2,FALSE)+VLOOKUP(P$3,'Non-Embedded Emissions'!$A$230:$D$259,2,FALSE)-VLOOKUP(P$3,'Non-Embedded Emissions'!$A$56:$D$90,3,FALSE)-VLOOKUP(P$3,'Non-Embedded Emissions'!$A$143:$D$174,3,FALSE)-VLOOKUP(P$3,'Non-Embedded Emissions'!$A$230:$D$259,3,FALSE)), $C5 = "0", 0), 0)</f>
        <v>0</v>
      </c>
      <c r="V5" s="345">
        <f>IFERROR(_xlfn.IFS($C5="1",('Inputs-System'!$C$30*'Coincidence Factors'!$B$5*(1+'Inputs-System'!$C$18)*(1+'Inputs-System'!$C$41)*('Inputs-Proposals'!$C$17*'Inputs-Proposals'!$C$19*(1-'Inputs-Proposals'!$C$20))*(VLOOKUP(V$3,Energy!$A$51:$K$83,5,FALSE)-VLOOKUP(V$3,Energy!$A$51:$K$83,6,FALSE))), $C5 = "2",('Inputs-System'!$C$30*'Coincidence Factors'!$B$5)*(1+'Inputs-System'!$C$18)*(1+'Inputs-System'!$C$41)*('Inputs-Proposals'!$C$23*'Inputs-Proposals'!$C$25*(1-'Inputs-Proposals'!$C$26))*(VLOOKUP(V$3,Energy!$A$51:$K$83,5,FALSE)-VLOOKUP(V$3,Energy!$A$51:$K$83,6,FALSE)), $C5= "3", ('Inputs-System'!$C$30*'Coincidence Factors'!$B$5*(1+'Inputs-System'!$C$18)*(1+'Inputs-System'!$C$41)*('Inputs-Proposals'!$C$29*'Inputs-Proposals'!$C$31*(1-'Inputs-Proposals'!$C$32))*(VLOOKUP(V$3,Energy!$A$51:$K$83,5,FALSE)-VLOOKUP(V$3,Energy!$A$51:$K$83,6,FALSE))), $C5= "0", 0), 0)</f>
        <v>0</v>
      </c>
      <c r="W5" s="100">
        <f>IFERROR(_xlfn.IFS($C5="1", 'Inputs-System'!$C$30*'Coincidence Factors'!$B$5*(1+'Inputs-System'!$C$18)*(1+'Inputs-System'!$C$41)*'Inputs-Proposals'!$C$17*'Inputs-Proposals'!$C$19*(1-'Inputs-Proposals'!$C$20)*(VLOOKUP(V$3,'Embedded Emissions'!$A$47:$B$78,2,FALSE)+VLOOKUP(V$3,'Embedded Emissions'!$A$129:$B$158,2,FALSE)), $C5 = "2",'Inputs-System'!$C$30*'Coincidence Factors'!$B$5*(1+'Inputs-System'!$C$18)*(1+'Inputs-System'!$C$41)*'Inputs-Proposals'!$C$23*'Inputs-Proposals'!$C$25*(1-'Inputs-Proposals'!$C$20)*(VLOOKUP(V$3,'Embedded Emissions'!$A$47:$B$78,2,FALSE)+VLOOKUP(V$3,'Embedded Emissions'!$A$129:$B$158,2,FALSE)), $C5 = "3", 'Inputs-System'!$C$30*'Coincidence Factors'!$B$5*(1+'Inputs-System'!$C$18)*(1+'Inputs-System'!$C$41)*'Inputs-Proposals'!$C$29*'Inputs-Proposals'!$C$31*(1-'Inputs-Proposals'!$C$20)*(VLOOKUP(V$3,'Embedded Emissions'!$A$47:$B$78,2,FALSE)+VLOOKUP(V$3,'Embedded Emissions'!$A$129:$B$158,2,FALSE)), $C5 = "0", 0), 0)</f>
        <v>0</v>
      </c>
      <c r="X5" s="100">
        <f>IFERROR(_xlfn.IFS($C5="1",( 'Inputs-System'!$C$30*'Coincidence Factors'!$B$5*(1+'Inputs-System'!$C$18)*(1+'Inputs-System'!$C$41))*('Inputs-Proposals'!$C$17*'Inputs-Proposals'!$C$19*(1-'Inputs-Proposals'!$C$20))*(VLOOKUP(V$3,DRIPE!$A$54:$I$82,5,FALSE)-VLOOKUP(V$3,DRIPE!$A$54:$I$82,6,FALSE)+VLOOKUP(V$3,DRIPE!$A$54:$I$82,9,FALSE))+ ('Inputs-System'!$C$26*'Coincidence Factors'!$B$5*(1+'Inputs-System'!$C$18)*(1+'Inputs-System'!$C$42))*'Inputs-Proposals'!$C$16*VLOOKUP(V$3,DRIPE!$A$54:$I$80,8,FALSE), $C5 = "2",( 'Inputs-System'!$C$30*'Coincidence Factors'!$B$5*(1+'Inputs-System'!$C$18)*(1+'Inputs-System'!$C$41))*('Inputs-Proposals'!$C$23*'Inputs-Proposals'!$C$25*(1-'Inputs-Proposals'!$C$26))*(VLOOKUP(V$3,DRIPE!$A$54:$I$82,5,FALSE)-VLOOKUP(V$3,DRIPE!$A$54:$I$82,6,FALSE)+VLOOKUP(V$3,DRIPE!$A$54:$I$82,9,FALSE))+ ('Inputs-System'!$C$26*'Coincidence Factors'!$B$5*(1+'Inputs-System'!$C$18)*(1+'Inputs-System'!$C$42))+ ('Inputs-System'!$C$26*'Coincidence Factors'!$B$5)*'Inputs-Proposals'!$C$22*VLOOKUP(V$3,DRIPE!$A$54:$I$80,8,FALSE), $C5= "3", ('Inputs-System'!$C$30*'Coincidence Factors'!$B$5)*('Inputs-Proposals'!$C$29*'Inputs-Proposals'!$C$31*(1-'Inputs-Proposals'!$C$32))*(VLOOKUP(V$3,DRIPE!$A$54:$I$80,5,FALSE)-VLOOKUP(V$3,DRIPE!$A$54:$I$80,6,FALSE)+VLOOKUP(V$3,DRIPE!$A$54:$I$80,9,FALSE))+ ('Inputs-System'!$C$26*'Coincidence Factors'!$B$5*(1+'Inputs-System'!$C$18)*(1+'Inputs-System'!$C$42))*'Inputs-Proposals'!$C$28*VLOOKUP(V$3,DRIPE!$A$54:$I$80,8,FALSE), $C5 = "0", 0), 0)</f>
        <v>0</v>
      </c>
      <c r="Y5" s="345">
        <f>IFERROR(_xlfn.IFS($C5="1",('Inputs-System'!$C$26*'Coincidence Factors'!$B$5*(1+'Inputs-System'!$C$18)*(1+'Inputs-System'!$C$42))*'Inputs-Proposals'!$D$16*(VLOOKUP(V$3,Capacity!$A$53:$E$85,4,FALSE)*(1+'Inputs-System'!$C$42)+VLOOKUP(V$3,Capacity!$A$53:$E$85,5,FALSE)*(1+'Inputs-System'!$C$43)*'Inputs-System'!$C$29), $C5 = "2", ('Inputs-System'!$C$26*'Coincidence Factors'!$B$5*(1+'Inputs-System'!$C$18))*'Inputs-Proposals'!$D$22*(VLOOKUP(V$3,Capacity!$A$53:$E$85,4,FALSE)*(1+'Inputs-System'!$C$42)+VLOOKUP(V$3,Capacity!$A$53:$E$85,5,FALSE)*'Inputs-System'!$C$29*(1+'Inputs-System'!$C$43)), $C5 = "3", ('Inputs-System'!$C$26*'Coincidence Factors'!$B$5*(1+'Inputs-System'!$C$18))*'Inputs-Proposals'!$D$28*(VLOOKUP(V$3,Capacity!$A$53:$E$85,4,FALSE)*(1+'Inputs-System'!$C$42)+VLOOKUP(V$3,Capacity!$A$53:$E$85,5,FALSE)*'Inputs-System'!$C$29*(1+'Inputs-System'!$C$43)), $C5 = "0", 0), 0)</f>
        <v>0</v>
      </c>
      <c r="Z5" s="100">
        <v>0</v>
      </c>
      <c r="AA5" s="346">
        <f>IFERROR(_xlfn.IFS($C5="1", 'Inputs-System'!$C$30*'Coincidence Factors'!$B$5*'Inputs-Proposals'!$C$17*'Inputs-Proposals'!$C$19*(VLOOKUP(V$3,'Non-Embedded Emissions'!$A$56:$D$90,2,FALSE)+VLOOKUP(V$3,'Non-Embedded Emissions'!$A$143:$D$174,2,FALSE)+VLOOKUP(V$3,'Non-Embedded Emissions'!$A$230:$D$259,2,FALSE)-VLOOKUP(V$3,'Non-Embedded Emissions'!$A$56:$D$90,3,FALSE)-VLOOKUP(V$3,'Non-Embedded Emissions'!$A$143:$D$174,3,FALSE)-VLOOKUP(V$3,'Non-Embedded Emissions'!$A$230:$D$259,3,FALSE)), $C5 = "2", 'Inputs-System'!$C$30*'Coincidence Factors'!$B$5*'Inputs-Proposals'!$C$23*'Inputs-Proposals'!$C$25*(VLOOKUP(V$3,'Non-Embedded Emissions'!$A$56:$D$90,2,FALSE)+VLOOKUP(V$3,'Non-Embedded Emissions'!$A$143:$D$174,2,FALSE)+VLOOKUP(V$3,'Non-Embedded Emissions'!$A$230:$D$259,2,FALSE)-VLOOKUP(V$3,'Non-Embedded Emissions'!$A$56:$D$90,3,FALSE)-VLOOKUP(V$3,'Non-Embedded Emissions'!$A$143:$D$174,3,FALSE)-VLOOKUP(V$3,'Non-Embedded Emissions'!$A$230:$D$259,3,FALSE)), $C5 = "3", 'Inputs-System'!$C$30*'Coincidence Factors'!$B$5*'Inputs-Proposals'!$C$29*'Inputs-Proposals'!$C$31*(VLOOKUP(V$3,'Non-Embedded Emissions'!$A$56:$D$90,2,FALSE)+VLOOKUP(V$3,'Non-Embedded Emissions'!$A$143:$D$174,2,FALSE)+VLOOKUP(V$3,'Non-Embedded Emissions'!$A$230:$D$259,2,FALSE)-VLOOKUP(V$3,'Non-Embedded Emissions'!$A$56:$D$90,3,FALSE)-VLOOKUP(V$3,'Non-Embedded Emissions'!$A$143:$D$174,3,FALSE)-VLOOKUP(V$3,'Non-Embedded Emissions'!$A$230:$D$259,3,FALSE)), $C5 = "0", 0), 0)</f>
        <v>0</v>
      </c>
      <c r="AB5" s="345">
        <f>IFERROR(_xlfn.IFS($C5="1",('Inputs-System'!$C$30*'Coincidence Factors'!$B$5*(1+'Inputs-System'!$C$18)*(1+'Inputs-System'!$C$41)*('Inputs-Proposals'!$C$17*'Inputs-Proposals'!$C$19*(1-'Inputs-Proposals'!$C$20))*(VLOOKUP(AB$3,Energy!$A$51:$K$83,5,FALSE)-VLOOKUP(AB$3,Energy!$A$51:$K$83,6,FALSE))), $C5 = "2",('Inputs-System'!$C$30*'Coincidence Factors'!$B$5)*(1+'Inputs-System'!$C$18)*(1+'Inputs-System'!$C$41)*('Inputs-Proposals'!$C$23*'Inputs-Proposals'!$C$25*(1-'Inputs-Proposals'!$C$26))*(VLOOKUP(AB$3,Energy!$A$51:$K$83,5,FALSE)-VLOOKUP(AB$3,Energy!$A$51:$K$83,6,FALSE)), $C5= "3", ('Inputs-System'!$C$30*'Coincidence Factors'!$B$5*(1+'Inputs-System'!$C$18)*(1+'Inputs-System'!$C$41)*('Inputs-Proposals'!$C$29*'Inputs-Proposals'!$C$31*(1-'Inputs-Proposals'!$C$32))*(VLOOKUP(AB$3,Energy!$A$51:$K$83,5,FALSE)-VLOOKUP(AB$3,Energy!$A$51:$K$83,6,FALSE))), $C5= "0", 0), 0)</f>
        <v>0</v>
      </c>
      <c r="AC5" s="100">
        <f>IFERROR(_xlfn.IFS($C5="1", 'Inputs-System'!$C$30*'Coincidence Factors'!$B$5*(1+'Inputs-System'!$C$18)*(1+'Inputs-System'!$C$41)*'Inputs-Proposals'!$C$17*'Inputs-Proposals'!$C$19*(1-'Inputs-Proposals'!$C$20)*(VLOOKUP(AB$3,'Embedded Emissions'!$A$47:$B$78,2,FALSE)+VLOOKUP(AB$3,'Embedded Emissions'!$A$129:$B$158,2,FALSE)), $C5 = "2",'Inputs-System'!$C$30*'Coincidence Factors'!$B$5*(1+'Inputs-System'!$C$18)*(1+'Inputs-System'!$C$41)*'Inputs-Proposals'!$C$23*'Inputs-Proposals'!$C$25*(1-'Inputs-Proposals'!$C$20)*(VLOOKUP(AB$3,'Embedded Emissions'!$A$47:$B$78,2,FALSE)+VLOOKUP(AB$3,'Embedded Emissions'!$A$129:$B$158,2,FALSE)), $C5 = "3", 'Inputs-System'!$C$30*'Coincidence Factors'!$B$5*(1+'Inputs-System'!$C$18)*(1+'Inputs-System'!$C$41)*'Inputs-Proposals'!$C$29*'Inputs-Proposals'!$C$31*(1-'Inputs-Proposals'!$C$20)*(VLOOKUP(AB$3,'Embedded Emissions'!$A$47:$B$78,2,FALSE)+VLOOKUP(AB$3,'Embedded Emissions'!$A$129:$B$158,2,FALSE)), $C5 = "0", 0), 0)</f>
        <v>0</v>
      </c>
      <c r="AD5" s="100">
        <f>IFERROR(_xlfn.IFS($C5="1",( 'Inputs-System'!$C$30*'Coincidence Factors'!$B$5*(1+'Inputs-System'!$C$18)*(1+'Inputs-System'!$C$41))*('Inputs-Proposals'!$C$17*'Inputs-Proposals'!$C$19*(1-'Inputs-Proposals'!$C$20))*(VLOOKUP(AB$3,DRIPE!$A$54:$I$82,5,FALSE)-VLOOKUP(AB$3,DRIPE!$A$54:$I$82,6,FALSE)+VLOOKUP(AB$3,DRIPE!$A$54:$I$82,9,FALSE))+ ('Inputs-System'!$C$26*'Coincidence Factors'!$B$5*(1+'Inputs-System'!$C$18)*(1+'Inputs-System'!$C$42))*'Inputs-Proposals'!$C$16*VLOOKUP(AB$3,DRIPE!$A$54:$I$80,8,FALSE), $C5 = "2",( 'Inputs-System'!$C$30*'Coincidence Factors'!$B$5*(1+'Inputs-System'!$C$18)*(1+'Inputs-System'!$C$41))*('Inputs-Proposals'!$C$23*'Inputs-Proposals'!$C$25*(1-'Inputs-Proposals'!$C$26))*(VLOOKUP(AB$3,DRIPE!$A$54:$I$82,5,FALSE)-VLOOKUP(AB$3,DRIPE!$A$54:$I$82,6,FALSE)+VLOOKUP(AB$3,DRIPE!$A$54:$I$82,9,FALSE))+ ('Inputs-System'!$C$26*'Coincidence Factors'!$B$5*(1+'Inputs-System'!$C$18)*(1+'Inputs-System'!$C$42))+ ('Inputs-System'!$C$26*'Coincidence Factors'!$B$5)*'Inputs-Proposals'!$C$22*VLOOKUP(AB$3,DRIPE!$A$54:$I$80,8,FALSE), $C5= "3", ('Inputs-System'!$C$30*'Coincidence Factors'!$B$5)*('Inputs-Proposals'!$C$29*'Inputs-Proposals'!$C$31*(1-'Inputs-Proposals'!$C$32))*(VLOOKUP(AB$3,DRIPE!$A$54:$I$80,5,FALSE)-VLOOKUP(AB$3,DRIPE!$A$54:$I$80,6,FALSE)+VLOOKUP(AB$3,DRIPE!$A$54:$I$80,9,FALSE))+ ('Inputs-System'!$C$26*'Coincidence Factors'!$B$5*(1+'Inputs-System'!$C$18)*(1+'Inputs-System'!$C$42))*'Inputs-Proposals'!$C$28*VLOOKUP(AB$3,DRIPE!$A$54:$I$80,8,FALSE), $C5 = "0", 0), 0)</f>
        <v>0</v>
      </c>
      <c r="AE5" s="345">
        <f>IFERROR(_xlfn.IFS($C5="1",('Inputs-System'!$C$26*'Coincidence Factors'!$B$5*(1+'Inputs-System'!$C$18)*(1+'Inputs-System'!$C$42))*'Inputs-Proposals'!$D$16*(VLOOKUP(AB$3,Capacity!$A$53:$E$85,4,FALSE)*(1+'Inputs-System'!$C$42)+VLOOKUP(AB$3,Capacity!$A$53:$E$85,5,FALSE)*(1+'Inputs-System'!$C$43)*'Inputs-System'!$C$29), $C5 = "2", ('Inputs-System'!$C$26*'Coincidence Factors'!$B$5*(1+'Inputs-System'!$C$18))*'Inputs-Proposals'!$D$22*(VLOOKUP(AB$3,Capacity!$A$53:$E$85,4,FALSE)*(1+'Inputs-System'!$C$42)+VLOOKUP(AB$3,Capacity!$A$53:$E$85,5,FALSE)*'Inputs-System'!$C$29*(1+'Inputs-System'!$C$43)), $C5 = "3", ('Inputs-System'!$C$26*'Coincidence Factors'!$B$5*(1+'Inputs-System'!$C$18))*'Inputs-Proposals'!$D$28*(VLOOKUP(AB$3,Capacity!$A$53:$E$85,4,FALSE)*(1+'Inputs-System'!$C$42)+VLOOKUP(AB$3,Capacity!$A$53:$E$85,5,FALSE)*'Inputs-System'!$C$29*(1+'Inputs-System'!$C$43)), $C5 = "0", 0), 0)</f>
        <v>0</v>
      </c>
      <c r="AF5" s="100">
        <v>0</v>
      </c>
      <c r="AG5" s="346">
        <f>IFERROR(_xlfn.IFS($C5="1", 'Inputs-System'!$C$30*'Coincidence Factors'!$B$5*'Inputs-Proposals'!$C$17*'Inputs-Proposals'!$C$19*(VLOOKUP(AB$3,'Non-Embedded Emissions'!$A$56:$D$90,2,FALSE)+VLOOKUP(AB$3,'Non-Embedded Emissions'!$A$143:$D$174,2,FALSE)+VLOOKUP(AB$3,'Non-Embedded Emissions'!$A$230:$D$259,2,FALSE)-VLOOKUP(AB$3,'Non-Embedded Emissions'!$A$56:$D$90,3,FALSE)-VLOOKUP(AB$3,'Non-Embedded Emissions'!$A$143:$D$174,3,FALSE)-VLOOKUP(AB$3,'Non-Embedded Emissions'!$A$230:$D$259,3,FALSE)), $C5 = "2", 'Inputs-System'!$C$30*'Coincidence Factors'!$B$5*'Inputs-Proposals'!$C$23*'Inputs-Proposals'!$C$25*(VLOOKUP(AB$3,'Non-Embedded Emissions'!$A$56:$D$90,2,FALSE)+VLOOKUP(AB$3,'Non-Embedded Emissions'!$A$143:$D$174,2,FALSE)+VLOOKUP(AB$3,'Non-Embedded Emissions'!$A$230:$D$259,2,FALSE)-VLOOKUP(AB$3,'Non-Embedded Emissions'!$A$56:$D$90,3,FALSE)-VLOOKUP(AB$3,'Non-Embedded Emissions'!$A$143:$D$174,3,FALSE)-VLOOKUP(AB$3,'Non-Embedded Emissions'!$A$230:$D$259,3,FALSE)), $C5 = "3", 'Inputs-System'!$C$30*'Coincidence Factors'!$B$5*'Inputs-Proposals'!$C$29*'Inputs-Proposals'!$C$31*(VLOOKUP(AB$3,'Non-Embedded Emissions'!$A$56:$D$90,2,FALSE)+VLOOKUP(AB$3,'Non-Embedded Emissions'!$A$143:$D$174,2,FALSE)+VLOOKUP(AB$3,'Non-Embedded Emissions'!$A$230:$D$259,2,FALSE)-VLOOKUP(AB$3,'Non-Embedded Emissions'!$A$56:$D$90,3,FALSE)-VLOOKUP(AB$3,'Non-Embedded Emissions'!$A$143:$D$174,3,FALSE)-VLOOKUP(AB$3,'Non-Embedded Emissions'!$A$230:$D$259,3,FALSE)), $C5 = "0", 0), 0)</f>
        <v>0</v>
      </c>
      <c r="AH5" s="345">
        <f>IFERROR(_xlfn.IFS($C5="1",('Inputs-System'!$C$30*'Coincidence Factors'!$B$5*(1+'Inputs-System'!$C$18)*(1+'Inputs-System'!$C$41)*('Inputs-Proposals'!$C$17*'Inputs-Proposals'!$C$19*(1-'Inputs-Proposals'!$C$20))*(VLOOKUP(AH$3,Energy!$A$51:$K$83,5,FALSE)-VLOOKUP(AH$3,Energy!$A$51:$K$83,6,FALSE))), $C5 = "2",('Inputs-System'!$C$30*'Coincidence Factors'!$B$5)*(1+'Inputs-System'!$C$18)*(1+'Inputs-System'!$C$41)*('Inputs-Proposals'!$C$23*'Inputs-Proposals'!$C$25*(1-'Inputs-Proposals'!$C$26))*(VLOOKUP(AH$3,Energy!$A$51:$K$83,5,FALSE)-VLOOKUP(AH$3,Energy!$A$51:$K$83,6,FALSE)), $C5= "3", ('Inputs-System'!$C$30*'Coincidence Factors'!$B$5*(1+'Inputs-System'!$C$18)*(1+'Inputs-System'!$C$41)*('Inputs-Proposals'!$C$29*'Inputs-Proposals'!$C$31*(1-'Inputs-Proposals'!$C$32))*(VLOOKUP(AH$3,Energy!$A$51:$K$83,5,FALSE)-VLOOKUP(AH$3,Energy!$A$51:$K$83,6,FALSE))), $C5= "0", 0), 0)</f>
        <v>0</v>
      </c>
      <c r="AI5" s="100">
        <f>IFERROR(_xlfn.IFS($C5="1", 'Inputs-System'!$C$30*'Coincidence Factors'!$B$5*(1+'Inputs-System'!$C$18)*(1+'Inputs-System'!$C$41)*'Inputs-Proposals'!$C$17*'Inputs-Proposals'!$C$19*(1-'Inputs-Proposals'!$C$20)*(VLOOKUP(AH$3,'Embedded Emissions'!$A$47:$B$78,2,FALSE)+VLOOKUP(AH$3,'Embedded Emissions'!$A$129:$B$158,2,FALSE)), $C5 = "2",'Inputs-System'!$C$30*'Coincidence Factors'!$B$5*(1+'Inputs-System'!$C$18)*(1+'Inputs-System'!$C$41)*'Inputs-Proposals'!$C$23*'Inputs-Proposals'!$C$25*(1-'Inputs-Proposals'!$C$20)*(VLOOKUP(AH$3,'Embedded Emissions'!$A$47:$B$78,2,FALSE)+VLOOKUP(AH$3,'Embedded Emissions'!$A$129:$B$158,2,FALSE)), $C5 = "3", 'Inputs-System'!$C$30*'Coincidence Factors'!$B$5*(1+'Inputs-System'!$C$18)*(1+'Inputs-System'!$C$41)*'Inputs-Proposals'!$C$29*'Inputs-Proposals'!$C$31*(1-'Inputs-Proposals'!$C$20)*(VLOOKUP(AH$3,'Embedded Emissions'!$A$47:$B$78,2,FALSE)+VLOOKUP(AH$3,'Embedded Emissions'!$A$129:$B$158,2,FALSE)), $C5 = "0", 0), 0)</f>
        <v>0</v>
      </c>
      <c r="AJ5" s="100">
        <f>IFERROR(_xlfn.IFS($C5="1",( 'Inputs-System'!$C$30*'Coincidence Factors'!$B$5*(1+'Inputs-System'!$C$18)*(1+'Inputs-System'!$C$41))*('Inputs-Proposals'!$C$17*'Inputs-Proposals'!$C$19*(1-'Inputs-Proposals'!$C$20))*(VLOOKUP(AH$3,DRIPE!$A$54:$I$82,5,FALSE)-VLOOKUP(AH$3,DRIPE!$A$54:$I$82,6,FALSE)+VLOOKUP(AH$3,DRIPE!$A$54:$I$82,9,FALSE))+ ('Inputs-System'!$C$26*'Coincidence Factors'!$B$5*(1+'Inputs-System'!$C$18)*(1+'Inputs-System'!$C$42))*'Inputs-Proposals'!$C$16*VLOOKUP(AH$3,DRIPE!$A$54:$I$80,8,FALSE), $C5 = "2",( 'Inputs-System'!$C$30*'Coincidence Factors'!$B$5*(1+'Inputs-System'!$C$18)*(1+'Inputs-System'!$C$41))*('Inputs-Proposals'!$C$23*'Inputs-Proposals'!$C$25*(1-'Inputs-Proposals'!$C$26))*(VLOOKUP(AH$3,DRIPE!$A$54:$I$82,5,FALSE)-VLOOKUP(AH$3,DRIPE!$A$54:$I$82,6,FALSE)+VLOOKUP(AH$3,DRIPE!$A$54:$I$82,9,FALSE))+ ('Inputs-System'!$C$26*'Coincidence Factors'!$B$5*(1+'Inputs-System'!$C$18)*(1+'Inputs-System'!$C$42))+ ('Inputs-System'!$C$26*'Coincidence Factors'!$B$5)*'Inputs-Proposals'!$C$22*VLOOKUP(AH$3,DRIPE!$A$54:$I$80,8,FALSE), $C5= "3", ('Inputs-System'!$C$30*'Coincidence Factors'!$B$5)*('Inputs-Proposals'!$C$29*'Inputs-Proposals'!$C$31*(1-'Inputs-Proposals'!$C$32))*(VLOOKUP(AH$3,DRIPE!$A$54:$I$80,5,FALSE)-VLOOKUP(AH$3,DRIPE!$A$54:$I$80,6,FALSE)+VLOOKUP(AH$3,DRIPE!$A$54:$I$80,9,FALSE))+ ('Inputs-System'!$C$26*'Coincidence Factors'!$B$5*(1+'Inputs-System'!$C$18)*(1+'Inputs-System'!$C$42))*'Inputs-Proposals'!$C$28*VLOOKUP(AH$3,DRIPE!$A$54:$I$80,8,FALSE), $C5 = "0", 0), 0)</f>
        <v>0</v>
      </c>
      <c r="AK5" s="345">
        <f>IFERROR(_xlfn.IFS($C5="1",('Inputs-System'!$C$26*'Coincidence Factors'!$B$5*(1+'Inputs-System'!$C$18)*(1+'Inputs-System'!$C$42))*'Inputs-Proposals'!$D$16*(VLOOKUP(AH$3,Capacity!$A$53:$E$85,4,FALSE)*(1+'Inputs-System'!$C$42)+VLOOKUP(AH$3,Capacity!$A$53:$E$85,5,FALSE)*(1+'Inputs-System'!$C$43)*'Inputs-System'!$C$29), $C5 = "2", ('Inputs-System'!$C$26*'Coincidence Factors'!$B$5*(1+'Inputs-System'!$C$18))*'Inputs-Proposals'!$D$22*(VLOOKUP(AH$3,Capacity!$A$53:$E$85,4,FALSE)*(1+'Inputs-System'!$C$42)+VLOOKUP(AH$3,Capacity!$A$53:$E$85,5,FALSE)*'Inputs-System'!$C$29*(1+'Inputs-System'!$C$43)), $C5 = "3", ('Inputs-System'!$C$26*'Coincidence Factors'!$B$5*(1+'Inputs-System'!$C$18))*'Inputs-Proposals'!$D$28*(VLOOKUP(AH$3,Capacity!$A$53:$E$85,4,FALSE)*(1+'Inputs-System'!$C$42)+VLOOKUP(AH$3,Capacity!$A$53:$E$85,5,FALSE)*'Inputs-System'!$C$29*(1+'Inputs-System'!$C$43)), $C5 = "0", 0), 0)</f>
        <v>0</v>
      </c>
      <c r="AL5" s="100">
        <v>0</v>
      </c>
      <c r="AM5" s="346">
        <f>IFERROR(_xlfn.IFS($C5="1", 'Inputs-System'!$C$30*'Coincidence Factors'!$B$5*'Inputs-Proposals'!$C$17*'Inputs-Proposals'!$C$19*(VLOOKUP(AH$3,'Non-Embedded Emissions'!$A$56:$D$90,2,FALSE)+VLOOKUP(AH$3,'Non-Embedded Emissions'!$A$143:$D$174,2,FALSE)+VLOOKUP(AH$3,'Non-Embedded Emissions'!$A$230:$D$259,2,FALSE)-VLOOKUP(AH$3,'Non-Embedded Emissions'!$A$56:$D$90,3,FALSE)-VLOOKUP(AH$3,'Non-Embedded Emissions'!$A$143:$D$174,3,FALSE)-VLOOKUP(AH$3,'Non-Embedded Emissions'!$A$230:$D$259,3,FALSE)), $C5 = "2", 'Inputs-System'!$C$30*'Coincidence Factors'!$B$5*'Inputs-Proposals'!$C$23*'Inputs-Proposals'!$C$25*(VLOOKUP(AH$3,'Non-Embedded Emissions'!$A$56:$D$90,2,FALSE)+VLOOKUP(AH$3,'Non-Embedded Emissions'!$A$143:$D$174,2,FALSE)+VLOOKUP(AH$3,'Non-Embedded Emissions'!$A$230:$D$259,2,FALSE)-VLOOKUP(AH$3,'Non-Embedded Emissions'!$A$56:$D$90,3,FALSE)-VLOOKUP(AH$3,'Non-Embedded Emissions'!$A$143:$D$174,3,FALSE)-VLOOKUP(AH$3,'Non-Embedded Emissions'!$A$230:$D$259,3,FALSE)), $C5 = "3", 'Inputs-System'!$C$30*'Coincidence Factors'!$B$5*'Inputs-Proposals'!$C$29*'Inputs-Proposals'!$C$31*(VLOOKUP(AH$3,'Non-Embedded Emissions'!$A$56:$D$90,2,FALSE)+VLOOKUP(AH$3,'Non-Embedded Emissions'!$A$143:$D$174,2,FALSE)+VLOOKUP(AH$3,'Non-Embedded Emissions'!$A$230:$D$259,2,FALSE)-VLOOKUP(AH$3,'Non-Embedded Emissions'!$A$56:$D$90,3,FALSE)-VLOOKUP(AH$3,'Non-Embedded Emissions'!$A$143:$D$174,3,FALSE)-VLOOKUP(AH$3,'Non-Embedded Emissions'!$A$230:$D$259,3,FALSE)), $C5 = "0", 0), 0)</f>
        <v>0</v>
      </c>
      <c r="AN5" s="345">
        <f>IFERROR(_xlfn.IFS($C5="1",('Inputs-System'!$C$30*'Coincidence Factors'!$B$5*(1+'Inputs-System'!$C$18)*(1+'Inputs-System'!$C$41)*('Inputs-Proposals'!$C$17*'Inputs-Proposals'!$C$19*(1-'Inputs-Proposals'!$C$20))*(VLOOKUP(AN$3,Energy!$A$51:$K$83,5,FALSE)-VLOOKUP(AN$3,Energy!$A$51:$K$83,6,FALSE))), $C5 = "2",('Inputs-System'!$C$30*'Coincidence Factors'!$B$5)*(1+'Inputs-System'!$C$18)*(1+'Inputs-System'!$C$41)*('Inputs-Proposals'!$C$23*'Inputs-Proposals'!$C$25*(1-'Inputs-Proposals'!$C$26))*(VLOOKUP(AN$3,Energy!$A$51:$K$83,5,FALSE)-VLOOKUP(AN$3,Energy!$A$51:$K$83,6,FALSE)), $C5= "3", ('Inputs-System'!$C$30*'Coincidence Factors'!$B$5*(1+'Inputs-System'!$C$18)*(1+'Inputs-System'!$C$41)*('Inputs-Proposals'!$C$29*'Inputs-Proposals'!$C$31*(1-'Inputs-Proposals'!$C$32))*(VLOOKUP(AN$3,Energy!$A$51:$K$83,5,FALSE)-VLOOKUP(AN$3,Energy!$A$51:$K$83,6,FALSE))), $C5= "0", 0), 0)</f>
        <v>0</v>
      </c>
      <c r="AO5" s="100">
        <f>IFERROR(_xlfn.IFS($C5="1", 'Inputs-System'!$C$30*'Coincidence Factors'!$B$5*(1+'Inputs-System'!$C$18)*(1+'Inputs-System'!$C$41)*'Inputs-Proposals'!$C$17*'Inputs-Proposals'!$C$19*(1-'Inputs-Proposals'!$C$20)*(VLOOKUP(AN$3,'Embedded Emissions'!$A$47:$B$78,2,FALSE)+VLOOKUP(AN$3,'Embedded Emissions'!$A$129:$B$158,2,FALSE)), $C5 = "2",'Inputs-System'!$C$30*'Coincidence Factors'!$B$5*(1+'Inputs-System'!$C$18)*(1+'Inputs-System'!$C$41)*'Inputs-Proposals'!$C$23*'Inputs-Proposals'!$C$25*(1-'Inputs-Proposals'!$C$20)*(VLOOKUP(AN$3,'Embedded Emissions'!$A$47:$B$78,2,FALSE)+VLOOKUP(AN$3,'Embedded Emissions'!$A$129:$B$158,2,FALSE)), $C5 = "3", 'Inputs-System'!$C$30*'Coincidence Factors'!$B$5*(1+'Inputs-System'!$C$18)*(1+'Inputs-System'!$C$41)*'Inputs-Proposals'!$C$29*'Inputs-Proposals'!$C$31*(1-'Inputs-Proposals'!$C$20)*(VLOOKUP(AN$3,'Embedded Emissions'!$A$47:$B$78,2,FALSE)+VLOOKUP(AN$3,'Embedded Emissions'!$A$129:$B$158,2,FALSE)), $C5 = "0", 0), 0)</f>
        <v>0</v>
      </c>
      <c r="AP5" s="100">
        <f>IFERROR(_xlfn.IFS($C5="1",( 'Inputs-System'!$C$30*'Coincidence Factors'!$B$5*(1+'Inputs-System'!$C$18)*(1+'Inputs-System'!$C$41))*('Inputs-Proposals'!$C$17*'Inputs-Proposals'!$C$19*(1-'Inputs-Proposals'!$C$20))*(VLOOKUP(AN$3,DRIPE!$A$54:$I$82,5,FALSE)-VLOOKUP(AN$3,DRIPE!$A$54:$I$82,6,FALSE)+VLOOKUP(AN$3,DRIPE!$A$54:$I$82,9,FALSE))+ ('Inputs-System'!$C$26*'Coincidence Factors'!$B$5*(1+'Inputs-System'!$C$18)*(1+'Inputs-System'!$C$42))*'Inputs-Proposals'!$C$16*VLOOKUP(AN$3,DRIPE!$A$54:$I$80,8,FALSE), $C5 = "2",( 'Inputs-System'!$C$30*'Coincidence Factors'!$B$5*(1+'Inputs-System'!$C$18)*(1+'Inputs-System'!$C$41))*('Inputs-Proposals'!$C$23*'Inputs-Proposals'!$C$25*(1-'Inputs-Proposals'!$C$26))*(VLOOKUP(AN$3,DRIPE!$A$54:$I$82,5,FALSE)-VLOOKUP(AN$3,DRIPE!$A$54:$I$82,6,FALSE)+VLOOKUP(AN$3,DRIPE!$A$54:$I$82,9,FALSE))+ ('Inputs-System'!$C$26*'Coincidence Factors'!$B$5*(1+'Inputs-System'!$C$18)*(1+'Inputs-System'!$C$42))+ ('Inputs-System'!$C$26*'Coincidence Factors'!$B$5)*'Inputs-Proposals'!$C$22*VLOOKUP(AN$3,DRIPE!$A$54:$I$80,8,FALSE), $C5= "3", ('Inputs-System'!$C$30*'Coincidence Factors'!$B$5)*('Inputs-Proposals'!$C$29*'Inputs-Proposals'!$C$31*(1-'Inputs-Proposals'!$C$32))*(VLOOKUP(AN$3,DRIPE!$A$54:$I$80,5,FALSE)-VLOOKUP(AN$3,DRIPE!$A$54:$I$80,6,FALSE)+VLOOKUP(AN$3,DRIPE!$A$54:$I$80,9,FALSE))+ ('Inputs-System'!$C$26*'Coincidence Factors'!$B$5*(1+'Inputs-System'!$C$18)*(1+'Inputs-System'!$C$42))*'Inputs-Proposals'!$C$28*VLOOKUP(AN$3,DRIPE!$A$54:$I$80,8,FALSE), $C5 = "0", 0), 0)</f>
        <v>0</v>
      </c>
      <c r="AQ5" s="345">
        <f>IFERROR(_xlfn.IFS($C5="1",('Inputs-System'!$C$26*'Coincidence Factors'!$B$5*(1+'Inputs-System'!$C$18)*(1+'Inputs-System'!$C$42))*'Inputs-Proposals'!$D$16*(VLOOKUP(AN$3,Capacity!$A$53:$E$85,4,FALSE)*(1+'Inputs-System'!$C$42)+VLOOKUP(AN$3,Capacity!$A$53:$E$85,5,FALSE)*(1+'Inputs-System'!$C$43)*'Inputs-System'!$C$29), $C5 = "2", ('Inputs-System'!$C$26*'Coincidence Factors'!$B$5*(1+'Inputs-System'!$C$18))*'Inputs-Proposals'!$D$22*(VLOOKUP(AN$3,Capacity!$A$53:$E$85,4,FALSE)*(1+'Inputs-System'!$C$42)+VLOOKUP(AN$3,Capacity!$A$53:$E$85,5,FALSE)*'Inputs-System'!$C$29*(1+'Inputs-System'!$C$43)), $C5 = "3", ('Inputs-System'!$C$26*'Coincidence Factors'!$B$5*(1+'Inputs-System'!$C$18))*'Inputs-Proposals'!$D$28*(VLOOKUP(AN$3,Capacity!$A$53:$E$85,4,FALSE)*(1+'Inputs-System'!$C$42)+VLOOKUP(AN$3,Capacity!$A$53:$E$85,5,FALSE)*'Inputs-System'!$C$29*(1+'Inputs-System'!$C$43)), $C5 = "0", 0), 0)</f>
        <v>0</v>
      </c>
      <c r="AR5" s="100">
        <v>0</v>
      </c>
      <c r="AS5" s="346">
        <f>IFERROR(_xlfn.IFS($C5="1", 'Inputs-System'!$C$30*'Coincidence Factors'!$B$5*'Inputs-Proposals'!$C$17*'Inputs-Proposals'!$C$19*(VLOOKUP(AN$3,'Non-Embedded Emissions'!$A$56:$D$90,2,FALSE)+VLOOKUP(AN$3,'Non-Embedded Emissions'!$A$143:$D$174,2,FALSE)+VLOOKUP(AN$3,'Non-Embedded Emissions'!$A$230:$D$259,2,FALSE)-VLOOKUP(AN$3,'Non-Embedded Emissions'!$A$56:$D$90,3,FALSE)-VLOOKUP(AN$3,'Non-Embedded Emissions'!$A$143:$D$174,3,FALSE)-VLOOKUP(AN$3,'Non-Embedded Emissions'!$A$230:$D$259,3,FALSE)), $C5 = "2", 'Inputs-System'!$C$30*'Coincidence Factors'!$B$5*'Inputs-Proposals'!$C$23*'Inputs-Proposals'!$C$25*(VLOOKUP(AN$3,'Non-Embedded Emissions'!$A$56:$D$90,2,FALSE)+VLOOKUP(AN$3,'Non-Embedded Emissions'!$A$143:$D$174,2,FALSE)+VLOOKUP(AN$3,'Non-Embedded Emissions'!$A$230:$D$259,2,FALSE)-VLOOKUP(AN$3,'Non-Embedded Emissions'!$A$56:$D$90,3,FALSE)-VLOOKUP(AN$3,'Non-Embedded Emissions'!$A$143:$D$174,3,FALSE)-VLOOKUP(AN$3,'Non-Embedded Emissions'!$A$230:$D$259,3,FALSE)), $C5 = "3", 'Inputs-System'!$C$30*'Coincidence Factors'!$B$5*'Inputs-Proposals'!$C$29*'Inputs-Proposals'!$C$31*(VLOOKUP(AN$3,'Non-Embedded Emissions'!$A$56:$D$90,2,FALSE)+VLOOKUP(AN$3,'Non-Embedded Emissions'!$A$143:$D$174,2,FALSE)+VLOOKUP(AN$3,'Non-Embedded Emissions'!$A$230:$D$259,2,FALSE)-VLOOKUP(AN$3,'Non-Embedded Emissions'!$A$56:$D$90,3,FALSE)-VLOOKUP(AN$3,'Non-Embedded Emissions'!$A$143:$D$174,3,FALSE)-VLOOKUP(AN$3,'Non-Embedded Emissions'!$A$230:$D$259,3,FALSE)), $C5 = "0", 0), 0)</f>
        <v>0</v>
      </c>
      <c r="AT5" s="345">
        <f>IFERROR(_xlfn.IFS($C5="1",('Inputs-System'!$C$30*'Coincidence Factors'!$B$5*(1+'Inputs-System'!$C$18)*(1+'Inputs-System'!$C$41)*('Inputs-Proposals'!$C$17*'Inputs-Proposals'!$C$19*(1-'Inputs-Proposals'!$C$20))*(VLOOKUP(AT$3,Energy!$A$51:$K$83,5,FALSE)-VLOOKUP(AT$3,Energy!$A$51:$K$83,6,FALSE))), $C5 = "2",('Inputs-System'!$C$30*'Coincidence Factors'!$B$5)*(1+'Inputs-System'!$C$18)*(1+'Inputs-System'!$C$41)*('Inputs-Proposals'!$C$23*'Inputs-Proposals'!$C$25*(1-'Inputs-Proposals'!$C$26))*(VLOOKUP(AT$3,Energy!$A$51:$K$83,5,FALSE)-VLOOKUP(AT$3,Energy!$A$51:$K$83,6,FALSE)), $C5= "3", ('Inputs-System'!$C$30*'Coincidence Factors'!$B$5*(1+'Inputs-System'!$C$18)*(1+'Inputs-System'!$C$41)*('Inputs-Proposals'!$C$29*'Inputs-Proposals'!$C$31*(1-'Inputs-Proposals'!$C$32))*(VLOOKUP(AT$3,Energy!$A$51:$K$83,5,FALSE)-VLOOKUP(AT$3,Energy!$A$51:$K$83,6,FALSE))), $C5= "0", 0), 0)</f>
        <v>0</v>
      </c>
      <c r="AU5" s="100">
        <f>IFERROR(_xlfn.IFS($C5="1", 'Inputs-System'!$C$30*'Coincidence Factors'!$B$5*(1+'Inputs-System'!$C$18)*(1+'Inputs-System'!$C$41)*'Inputs-Proposals'!$C$17*'Inputs-Proposals'!$C$19*(1-'Inputs-Proposals'!$C$20)*(VLOOKUP(AT$3,'Embedded Emissions'!$A$47:$B$78,2,FALSE)+VLOOKUP(AT$3,'Embedded Emissions'!$A$129:$B$158,2,FALSE)), $C5 = "2",'Inputs-System'!$C$30*'Coincidence Factors'!$B$5*(1+'Inputs-System'!$C$18)*(1+'Inputs-System'!$C$41)*'Inputs-Proposals'!$C$23*'Inputs-Proposals'!$C$25*(1-'Inputs-Proposals'!$C$20)*(VLOOKUP(AT$3,'Embedded Emissions'!$A$47:$B$78,2,FALSE)+VLOOKUP(AT$3,'Embedded Emissions'!$A$129:$B$158,2,FALSE)), $C5 = "3", 'Inputs-System'!$C$30*'Coincidence Factors'!$B$5*(1+'Inputs-System'!$C$18)*(1+'Inputs-System'!$C$41)*'Inputs-Proposals'!$C$29*'Inputs-Proposals'!$C$31*(1-'Inputs-Proposals'!$C$20)*(VLOOKUP(AT$3,'Embedded Emissions'!$A$47:$B$78,2,FALSE)+VLOOKUP(AT$3,'Embedded Emissions'!$A$129:$B$158,2,FALSE)), $C5 = "0", 0), 0)</f>
        <v>0</v>
      </c>
      <c r="AV5" s="100">
        <f>IFERROR(_xlfn.IFS($C5="1",( 'Inputs-System'!$C$30*'Coincidence Factors'!$B$5*(1+'Inputs-System'!$C$18)*(1+'Inputs-System'!$C$41))*('Inputs-Proposals'!$C$17*'Inputs-Proposals'!$C$19*(1-'Inputs-Proposals'!$C$20))*(VLOOKUP(AT$3,DRIPE!$A$54:$I$82,5,FALSE)-VLOOKUP(AT$3,DRIPE!$A$54:$I$82,6,FALSE)+VLOOKUP(AT$3,DRIPE!$A$54:$I$82,9,FALSE))+ ('Inputs-System'!$C$26*'Coincidence Factors'!$B$5*(1+'Inputs-System'!$C$18)*(1+'Inputs-System'!$C$42))*'Inputs-Proposals'!$C$16*VLOOKUP(AT$3,DRIPE!$A$54:$I$80,8,FALSE), $C5 = "2",( 'Inputs-System'!$C$30*'Coincidence Factors'!$B$5*(1+'Inputs-System'!$C$18)*(1+'Inputs-System'!$C$41))*('Inputs-Proposals'!$C$23*'Inputs-Proposals'!$C$25*(1-'Inputs-Proposals'!$C$26))*(VLOOKUP(AT$3,DRIPE!$A$54:$I$82,5,FALSE)-VLOOKUP(AT$3,DRIPE!$A$54:$I$82,6,FALSE)+VLOOKUP(AT$3,DRIPE!$A$54:$I$82,9,FALSE))+ ('Inputs-System'!$C$26*'Coincidence Factors'!$B$5*(1+'Inputs-System'!$C$18)*(1+'Inputs-System'!$C$42))+ ('Inputs-System'!$C$26*'Coincidence Factors'!$B$5)*'Inputs-Proposals'!$C$22*VLOOKUP(AT$3,DRIPE!$A$54:$I$80,8,FALSE), $C5= "3", ('Inputs-System'!$C$30*'Coincidence Factors'!$B$5)*('Inputs-Proposals'!$C$29*'Inputs-Proposals'!$C$31*(1-'Inputs-Proposals'!$C$32))*(VLOOKUP(AT$3,DRIPE!$A$54:$I$80,5,FALSE)-VLOOKUP(AT$3,DRIPE!$A$54:$I$80,6,FALSE)+VLOOKUP(AT$3,DRIPE!$A$54:$I$80,9,FALSE))+ ('Inputs-System'!$C$26*'Coincidence Factors'!$B$5*(1+'Inputs-System'!$C$18)*(1+'Inputs-System'!$C$42))*'Inputs-Proposals'!$C$28*VLOOKUP(AT$3,DRIPE!$A$54:$I$80,8,FALSE), $C5 = "0", 0), 0)</f>
        <v>0</v>
      </c>
      <c r="AW5" s="345">
        <f>IFERROR(_xlfn.IFS($C5="1",('Inputs-System'!$C$26*'Coincidence Factors'!$B$5*(1+'Inputs-System'!$C$18)*(1+'Inputs-System'!$C$42))*'Inputs-Proposals'!$D$16*(VLOOKUP(AT$3,Capacity!$A$53:$E$85,4,FALSE)*(1+'Inputs-System'!$C$42)+VLOOKUP(AT$3,Capacity!$A$53:$E$85,5,FALSE)*(1+'Inputs-System'!$C$43)*'Inputs-System'!$C$29), $C5 = "2", ('Inputs-System'!$C$26*'Coincidence Factors'!$B$5*(1+'Inputs-System'!$C$18))*'Inputs-Proposals'!$D$22*(VLOOKUP(AT$3,Capacity!$A$53:$E$85,4,FALSE)*(1+'Inputs-System'!$C$42)+VLOOKUP(AT$3,Capacity!$A$53:$E$85,5,FALSE)*'Inputs-System'!$C$29*(1+'Inputs-System'!$C$43)), $C5 = "3", ('Inputs-System'!$C$26*'Coincidence Factors'!$B$5*(1+'Inputs-System'!$C$18))*'Inputs-Proposals'!$D$28*(VLOOKUP(AT$3,Capacity!$A$53:$E$85,4,FALSE)*(1+'Inputs-System'!$C$42)+VLOOKUP(AT$3,Capacity!$A$53:$E$85,5,FALSE)*'Inputs-System'!$C$29*(1+'Inputs-System'!$C$43)), $C5 = "0", 0), 0)</f>
        <v>0</v>
      </c>
      <c r="AX5" s="100">
        <v>0</v>
      </c>
      <c r="AY5" s="346">
        <f>IFERROR(_xlfn.IFS($C5="1", 'Inputs-System'!$C$30*'Coincidence Factors'!$B$5*'Inputs-Proposals'!$C$17*'Inputs-Proposals'!$C$19*(VLOOKUP(AT$3,'Non-Embedded Emissions'!$A$56:$D$90,2,FALSE)+VLOOKUP(AT$3,'Non-Embedded Emissions'!$A$143:$D$174,2,FALSE)+VLOOKUP(AT$3,'Non-Embedded Emissions'!$A$230:$D$259,2,FALSE)-VLOOKUP(AT$3,'Non-Embedded Emissions'!$A$56:$D$90,3,FALSE)-VLOOKUP(AT$3,'Non-Embedded Emissions'!$A$143:$D$174,3,FALSE)-VLOOKUP(AT$3,'Non-Embedded Emissions'!$A$230:$D$259,3,FALSE)), $C5 = "2", 'Inputs-System'!$C$30*'Coincidence Factors'!$B$5*'Inputs-Proposals'!$C$23*'Inputs-Proposals'!$C$25*(VLOOKUP(AT$3,'Non-Embedded Emissions'!$A$56:$D$90,2,FALSE)+VLOOKUP(AT$3,'Non-Embedded Emissions'!$A$143:$D$174,2,FALSE)+VLOOKUP(AT$3,'Non-Embedded Emissions'!$A$230:$D$259,2,FALSE)-VLOOKUP(AT$3,'Non-Embedded Emissions'!$A$56:$D$90,3,FALSE)-VLOOKUP(AT$3,'Non-Embedded Emissions'!$A$143:$D$174,3,FALSE)-VLOOKUP(AT$3,'Non-Embedded Emissions'!$A$230:$D$259,3,FALSE)), $C5 = "3", 'Inputs-System'!$C$30*'Coincidence Factors'!$B$5*'Inputs-Proposals'!$C$29*'Inputs-Proposals'!$C$31*(VLOOKUP(AT$3,'Non-Embedded Emissions'!$A$56:$D$90,2,FALSE)+VLOOKUP(AT$3,'Non-Embedded Emissions'!$A$143:$D$174,2,FALSE)+VLOOKUP(AT$3,'Non-Embedded Emissions'!$A$230:$D$259,2,FALSE)-VLOOKUP(AT$3,'Non-Embedded Emissions'!$A$56:$D$90,3,FALSE)-VLOOKUP(AT$3,'Non-Embedded Emissions'!$A$143:$D$174,3,FALSE)-VLOOKUP(AT$3,'Non-Embedded Emissions'!$A$230:$D$259,3,FALSE)), $C5 = "0", 0), 0)</f>
        <v>0</v>
      </c>
      <c r="AZ5" s="345">
        <f>IFERROR(_xlfn.IFS($C5="1",('Inputs-System'!$C$30*'Coincidence Factors'!$B$5*(1+'Inputs-System'!$C$18)*(1+'Inputs-System'!$C$41)*('Inputs-Proposals'!$C$17*'Inputs-Proposals'!$C$19*(1-'Inputs-Proposals'!$C$20))*(VLOOKUP(AZ$3,Energy!$A$51:$K$83,5,FALSE)-VLOOKUP(AZ$3,Energy!$A$51:$K$83,6,FALSE))), $C5 = "2",('Inputs-System'!$C$30*'Coincidence Factors'!$B$5)*(1+'Inputs-System'!$C$18)*(1+'Inputs-System'!$C$41)*('Inputs-Proposals'!$C$23*'Inputs-Proposals'!$C$25*(1-'Inputs-Proposals'!$C$26))*(VLOOKUP(AZ$3,Energy!$A$51:$K$83,5,FALSE)-VLOOKUP(AZ$3,Energy!$A$51:$K$83,6,FALSE)), $C5= "3", ('Inputs-System'!$C$30*'Coincidence Factors'!$B$5*(1+'Inputs-System'!$C$18)*(1+'Inputs-System'!$C$41)*('Inputs-Proposals'!$C$29*'Inputs-Proposals'!$C$31*(1-'Inputs-Proposals'!$C$32))*(VLOOKUP(AZ$3,Energy!$A$51:$K$83,5,FALSE)-VLOOKUP(AZ$3,Energy!$A$51:$K$83,6,FALSE))), $C5= "0", 0), 0)</f>
        <v>0</v>
      </c>
      <c r="BA5" s="100">
        <f>IFERROR(_xlfn.IFS($C5="1", 'Inputs-System'!$C$30*'Coincidence Factors'!$B$5*(1+'Inputs-System'!$C$18)*(1+'Inputs-System'!$C$41)*'Inputs-Proposals'!$C$17*'Inputs-Proposals'!$C$19*(1-'Inputs-Proposals'!$C$20)*(VLOOKUP(AZ$3,'Embedded Emissions'!$A$47:$B$78,2,FALSE)+VLOOKUP(AZ$3,'Embedded Emissions'!$A$129:$B$158,2,FALSE)), $C5 = "2",'Inputs-System'!$C$30*'Coincidence Factors'!$B$5*(1+'Inputs-System'!$C$18)*(1+'Inputs-System'!$C$41)*'Inputs-Proposals'!$C$23*'Inputs-Proposals'!$C$25*(1-'Inputs-Proposals'!$C$20)*(VLOOKUP(AZ$3,'Embedded Emissions'!$A$47:$B$78,2,FALSE)+VLOOKUP(AZ$3,'Embedded Emissions'!$A$129:$B$158,2,FALSE)), $C5 = "3", 'Inputs-System'!$C$30*'Coincidence Factors'!$B$5*(1+'Inputs-System'!$C$18)*(1+'Inputs-System'!$C$41)*'Inputs-Proposals'!$C$29*'Inputs-Proposals'!$C$31*(1-'Inputs-Proposals'!$C$20)*(VLOOKUP(AZ$3,'Embedded Emissions'!$A$47:$B$78,2,FALSE)+VLOOKUP(AZ$3,'Embedded Emissions'!$A$129:$B$158,2,FALSE)), $C5 = "0", 0), 0)</f>
        <v>0</v>
      </c>
      <c r="BB5" s="100">
        <f>IFERROR(_xlfn.IFS($C5="1",( 'Inputs-System'!$C$30*'Coincidence Factors'!$B$5*(1+'Inputs-System'!$C$18)*(1+'Inputs-System'!$C$41))*('Inputs-Proposals'!$C$17*'Inputs-Proposals'!$C$19*(1-'Inputs-Proposals'!$C$20))*(VLOOKUP(AZ$3,DRIPE!$A$54:$I$82,5,FALSE)-VLOOKUP(AZ$3,DRIPE!$A$54:$I$82,6,FALSE)+VLOOKUP(AZ$3,DRIPE!$A$54:$I$82,9,FALSE))+ ('Inputs-System'!$C$26*'Coincidence Factors'!$B$5*(1+'Inputs-System'!$C$18)*(1+'Inputs-System'!$C$42))*'Inputs-Proposals'!$C$16*VLOOKUP(AZ$3,DRIPE!$A$54:$I$80,8,FALSE), $C5 = "2",( 'Inputs-System'!$C$30*'Coincidence Factors'!$B$5*(1+'Inputs-System'!$C$18)*(1+'Inputs-System'!$C$41))*('Inputs-Proposals'!$C$23*'Inputs-Proposals'!$C$25*(1-'Inputs-Proposals'!$C$26))*(VLOOKUP(AZ$3,DRIPE!$A$54:$I$82,5,FALSE)-VLOOKUP(AZ$3,DRIPE!$A$54:$I$82,6,FALSE)+VLOOKUP(AZ$3,DRIPE!$A$54:$I$82,9,FALSE))+ ('Inputs-System'!$C$26*'Coincidence Factors'!$B$5*(1+'Inputs-System'!$C$18)*(1+'Inputs-System'!$C$42))+ ('Inputs-System'!$C$26*'Coincidence Factors'!$B$5)*'Inputs-Proposals'!$C$22*VLOOKUP(AZ$3,DRIPE!$A$54:$I$80,8,FALSE), $C5= "3", ('Inputs-System'!$C$30*'Coincidence Factors'!$B$5)*('Inputs-Proposals'!$C$29*'Inputs-Proposals'!$C$31*(1-'Inputs-Proposals'!$C$32))*(VLOOKUP(AZ$3,DRIPE!$A$54:$I$80,5,FALSE)-VLOOKUP(AZ$3,DRIPE!$A$54:$I$80,6,FALSE)+VLOOKUP(AZ$3,DRIPE!$A$54:$I$80,9,FALSE))+ ('Inputs-System'!$C$26*'Coincidence Factors'!$B$5*(1+'Inputs-System'!$C$18)*(1+'Inputs-System'!$C$42))*'Inputs-Proposals'!$C$28*VLOOKUP(AZ$3,DRIPE!$A$54:$I$80,8,FALSE), $C5 = "0", 0), 0)</f>
        <v>0</v>
      </c>
      <c r="BC5" s="345">
        <f>IFERROR(_xlfn.IFS($C5="1",('Inputs-System'!$C$26*'Coincidence Factors'!$B$5*(1+'Inputs-System'!$C$18)*(1+'Inputs-System'!$C$42))*'Inputs-Proposals'!$D$16*(VLOOKUP(AZ$3,Capacity!$A$53:$E$85,4,FALSE)*(1+'Inputs-System'!$C$42)+VLOOKUP(AZ$3,Capacity!$A$53:$E$85,5,FALSE)*(1+'Inputs-System'!$C$43)*'Inputs-System'!$C$29), $C5 = "2", ('Inputs-System'!$C$26*'Coincidence Factors'!$B$5*(1+'Inputs-System'!$C$18))*'Inputs-Proposals'!$D$22*(VLOOKUP(AZ$3,Capacity!$A$53:$E$85,4,FALSE)*(1+'Inputs-System'!$C$42)+VLOOKUP(AZ$3,Capacity!$A$53:$E$85,5,FALSE)*'Inputs-System'!$C$29*(1+'Inputs-System'!$C$43)), $C5 = "3", ('Inputs-System'!$C$26*'Coincidence Factors'!$B$5*(1+'Inputs-System'!$C$18))*'Inputs-Proposals'!$D$28*(VLOOKUP(AZ$3,Capacity!$A$53:$E$85,4,FALSE)*(1+'Inputs-System'!$C$42)+VLOOKUP(AZ$3,Capacity!$A$53:$E$85,5,FALSE)*'Inputs-System'!$C$29*(1+'Inputs-System'!$C$43)), $C5 = "0", 0), 0)</f>
        <v>0</v>
      </c>
      <c r="BD5" s="100">
        <v>0</v>
      </c>
      <c r="BE5" s="346">
        <f>IFERROR(_xlfn.IFS($C5="1", 'Inputs-System'!$C$30*'Coincidence Factors'!$B$5*'Inputs-Proposals'!$C$17*'Inputs-Proposals'!$C$19*(VLOOKUP(AZ$3,'Non-Embedded Emissions'!$A$56:$D$90,2,FALSE)+VLOOKUP(AZ$3,'Non-Embedded Emissions'!$A$143:$D$174,2,FALSE)+VLOOKUP(AZ$3,'Non-Embedded Emissions'!$A$230:$D$259,2,FALSE)-VLOOKUP(AZ$3,'Non-Embedded Emissions'!$A$56:$D$90,3,FALSE)-VLOOKUP(AZ$3,'Non-Embedded Emissions'!$A$143:$D$174,3,FALSE)-VLOOKUP(AZ$3,'Non-Embedded Emissions'!$A$230:$D$259,3,FALSE)), $C5 = "2", 'Inputs-System'!$C$30*'Coincidence Factors'!$B$5*'Inputs-Proposals'!$C$23*'Inputs-Proposals'!$C$25*(VLOOKUP(AZ$3,'Non-Embedded Emissions'!$A$56:$D$90,2,FALSE)+VLOOKUP(AZ$3,'Non-Embedded Emissions'!$A$143:$D$174,2,FALSE)+VLOOKUP(AZ$3,'Non-Embedded Emissions'!$A$230:$D$259,2,FALSE)-VLOOKUP(AZ$3,'Non-Embedded Emissions'!$A$56:$D$90,3,FALSE)-VLOOKUP(AZ$3,'Non-Embedded Emissions'!$A$143:$D$174,3,FALSE)-VLOOKUP(AZ$3,'Non-Embedded Emissions'!$A$230:$D$259,3,FALSE)), $C5 = "3", 'Inputs-System'!$C$30*'Coincidence Factors'!$B$5*'Inputs-Proposals'!$C$29*'Inputs-Proposals'!$C$31*(VLOOKUP(AZ$3,'Non-Embedded Emissions'!$A$56:$D$90,2,FALSE)+VLOOKUP(AZ$3,'Non-Embedded Emissions'!$A$143:$D$174,2,FALSE)+VLOOKUP(AZ$3,'Non-Embedded Emissions'!$A$230:$D$259,2,FALSE)-VLOOKUP(AZ$3,'Non-Embedded Emissions'!$A$56:$D$90,3,FALSE)-VLOOKUP(AZ$3,'Non-Embedded Emissions'!$A$143:$D$174,3,FALSE)-VLOOKUP(AZ$3,'Non-Embedded Emissions'!$A$230:$D$259,3,FALSE)), $C5 = "0", 0), 0)</f>
        <v>0</v>
      </c>
      <c r="BF5" s="345">
        <f>IFERROR(_xlfn.IFS($C5="1",('Inputs-System'!$C$30*'Coincidence Factors'!$B$5*(1+'Inputs-System'!$C$18)*(1+'Inputs-System'!$C$41)*('Inputs-Proposals'!$C$17*'Inputs-Proposals'!$C$19*(1-'Inputs-Proposals'!$C$20))*(VLOOKUP(BF$3,Energy!$A$51:$K$83,5,FALSE)-VLOOKUP(BF$3,Energy!$A$51:$K$83,6,FALSE))), $C5 = "2",('Inputs-System'!$C$30*'Coincidence Factors'!$B$5)*(1+'Inputs-System'!$C$18)*(1+'Inputs-System'!$C$41)*('Inputs-Proposals'!$C$23*'Inputs-Proposals'!$C$25*(1-'Inputs-Proposals'!$C$26))*(VLOOKUP(BF$3,Energy!$A$51:$K$83,5,FALSE)-VLOOKUP(BF$3,Energy!$A$51:$K$83,6,FALSE)), $C5= "3", ('Inputs-System'!$C$30*'Coincidence Factors'!$B$5*(1+'Inputs-System'!$C$18)*(1+'Inputs-System'!$C$41)*('Inputs-Proposals'!$C$29*'Inputs-Proposals'!$C$31*(1-'Inputs-Proposals'!$C$32))*(VLOOKUP(BF$3,Energy!$A$51:$K$83,5,FALSE)-VLOOKUP(BF$3,Energy!$A$51:$K$83,6,FALSE))), $C5= "0", 0), 0)</f>
        <v>0</v>
      </c>
      <c r="BG5" s="100">
        <f>IFERROR(_xlfn.IFS($C5="1", 'Inputs-System'!$C$30*'Coincidence Factors'!$B$5*(1+'Inputs-System'!$C$18)*(1+'Inputs-System'!$C$41)*'Inputs-Proposals'!$C$17*'Inputs-Proposals'!$C$19*(1-'Inputs-Proposals'!$C$20)*(VLOOKUP(BF$3,'Embedded Emissions'!$A$47:$B$78,2,FALSE)+VLOOKUP(BF$3,'Embedded Emissions'!$A$129:$B$158,2,FALSE)), $C5 = "2",'Inputs-System'!$C$30*'Coincidence Factors'!$B$5*(1+'Inputs-System'!$C$18)*(1+'Inputs-System'!$C$41)*'Inputs-Proposals'!$C$23*'Inputs-Proposals'!$C$25*(1-'Inputs-Proposals'!$C$20)*(VLOOKUP(BF$3,'Embedded Emissions'!$A$47:$B$78,2,FALSE)+VLOOKUP(BF$3,'Embedded Emissions'!$A$129:$B$158,2,FALSE)), $C5 = "3", 'Inputs-System'!$C$30*'Coincidence Factors'!$B$5*(1+'Inputs-System'!$C$18)*(1+'Inputs-System'!$C$41)*'Inputs-Proposals'!$C$29*'Inputs-Proposals'!$C$31*(1-'Inputs-Proposals'!$C$20)*(VLOOKUP(BF$3,'Embedded Emissions'!$A$47:$B$78,2,FALSE)+VLOOKUP(BF$3,'Embedded Emissions'!$A$129:$B$158,2,FALSE)), $C5 = "0", 0), 0)</f>
        <v>0</v>
      </c>
      <c r="BH5" s="100">
        <f>IFERROR(_xlfn.IFS($C5="1",( 'Inputs-System'!$C$30*'Coincidence Factors'!$B$5*(1+'Inputs-System'!$C$18)*(1+'Inputs-System'!$C$41))*('Inputs-Proposals'!$C$17*'Inputs-Proposals'!$C$19*(1-'Inputs-Proposals'!$C$20))*(VLOOKUP(BF$3,DRIPE!$A$54:$I$82,5,FALSE)-VLOOKUP(BF$3,DRIPE!$A$54:$I$82,6,FALSE)+VLOOKUP(BF$3,DRIPE!$A$54:$I$82,9,FALSE))+ ('Inputs-System'!$C$26*'Coincidence Factors'!$B$5*(1+'Inputs-System'!$C$18)*(1+'Inputs-System'!$C$42))*'Inputs-Proposals'!$C$16*VLOOKUP(BF$3,DRIPE!$A$54:$I$80,8,FALSE), $C5 = "2",( 'Inputs-System'!$C$30*'Coincidence Factors'!$B$5*(1+'Inputs-System'!$C$18)*(1+'Inputs-System'!$C$41))*('Inputs-Proposals'!$C$23*'Inputs-Proposals'!$C$25*(1-'Inputs-Proposals'!$C$26))*(VLOOKUP(BF$3,DRIPE!$A$54:$I$82,5,FALSE)-VLOOKUP(BF$3,DRIPE!$A$54:$I$82,6,FALSE)+VLOOKUP(BF$3,DRIPE!$A$54:$I$82,9,FALSE))+ ('Inputs-System'!$C$26*'Coincidence Factors'!$B$5*(1+'Inputs-System'!$C$18)*(1+'Inputs-System'!$C$42))+ ('Inputs-System'!$C$26*'Coincidence Factors'!$B$5)*'Inputs-Proposals'!$C$22*VLOOKUP(BF$3,DRIPE!$A$54:$I$80,8,FALSE), $C5= "3", ('Inputs-System'!$C$30*'Coincidence Factors'!$B$5)*('Inputs-Proposals'!$C$29*'Inputs-Proposals'!$C$31*(1-'Inputs-Proposals'!$C$32))*(VLOOKUP(BF$3,DRIPE!$A$54:$I$80,5,FALSE)-VLOOKUP(BF$3,DRIPE!$A$54:$I$80,6,FALSE)+VLOOKUP(BF$3,DRIPE!$A$54:$I$80,9,FALSE))+ ('Inputs-System'!$C$26*'Coincidence Factors'!$B$5*(1+'Inputs-System'!$C$18)*(1+'Inputs-System'!$C$42))*'Inputs-Proposals'!$C$28*VLOOKUP(BF$3,DRIPE!$A$54:$I$80,8,FALSE), $C5 = "0", 0), 0)</f>
        <v>0</v>
      </c>
      <c r="BI5" s="345">
        <f>IFERROR(_xlfn.IFS($C5="1",('Inputs-System'!$C$26*'Coincidence Factors'!$B$5*(1+'Inputs-System'!$C$18)*(1+'Inputs-System'!$C$42))*'Inputs-Proposals'!$D$16*(VLOOKUP(BF$3,Capacity!$A$53:$E$85,4,FALSE)*(1+'Inputs-System'!$C$42)+VLOOKUP(BF$3,Capacity!$A$53:$E$85,5,FALSE)*(1+'Inputs-System'!$C$43)*'Inputs-System'!$C$29), $C5 = "2", ('Inputs-System'!$C$26*'Coincidence Factors'!$B$5*(1+'Inputs-System'!$C$18))*'Inputs-Proposals'!$D$22*(VLOOKUP(BF$3,Capacity!$A$53:$E$85,4,FALSE)*(1+'Inputs-System'!$C$42)+VLOOKUP(BF$3,Capacity!$A$53:$E$85,5,FALSE)*'Inputs-System'!$C$29*(1+'Inputs-System'!$C$43)), $C5 = "3", ('Inputs-System'!$C$26*'Coincidence Factors'!$B$5*(1+'Inputs-System'!$C$18))*'Inputs-Proposals'!$D$28*(VLOOKUP(BF$3,Capacity!$A$53:$E$85,4,FALSE)*(1+'Inputs-System'!$C$42)+VLOOKUP(BF$3,Capacity!$A$53:$E$85,5,FALSE)*'Inputs-System'!$C$29*(1+'Inputs-System'!$C$43)), $C5 = "0", 0), 0)</f>
        <v>0</v>
      </c>
      <c r="BJ5" s="100">
        <v>0</v>
      </c>
      <c r="BK5" s="346">
        <f>IFERROR(_xlfn.IFS($C5="1", 'Inputs-System'!$C$30*'Coincidence Factors'!$B$5*'Inputs-Proposals'!$C$17*'Inputs-Proposals'!$C$19*(VLOOKUP(BF$3,'Non-Embedded Emissions'!$A$56:$D$90,2,FALSE)+VLOOKUP(BF$3,'Non-Embedded Emissions'!$A$143:$D$174,2,FALSE)+VLOOKUP(BF$3,'Non-Embedded Emissions'!$A$230:$D$259,2,FALSE)-VLOOKUP(BF$3,'Non-Embedded Emissions'!$A$56:$D$90,3,FALSE)-VLOOKUP(BF$3,'Non-Embedded Emissions'!$A$143:$D$174,3,FALSE)-VLOOKUP(BF$3,'Non-Embedded Emissions'!$A$230:$D$259,3,FALSE)), $C5 = "2", 'Inputs-System'!$C$30*'Coincidence Factors'!$B$5*'Inputs-Proposals'!$C$23*'Inputs-Proposals'!$C$25*(VLOOKUP(BF$3,'Non-Embedded Emissions'!$A$56:$D$90,2,FALSE)+VLOOKUP(BF$3,'Non-Embedded Emissions'!$A$143:$D$174,2,FALSE)+VLOOKUP(BF$3,'Non-Embedded Emissions'!$A$230:$D$259,2,FALSE)-VLOOKUP(BF$3,'Non-Embedded Emissions'!$A$56:$D$90,3,FALSE)-VLOOKUP(BF$3,'Non-Embedded Emissions'!$A$143:$D$174,3,FALSE)-VLOOKUP(BF$3,'Non-Embedded Emissions'!$A$230:$D$259,3,FALSE)), $C5 = "3", 'Inputs-System'!$C$30*'Coincidence Factors'!$B$5*'Inputs-Proposals'!$C$29*'Inputs-Proposals'!$C$31*(VLOOKUP(BF$3,'Non-Embedded Emissions'!$A$56:$D$90,2,FALSE)+VLOOKUP(BF$3,'Non-Embedded Emissions'!$A$143:$D$174,2,FALSE)+VLOOKUP(BF$3,'Non-Embedded Emissions'!$A$230:$D$259,2,FALSE)-VLOOKUP(BF$3,'Non-Embedded Emissions'!$A$56:$D$90,3,FALSE)-VLOOKUP(BF$3,'Non-Embedded Emissions'!$A$143:$D$174,3,FALSE)-VLOOKUP(BF$3,'Non-Embedded Emissions'!$A$230:$D$259,3,FALSE)), $C5 = "0", 0), 0)</f>
        <v>0</v>
      </c>
      <c r="BL5" s="345">
        <f>IFERROR(_xlfn.IFS($C5="1",('Inputs-System'!$C$30*'Coincidence Factors'!$B$5*(1+'Inputs-System'!$C$18)*(1+'Inputs-System'!$C$41)*('Inputs-Proposals'!$C$17*'Inputs-Proposals'!$C$19*(1-'Inputs-Proposals'!$C$20))*(VLOOKUP(BL$3,Energy!$A$51:$K$83,5,FALSE)-VLOOKUP(BL$3,Energy!$A$51:$K$83,6,FALSE))), $C5 = "2",('Inputs-System'!$C$30*'Coincidence Factors'!$B$5)*(1+'Inputs-System'!$C$18)*(1+'Inputs-System'!$C$41)*('Inputs-Proposals'!$C$23*'Inputs-Proposals'!$C$25*(1-'Inputs-Proposals'!$C$26))*(VLOOKUP(BL$3,Energy!$A$51:$K$83,5,FALSE)-VLOOKUP(BL$3,Energy!$A$51:$K$83,6,FALSE)), $C5= "3", ('Inputs-System'!$C$30*'Coincidence Factors'!$B$5*(1+'Inputs-System'!$C$18)*(1+'Inputs-System'!$C$41)*('Inputs-Proposals'!$C$29*'Inputs-Proposals'!$C$31*(1-'Inputs-Proposals'!$C$32))*(VLOOKUP(BL$3,Energy!$A$51:$K$83,5,FALSE)-VLOOKUP(BL$3,Energy!$A$51:$K$83,6,FALSE))), $C5= "0", 0), 0)</f>
        <v>0</v>
      </c>
      <c r="BM5" s="100">
        <f>IFERROR(_xlfn.IFS($C5="1", 'Inputs-System'!$C$30*'Coincidence Factors'!$B$5*(1+'Inputs-System'!$C$18)*(1+'Inputs-System'!$C$41)*'Inputs-Proposals'!$C$17*'Inputs-Proposals'!$C$19*(1-'Inputs-Proposals'!$C$20)*(VLOOKUP(BL$3,'Embedded Emissions'!$A$47:$B$78,2,FALSE)+VLOOKUP(BL$3,'Embedded Emissions'!$A$129:$B$158,2,FALSE)), $C5 = "2",'Inputs-System'!$C$30*'Coincidence Factors'!$B$5*(1+'Inputs-System'!$C$18)*(1+'Inputs-System'!$C$41)*'Inputs-Proposals'!$C$23*'Inputs-Proposals'!$C$25*(1-'Inputs-Proposals'!$C$20)*(VLOOKUP(BL$3,'Embedded Emissions'!$A$47:$B$78,2,FALSE)+VLOOKUP(BL$3,'Embedded Emissions'!$A$129:$B$158,2,FALSE)), $C5 = "3", 'Inputs-System'!$C$30*'Coincidence Factors'!$B$5*(1+'Inputs-System'!$C$18)*(1+'Inputs-System'!$C$41)*'Inputs-Proposals'!$C$29*'Inputs-Proposals'!$C$31*(1-'Inputs-Proposals'!$C$20)*(VLOOKUP(BL$3,'Embedded Emissions'!$A$47:$B$78,2,FALSE)+VLOOKUP(BL$3,'Embedded Emissions'!$A$129:$B$158,2,FALSE)), $C5 = "0", 0), 0)</f>
        <v>0</v>
      </c>
      <c r="BN5" s="100">
        <f>IFERROR(_xlfn.IFS($C5="1",( 'Inputs-System'!$C$30*'Coincidence Factors'!$B$5*(1+'Inputs-System'!$C$18)*(1+'Inputs-System'!$C$41))*('Inputs-Proposals'!$C$17*'Inputs-Proposals'!$C$19*(1-'Inputs-Proposals'!$C$20))*(VLOOKUP(BL$3,DRIPE!$A$54:$I$82,5,FALSE)-VLOOKUP(BL$3,DRIPE!$A$54:$I$82,6,FALSE)+VLOOKUP(BL$3,DRIPE!$A$54:$I$82,9,FALSE))+ ('Inputs-System'!$C$26*'Coincidence Factors'!$B$5*(1+'Inputs-System'!$C$18)*(1+'Inputs-System'!$C$42))*'Inputs-Proposals'!$C$16*VLOOKUP(BL$3,DRIPE!$A$54:$I$80,8,FALSE), $C5 = "2",( 'Inputs-System'!$C$30*'Coincidence Factors'!$B$5*(1+'Inputs-System'!$C$18)*(1+'Inputs-System'!$C$41))*('Inputs-Proposals'!$C$23*'Inputs-Proposals'!$C$25*(1-'Inputs-Proposals'!$C$26))*(VLOOKUP(BL$3,DRIPE!$A$54:$I$82,5,FALSE)-VLOOKUP(BL$3,DRIPE!$A$54:$I$82,6,FALSE)+VLOOKUP(BL$3,DRIPE!$A$54:$I$82,9,FALSE))+ ('Inputs-System'!$C$26*'Coincidence Factors'!$B$5*(1+'Inputs-System'!$C$18)*(1+'Inputs-System'!$C$42))+ ('Inputs-System'!$C$26*'Coincidence Factors'!$B$5)*'Inputs-Proposals'!$C$22*VLOOKUP(BL$3,DRIPE!$A$54:$I$80,8,FALSE), $C5= "3", ('Inputs-System'!$C$30*'Coincidence Factors'!$B$5)*('Inputs-Proposals'!$C$29*'Inputs-Proposals'!$C$31*(1-'Inputs-Proposals'!$C$32))*(VLOOKUP(BL$3,DRIPE!$A$54:$I$80,5,FALSE)-VLOOKUP(BL$3,DRIPE!$A$54:$I$80,6,FALSE)+VLOOKUP(BL$3,DRIPE!$A$54:$I$80,9,FALSE))+ ('Inputs-System'!$C$26*'Coincidence Factors'!$B$5*(1+'Inputs-System'!$C$18)*(1+'Inputs-System'!$C$42))*'Inputs-Proposals'!$C$28*VLOOKUP(BL$3,DRIPE!$A$54:$I$80,8,FALSE), $C5 = "0", 0), 0)</f>
        <v>0</v>
      </c>
      <c r="BO5" s="345">
        <f>IFERROR(_xlfn.IFS($C5="1",('Inputs-System'!$C$26*'Coincidence Factors'!$B$5*(1+'Inputs-System'!$C$18)*(1+'Inputs-System'!$C$42))*'Inputs-Proposals'!$D$16*(VLOOKUP(BL$3,Capacity!$A$53:$E$85,4,FALSE)*(1+'Inputs-System'!$C$42)+VLOOKUP(BL$3,Capacity!$A$53:$E$85,5,FALSE)*(1+'Inputs-System'!$C$43)*'Inputs-System'!$C$29), $C5 = "2", ('Inputs-System'!$C$26*'Coincidence Factors'!$B$5*(1+'Inputs-System'!$C$18))*'Inputs-Proposals'!$D$22*(VLOOKUP(BL$3,Capacity!$A$53:$E$85,4,FALSE)*(1+'Inputs-System'!$C$42)+VLOOKUP(BL$3,Capacity!$A$53:$E$85,5,FALSE)*'Inputs-System'!$C$29*(1+'Inputs-System'!$C$43)), $C5 = "3", ('Inputs-System'!$C$26*'Coincidence Factors'!$B$5*(1+'Inputs-System'!$C$18))*'Inputs-Proposals'!$D$28*(VLOOKUP(BL$3,Capacity!$A$53:$E$85,4,FALSE)*(1+'Inputs-System'!$C$42)+VLOOKUP(BL$3,Capacity!$A$53:$E$85,5,FALSE)*'Inputs-System'!$C$29*(1+'Inputs-System'!$C$43)), $C5 = "0", 0), 0)</f>
        <v>0</v>
      </c>
      <c r="BP5" s="100">
        <v>0</v>
      </c>
      <c r="BQ5" s="346">
        <f>IFERROR(_xlfn.IFS($C5="1", 'Inputs-System'!$C$30*'Coincidence Factors'!$B$5*'Inputs-Proposals'!$C$17*'Inputs-Proposals'!$C$19*(VLOOKUP(BL$3,'Non-Embedded Emissions'!$A$56:$D$90,2,FALSE)+VLOOKUP(BL$3,'Non-Embedded Emissions'!$A$143:$D$174,2,FALSE)+VLOOKUP(BL$3,'Non-Embedded Emissions'!$A$230:$D$259,2,FALSE)-VLOOKUP(BL$3,'Non-Embedded Emissions'!$A$56:$D$90,3,FALSE)-VLOOKUP(BL$3,'Non-Embedded Emissions'!$A$143:$D$174,3,FALSE)-VLOOKUP(BL$3,'Non-Embedded Emissions'!$A$230:$D$259,3,FALSE)), $C5 = "2", 'Inputs-System'!$C$30*'Coincidence Factors'!$B$5*'Inputs-Proposals'!$C$23*'Inputs-Proposals'!$C$25*(VLOOKUP(BL$3,'Non-Embedded Emissions'!$A$56:$D$90,2,FALSE)+VLOOKUP(BL$3,'Non-Embedded Emissions'!$A$143:$D$174,2,FALSE)+VLOOKUP(BL$3,'Non-Embedded Emissions'!$A$230:$D$259,2,FALSE)-VLOOKUP(BL$3,'Non-Embedded Emissions'!$A$56:$D$90,3,FALSE)-VLOOKUP(BL$3,'Non-Embedded Emissions'!$A$143:$D$174,3,FALSE)-VLOOKUP(BL$3,'Non-Embedded Emissions'!$A$230:$D$259,3,FALSE)), $C5 = "3", 'Inputs-System'!$C$30*'Coincidence Factors'!$B$5*'Inputs-Proposals'!$C$29*'Inputs-Proposals'!$C$31*(VLOOKUP(BL$3,'Non-Embedded Emissions'!$A$56:$D$90,2,FALSE)+VLOOKUP(BL$3,'Non-Embedded Emissions'!$A$143:$D$174,2,FALSE)+VLOOKUP(BL$3,'Non-Embedded Emissions'!$A$230:$D$259,2,FALSE)-VLOOKUP(BL$3,'Non-Embedded Emissions'!$A$56:$D$90,3,FALSE)-VLOOKUP(BL$3,'Non-Embedded Emissions'!$A$143:$D$174,3,FALSE)-VLOOKUP(BL$3,'Non-Embedded Emissions'!$A$230:$D$259,3,FALSE)), $C5 = "0", 0), 0)</f>
        <v>0</v>
      </c>
      <c r="BR5" s="345">
        <f>IFERROR(_xlfn.IFS($C5="1",('Inputs-System'!$C$30*'Coincidence Factors'!$B$5*(1+'Inputs-System'!$C$18)*(1+'Inputs-System'!$C$41)*('Inputs-Proposals'!$C$17*'Inputs-Proposals'!$C$19*(1-'Inputs-Proposals'!$C$20))*(VLOOKUP(BR$3,Energy!$A$51:$K$83,5,FALSE)-VLOOKUP(BR$3,Energy!$A$51:$K$83,6,FALSE))), $C5 = "2",('Inputs-System'!$C$30*'Coincidence Factors'!$B$5)*(1+'Inputs-System'!$C$18)*(1+'Inputs-System'!$C$41)*('Inputs-Proposals'!$C$23*'Inputs-Proposals'!$C$25*(1-'Inputs-Proposals'!$C$26))*(VLOOKUP(BR$3,Energy!$A$51:$K$83,5,FALSE)-VLOOKUP(BR$3,Energy!$A$51:$K$83,6,FALSE)), $C5= "3", ('Inputs-System'!$C$30*'Coincidence Factors'!$B$5*(1+'Inputs-System'!$C$18)*(1+'Inputs-System'!$C$41)*('Inputs-Proposals'!$C$29*'Inputs-Proposals'!$C$31*(1-'Inputs-Proposals'!$C$32))*(VLOOKUP(BR$3,Energy!$A$51:$K$83,5,FALSE)-VLOOKUP(BR$3,Energy!$A$51:$K$83,6,FALSE))), $C5= "0", 0), 0)</f>
        <v>0</v>
      </c>
      <c r="BS5" s="100">
        <f>IFERROR(_xlfn.IFS($C5="1", 'Inputs-System'!$C$30*'Coincidence Factors'!$B$5*(1+'Inputs-System'!$C$18)*(1+'Inputs-System'!$C$41)*'Inputs-Proposals'!$C$17*'Inputs-Proposals'!$C$19*(1-'Inputs-Proposals'!$C$20)*(VLOOKUP(BR$3,'Embedded Emissions'!$A$47:$B$78,2,FALSE)+VLOOKUP(BR$3,'Embedded Emissions'!$A$129:$B$158,2,FALSE)), $C5 = "2",'Inputs-System'!$C$30*'Coincidence Factors'!$B$5*(1+'Inputs-System'!$C$18)*(1+'Inputs-System'!$C$41)*'Inputs-Proposals'!$C$23*'Inputs-Proposals'!$C$25*(1-'Inputs-Proposals'!$C$20)*(VLOOKUP(BR$3,'Embedded Emissions'!$A$47:$B$78,2,FALSE)+VLOOKUP(BR$3,'Embedded Emissions'!$A$129:$B$158,2,FALSE)), $C5 = "3", 'Inputs-System'!$C$30*'Coincidence Factors'!$B$5*(1+'Inputs-System'!$C$18)*(1+'Inputs-System'!$C$41)*'Inputs-Proposals'!$C$29*'Inputs-Proposals'!$C$31*(1-'Inputs-Proposals'!$C$20)*(VLOOKUP(BR$3,'Embedded Emissions'!$A$47:$B$78,2,FALSE)+VLOOKUP(BR$3,'Embedded Emissions'!$A$129:$B$158,2,FALSE)), $C5 = "0", 0), 0)</f>
        <v>0</v>
      </c>
      <c r="BT5" s="100">
        <f>IFERROR(_xlfn.IFS($C5="1",( 'Inputs-System'!$C$30*'Coincidence Factors'!$B$5*(1+'Inputs-System'!$C$18)*(1+'Inputs-System'!$C$41))*('Inputs-Proposals'!$C$17*'Inputs-Proposals'!$C$19*(1-'Inputs-Proposals'!$C$20))*(VLOOKUP(BR$3,DRIPE!$A$54:$I$82,5,FALSE)-VLOOKUP(BR$3,DRIPE!$A$54:$I$82,6,FALSE)+VLOOKUP(BR$3,DRIPE!$A$54:$I$82,9,FALSE))+ ('Inputs-System'!$C$26*'Coincidence Factors'!$B$5*(1+'Inputs-System'!$C$18)*(1+'Inputs-System'!$C$42))*'Inputs-Proposals'!$C$16*VLOOKUP(BR$3,DRIPE!$A$54:$I$80,8,FALSE), $C5 = "2",( 'Inputs-System'!$C$30*'Coincidence Factors'!$B$5*(1+'Inputs-System'!$C$18)*(1+'Inputs-System'!$C$41))*('Inputs-Proposals'!$C$23*'Inputs-Proposals'!$C$25*(1-'Inputs-Proposals'!$C$26))*(VLOOKUP(BR$3,DRIPE!$A$54:$I$82,5,FALSE)-VLOOKUP(BR$3,DRIPE!$A$54:$I$82,6,FALSE)+VLOOKUP(BR$3,DRIPE!$A$54:$I$82,9,FALSE))+ ('Inputs-System'!$C$26*'Coincidence Factors'!$B$5*(1+'Inputs-System'!$C$18)*(1+'Inputs-System'!$C$42))+ ('Inputs-System'!$C$26*'Coincidence Factors'!$B$5)*'Inputs-Proposals'!$C$22*VLOOKUP(BR$3,DRIPE!$A$54:$I$80,8,FALSE), $C5= "3", ('Inputs-System'!$C$30*'Coincidence Factors'!$B$5)*('Inputs-Proposals'!$C$29*'Inputs-Proposals'!$C$31*(1-'Inputs-Proposals'!$C$32))*(VLOOKUP(BR$3,DRIPE!$A$54:$I$80,5,FALSE)-VLOOKUP(BR$3,DRIPE!$A$54:$I$80,6,FALSE)+VLOOKUP(BR$3,DRIPE!$A$54:$I$80,9,FALSE))+ ('Inputs-System'!$C$26*'Coincidence Factors'!$B$5*(1+'Inputs-System'!$C$18)*(1+'Inputs-System'!$C$42))*'Inputs-Proposals'!$C$28*VLOOKUP(BR$3,DRIPE!$A$54:$I$80,8,FALSE), $C5 = "0", 0), 0)</f>
        <v>0</v>
      </c>
      <c r="BU5" s="345">
        <f>IFERROR(_xlfn.IFS($C5="1",('Inputs-System'!$C$26*'Coincidence Factors'!$B$5*(1+'Inputs-System'!$C$18)*(1+'Inputs-System'!$C$42))*'Inputs-Proposals'!$D$16*(VLOOKUP(BR$3,Capacity!$A$53:$E$85,4,FALSE)*(1+'Inputs-System'!$C$42)+VLOOKUP(BR$3,Capacity!$A$53:$E$85,5,FALSE)*(1+'Inputs-System'!$C$43)*'Inputs-System'!$C$29), $C5 = "2", ('Inputs-System'!$C$26*'Coincidence Factors'!$B$5*(1+'Inputs-System'!$C$18))*'Inputs-Proposals'!$D$22*(VLOOKUP(BR$3,Capacity!$A$53:$E$85,4,FALSE)*(1+'Inputs-System'!$C$42)+VLOOKUP(BR$3,Capacity!$A$53:$E$85,5,FALSE)*'Inputs-System'!$C$29*(1+'Inputs-System'!$C$43)), $C5 = "3", ('Inputs-System'!$C$26*'Coincidence Factors'!$B$5*(1+'Inputs-System'!$C$18))*'Inputs-Proposals'!$D$28*(VLOOKUP(BR$3,Capacity!$A$53:$E$85,4,FALSE)*(1+'Inputs-System'!$C$42)+VLOOKUP(BR$3,Capacity!$A$53:$E$85,5,FALSE)*'Inputs-System'!$C$29*(1+'Inputs-System'!$C$43)), $C5 = "0", 0), 0)</f>
        <v>0</v>
      </c>
      <c r="BV5" s="100">
        <v>0</v>
      </c>
      <c r="BW5" s="346">
        <f>IFERROR(_xlfn.IFS($C5="1", 'Inputs-System'!$C$30*'Coincidence Factors'!$B$5*'Inputs-Proposals'!$C$17*'Inputs-Proposals'!$C$19*(VLOOKUP(BR$3,'Non-Embedded Emissions'!$A$56:$D$90,2,FALSE)+VLOOKUP(BR$3,'Non-Embedded Emissions'!$A$143:$D$174,2,FALSE)+VLOOKUP(BR$3,'Non-Embedded Emissions'!$A$230:$D$259,2,FALSE)-VLOOKUP(BR$3,'Non-Embedded Emissions'!$A$56:$D$90,3,FALSE)-VLOOKUP(BR$3,'Non-Embedded Emissions'!$A$143:$D$174,3,FALSE)-VLOOKUP(BR$3,'Non-Embedded Emissions'!$A$230:$D$259,3,FALSE)), $C5 = "2", 'Inputs-System'!$C$30*'Coincidence Factors'!$B$5*'Inputs-Proposals'!$C$23*'Inputs-Proposals'!$C$25*(VLOOKUP(BR$3,'Non-Embedded Emissions'!$A$56:$D$90,2,FALSE)+VLOOKUP(BR$3,'Non-Embedded Emissions'!$A$143:$D$174,2,FALSE)+VLOOKUP(BR$3,'Non-Embedded Emissions'!$A$230:$D$259,2,FALSE)-VLOOKUP(BR$3,'Non-Embedded Emissions'!$A$56:$D$90,3,FALSE)-VLOOKUP(BR$3,'Non-Embedded Emissions'!$A$143:$D$174,3,FALSE)-VLOOKUP(BR$3,'Non-Embedded Emissions'!$A$230:$D$259,3,FALSE)), $C5 = "3", 'Inputs-System'!$C$30*'Coincidence Factors'!$B$5*'Inputs-Proposals'!$C$29*'Inputs-Proposals'!$C$31*(VLOOKUP(BR$3,'Non-Embedded Emissions'!$A$56:$D$90,2,FALSE)+VLOOKUP(BR$3,'Non-Embedded Emissions'!$A$143:$D$174,2,FALSE)+VLOOKUP(BR$3,'Non-Embedded Emissions'!$A$230:$D$259,2,FALSE)-VLOOKUP(BR$3,'Non-Embedded Emissions'!$A$56:$D$90,3,FALSE)-VLOOKUP(BR$3,'Non-Embedded Emissions'!$A$143:$D$174,3,FALSE)-VLOOKUP(BR$3,'Non-Embedded Emissions'!$A$230:$D$259,3,FALSE)), $C5 = "0", 0), 0)</f>
        <v>0</v>
      </c>
      <c r="BX5" s="345">
        <f>IFERROR(_xlfn.IFS($C5="1",('Inputs-System'!$C$30*'Coincidence Factors'!$B$5*(1+'Inputs-System'!$C$18)*(1+'Inputs-System'!$C$41)*('Inputs-Proposals'!$C$17*'Inputs-Proposals'!$C$19*(1-'Inputs-Proposals'!$C$20))*(VLOOKUP(BX$3,Energy!$A$51:$K$83,5,FALSE)-VLOOKUP(BX$3,Energy!$A$51:$K$83,6,FALSE))), $C5 = "2",('Inputs-System'!$C$30*'Coincidence Factors'!$B$5)*(1+'Inputs-System'!$C$18)*(1+'Inputs-System'!$C$41)*('Inputs-Proposals'!$C$23*'Inputs-Proposals'!$C$25*(1-'Inputs-Proposals'!$C$26))*(VLOOKUP(BX$3,Energy!$A$51:$K$83,5,FALSE)-VLOOKUP(BX$3,Energy!$A$51:$K$83,6,FALSE)), $C5= "3", ('Inputs-System'!$C$30*'Coincidence Factors'!$B$5*(1+'Inputs-System'!$C$18)*(1+'Inputs-System'!$C$41)*('Inputs-Proposals'!$C$29*'Inputs-Proposals'!$C$31*(1-'Inputs-Proposals'!$C$32))*(VLOOKUP(BX$3,Energy!$A$51:$K$83,5,FALSE)-VLOOKUP(BX$3,Energy!$A$51:$K$83,6,FALSE))), $C5= "0", 0), 0)</f>
        <v>0</v>
      </c>
      <c r="BY5" s="345">
        <f>IFERROR(_xlfn.IFS($C5="1", 'Inputs-System'!$C$30*'Coincidence Factors'!$B$5*(1+'Inputs-System'!$C$18)*(1+'Inputs-System'!$C$41)*'Inputs-Proposals'!$C$17*'Inputs-Proposals'!$C$19*(1-'Inputs-Proposals'!$C$20)*(VLOOKUP(BX$3,'Embedded Emissions'!$A$47:$B$78,2,FALSE)+VLOOKUP(BX$3,'Embedded Emissions'!$A$129:$B$158,2,FALSE)), $C5 = "2",'Inputs-System'!$C$30*'Coincidence Factors'!$B$5*(1+'Inputs-System'!$C$18)*(1+'Inputs-System'!$C$41)*'Inputs-Proposals'!$C$23*'Inputs-Proposals'!$C$25*(1-'Inputs-Proposals'!$C$20)*(VLOOKUP(BX$3,'Embedded Emissions'!$A$47:$B$78,2,FALSE)+VLOOKUP(BX$3,'Embedded Emissions'!$A$129:$B$158,2,FALSE)), $C5 = "3", 'Inputs-System'!$C$30*'Coincidence Factors'!$B$5*(1+'Inputs-System'!$C$18)*(1+'Inputs-System'!$C$41)*'Inputs-Proposals'!$C$29*'Inputs-Proposals'!$C$31*(1-'Inputs-Proposals'!$C$20)*(VLOOKUP(BX$3,'Embedded Emissions'!$A$47:$B$78,2,FALSE)+VLOOKUP(BX$3,'Embedded Emissions'!$A$129:$B$158,2,FALSE)), $C5 = "0", 0), 0)</f>
        <v>0</v>
      </c>
      <c r="BZ5" s="100">
        <f>IFERROR(_xlfn.IFS($C5="1",( 'Inputs-System'!$C$30*'Coincidence Factors'!$B$5*(1+'Inputs-System'!$C$18)*(1+'Inputs-System'!$C$41))*('Inputs-Proposals'!$C$17*'Inputs-Proposals'!$C$19*(1-'Inputs-Proposals'!$C$20))*(VLOOKUP(BX$3,DRIPE!$A$54:$I$82,5,FALSE)-VLOOKUP(BX$3,DRIPE!$A$54:$I$82,6,FALSE)+VLOOKUP(BX$3,DRIPE!$A$54:$I$82,9,FALSE))+ ('Inputs-System'!$C$26*'Coincidence Factors'!$B$5*(1+'Inputs-System'!$C$18)*(1+'Inputs-System'!$C$42))*'Inputs-Proposals'!$C$16*VLOOKUP(BX$3,DRIPE!$A$54:$I$80,8,FALSE), $C5 = "2",( 'Inputs-System'!$C$30*'Coincidence Factors'!$B$5*(1+'Inputs-System'!$C$18)*(1+'Inputs-System'!$C$41))*('Inputs-Proposals'!$C$23*'Inputs-Proposals'!$C$25*(1-'Inputs-Proposals'!$C$26))*(VLOOKUP(BX$3,DRIPE!$A$54:$I$82,5,FALSE)-VLOOKUP(BX$3,DRIPE!$A$54:$I$82,6,FALSE)+VLOOKUP(BX$3,DRIPE!$A$54:$I$82,9,FALSE))+ ('Inputs-System'!$C$26*'Coincidence Factors'!$B$5*(1+'Inputs-System'!$C$18)*(1+'Inputs-System'!$C$42))+ ('Inputs-System'!$C$26*'Coincidence Factors'!$B$5)*'Inputs-Proposals'!$C$22*VLOOKUP(BX$3,DRIPE!$A$54:$I$80,8,FALSE), $C5= "3", ('Inputs-System'!$C$30*'Coincidence Factors'!$B$5)*('Inputs-Proposals'!$C$29*'Inputs-Proposals'!$C$31*(1-'Inputs-Proposals'!$C$32))*(VLOOKUP(BX$3,DRIPE!$A$54:$I$80,5,FALSE)-VLOOKUP(BX$3,DRIPE!$A$54:$I$80,6,FALSE)+VLOOKUP(BX$3,DRIPE!$A$54:$I$80,9,FALSE))+ ('Inputs-System'!$C$26*'Coincidence Factors'!$B$5*(1+'Inputs-System'!$C$18)*(1+'Inputs-System'!$C$42))*'Inputs-Proposals'!$C$28*VLOOKUP(BX$3,DRIPE!$A$54:$I$80,8,FALSE), $C5 = "0", 0), 0)</f>
        <v>0</v>
      </c>
      <c r="CA5" s="345">
        <f>IFERROR(_xlfn.IFS($C5="1",('Inputs-System'!$C$26*'Coincidence Factors'!$B$5*(1+'Inputs-System'!$C$18)*(1+'Inputs-System'!$C$42))*'Inputs-Proposals'!$D$16*(VLOOKUP(BX$3,Capacity!$A$53:$E$85,4,FALSE)*(1+'Inputs-System'!$C$42)+VLOOKUP(BX$3,Capacity!$A$53:$E$85,5,FALSE)*(1+'Inputs-System'!$C$43)*'Inputs-System'!$C$29), $C5 = "2", ('Inputs-System'!$C$26*'Coincidence Factors'!$B$5*(1+'Inputs-System'!$C$18))*'Inputs-Proposals'!$D$22*(VLOOKUP(BX$3,Capacity!$A$53:$E$85,4,FALSE)*(1+'Inputs-System'!$C$42)+VLOOKUP(BX$3,Capacity!$A$53:$E$85,5,FALSE)*'Inputs-System'!$C$29*(1+'Inputs-System'!$C$43)), $C5 = "3", ('Inputs-System'!$C$26*'Coincidence Factors'!$B$5*(1+'Inputs-System'!$C$18))*'Inputs-Proposals'!$D$28*(VLOOKUP(BX$3,Capacity!$A$53:$E$85,4,FALSE)*(1+'Inputs-System'!$C$42)+VLOOKUP(BX$3,Capacity!$A$53:$E$85,5,FALSE)*'Inputs-System'!$C$29*(1+'Inputs-System'!$C$43)), $C5 = "0", 0), 0)</f>
        <v>0</v>
      </c>
      <c r="CB5" s="100">
        <v>0</v>
      </c>
      <c r="CC5" s="346">
        <f>IFERROR(_xlfn.IFS($C5="1", 'Inputs-System'!$C$30*'Coincidence Factors'!$B$5*'Inputs-Proposals'!$C$17*'Inputs-Proposals'!$C$19*(VLOOKUP(BX$3,'Non-Embedded Emissions'!$A$56:$D$90,2,FALSE)+VLOOKUP(BX$3,'Non-Embedded Emissions'!$A$143:$D$174,2,FALSE)+VLOOKUP(BX$3,'Non-Embedded Emissions'!$A$230:$D$259,2,FALSE)-VLOOKUP(BX$3,'Non-Embedded Emissions'!$A$56:$D$90,3,FALSE)-VLOOKUP(BX$3,'Non-Embedded Emissions'!$A$143:$D$174,3,FALSE)-VLOOKUP(BX$3,'Non-Embedded Emissions'!$A$230:$D$259,3,FALSE)), $C5 = "2", 'Inputs-System'!$C$30*'Coincidence Factors'!$B$5*'Inputs-Proposals'!$C$23*'Inputs-Proposals'!$C$25*(VLOOKUP(BX$3,'Non-Embedded Emissions'!$A$56:$D$90,2,FALSE)+VLOOKUP(BX$3,'Non-Embedded Emissions'!$A$143:$D$174,2,FALSE)+VLOOKUP(BX$3,'Non-Embedded Emissions'!$A$230:$D$259,2,FALSE)-VLOOKUP(BX$3,'Non-Embedded Emissions'!$A$56:$D$90,3,FALSE)-VLOOKUP(BX$3,'Non-Embedded Emissions'!$A$143:$D$174,3,FALSE)-VLOOKUP(BX$3,'Non-Embedded Emissions'!$A$230:$D$259,3,FALSE)), $C5 = "3", 'Inputs-System'!$C$30*'Coincidence Factors'!$B$5*'Inputs-Proposals'!$C$29*'Inputs-Proposals'!$C$31*(VLOOKUP(BX$3,'Non-Embedded Emissions'!$A$56:$D$90,2,FALSE)+VLOOKUP(BX$3,'Non-Embedded Emissions'!$A$143:$D$174,2,FALSE)+VLOOKUP(BX$3,'Non-Embedded Emissions'!$A$230:$D$259,2,FALSE)-VLOOKUP(BX$3,'Non-Embedded Emissions'!$A$56:$D$90,3,FALSE)-VLOOKUP(BX$3,'Non-Embedded Emissions'!$A$143:$D$174,3,FALSE)-VLOOKUP(BX$3,'Non-Embedded Emissions'!$A$230:$D$259,3,FALSE)), $C5 = "0", 0), 0)</f>
        <v>0</v>
      </c>
      <c r="CD5" s="345">
        <f>IFERROR(_xlfn.IFS($C5="1",('Inputs-System'!$C$30*'Coincidence Factors'!$B$5*(1+'Inputs-System'!$C$18)*(1+'Inputs-System'!$C$41)*('Inputs-Proposals'!$C$17*'Inputs-Proposals'!$C$19*(1-'Inputs-Proposals'!$C$20))*(VLOOKUP(CD$3,Energy!$A$51:$K$83,5,FALSE)-VLOOKUP(CD$3,Energy!$A$51:$K$83,6,FALSE))), $C5 = "2",('Inputs-System'!$C$30*'Coincidence Factors'!$B$5)*(1+'Inputs-System'!$C$18)*(1+'Inputs-System'!$C$41)*('Inputs-Proposals'!$C$23*'Inputs-Proposals'!$C$25*(1-'Inputs-Proposals'!$C$26))*(VLOOKUP(CD$3,Energy!$A$51:$K$83,5,FALSE)-VLOOKUP(CD$3,Energy!$A$51:$K$83,6,FALSE)), $C5= "3", ('Inputs-System'!$C$30*'Coincidence Factors'!$B$5*(1+'Inputs-System'!$C$18)*(1+'Inputs-System'!$C$41)*('Inputs-Proposals'!$C$29*'Inputs-Proposals'!$C$31*(1-'Inputs-Proposals'!$C$32))*(VLOOKUP(CD$3,Energy!$A$51:$K$83,5,FALSE)-VLOOKUP(CD$3,Energy!$A$51:$K$83,6,FALSE))), $C5= "0", 0), 0)</f>
        <v>0</v>
      </c>
      <c r="CE5" s="100">
        <f>IFERROR(_xlfn.IFS($C5="1", 'Inputs-System'!$C$30*'Coincidence Factors'!$B$5*(1+'Inputs-System'!$C$18)*(1+'Inputs-System'!$C$41)*'Inputs-Proposals'!$C$17*'Inputs-Proposals'!$C$19*(1-'Inputs-Proposals'!$C$20)*(VLOOKUP(CD$3,'Embedded Emissions'!$A$47:$B$78,2,FALSE)+VLOOKUP(CD$3,'Embedded Emissions'!$A$129:$B$158,2,FALSE)), $C5 = "2",'Inputs-System'!$C$30*'Coincidence Factors'!$B$5*(1+'Inputs-System'!$C$18)*(1+'Inputs-System'!$C$41)*'Inputs-Proposals'!$C$23*'Inputs-Proposals'!$C$25*(1-'Inputs-Proposals'!$C$20)*(VLOOKUP(CD$3,'Embedded Emissions'!$A$47:$B$78,2,FALSE)+VLOOKUP(CD$3,'Embedded Emissions'!$A$129:$B$158,2,FALSE)), $C5 = "3", 'Inputs-System'!$C$30*'Coincidence Factors'!$B$5*(1+'Inputs-System'!$C$18)*(1+'Inputs-System'!$C$41)*'Inputs-Proposals'!$C$29*'Inputs-Proposals'!$C$31*(1-'Inputs-Proposals'!$C$20)*(VLOOKUP(CD$3,'Embedded Emissions'!$A$47:$B$78,2,FALSE)+VLOOKUP(CD$3,'Embedded Emissions'!$A$129:$B$158,2,FALSE)), $C5 = "0", 0), 0)</f>
        <v>0</v>
      </c>
      <c r="CF5" s="100">
        <f>IFERROR(_xlfn.IFS($C5="1",( 'Inputs-System'!$C$30*'Coincidence Factors'!$B$5*(1+'Inputs-System'!$C$18)*(1+'Inputs-System'!$C$41))*('Inputs-Proposals'!$C$17*'Inputs-Proposals'!$C$19*(1-'Inputs-Proposals'!$C$20))*(VLOOKUP(CD$3,DRIPE!$A$54:$I$82,5,FALSE)-VLOOKUP(CD$3,DRIPE!$A$54:$I$82,6,FALSE)+VLOOKUP(CD$3,DRIPE!$A$54:$I$82,9,FALSE))+ ('Inputs-System'!$C$26*'Coincidence Factors'!$B$5*(1+'Inputs-System'!$C$18)*(1+'Inputs-System'!$C$42))*'Inputs-Proposals'!$C$16*VLOOKUP(CD$3,DRIPE!$A$54:$I$80,8,FALSE), $C5 = "2",( 'Inputs-System'!$C$30*'Coincidence Factors'!$B$5*(1+'Inputs-System'!$C$18)*(1+'Inputs-System'!$C$41))*('Inputs-Proposals'!$C$23*'Inputs-Proposals'!$C$25*(1-'Inputs-Proposals'!$C$26))*(VLOOKUP(CD$3,DRIPE!$A$54:$I$82,5,FALSE)-VLOOKUP(CD$3,DRIPE!$A$54:$I$82,6,FALSE)+VLOOKUP(CD$3,DRIPE!$A$54:$I$82,9,FALSE))+ ('Inputs-System'!$C$26*'Coincidence Factors'!$B$5*(1+'Inputs-System'!$C$18)*(1+'Inputs-System'!$C$42))+ ('Inputs-System'!$C$26*'Coincidence Factors'!$B$5)*'Inputs-Proposals'!$C$22*VLOOKUP(CD$3,DRIPE!$A$54:$I$80,8,FALSE), $C5= "3", ('Inputs-System'!$C$30*'Coincidence Factors'!$B$5)*('Inputs-Proposals'!$C$29*'Inputs-Proposals'!$C$31*(1-'Inputs-Proposals'!$C$32))*(VLOOKUP(CD$3,DRIPE!$A$54:$I$80,5,FALSE)-VLOOKUP(CD$3,DRIPE!$A$54:$I$80,6,FALSE)+VLOOKUP(CD$3,DRIPE!$A$54:$I$80,9,FALSE))+ ('Inputs-System'!$C$26*'Coincidence Factors'!$B$5*(1+'Inputs-System'!$C$18)*(1+'Inputs-System'!$C$42))*'Inputs-Proposals'!$C$28*VLOOKUP(CD$3,DRIPE!$A$54:$I$80,8,FALSE), $C5 = "0", 0), 0)</f>
        <v>0</v>
      </c>
      <c r="CG5" s="345">
        <f>IFERROR(_xlfn.IFS($C5="1",('Inputs-System'!$C$26*'Coincidence Factors'!$B$5*(1+'Inputs-System'!$C$18)*(1+'Inputs-System'!$C$42))*'Inputs-Proposals'!$D$16*(VLOOKUP(CD$3,Capacity!$A$53:$E$85,4,FALSE)*(1+'Inputs-System'!$C$42)+VLOOKUP(CD$3,Capacity!$A$53:$E$85,5,FALSE)*(1+'Inputs-System'!$C$43)*'Inputs-System'!$C$29), $C5 = "2", ('Inputs-System'!$C$26*'Coincidence Factors'!$B$5*(1+'Inputs-System'!$C$18))*'Inputs-Proposals'!$D$22*(VLOOKUP(CD$3,Capacity!$A$53:$E$85,4,FALSE)*(1+'Inputs-System'!$C$42)+VLOOKUP(CD$3,Capacity!$A$53:$E$85,5,FALSE)*'Inputs-System'!$C$29*(1+'Inputs-System'!$C$43)), $C5 = "3", ('Inputs-System'!$C$26*'Coincidence Factors'!$B$5*(1+'Inputs-System'!$C$18))*'Inputs-Proposals'!$D$28*(VLOOKUP(CD$3,Capacity!$A$53:$E$85,4,FALSE)*(1+'Inputs-System'!$C$42)+VLOOKUP(CD$3,Capacity!$A$53:$E$85,5,FALSE)*'Inputs-System'!$C$29*(1+'Inputs-System'!$C$43)), $C5 = "0", 0), 0)</f>
        <v>0</v>
      </c>
      <c r="CH5" s="100">
        <v>0</v>
      </c>
      <c r="CI5" s="346">
        <f>IFERROR(_xlfn.IFS($C5="1", 'Inputs-System'!$C$30*'Coincidence Factors'!$B$5*'Inputs-Proposals'!$C$17*'Inputs-Proposals'!$C$19*(VLOOKUP(CD$3,'Non-Embedded Emissions'!$A$56:$D$90,2,FALSE)+VLOOKUP(CD$3,'Non-Embedded Emissions'!$A$143:$D$174,2,FALSE)+VLOOKUP(CD$3,'Non-Embedded Emissions'!$A$230:$D$259,2,FALSE)-VLOOKUP(CD$3,'Non-Embedded Emissions'!$A$56:$D$90,3,FALSE)-VLOOKUP(CD$3,'Non-Embedded Emissions'!$A$143:$D$174,3,FALSE)-VLOOKUP(CD$3,'Non-Embedded Emissions'!$A$230:$D$259,3,FALSE)), $C5 = "2", 'Inputs-System'!$C$30*'Coincidence Factors'!$B$5*'Inputs-Proposals'!$C$23*'Inputs-Proposals'!$C$25*(VLOOKUP(CD$3,'Non-Embedded Emissions'!$A$56:$D$90,2,FALSE)+VLOOKUP(CD$3,'Non-Embedded Emissions'!$A$143:$D$174,2,FALSE)+VLOOKUP(CD$3,'Non-Embedded Emissions'!$A$230:$D$259,2,FALSE)-VLOOKUP(CD$3,'Non-Embedded Emissions'!$A$56:$D$90,3,FALSE)-VLOOKUP(CD$3,'Non-Embedded Emissions'!$A$143:$D$174,3,FALSE)-VLOOKUP(CD$3,'Non-Embedded Emissions'!$A$230:$D$259,3,FALSE)), $C5 = "3", 'Inputs-System'!$C$30*'Coincidence Factors'!$B$5*'Inputs-Proposals'!$C$29*'Inputs-Proposals'!$C$31*(VLOOKUP(CD$3,'Non-Embedded Emissions'!$A$56:$D$90,2,FALSE)+VLOOKUP(CD$3,'Non-Embedded Emissions'!$A$143:$D$174,2,FALSE)+VLOOKUP(CD$3,'Non-Embedded Emissions'!$A$230:$D$259,2,FALSE)-VLOOKUP(CD$3,'Non-Embedded Emissions'!$A$56:$D$90,3,FALSE)-VLOOKUP(CD$3,'Non-Embedded Emissions'!$A$143:$D$174,3,FALSE)-VLOOKUP(CD$3,'Non-Embedded Emissions'!$A$230:$D$259,3,FALSE)), $C5 = "0", 0), 0)</f>
        <v>0</v>
      </c>
      <c r="CJ5" s="345">
        <f>IFERROR(_xlfn.IFS($C5="1",('Inputs-System'!$C$30*'Coincidence Factors'!$B$5*(1+'Inputs-System'!$C$18)*(1+'Inputs-System'!$C$41)*('Inputs-Proposals'!$C$17*'Inputs-Proposals'!$C$19*(1-'Inputs-Proposals'!$C$20))*(VLOOKUP(CJ$3,Energy!$A$51:$K$83,5,FALSE)-VLOOKUP(CJ$3,Energy!$A$51:$K$83,6,FALSE))), $C5 = "2",('Inputs-System'!$C$30*'Coincidence Factors'!$B$5)*(1+'Inputs-System'!$C$18)*(1+'Inputs-System'!$C$41)*('Inputs-Proposals'!$C$23*'Inputs-Proposals'!$C$25*(1-'Inputs-Proposals'!$C$26))*(VLOOKUP(CJ$3,Energy!$A$51:$K$83,5,FALSE)-VLOOKUP(CJ$3,Energy!$A$51:$K$83,6,FALSE)), $C5= "3", ('Inputs-System'!$C$30*'Coincidence Factors'!$B$5*(1+'Inputs-System'!$C$18)*(1+'Inputs-System'!$C$41)*('Inputs-Proposals'!$C$29*'Inputs-Proposals'!$C$31*(1-'Inputs-Proposals'!$C$32))*(VLOOKUP(CJ$3,Energy!$A$51:$K$83,5,FALSE)-VLOOKUP(CJ$3,Energy!$A$51:$K$83,6,FALSE))), $C5= "0", 0), 0)</f>
        <v>0</v>
      </c>
      <c r="CK5" s="100">
        <f>IFERROR(_xlfn.IFS($C5="1", 'Inputs-System'!$C$30*'Coincidence Factors'!$B$5*(1+'Inputs-System'!$C$18)*(1+'Inputs-System'!$C$41)*'Inputs-Proposals'!$C$17*'Inputs-Proposals'!$C$19*(1-'Inputs-Proposals'!$C$20)*(VLOOKUP(CJ$3,'Embedded Emissions'!$A$47:$B$78,2,FALSE)+VLOOKUP(CJ$3,'Embedded Emissions'!$A$129:$B$158,2,FALSE)), $C5 = "2",'Inputs-System'!$C$30*'Coincidence Factors'!$B$5*(1+'Inputs-System'!$C$18)*(1+'Inputs-System'!$C$41)*'Inputs-Proposals'!$C$23*'Inputs-Proposals'!$C$25*(1-'Inputs-Proposals'!$C$20)*(VLOOKUP(CJ$3,'Embedded Emissions'!$A$47:$B$78,2,FALSE)+VLOOKUP(CJ$3,'Embedded Emissions'!$A$129:$B$158,2,FALSE)), $C5 = "3", 'Inputs-System'!$C$30*'Coincidence Factors'!$B$5*(1+'Inputs-System'!$C$18)*(1+'Inputs-System'!$C$41)*'Inputs-Proposals'!$C$29*'Inputs-Proposals'!$C$31*(1-'Inputs-Proposals'!$C$20)*(VLOOKUP(CJ$3,'Embedded Emissions'!$A$47:$B$78,2,FALSE)+VLOOKUP(CJ$3,'Embedded Emissions'!$A$129:$B$158,2,FALSE)), $C5 = "0", 0), 0)</f>
        <v>0</v>
      </c>
      <c r="CL5" s="100">
        <f>IFERROR(_xlfn.IFS($C5="1",( 'Inputs-System'!$C$30*'Coincidence Factors'!$B$5*(1+'Inputs-System'!$C$18)*(1+'Inputs-System'!$C$41))*('Inputs-Proposals'!$C$17*'Inputs-Proposals'!$C$19*(1-'Inputs-Proposals'!$C$20))*(VLOOKUP(CJ$3,DRIPE!$A$54:$I$82,5,FALSE)-VLOOKUP(CJ$3,DRIPE!$A$54:$I$82,6,FALSE)+VLOOKUP(CJ$3,DRIPE!$A$54:$I$82,9,FALSE))+ ('Inputs-System'!$C$26*'Coincidence Factors'!$B$5*(1+'Inputs-System'!$C$18)*(1+'Inputs-System'!$C$42))*'Inputs-Proposals'!$C$16*VLOOKUP(CJ$3,DRIPE!$A$54:$I$80,8,FALSE), $C5 = "2",( 'Inputs-System'!$C$30*'Coincidence Factors'!$B$5*(1+'Inputs-System'!$C$18)*(1+'Inputs-System'!$C$41))*('Inputs-Proposals'!$C$23*'Inputs-Proposals'!$C$25*(1-'Inputs-Proposals'!$C$26))*(VLOOKUP(CJ$3,DRIPE!$A$54:$I$82,5,FALSE)-VLOOKUP(CJ$3,DRIPE!$A$54:$I$82,6,FALSE)+VLOOKUP(CJ$3,DRIPE!$A$54:$I$82,9,FALSE))+ ('Inputs-System'!$C$26*'Coincidence Factors'!$B$5*(1+'Inputs-System'!$C$18)*(1+'Inputs-System'!$C$42))+ ('Inputs-System'!$C$26*'Coincidence Factors'!$B$5)*'Inputs-Proposals'!$C$22*VLOOKUP(CJ$3,DRIPE!$A$54:$I$80,8,FALSE), $C5= "3", ('Inputs-System'!$C$30*'Coincidence Factors'!$B$5)*('Inputs-Proposals'!$C$29*'Inputs-Proposals'!$C$31*(1-'Inputs-Proposals'!$C$32))*(VLOOKUP(CJ$3,DRIPE!$A$54:$I$80,5,FALSE)-VLOOKUP(CJ$3,DRIPE!$A$54:$I$80,6,FALSE)+VLOOKUP(CJ$3,DRIPE!$A$54:$I$80,9,FALSE))+ ('Inputs-System'!$C$26*'Coincidence Factors'!$B$5*(1+'Inputs-System'!$C$18)*(1+'Inputs-System'!$C$42))*'Inputs-Proposals'!$C$28*VLOOKUP(CJ$3,DRIPE!$A$54:$I$80,8,FALSE), $C5 = "0", 0), 0)</f>
        <v>0</v>
      </c>
      <c r="CM5" s="345">
        <f>IFERROR(_xlfn.IFS($C5="1",('Inputs-System'!$C$26*'Coincidence Factors'!$B$5*(1+'Inputs-System'!$C$18)*(1+'Inputs-System'!$C$42))*'Inputs-Proposals'!$D$16*(VLOOKUP(CJ$3,Capacity!$A$53:$E$85,4,FALSE)*(1+'Inputs-System'!$C$42)+VLOOKUP(CJ$3,Capacity!$A$53:$E$85,5,FALSE)*(1+'Inputs-System'!$C$43)*'Inputs-System'!$C$29), $C5 = "2", ('Inputs-System'!$C$26*'Coincidence Factors'!$B$5*(1+'Inputs-System'!$C$18))*'Inputs-Proposals'!$D$22*(VLOOKUP(CJ$3,Capacity!$A$53:$E$85,4,FALSE)*(1+'Inputs-System'!$C$42)+VLOOKUP(CJ$3,Capacity!$A$53:$E$85,5,FALSE)*'Inputs-System'!$C$29*(1+'Inputs-System'!$C$43)), $C5 = "3", ('Inputs-System'!$C$26*'Coincidence Factors'!$B$5*(1+'Inputs-System'!$C$18))*'Inputs-Proposals'!$D$28*(VLOOKUP(CJ$3,Capacity!$A$53:$E$85,4,FALSE)*(1+'Inputs-System'!$C$42)+VLOOKUP(CJ$3,Capacity!$A$53:$E$85,5,FALSE)*'Inputs-System'!$C$29*(1+'Inputs-System'!$C$43)), $C5 = "0", 0), 0)</f>
        <v>0</v>
      </c>
      <c r="CN5" s="100">
        <v>0</v>
      </c>
      <c r="CO5" s="346">
        <f>IFERROR(_xlfn.IFS($C5="1", 'Inputs-System'!$C$30*'Coincidence Factors'!$B$5*'Inputs-Proposals'!$C$17*'Inputs-Proposals'!$C$19*(VLOOKUP(CJ$3,'Non-Embedded Emissions'!$A$56:$D$90,2,FALSE)+VLOOKUP(CJ$3,'Non-Embedded Emissions'!$A$143:$D$174,2,FALSE)+VLOOKUP(CJ$3,'Non-Embedded Emissions'!$A$230:$D$259,2,FALSE)-VLOOKUP(CJ$3,'Non-Embedded Emissions'!$A$56:$D$90,3,FALSE)-VLOOKUP(CJ$3,'Non-Embedded Emissions'!$A$143:$D$174,3,FALSE)-VLOOKUP(CJ$3,'Non-Embedded Emissions'!$A$230:$D$259,3,FALSE)), $C5 = "2", 'Inputs-System'!$C$30*'Coincidence Factors'!$B$5*'Inputs-Proposals'!$C$23*'Inputs-Proposals'!$C$25*(VLOOKUP(CJ$3,'Non-Embedded Emissions'!$A$56:$D$90,2,FALSE)+VLOOKUP(CJ$3,'Non-Embedded Emissions'!$A$143:$D$174,2,FALSE)+VLOOKUP(CJ$3,'Non-Embedded Emissions'!$A$230:$D$259,2,FALSE)-VLOOKUP(CJ$3,'Non-Embedded Emissions'!$A$56:$D$90,3,FALSE)-VLOOKUP(CJ$3,'Non-Embedded Emissions'!$A$143:$D$174,3,FALSE)-VLOOKUP(CJ$3,'Non-Embedded Emissions'!$A$230:$D$259,3,FALSE)), $C5 = "3", 'Inputs-System'!$C$30*'Coincidence Factors'!$B$5*'Inputs-Proposals'!$C$29*'Inputs-Proposals'!$C$31*(VLOOKUP(CJ$3,'Non-Embedded Emissions'!$A$56:$D$90,2,FALSE)+VLOOKUP(CJ$3,'Non-Embedded Emissions'!$A$143:$D$174,2,FALSE)+VLOOKUP(CJ$3,'Non-Embedded Emissions'!$A$230:$D$259,2,FALSE)-VLOOKUP(CJ$3,'Non-Embedded Emissions'!$A$56:$D$90,3,FALSE)-VLOOKUP(CJ$3,'Non-Embedded Emissions'!$A$143:$D$174,3,FALSE)-VLOOKUP(CJ$3,'Non-Embedded Emissions'!$A$230:$D$259,3,FALSE)), $C5 = "0", 0), 0)</f>
        <v>0</v>
      </c>
      <c r="CP5" s="345">
        <f>IFERROR(_xlfn.IFS($C5="1",('Inputs-System'!$C$30*'Coincidence Factors'!$B$5*(1+'Inputs-System'!$C$18)*(1+'Inputs-System'!$C$41)*('Inputs-Proposals'!$C$17*'Inputs-Proposals'!$C$19*(1-'Inputs-Proposals'!$C$20))*(VLOOKUP(CP$3,Energy!$A$51:$K$83,5,FALSE)-VLOOKUP(CP$3,Energy!$A$51:$K$83,6,FALSE))), $C5 = "2",('Inputs-System'!$C$30*'Coincidence Factors'!$B$5)*(1+'Inputs-System'!$C$18)*(1+'Inputs-System'!$C$41)*('Inputs-Proposals'!$C$23*'Inputs-Proposals'!$C$25*(1-'Inputs-Proposals'!$C$26))*(VLOOKUP(CP$3,Energy!$A$51:$K$83,5,FALSE)-VLOOKUP(CP$3,Energy!$A$51:$K$83,6,FALSE)), $C5= "3", ('Inputs-System'!$C$30*'Coincidence Factors'!$B$5*(1+'Inputs-System'!$C$18)*(1+'Inputs-System'!$C$41)*('Inputs-Proposals'!$C$29*'Inputs-Proposals'!$C$31*(1-'Inputs-Proposals'!$C$32))*(VLOOKUP(CP$3,Energy!$A$51:$K$83,5,FALSE)-VLOOKUP(CP$3,Energy!$A$51:$K$83,6,FALSE))), $C5= "0", 0), 0)</f>
        <v>0</v>
      </c>
      <c r="CQ5" s="100">
        <f>IFERROR(_xlfn.IFS($C5="1", 'Inputs-System'!$C$30*'Coincidence Factors'!$B$5*(1+'Inputs-System'!$C$18)*(1+'Inputs-System'!$C$41)*'Inputs-Proposals'!$C$17*'Inputs-Proposals'!$C$19*(1-'Inputs-Proposals'!$C$20)*(VLOOKUP(CP$3,'Embedded Emissions'!$A$47:$B$78,2,FALSE)+VLOOKUP(CP$3,'Embedded Emissions'!$A$129:$B$158,2,FALSE)), $C5 = "2",'Inputs-System'!$C$30*'Coincidence Factors'!$B$5*(1+'Inputs-System'!$C$18)*(1+'Inputs-System'!$C$41)*'Inputs-Proposals'!$C$23*'Inputs-Proposals'!$C$25*(1-'Inputs-Proposals'!$C$20)*(VLOOKUP(CP$3,'Embedded Emissions'!$A$47:$B$78,2,FALSE)+VLOOKUP(CP$3,'Embedded Emissions'!$A$129:$B$158,2,FALSE)), $C5 = "3", 'Inputs-System'!$C$30*'Coincidence Factors'!$B$5*(1+'Inputs-System'!$C$18)*(1+'Inputs-System'!$C$41)*'Inputs-Proposals'!$C$29*'Inputs-Proposals'!$C$31*(1-'Inputs-Proposals'!$C$20)*(VLOOKUP(CP$3,'Embedded Emissions'!$A$47:$B$78,2,FALSE)+VLOOKUP(CP$3,'Embedded Emissions'!$A$129:$B$158,2,FALSE)), $C5 = "0", 0), 0)</f>
        <v>0</v>
      </c>
      <c r="CR5" s="100">
        <f>IFERROR(_xlfn.IFS($C5="1",( 'Inputs-System'!$C$30*'Coincidence Factors'!$B$5*(1+'Inputs-System'!$C$18)*(1+'Inputs-System'!$C$41))*('Inputs-Proposals'!$C$17*'Inputs-Proposals'!$C$19*(1-'Inputs-Proposals'!$C$20))*(VLOOKUP(CP$3,DRIPE!$A$54:$I$82,5,FALSE)-VLOOKUP(CP$3,DRIPE!$A$54:$I$82,6,FALSE)+VLOOKUP(CP$3,DRIPE!$A$54:$I$82,9,FALSE))+ ('Inputs-System'!$C$26*'Coincidence Factors'!$B$5*(1+'Inputs-System'!$C$18)*(1+'Inputs-System'!$C$42))*'Inputs-Proposals'!$C$16*VLOOKUP(CP$3,DRIPE!$A$54:$I$80,8,FALSE), $C5 = "2",( 'Inputs-System'!$C$30*'Coincidence Factors'!$B$5*(1+'Inputs-System'!$C$18)*(1+'Inputs-System'!$C$41))*('Inputs-Proposals'!$C$23*'Inputs-Proposals'!$C$25*(1-'Inputs-Proposals'!$C$26))*(VLOOKUP(CP$3,DRIPE!$A$54:$I$82,5,FALSE)-VLOOKUP(CP$3,DRIPE!$A$54:$I$82,6,FALSE)+VLOOKUP(CP$3,DRIPE!$A$54:$I$82,9,FALSE))+ ('Inputs-System'!$C$26*'Coincidence Factors'!$B$5*(1+'Inputs-System'!$C$18)*(1+'Inputs-System'!$C$42))+ ('Inputs-System'!$C$26*'Coincidence Factors'!$B$5)*'Inputs-Proposals'!$C$22*VLOOKUP(CP$3,DRIPE!$A$54:$I$80,8,FALSE), $C5= "3", ('Inputs-System'!$C$30*'Coincidence Factors'!$B$5)*('Inputs-Proposals'!$C$29*'Inputs-Proposals'!$C$31*(1-'Inputs-Proposals'!$C$32))*(VLOOKUP(CP$3,DRIPE!$A$54:$I$80,5,FALSE)-VLOOKUP(CP$3,DRIPE!$A$54:$I$80,6,FALSE)+VLOOKUP(CP$3,DRIPE!$A$54:$I$80,9,FALSE))+ ('Inputs-System'!$C$26*'Coincidence Factors'!$B$5*(1+'Inputs-System'!$C$18)*(1+'Inputs-System'!$C$42))*'Inputs-Proposals'!$C$28*VLOOKUP(CP$3,DRIPE!$A$54:$I$80,8,FALSE), $C5 = "0", 0), 0)</f>
        <v>0</v>
      </c>
      <c r="CS5" s="345">
        <f>IFERROR(_xlfn.IFS($C5="1",('Inputs-System'!$C$26*'Coincidence Factors'!$B$5*(1+'Inputs-System'!$C$18)*(1+'Inputs-System'!$C$42))*'Inputs-Proposals'!$D$16*(VLOOKUP(CP$3,Capacity!$A$53:$E$85,4,FALSE)*(1+'Inputs-System'!$C$42)+VLOOKUP(CP$3,Capacity!$A$53:$E$85,5,FALSE)*(1+'Inputs-System'!$C$43)*'Inputs-System'!$C$29), $C5 = "2", ('Inputs-System'!$C$26*'Coincidence Factors'!$B$5*(1+'Inputs-System'!$C$18))*'Inputs-Proposals'!$D$22*(VLOOKUP(CP$3,Capacity!$A$53:$E$85,4,FALSE)*(1+'Inputs-System'!$C$42)+VLOOKUP(CP$3,Capacity!$A$53:$E$85,5,FALSE)*'Inputs-System'!$C$29*(1+'Inputs-System'!$C$43)), $C5 = "3", ('Inputs-System'!$C$26*'Coincidence Factors'!$B$5*(1+'Inputs-System'!$C$18))*'Inputs-Proposals'!$D$28*(VLOOKUP(CP$3,Capacity!$A$53:$E$85,4,FALSE)*(1+'Inputs-System'!$C$42)+VLOOKUP(CP$3,Capacity!$A$53:$E$85,5,FALSE)*'Inputs-System'!$C$29*(1+'Inputs-System'!$C$43)), $C5 = "0", 0), 0)</f>
        <v>0</v>
      </c>
      <c r="CT5" s="100">
        <v>0</v>
      </c>
      <c r="CU5" s="346">
        <f>IFERROR(_xlfn.IFS($C5="1", 'Inputs-System'!$C$30*'Coincidence Factors'!$B$5*'Inputs-Proposals'!$C$17*'Inputs-Proposals'!$C$19*(VLOOKUP(CP$3,'Non-Embedded Emissions'!$A$56:$D$90,2,FALSE)+VLOOKUP(CP$3,'Non-Embedded Emissions'!$A$143:$D$174,2,FALSE)+VLOOKUP(CP$3,'Non-Embedded Emissions'!$A$230:$D$259,2,FALSE)-VLOOKUP(CP$3,'Non-Embedded Emissions'!$A$56:$D$90,3,FALSE)-VLOOKUP(CP$3,'Non-Embedded Emissions'!$A$143:$D$174,3,FALSE)-VLOOKUP(CP$3,'Non-Embedded Emissions'!$A$230:$D$259,3,FALSE)), $C5 = "2", 'Inputs-System'!$C$30*'Coincidence Factors'!$B$5*'Inputs-Proposals'!$C$23*'Inputs-Proposals'!$C$25*(VLOOKUP(CP$3,'Non-Embedded Emissions'!$A$56:$D$90,2,FALSE)+VLOOKUP(CP$3,'Non-Embedded Emissions'!$A$143:$D$174,2,FALSE)+VLOOKUP(CP$3,'Non-Embedded Emissions'!$A$230:$D$259,2,FALSE)-VLOOKUP(CP$3,'Non-Embedded Emissions'!$A$56:$D$90,3,FALSE)-VLOOKUP(CP$3,'Non-Embedded Emissions'!$A$143:$D$174,3,FALSE)-VLOOKUP(CP$3,'Non-Embedded Emissions'!$A$230:$D$259,3,FALSE)), $C5 = "3", 'Inputs-System'!$C$30*'Coincidence Factors'!$B$5*'Inputs-Proposals'!$C$29*'Inputs-Proposals'!$C$31*(VLOOKUP(CP$3,'Non-Embedded Emissions'!$A$56:$D$90,2,FALSE)+VLOOKUP(CP$3,'Non-Embedded Emissions'!$A$143:$D$174,2,FALSE)+VLOOKUP(CP$3,'Non-Embedded Emissions'!$A$230:$D$259,2,FALSE)-VLOOKUP(CP$3,'Non-Embedded Emissions'!$A$56:$D$90,3,FALSE)-VLOOKUP(CP$3,'Non-Embedded Emissions'!$A$143:$D$174,3,FALSE)-VLOOKUP(CP$3,'Non-Embedded Emissions'!$A$230:$D$259,3,FALSE)), $C5 = "0", 0), 0)</f>
        <v>0</v>
      </c>
      <c r="CV5" s="345">
        <f>IFERROR(_xlfn.IFS($C5="1",('Inputs-System'!$C$30*'Coincidence Factors'!$B$5*(1+'Inputs-System'!$C$18)*(1+'Inputs-System'!$C$41)*('Inputs-Proposals'!$C$17*'Inputs-Proposals'!$C$19*(1-'Inputs-Proposals'!$C$20))*(VLOOKUP(CV$3,Energy!$A$51:$K$83,5,FALSE)-VLOOKUP(CV$3,Energy!$A$51:$K$83,6,FALSE))), $C5 = "2",('Inputs-System'!$C$30*'Coincidence Factors'!$B$5)*(1+'Inputs-System'!$C$18)*(1+'Inputs-System'!$C$41)*('Inputs-Proposals'!$C$23*'Inputs-Proposals'!$C$25*(1-'Inputs-Proposals'!$C$26))*(VLOOKUP(CV$3,Energy!$A$51:$K$83,5,FALSE)-VLOOKUP(CV$3,Energy!$A$51:$K$83,6,FALSE)), $C5= "3", ('Inputs-System'!$C$30*'Coincidence Factors'!$B$5*(1+'Inputs-System'!$C$18)*(1+'Inputs-System'!$C$41)*('Inputs-Proposals'!$C$29*'Inputs-Proposals'!$C$31*(1-'Inputs-Proposals'!$C$32))*(VLOOKUP(CV$3,Energy!$A$51:$K$83,5,FALSE)-VLOOKUP(CV$3,Energy!$A$51:$K$83,6,FALSE))), $C5= "0", 0), 0)</f>
        <v>0</v>
      </c>
      <c r="CW5" s="100">
        <f>IFERROR(_xlfn.IFS($C5="1", 'Inputs-System'!$C$30*'Coincidence Factors'!$B$5*(1+'Inputs-System'!$C$18)*(1+'Inputs-System'!$C$41)*'Inputs-Proposals'!$C$17*'Inputs-Proposals'!$C$19*(1-'Inputs-Proposals'!$C$20)*(VLOOKUP(CV$3,'Embedded Emissions'!$A$47:$B$78,2,FALSE)+VLOOKUP(CV$3,'Embedded Emissions'!$A$129:$B$158,2,FALSE)), $C5 = "2",'Inputs-System'!$C$30*'Coincidence Factors'!$B$5*(1+'Inputs-System'!$C$18)*(1+'Inputs-System'!$C$41)*'Inputs-Proposals'!$C$23*'Inputs-Proposals'!$C$25*(1-'Inputs-Proposals'!$C$20)*(VLOOKUP(CV$3,'Embedded Emissions'!$A$47:$B$78,2,FALSE)+VLOOKUP(CV$3,'Embedded Emissions'!$A$129:$B$158,2,FALSE)), $C5 = "3", 'Inputs-System'!$C$30*'Coincidence Factors'!$B$5*(1+'Inputs-System'!$C$18)*(1+'Inputs-System'!$C$41)*'Inputs-Proposals'!$C$29*'Inputs-Proposals'!$C$31*(1-'Inputs-Proposals'!$C$20)*(VLOOKUP(CV$3,'Embedded Emissions'!$A$47:$B$78,2,FALSE)+VLOOKUP(CV$3,'Embedded Emissions'!$A$129:$B$158,2,FALSE)), $C5 = "0", 0), 0)</f>
        <v>0</v>
      </c>
      <c r="CX5" s="100">
        <f>IFERROR(_xlfn.IFS($C5="1",( 'Inputs-System'!$C$30*'Coincidence Factors'!$B$5*(1+'Inputs-System'!$C$18)*(1+'Inputs-System'!$C$41))*('Inputs-Proposals'!$C$17*'Inputs-Proposals'!$C$19*(1-'Inputs-Proposals'!$C$20))*(VLOOKUP(CV$3,DRIPE!$A$54:$I$82,5,FALSE)-VLOOKUP(CV$3,DRIPE!$A$54:$I$82,6,FALSE)+VLOOKUP(CV$3,DRIPE!$A$54:$I$82,9,FALSE))+ ('Inputs-System'!$C$26*'Coincidence Factors'!$B$5*(1+'Inputs-System'!$C$18)*(1+'Inputs-System'!$C$42))*'Inputs-Proposals'!$C$16*VLOOKUP(CV$3,DRIPE!$A$54:$I$80,8,FALSE), $C5 = "2",( 'Inputs-System'!$C$30*'Coincidence Factors'!$B$5*(1+'Inputs-System'!$C$18)*(1+'Inputs-System'!$C$41))*('Inputs-Proposals'!$C$23*'Inputs-Proposals'!$C$25*(1-'Inputs-Proposals'!$C$26))*(VLOOKUP(CV$3,DRIPE!$A$54:$I$82,5,FALSE)-VLOOKUP(CV$3,DRIPE!$A$54:$I$82,6,FALSE)+VLOOKUP(CV$3,DRIPE!$A$54:$I$82,9,FALSE))+ ('Inputs-System'!$C$26*'Coincidence Factors'!$B$5*(1+'Inputs-System'!$C$18)*(1+'Inputs-System'!$C$42))+ ('Inputs-System'!$C$26*'Coincidence Factors'!$B$5)*'Inputs-Proposals'!$C$22*VLOOKUP(CV$3,DRIPE!$A$54:$I$80,8,FALSE), $C5= "3", ('Inputs-System'!$C$30*'Coincidence Factors'!$B$5)*('Inputs-Proposals'!$C$29*'Inputs-Proposals'!$C$31*(1-'Inputs-Proposals'!$C$32))*(VLOOKUP(CV$3,DRIPE!$A$54:$I$80,5,FALSE)-VLOOKUP(CV$3,DRIPE!$A$54:$I$80,6,FALSE)+VLOOKUP(CV$3,DRIPE!$A$54:$I$80,9,FALSE))+ ('Inputs-System'!$C$26*'Coincidence Factors'!$B$5*(1+'Inputs-System'!$C$18)*(1+'Inputs-System'!$C$42))*'Inputs-Proposals'!$C$28*VLOOKUP(CV$3,DRIPE!$A$54:$I$80,8,FALSE), $C5 = "0", 0), 0)</f>
        <v>0</v>
      </c>
      <c r="CY5" s="345">
        <f>IFERROR(_xlfn.IFS($C5="1",('Inputs-System'!$C$26*'Coincidence Factors'!$B$5*(1+'Inputs-System'!$C$18)*(1+'Inputs-System'!$C$42))*'Inputs-Proposals'!$D$16*(VLOOKUP(CV$3,Capacity!$A$53:$E$85,4,FALSE)*(1+'Inputs-System'!$C$42)+VLOOKUP(CV$3,Capacity!$A$53:$E$85,5,FALSE)*(1+'Inputs-System'!$C$43)*'Inputs-System'!$C$29), $C5 = "2", ('Inputs-System'!$C$26*'Coincidence Factors'!$B$5*(1+'Inputs-System'!$C$18))*'Inputs-Proposals'!$D$22*(VLOOKUP(CV$3,Capacity!$A$53:$E$85,4,FALSE)*(1+'Inputs-System'!$C$42)+VLOOKUP(CV$3,Capacity!$A$53:$E$85,5,FALSE)*'Inputs-System'!$C$29*(1+'Inputs-System'!$C$43)), $C5 = "3", ('Inputs-System'!$C$26*'Coincidence Factors'!$B$5*(1+'Inputs-System'!$C$18))*'Inputs-Proposals'!$D$28*(VLOOKUP(CV$3,Capacity!$A$53:$E$85,4,FALSE)*(1+'Inputs-System'!$C$42)+VLOOKUP(CV$3,Capacity!$A$53:$E$85,5,FALSE)*'Inputs-System'!$C$29*(1+'Inputs-System'!$C$43)), $C5 = "0", 0), 0)</f>
        <v>0</v>
      </c>
      <c r="CZ5" s="100">
        <v>0</v>
      </c>
      <c r="DA5" s="346">
        <f>IFERROR(_xlfn.IFS($C5="1", 'Inputs-System'!$C$30*'Coincidence Factors'!$B$5*'Inputs-Proposals'!$C$17*'Inputs-Proposals'!$C$19*(VLOOKUP(CV$3,'Non-Embedded Emissions'!$A$56:$D$90,2,FALSE)+VLOOKUP(CV$3,'Non-Embedded Emissions'!$A$143:$D$174,2,FALSE)+VLOOKUP(CV$3,'Non-Embedded Emissions'!$A$230:$D$259,2,FALSE)-VLOOKUP(CV$3,'Non-Embedded Emissions'!$A$56:$D$90,3,FALSE)-VLOOKUP(CV$3,'Non-Embedded Emissions'!$A$143:$D$174,3,FALSE)-VLOOKUP(CV$3,'Non-Embedded Emissions'!$A$230:$D$259,3,FALSE)), $C5 = "2", 'Inputs-System'!$C$30*'Coincidence Factors'!$B$5*'Inputs-Proposals'!$C$23*'Inputs-Proposals'!$C$25*(VLOOKUP(CV$3,'Non-Embedded Emissions'!$A$56:$D$90,2,FALSE)+VLOOKUP(CV$3,'Non-Embedded Emissions'!$A$143:$D$174,2,FALSE)+VLOOKUP(CV$3,'Non-Embedded Emissions'!$A$230:$D$259,2,FALSE)-VLOOKUP(CV$3,'Non-Embedded Emissions'!$A$56:$D$90,3,FALSE)-VLOOKUP(CV$3,'Non-Embedded Emissions'!$A$143:$D$174,3,FALSE)-VLOOKUP(CV$3,'Non-Embedded Emissions'!$A$230:$D$259,3,FALSE)), $C5 = "3", 'Inputs-System'!$C$30*'Coincidence Factors'!$B$5*'Inputs-Proposals'!$C$29*'Inputs-Proposals'!$C$31*(VLOOKUP(CV$3,'Non-Embedded Emissions'!$A$56:$D$90,2,FALSE)+VLOOKUP(CV$3,'Non-Embedded Emissions'!$A$143:$D$174,2,FALSE)+VLOOKUP(CV$3,'Non-Embedded Emissions'!$A$230:$D$259,2,FALSE)-VLOOKUP(CV$3,'Non-Embedded Emissions'!$A$56:$D$90,3,FALSE)-VLOOKUP(CV$3,'Non-Embedded Emissions'!$A$143:$D$174,3,FALSE)-VLOOKUP(CV$3,'Non-Embedded Emissions'!$A$230:$D$259,3,FALSE)), $C5 = "0", 0), 0)</f>
        <v>0</v>
      </c>
      <c r="DB5" s="345">
        <f>IFERROR(_xlfn.IFS($C5="1",('Inputs-System'!$C$30*'Coincidence Factors'!$B$5*(1+'Inputs-System'!$C$18)*(1+'Inputs-System'!$C$41)*('Inputs-Proposals'!$C$17*'Inputs-Proposals'!$C$19*(1-'Inputs-Proposals'!$C$20))*(VLOOKUP(DB$3,Energy!$A$51:$K$83,5,FALSE)-VLOOKUP(DB$3,Energy!$A$51:$K$83,6,FALSE))), $C5 = "2",('Inputs-System'!$C$30*'Coincidence Factors'!$B$5)*(1+'Inputs-System'!$C$18)*(1+'Inputs-System'!$C$41)*('Inputs-Proposals'!$C$23*'Inputs-Proposals'!$C$25*(1-'Inputs-Proposals'!$C$26))*(VLOOKUP(DB$3,Energy!$A$51:$K$83,5,FALSE)-VLOOKUP(DB$3,Energy!$A$51:$K$83,6,FALSE)), $C5= "3", ('Inputs-System'!$C$30*'Coincidence Factors'!$B$5*(1+'Inputs-System'!$C$18)*(1+'Inputs-System'!$C$41)*('Inputs-Proposals'!$C$29*'Inputs-Proposals'!$C$31*(1-'Inputs-Proposals'!$C$32))*(VLOOKUP(DB$3,Energy!$A$51:$K$83,5,FALSE)-VLOOKUP(DB$3,Energy!$A$51:$K$83,6,FALSE))), $C5= "0", 0), 0)</f>
        <v>0</v>
      </c>
      <c r="DC5" s="100">
        <f>IFERROR(_xlfn.IFS($C5="1", 'Inputs-System'!$C$30*'Coincidence Factors'!$B$5*(1+'Inputs-System'!$C$18)*(1+'Inputs-System'!$C$41)*'Inputs-Proposals'!$C$17*'Inputs-Proposals'!$C$19*(1-'Inputs-Proposals'!$C$20)*(VLOOKUP(DB$3,'Embedded Emissions'!$A$47:$B$78,2,FALSE)+VLOOKUP(DB$3,'Embedded Emissions'!$A$129:$B$158,2,FALSE)), $C5 = "2",'Inputs-System'!$C$30*'Coincidence Factors'!$B$5*(1+'Inputs-System'!$C$18)*(1+'Inputs-System'!$C$41)*'Inputs-Proposals'!$C$23*'Inputs-Proposals'!$C$25*(1-'Inputs-Proposals'!$C$20)*(VLOOKUP(DB$3,'Embedded Emissions'!$A$47:$B$78,2,FALSE)+VLOOKUP(DB$3,'Embedded Emissions'!$A$129:$B$158,2,FALSE)), $C5 = "3", 'Inputs-System'!$C$30*'Coincidence Factors'!$B$5*(1+'Inputs-System'!$C$18)*(1+'Inputs-System'!$C$41)*'Inputs-Proposals'!$C$29*'Inputs-Proposals'!$C$31*(1-'Inputs-Proposals'!$C$20)*(VLOOKUP(DB$3,'Embedded Emissions'!$A$47:$B$78,2,FALSE)+VLOOKUP(DB$3,'Embedded Emissions'!$A$129:$B$158,2,FALSE)), $C5 = "0", 0), 0)</f>
        <v>0</v>
      </c>
      <c r="DD5" s="100">
        <f>IFERROR(_xlfn.IFS($C5="1",( 'Inputs-System'!$C$30*'Coincidence Factors'!$B$5*(1+'Inputs-System'!$C$18)*(1+'Inputs-System'!$C$41))*('Inputs-Proposals'!$C$17*'Inputs-Proposals'!$C$19*(1-'Inputs-Proposals'!$C$20))*(VLOOKUP(DB$3,DRIPE!$A$54:$I$82,5,FALSE)-VLOOKUP(DB$3,DRIPE!$A$54:$I$82,6,FALSE)+VLOOKUP(DB$3,DRIPE!$A$54:$I$82,9,FALSE))+ ('Inputs-System'!$C$26*'Coincidence Factors'!$B$5*(1+'Inputs-System'!$C$18)*(1+'Inputs-System'!$C$42))*'Inputs-Proposals'!$C$16*VLOOKUP(DB$3,DRIPE!$A$54:$I$80,8,FALSE), $C5 = "2",( 'Inputs-System'!$C$30*'Coincidence Factors'!$B$5*(1+'Inputs-System'!$C$18)*(1+'Inputs-System'!$C$41))*('Inputs-Proposals'!$C$23*'Inputs-Proposals'!$C$25*(1-'Inputs-Proposals'!$C$26))*(VLOOKUP(DB$3,DRIPE!$A$54:$I$82,5,FALSE)-VLOOKUP(DB$3,DRIPE!$A$54:$I$82,6,FALSE)+VLOOKUP(DB$3,DRIPE!$A$54:$I$82,9,FALSE))+ ('Inputs-System'!$C$26*'Coincidence Factors'!$B$5*(1+'Inputs-System'!$C$18)*(1+'Inputs-System'!$C$42))+ ('Inputs-System'!$C$26*'Coincidence Factors'!$B$5)*'Inputs-Proposals'!$C$22*VLOOKUP(DB$3,DRIPE!$A$54:$I$80,8,FALSE), $C5= "3", ('Inputs-System'!$C$30*'Coincidence Factors'!$B$5)*('Inputs-Proposals'!$C$29*'Inputs-Proposals'!$C$31*(1-'Inputs-Proposals'!$C$32))*(VLOOKUP(DB$3,DRIPE!$A$54:$I$80,5,FALSE)-VLOOKUP(DB$3,DRIPE!$A$54:$I$80,6,FALSE)+VLOOKUP(DB$3,DRIPE!$A$54:$I$80,9,FALSE))+ ('Inputs-System'!$C$26*'Coincidence Factors'!$B$5*(1+'Inputs-System'!$C$18)*(1+'Inputs-System'!$C$42))*'Inputs-Proposals'!$C$28*VLOOKUP(DB$3,DRIPE!$A$54:$I$80,8,FALSE), $C5 = "0", 0), 0)</f>
        <v>0</v>
      </c>
      <c r="DE5" s="345">
        <f>IFERROR(_xlfn.IFS($C5="1",('Inputs-System'!$C$26*'Coincidence Factors'!$B$5*(1+'Inputs-System'!$C$18)*(1+'Inputs-System'!$C$42))*'Inputs-Proposals'!$D$16*(VLOOKUP(DB$3,Capacity!$A$53:$E$85,4,FALSE)*(1+'Inputs-System'!$C$42)+VLOOKUP(DB$3,Capacity!$A$53:$E$85,5,FALSE)*(1+'Inputs-System'!$C$43)*'Inputs-System'!$C$29), $C5 = "2", ('Inputs-System'!$C$26*'Coincidence Factors'!$B$5*(1+'Inputs-System'!$C$18))*'Inputs-Proposals'!$D$22*(VLOOKUP(DB$3,Capacity!$A$53:$E$85,4,FALSE)*(1+'Inputs-System'!$C$42)+VLOOKUP(DB$3,Capacity!$A$53:$E$85,5,FALSE)*'Inputs-System'!$C$29*(1+'Inputs-System'!$C$43)), $C5 = "3", ('Inputs-System'!$C$26*'Coincidence Factors'!$B$5*(1+'Inputs-System'!$C$18))*'Inputs-Proposals'!$D$28*(VLOOKUP(DB$3,Capacity!$A$53:$E$85,4,FALSE)*(1+'Inputs-System'!$C$42)+VLOOKUP(DB$3,Capacity!$A$53:$E$85,5,FALSE)*'Inputs-System'!$C$29*(1+'Inputs-System'!$C$43)), $C5 = "0", 0), 0)</f>
        <v>0</v>
      </c>
      <c r="DF5" s="100">
        <v>0</v>
      </c>
      <c r="DG5" s="346">
        <f>IFERROR(_xlfn.IFS($C5="1", 'Inputs-System'!$C$30*'Coincidence Factors'!$B$5*'Inputs-Proposals'!$C$17*'Inputs-Proposals'!$C$19*(VLOOKUP(DB$3,'Non-Embedded Emissions'!$A$56:$D$90,2,FALSE)+VLOOKUP(DB$3,'Non-Embedded Emissions'!$A$143:$D$174,2,FALSE)+VLOOKUP(DB$3,'Non-Embedded Emissions'!$A$230:$D$259,2,FALSE)-VLOOKUP(DB$3,'Non-Embedded Emissions'!$A$56:$D$90,3,FALSE)-VLOOKUP(DB$3,'Non-Embedded Emissions'!$A$143:$D$174,3,FALSE)-VLOOKUP(DB$3,'Non-Embedded Emissions'!$A$230:$D$259,3,FALSE)), $C5 = "2", 'Inputs-System'!$C$30*'Coincidence Factors'!$B$5*'Inputs-Proposals'!$C$23*'Inputs-Proposals'!$C$25*(VLOOKUP(DB$3,'Non-Embedded Emissions'!$A$56:$D$90,2,FALSE)+VLOOKUP(DB$3,'Non-Embedded Emissions'!$A$143:$D$174,2,FALSE)+VLOOKUP(DB$3,'Non-Embedded Emissions'!$A$230:$D$259,2,FALSE)-VLOOKUP(DB$3,'Non-Embedded Emissions'!$A$56:$D$90,3,FALSE)-VLOOKUP(DB$3,'Non-Embedded Emissions'!$A$143:$D$174,3,FALSE)-VLOOKUP(DB$3,'Non-Embedded Emissions'!$A$230:$D$259,3,FALSE)), $C5 = "3", 'Inputs-System'!$C$30*'Coincidence Factors'!$B$5*'Inputs-Proposals'!$C$29*'Inputs-Proposals'!$C$31*(VLOOKUP(DB$3,'Non-Embedded Emissions'!$A$56:$D$90,2,FALSE)+VLOOKUP(DB$3,'Non-Embedded Emissions'!$A$143:$D$174,2,FALSE)+VLOOKUP(DB$3,'Non-Embedded Emissions'!$A$230:$D$259,2,FALSE)-VLOOKUP(DB$3,'Non-Embedded Emissions'!$A$56:$D$90,3,FALSE)-VLOOKUP(DB$3,'Non-Embedded Emissions'!$A$143:$D$174,3,FALSE)-VLOOKUP(DB$3,'Non-Embedded Emissions'!$A$230:$D$259,3,FALSE)), $C5 = "0", 0), 0)</f>
        <v>0</v>
      </c>
      <c r="DH5" s="345">
        <f>IFERROR(_xlfn.IFS($C5="1",('Inputs-System'!$C$30*'Coincidence Factors'!$B$5*(1+'Inputs-System'!$C$18)*(1+'Inputs-System'!$C$41)*('Inputs-Proposals'!$C$17*'Inputs-Proposals'!$C$19*(1-'Inputs-Proposals'!$C$20))*(VLOOKUP(DH$3,Energy!$A$51:$K$83,5,FALSE)-VLOOKUP(DH$3,Energy!$A$51:$K$83,6,FALSE))), $C5 = "2",('Inputs-System'!$C$30*'Coincidence Factors'!$B$5)*(1+'Inputs-System'!$C$18)*(1+'Inputs-System'!$C$41)*('Inputs-Proposals'!$C$23*'Inputs-Proposals'!$C$25*(1-'Inputs-Proposals'!$C$26))*(VLOOKUP(DH$3,Energy!$A$51:$K$83,5,FALSE)-VLOOKUP(DH$3,Energy!$A$51:$K$83,6,FALSE)), $C5= "3", ('Inputs-System'!$C$30*'Coincidence Factors'!$B$5*(1+'Inputs-System'!$C$18)*(1+'Inputs-System'!$C$41)*('Inputs-Proposals'!$C$29*'Inputs-Proposals'!$C$31*(1-'Inputs-Proposals'!$C$32))*(VLOOKUP(DH$3,Energy!$A$51:$K$83,5,FALSE)-VLOOKUP(DH$3,Energy!$A$51:$K$83,6,FALSE))), $C5= "0", 0), 0)</f>
        <v>0</v>
      </c>
      <c r="DI5" s="100">
        <f>IFERROR(_xlfn.IFS($C5="1", 'Inputs-System'!$C$30*'Coincidence Factors'!$B$5*(1+'Inputs-System'!$C$18)*(1+'Inputs-System'!$C$41)*'Inputs-Proposals'!$C$17*'Inputs-Proposals'!$C$19*(1-'Inputs-Proposals'!$C$20)*(VLOOKUP(DH$3,'Embedded Emissions'!$A$47:$B$78,2,FALSE)+VLOOKUP(DH$3,'Embedded Emissions'!$A$129:$B$158,2,FALSE)), $C5 = "2",'Inputs-System'!$C$30*'Coincidence Factors'!$B$5*(1+'Inputs-System'!$C$18)*(1+'Inputs-System'!$C$41)*'Inputs-Proposals'!$C$23*'Inputs-Proposals'!$C$25*(1-'Inputs-Proposals'!$C$20)*(VLOOKUP(DH$3,'Embedded Emissions'!$A$47:$B$78,2,FALSE)+VLOOKUP(DH$3,'Embedded Emissions'!$A$129:$B$158,2,FALSE)), $C5 = "3", 'Inputs-System'!$C$30*'Coincidence Factors'!$B$5*(1+'Inputs-System'!$C$18)*(1+'Inputs-System'!$C$41)*'Inputs-Proposals'!$C$29*'Inputs-Proposals'!$C$31*(1-'Inputs-Proposals'!$C$20)*(VLOOKUP(DH$3,'Embedded Emissions'!$A$47:$B$78,2,FALSE)+VLOOKUP(DH$3,'Embedded Emissions'!$A$129:$B$158,2,FALSE)), $C5 = "0", 0), 0)</f>
        <v>0</v>
      </c>
      <c r="DJ5" s="100">
        <f>IFERROR(_xlfn.IFS($C5="1",( 'Inputs-System'!$C$30*'Coincidence Factors'!$B$5*(1+'Inputs-System'!$C$18)*(1+'Inputs-System'!$C$41))*('Inputs-Proposals'!$C$17*'Inputs-Proposals'!$C$19*(1-'Inputs-Proposals'!$C$20))*(VLOOKUP(DH$3,DRIPE!$A$54:$I$82,5,FALSE)-VLOOKUP(DH$3,DRIPE!$A$54:$I$82,6,FALSE)+VLOOKUP(DH$3,DRIPE!$A$54:$I$82,9,FALSE))+ ('Inputs-System'!$C$26*'Coincidence Factors'!$B$5*(1+'Inputs-System'!$C$18)*(1+'Inputs-System'!$C$42))*'Inputs-Proposals'!$C$16*VLOOKUP(DH$3,DRIPE!$A$54:$I$80,8,FALSE), $C5 = "2",( 'Inputs-System'!$C$30*'Coincidence Factors'!$B$5*(1+'Inputs-System'!$C$18)*(1+'Inputs-System'!$C$41))*('Inputs-Proposals'!$C$23*'Inputs-Proposals'!$C$25*(1-'Inputs-Proposals'!$C$26))*(VLOOKUP(DH$3,DRIPE!$A$54:$I$82,5,FALSE)-VLOOKUP(DH$3,DRIPE!$A$54:$I$82,6,FALSE)+VLOOKUP(DH$3,DRIPE!$A$54:$I$82,9,FALSE))+ ('Inputs-System'!$C$26*'Coincidence Factors'!$B$5*(1+'Inputs-System'!$C$18)*(1+'Inputs-System'!$C$42))+ ('Inputs-System'!$C$26*'Coincidence Factors'!$B$5)*'Inputs-Proposals'!$C$22*VLOOKUP(DH$3,DRIPE!$A$54:$I$80,8,FALSE), $C5= "3", ('Inputs-System'!$C$30*'Coincidence Factors'!$B$5)*('Inputs-Proposals'!$C$29*'Inputs-Proposals'!$C$31*(1-'Inputs-Proposals'!$C$32))*(VLOOKUP(DH$3,DRIPE!$A$54:$I$80,5,FALSE)-VLOOKUP(DH$3,DRIPE!$A$54:$I$80,6,FALSE)+VLOOKUP(DH$3,DRIPE!$A$54:$I$80,9,FALSE))+ ('Inputs-System'!$C$26*'Coincidence Factors'!$B$5*(1+'Inputs-System'!$C$18)*(1+'Inputs-System'!$C$42))*'Inputs-Proposals'!$C$28*VLOOKUP(DH$3,DRIPE!$A$54:$I$80,8,FALSE), $C5 = "0", 0), 0)</f>
        <v>0</v>
      </c>
      <c r="DK5" s="345">
        <f>IFERROR(_xlfn.IFS($C5="1",('Inputs-System'!$C$26*'Coincidence Factors'!$B$5*(1+'Inputs-System'!$C$18)*(1+'Inputs-System'!$C$42))*'Inputs-Proposals'!$D$16*(VLOOKUP(DH$3,Capacity!$A$53:$E$85,4,FALSE)*(1+'Inputs-System'!$C$42)+VLOOKUP(DH$3,Capacity!$A$53:$E$85,5,FALSE)*(1+'Inputs-System'!$C$43)*'Inputs-System'!$C$29), $C5 = "2", ('Inputs-System'!$C$26*'Coincidence Factors'!$B$5*(1+'Inputs-System'!$C$18))*'Inputs-Proposals'!$D$22*(VLOOKUP(DH$3,Capacity!$A$53:$E$85,4,FALSE)*(1+'Inputs-System'!$C$42)+VLOOKUP(DH$3,Capacity!$A$53:$E$85,5,FALSE)*'Inputs-System'!$C$29*(1+'Inputs-System'!$C$43)), $C5 = "3", ('Inputs-System'!$C$26*'Coincidence Factors'!$B$5*(1+'Inputs-System'!$C$18))*'Inputs-Proposals'!$D$28*(VLOOKUP(DH$3,Capacity!$A$53:$E$85,4,FALSE)*(1+'Inputs-System'!$C$42)+VLOOKUP(DH$3,Capacity!$A$53:$E$85,5,FALSE)*'Inputs-System'!$C$29*(1+'Inputs-System'!$C$43)), $C5 = "0", 0), 0)</f>
        <v>0</v>
      </c>
      <c r="DL5" s="100">
        <v>0</v>
      </c>
      <c r="DM5" s="346">
        <f>IFERROR(_xlfn.IFS($C5="1", 'Inputs-System'!$C$30*'Coincidence Factors'!$B$5*'Inputs-Proposals'!$C$17*'Inputs-Proposals'!$C$19*(VLOOKUP(DH$3,'Non-Embedded Emissions'!$A$56:$D$90,2,FALSE)+VLOOKUP(DH$3,'Non-Embedded Emissions'!$A$143:$D$174,2,FALSE)+VLOOKUP(DH$3,'Non-Embedded Emissions'!$A$230:$D$259,2,FALSE)-VLOOKUP(DH$3,'Non-Embedded Emissions'!$A$56:$D$90,3,FALSE)-VLOOKUP(DH$3,'Non-Embedded Emissions'!$A$143:$D$174,3,FALSE)-VLOOKUP(DH$3,'Non-Embedded Emissions'!$A$230:$D$259,3,FALSE)), $C5 = "2", 'Inputs-System'!$C$30*'Coincidence Factors'!$B$5*'Inputs-Proposals'!$C$23*'Inputs-Proposals'!$C$25*(VLOOKUP(DH$3,'Non-Embedded Emissions'!$A$56:$D$90,2,FALSE)+VLOOKUP(DH$3,'Non-Embedded Emissions'!$A$143:$D$174,2,FALSE)+VLOOKUP(DH$3,'Non-Embedded Emissions'!$A$230:$D$259,2,FALSE)-VLOOKUP(DH$3,'Non-Embedded Emissions'!$A$56:$D$90,3,FALSE)-VLOOKUP(DH$3,'Non-Embedded Emissions'!$A$143:$D$174,3,FALSE)-VLOOKUP(DH$3,'Non-Embedded Emissions'!$A$230:$D$259,3,FALSE)), $C5 = "3", 'Inputs-System'!$C$30*'Coincidence Factors'!$B$5*'Inputs-Proposals'!$C$29*'Inputs-Proposals'!$C$31*(VLOOKUP(DH$3,'Non-Embedded Emissions'!$A$56:$D$90,2,FALSE)+VLOOKUP(DH$3,'Non-Embedded Emissions'!$A$143:$D$174,2,FALSE)+VLOOKUP(DH$3,'Non-Embedded Emissions'!$A$230:$D$259,2,FALSE)-VLOOKUP(DH$3,'Non-Embedded Emissions'!$A$56:$D$90,3,FALSE)-VLOOKUP(DH$3,'Non-Embedded Emissions'!$A$143:$D$174,3,FALSE)-VLOOKUP(DH$3,'Non-Embedded Emissions'!$A$230:$D$259,3,FALSE)), $C5 = "0", 0), 0)</f>
        <v>0</v>
      </c>
      <c r="DN5" s="345">
        <f>IFERROR(_xlfn.IFS($C5="1",('Inputs-System'!$C$30*'Coincidence Factors'!$B$5*(1+'Inputs-System'!$C$18)*(1+'Inputs-System'!$C$41)*('Inputs-Proposals'!$C$17*'Inputs-Proposals'!$C$19*(1-'Inputs-Proposals'!$C$20))*(VLOOKUP(DN$3,Energy!$A$51:$K$83,5,FALSE)-VLOOKUP(DN$3,Energy!$A$51:$K$83,6,FALSE))), $C5 = "2",('Inputs-System'!$C$30*'Coincidence Factors'!$B$5)*(1+'Inputs-System'!$C$18)*(1+'Inputs-System'!$C$41)*('Inputs-Proposals'!$C$23*'Inputs-Proposals'!$C$25*(1-'Inputs-Proposals'!$C$26))*(VLOOKUP(DN$3,Energy!$A$51:$K$83,5,FALSE)-VLOOKUP(DN$3,Energy!$A$51:$K$83,6,FALSE)), $C5= "3", ('Inputs-System'!$C$30*'Coincidence Factors'!$B$5*(1+'Inputs-System'!$C$18)*(1+'Inputs-System'!$C$41)*('Inputs-Proposals'!$C$29*'Inputs-Proposals'!$C$31*(1-'Inputs-Proposals'!$C$32))*(VLOOKUP(DN$3,Energy!$A$51:$K$83,5,FALSE)-VLOOKUP(DN$3,Energy!$A$51:$K$83,6,FALSE))), $C5= "0", 0), 0)</f>
        <v>0</v>
      </c>
      <c r="DO5" s="100">
        <f>IFERROR(_xlfn.IFS($C5="1", 'Inputs-System'!$C$30*'Coincidence Factors'!$B$5*(1+'Inputs-System'!$C$18)*(1+'Inputs-System'!$C$41)*'Inputs-Proposals'!$C$17*'Inputs-Proposals'!$C$19*(1-'Inputs-Proposals'!$C$20)*(VLOOKUP(DN$3,'Embedded Emissions'!$A$47:$B$78,2,FALSE)+VLOOKUP(DN$3,'Embedded Emissions'!$A$129:$B$158,2,FALSE)), $C5 = "2",'Inputs-System'!$C$30*'Coincidence Factors'!$B$5*(1+'Inputs-System'!$C$18)*(1+'Inputs-System'!$C$41)*'Inputs-Proposals'!$C$23*'Inputs-Proposals'!$C$25*(1-'Inputs-Proposals'!$C$20)*(VLOOKUP(DN$3,'Embedded Emissions'!$A$47:$B$78,2,FALSE)+VLOOKUP(DN$3,'Embedded Emissions'!$A$129:$B$158,2,FALSE)), $C5 = "3", 'Inputs-System'!$C$30*'Coincidence Factors'!$B$5*(1+'Inputs-System'!$C$18)*(1+'Inputs-System'!$C$41)*'Inputs-Proposals'!$C$29*'Inputs-Proposals'!$C$31*(1-'Inputs-Proposals'!$C$20)*(VLOOKUP(DN$3,'Embedded Emissions'!$A$47:$B$78,2,FALSE)+VLOOKUP(DN$3,'Embedded Emissions'!$A$129:$B$158,2,FALSE)), $C5 = "0", 0), 0)</f>
        <v>0</v>
      </c>
      <c r="DP5" s="100">
        <f>IFERROR(_xlfn.IFS($C5="1",( 'Inputs-System'!$C$30*'Coincidence Factors'!$B$5*(1+'Inputs-System'!$C$18)*(1+'Inputs-System'!$C$41))*('Inputs-Proposals'!$C$17*'Inputs-Proposals'!$C$19*(1-'Inputs-Proposals'!$C$20))*(VLOOKUP(DN$3,DRIPE!$A$54:$I$82,5,FALSE)-VLOOKUP(DN$3,DRIPE!$A$54:$I$82,6,FALSE)+VLOOKUP(DN$3,DRIPE!$A$54:$I$82,9,FALSE))+ ('Inputs-System'!$C$26*'Coincidence Factors'!$B$5*(1+'Inputs-System'!$C$18)*(1+'Inputs-System'!$C$42))*'Inputs-Proposals'!$C$16*VLOOKUP(DN$3,DRIPE!$A$54:$I$80,8,FALSE), $C5 = "2",( 'Inputs-System'!$C$30*'Coincidence Factors'!$B$5*(1+'Inputs-System'!$C$18)*(1+'Inputs-System'!$C$41))*('Inputs-Proposals'!$C$23*'Inputs-Proposals'!$C$25*(1-'Inputs-Proposals'!$C$26))*(VLOOKUP(DN$3,DRIPE!$A$54:$I$82,5,FALSE)-VLOOKUP(DN$3,DRIPE!$A$54:$I$82,6,FALSE)+VLOOKUP(DN$3,DRIPE!$A$54:$I$82,9,FALSE))+ ('Inputs-System'!$C$26*'Coincidence Factors'!$B$5*(1+'Inputs-System'!$C$18)*(1+'Inputs-System'!$C$42))+ ('Inputs-System'!$C$26*'Coincidence Factors'!$B$5)*'Inputs-Proposals'!$C$22*VLOOKUP(DN$3,DRIPE!$A$54:$I$80,8,FALSE), $C5= "3", ('Inputs-System'!$C$30*'Coincidence Factors'!$B$5)*('Inputs-Proposals'!$C$29*'Inputs-Proposals'!$C$31*(1-'Inputs-Proposals'!$C$32))*(VLOOKUP(DN$3,DRIPE!$A$54:$I$80,5,FALSE)-VLOOKUP(DN$3,DRIPE!$A$54:$I$80,6,FALSE)+VLOOKUP(DN$3,DRIPE!$A$54:$I$80,9,FALSE))+ ('Inputs-System'!$C$26*'Coincidence Factors'!$B$5*(1+'Inputs-System'!$C$18)*(1+'Inputs-System'!$C$42))*'Inputs-Proposals'!$C$28*VLOOKUP(DN$3,DRIPE!$A$54:$I$80,8,FALSE), $C5 = "0", 0), 0)</f>
        <v>0</v>
      </c>
      <c r="DQ5" s="345">
        <f>IFERROR(_xlfn.IFS($C5="1",('Inputs-System'!$C$26*'Coincidence Factors'!$B$5*(1+'Inputs-System'!$C$18)*(1+'Inputs-System'!$C$42))*'Inputs-Proposals'!$D$16*(VLOOKUP(DN$3,Capacity!$A$53:$E$85,4,FALSE)*(1+'Inputs-System'!$C$42)+VLOOKUP(DN$3,Capacity!$A$53:$E$85,5,FALSE)*(1+'Inputs-System'!$C$43)*'Inputs-System'!$C$29), $C5 = "2", ('Inputs-System'!$C$26*'Coincidence Factors'!$B$5*(1+'Inputs-System'!$C$18))*'Inputs-Proposals'!$D$22*(VLOOKUP(DN$3,Capacity!$A$53:$E$85,4,FALSE)*(1+'Inputs-System'!$C$42)+VLOOKUP(DN$3,Capacity!$A$53:$E$85,5,FALSE)*'Inputs-System'!$C$29*(1+'Inputs-System'!$C$43)), $C5 = "3", ('Inputs-System'!$C$26*'Coincidence Factors'!$B$5*(1+'Inputs-System'!$C$18))*'Inputs-Proposals'!$D$28*(VLOOKUP(DN$3,Capacity!$A$53:$E$85,4,FALSE)*(1+'Inputs-System'!$C$42)+VLOOKUP(DN$3,Capacity!$A$53:$E$85,5,FALSE)*'Inputs-System'!$C$29*(1+'Inputs-System'!$C$43)), $C5 = "0", 0), 0)</f>
        <v>0</v>
      </c>
      <c r="DR5" s="100">
        <v>0</v>
      </c>
      <c r="DS5" s="346">
        <f>IFERROR(_xlfn.IFS($C5="1", 'Inputs-System'!$C$30*'Coincidence Factors'!$B$5*'Inputs-Proposals'!$C$17*'Inputs-Proposals'!$C$19*(VLOOKUP(DN$3,'Non-Embedded Emissions'!$A$56:$D$90,2,FALSE)+VLOOKUP(DN$3,'Non-Embedded Emissions'!$A$143:$D$174,2,FALSE)+VLOOKUP(DN$3,'Non-Embedded Emissions'!$A$230:$D$259,2,FALSE)-VLOOKUP(DN$3,'Non-Embedded Emissions'!$A$56:$D$90,3,FALSE)-VLOOKUP(DN$3,'Non-Embedded Emissions'!$A$143:$D$174,3,FALSE)-VLOOKUP(DN$3,'Non-Embedded Emissions'!$A$230:$D$259,3,FALSE)), $C5 = "2", 'Inputs-System'!$C$30*'Coincidence Factors'!$B$5*'Inputs-Proposals'!$C$23*'Inputs-Proposals'!$C$25*(VLOOKUP(DN$3,'Non-Embedded Emissions'!$A$56:$D$90,2,FALSE)+VLOOKUP(DN$3,'Non-Embedded Emissions'!$A$143:$D$174,2,FALSE)+VLOOKUP(DN$3,'Non-Embedded Emissions'!$A$230:$D$259,2,FALSE)-VLOOKUP(DN$3,'Non-Embedded Emissions'!$A$56:$D$90,3,FALSE)-VLOOKUP(DN$3,'Non-Embedded Emissions'!$A$143:$D$174,3,FALSE)-VLOOKUP(DN$3,'Non-Embedded Emissions'!$A$230:$D$259,3,FALSE)), $C5 = "3", 'Inputs-System'!$C$30*'Coincidence Factors'!$B$5*'Inputs-Proposals'!$C$29*'Inputs-Proposals'!$C$31*(VLOOKUP(DN$3,'Non-Embedded Emissions'!$A$56:$D$90,2,FALSE)+VLOOKUP(DN$3,'Non-Embedded Emissions'!$A$143:$D$174,2,FALSE)+VLOOKUP(DN$3,'Non-Embedded Emissions'!$A$230:$D$259,2,FALSE)-VLOOKUP(DN$3,'Non-Embedded Emissions'!$A$56:$D$90,3,FALSE)-VLOOKUP(DN$3,'Non-Embedded Emissions'!$A$143:$D$174,3,FALSE)-VLOOKUP(DN$3,'Non-Embedded Emissions'!$A$230:$D$259,3,FALSE)), $C5 = "0", 0), 0)</f>
        <v>0</v>
      </c>
      <c r="DT5" s="345">
        <f>IFERROR(_xlfn.IFS($C5="1",('Inputs-System'!$C$30*'Coincidence Factors'!$B$5*(1+'Inputs-System'!$C$18)*(1+'Inputs-System'!$C$41)*('Inputs-Proposals'!$C$17*'Inputs-Proposals'!$C$19*(1-'Inputs-Proposals'!$C$20))*(VLOOKUP(DT$3,Energy!$A$51:$K$83,5,FALSE)-VLOOKUP(DT$3,Energy!$A$51:$K$83,6,FALSE))), $C5 = "2",('Inputs-System'!$C$30*'Coincidence Factors'!$B$5)*(1+'Inputs-System'!$C$18)*(1+'Inputs-System'!$C$41)*('Inputs-Proposals'!$C$23*'Inputs-Proposals'!$C$25*(1-'Inputs-Proposals'!$C$26))*(VLOOKUP(DT$3,Energy!$A$51:$K$83,5,FALSE)-VLOOKUP(DT$3,Energy!$A$51:$K$83,6,FALSE)), $C5= "3", ('Inputs-System'!$C$30*'Coincidence Factors'!$B$5*(1+'Inputs-System'!$C$18)*(1+'Inputs-System'!$C$41)*('Inputs-Proposals'!$C$29*'Inputs-Proposals'!$C$31*(1-'Inputs-Proposals'!$C$32))*(VLOOKUP(DT$3,Energy!$A$51:$K$83,5,FALSE)-VLOOKUP(DT$3,Energy!$A$51:$K$83,6,FALSE))), $C5= "0", 0), 0)</f>
        <v>0</v>
      </c>
      <c r="DU5" s="100">
        <f>IFERROR(_xlfn.IFS($C5="1", 'Inputs-System'!$C$30*'Coincidence Factors'!$B$5*(1+'Inputs-System'!$C$18)*(1+'Inputs-System'!$C$41)*'Inputs-Proposals'!$C$17*'Inputs-Proposals'!$C$19*(1-'Inputs-Proposals'!$C$20)*(VLOOKUP(DT$3,'Embedded Emissions'!$A$47:$B$78,2,FALSE)+VLOOKUP(DT$3,'Embedded Emissions'!$A$129:$B$158,2,FALSE)), $C5 = "2",'Inputs-System'!$C$30*'Coincidence Factors'!$B$5*(1+'Inputs-System'!$C$18)*(1+'Inputs-System'!$C$41)*'Inputs-Proposals'!$C$23*'Inputs-Proposals'!$C$25*(1-'Inputs-Proposals'!$C$20)*(VLOOKUP(DT$3,'Embedded Emissions'!$A$47:$B$78,2,FALSE)+VLOOKUP(DT$3,'Embedded Emissions'!$A$129:$B$158,2,FALSE)), $C5 = "3", 'Inputs-System'!$C$30*'Coincidence Factors'!$B$5*(1+'Inputs-System'!$C$18)*(1+'Inputs-System'!$C$41)*'Inputs-Proposals'!$C$29*'Inputs-Proposals'!$C$31*(1-'Inputs-Proposals'!$C$20)*(VLOOKUP(DT$3,'Embedded Emissions'!$A$47:$B$78,2,FALSE)+VLOOKUP(DT$3,'Embedded Emissions'!$A$129:$B$158,2,FALSE)), $C5 = "0", 0), 0)</f>
        <v>0</v>
      </c>
      <c r="DV5" s="100">
        <f>IFERROR(_xlfn.IFS($C5="1",( 'Inputs-System'!$C$30*'Coincidence Factors'!$B$5*(1+'Inputs-System'!$C$18)*(1+'Inputs-System'!$C$41))*('Inputs-Proposals'!$C$17*'Inputs-Proposals'!$C$19*(1-'Inputs-Proposals'!$C$20))*(VLOOKUP(DT$3,DRIPE!$A$54:$I$82,5,FALSE)-VLOOKUP(DT$3,DRIPE!$A$54:$I$82,6,FALSE)+VLOOKUP(DT$3,DRIPE!$A$54:$I$82,9,FALSE))+ ('Inputs-System'!$C$26*'Coincidence Factors'!$B$5*(1+'Inputs-System'!$C$18)*(1+'Inputs-System'!$C$42))*'Inputs-Proposals'!$C$16*VLOOKUP(DT$3,DRIPE!$A$54:$I$80,8,FALSE), $C5 = "2",( 'Inputs-System'!$C$30*'Coincidence Factors'!$B$5*(1+'Inputs-System'!$C$18)*(1+'Inputs-System'!$C$41))*('Inputs-Proposals'!$C$23*'Inputs-Proposals'!$C$25*(1-'Inputs-Proposals'!$C$26))*(VLOOKUP(DT$3,DRIPE!$A$54:$I$82,5,FALSE)-VLOOKUP(DT$3,DRIPE!$A$54:$I$82,6,FALSE)+VLOOKUP(DT$3,DRIPE!$A$54:$I$82,9,FALSE))+ ('Inputs-System'!$C$26*'Coincidence Factors'!$B$5*(1+'Inputs-System'!$C$18)*(1+'Inputs-System'!$C$42))+ ('Inputs-System'!$C$26*'Coincidence Factors'!$B$5)*'Inputs-Proposals'!$C$22*VLOOKUP(DT$3,DRIPE!$A$54:$I$80,8,FALSE), $C5= "3", ('Inputs-System'!$C$30*'Coincidence Factors'!$B$5)*('Inputs-Proposals'!$C$29*'Inputs-Proposals'!$C$31*(1-'Inputs-Proposals'!$C$32))*(VLOOKUP(DT$3,DRIPE!$A$54:$I$80,5,FALSE)-VLOOKUP(DT$3,DRIPE!$A$54:$I$80,6,FALSE)+VLOOKUP(DT$3,DRIPE!$A$54:$I$80,9,FALSE))+ ('Inputs-System'!$C$26*'Coincidence Factors'!$B$5*(1+'Inputs-System'!$C$18)*(1+'Inputs-System'!$C$42))*'Inputs-Proposals'!$C$28*VLOOKUP(DT$3,DRIPE!$A$54:$I$80,8,FALSE), $C5 = "0", 0), 0)</f>
        <v>0</v>
      </c>
      <c r="DW5" s="345">
        <f>IFERROR(_xlfn.IFS($C5="1",('Inputs-System'!$C$26*'Coincidence Factors'!$B$5*(1+'Inputs-System'!$C$18)*(1+'Inputs-System'!$C$42))*'Inputs-Proposals'!$D$16*(VLOOKUP(DT$3,Capacity!$A$53:$E$85,4,FALSE)*(1+'Inputs-System'!$C$42)+VLOOKUP(DT$3,Capacity!$A$53:$E$85,5,FALSE)*(1+'Inputs-System'!$C$43)*'Inputs-System'!$C$29), $C5 = "2", ('Inputs-System'!$C$26*'Coincidence Factors'!$B$5*(1+'Inputs-System'!$C$18))*'Inputs-Proposals'!$D$22*(VLOOKUP(DT$3,Capacity!$A$53:$E$85,4,FALSE)*(1+'Inputs-System'!$C$42)+VLOOKUP(DT$3,Capacity!$A$53:$E$85,5,FALSE)*'Inputs-System'!$C$29*(1+'Inputs-System'!$C$43)), $C5 = "3", ('Inputs-System'!$C$26*'Coincidence Factors'!$B$5*(1+'Inputs-System'!$C$18))*'Inputs-Proposals'!$D$28*(VLOOKUP(DT$3,Capacity!$A$53:$E$85,4,FALSE)*(1+'Inputs-System'!$C$42)+VLOOKUP(DT$3,Capacity!$A$53:$E$85,5,FALSE)*'Inputs-System'!$C$29*(1+'Inputs-System'!$C$43)), $C5 = "0", 0), 0)</f>
        <v>0</v>
      </c>
      <c r="DX5" s="100">
        <v>0</v>
      </c>
      <c r="DY5" s="346">
        <f>IFERROR(_xlfn.IFS($C5="1", 'Inputs-System'!$C$30*'Coincidence Factors'!$B$5*'Inputs-Proposals'!$C$17*'Inputs-Proposals'!$C$19*(VLOOKUP(DT$3,'Non-Embedded Emissions'!$A$56:$D$90,2,FALSE)+VLOOKUP(DT$3,'Non-Embedded Emissions'!$A$143:$D$174,2,FALSE)+VLOOKUP(DT$3,'Non-Embedded Emissions'!$A$230:$D$259,2,FALSE)-VLOOKUP(DT$3,'Non-Embedded Emissions'!$A$56:$D$90,3,FALSE)-VLOOKUP(DT$3,'Non-Embedded Emissions'!$A$143:$D$174,3,FALSE)-VLOOKUP(DT$3,'Non-Embedded Emissions'!$A$230:$D$259,3,FALSE)), $C5 = "2", 'Inputs-System'!$C$30*'Coincidence Factors'!$B$5*'Inputs-Proposals'!$C$23*'Inputs-Proposals'!$C$25*(VLOOKUP(DT$3,'Non-Embedded Emissions'!$A$56:$D$90,2,FALSE)+VLOOKUP(DT$3,'Non-Embedded Emissions'!$A$143:$D$174,2,FALSE)+VLOOKUP(DT$3,'Non-Embedded Emissions'!$A$230:$D$259,2,FALSE)-VLOOKUP(DT$3,'Non-Embedded Emissions'!$A$56:$D$90,3,FALSE)-VLOOKUP(DT$3,'Non-Embedded Emissions'!$A$143:$D$174,3,FALSE)-VLOOKUP(DT$3,'Non-Embedded Emissions'!$A$230:$D$259,3,FALSE)), $C5 = "3", 'Inputs-System'!$C$30*'Coincidence Factors'!$B$5*'Inputs-Proposals'!$C$29*'Inputs-Proposals'!$C$31*(VLOOKUP(DT$3,'Non-Embedded Emissions'!$A$56:$D$90,2,FALSE)+VLOOKUP(DT$3,'Non-Embedded Emissions'!$A$143:$D$174,2,FALSE)+VLOOKUP(DT$3,'Non-Embedded Emissions'!$A$230:$D$259,2,FALSE)-VLOOKUP(DT$3,'Non-Embedded Emissions'!$A$56:$D$90,3,FALSE)-VLOOKUP(DT$3,'Non-Embedded Emissions'!$A$143:$D$174,3,FALSE)-VLOOKUP(DT$3,'Non-Embedded Emissions'!$A$230:$D$259,3,FALSE)), $C5 = "0", 0), 0)</f>
        <v>0</v>
      </c>
      <c r="DZ5" s="345">
        <f>IFERROR(_xlfn.IFS($C5="1",('Inputs-System'!$C$30*'Coincidence Factors'!$B$5*(1+'Inputs-System'!$C$18)*(1+'Inputs-System'!$C$41)*('Inputs-Proposals'!$C$17*'Inputs-Proposals'!$C$19*(1-'Inputs-Proposals'!$C$20))*(VLOOKUP(DZ$3,Energy!$A$51:$K$83,5,FALSE)-VLOOKUP(DZ$3,Energy!$A$51:$K$83,6,FALSE))), $C5 = "2",('Inputs-System'!$C$30*'Coincidence Factors'!$B$5)*(1+'Inputs-System'!$C$18)*(1+'Inputs-System'!$C$41)*('Inputs-Proposals'!$C$23*'Inputs-Proposals'!$C$25*(1-'Inputs-Proposals'!$C$26))*(VLOOKUP(DZ$3,Energy!$A$51:$K$83,5,FALSE)-VLOOKUP(DZ$3,Energy!$A$51:$K$83,6,FALSE)), $C5= "3", ('Inputs-System'!$C$30*'Coincidence Factors'!$B$5*(1+'Inputs-System'!$C$18)*(1+'Inputs-System'!$C$41)*('Inputs-Proposals'!$C$29*'Inputs-Proposals'!$C$31*(1-'Inputs-Proposals'!$C$32))*(VLOOKUP(DZ$3,Energy!$A$51:$K$83,5,FALSE)-VLOOKUP(DZ$3,Energy!$A$51:$K$83,6,FALSE))), $C5= "0", 0), 0)</f>
        <v>0</v>
      </c>
      <c r="EA5" s="100">
        <f>IFERROR(_xlfn.IFS($C5="1", 'Inputs-System'!$C$30*'Coincidence Factors'!$B$5*(1+'Inputs-System'!$C$18)*(1+'Inputs-System'!$C$41)*'Inputs-Proposals'!$C$17*'Inputs-Proposals'!$C$19*(1-'Inputs-Proposals'!$C$20)*(VLOOKUP(DZ$3,'Embedded Emissions'!$A$47:$B$78,2,FALSE)+VLOOKUP(DZ$3,'Embedded Emissions'!$A$129:$B$158,2,FALSE)), $C5 = "2",'Inputs-System'!$C$30*'Coincidence Factors'!$B$5*(1+'Inputs-System'!$C$18)*(1+'Inputs-System'!$C$41)*'Inputs-Proposals'!$C$23*'Inputs-Proposals'!$C$25*(1-'Inputs-Proposals'!$C$20)*(VLOOKUP(DZ$3,'Embedded Emissions'!$A$47:$B$78,2,FALSE)+VLOOKUP(DZ$3,'Embedded Emissions'!$A$129:$B$158,2,FALSE)), $C5 = "3", 'Inputs-System'!$C$30*'Coincidence Factors'!$B$5*(1+'Inputs-System'!$C$18)*(1+'Inputs-System'!$C$41)*'Inputs-Proposals'!$C$29*'Inputs-Proposals'!$C$31*(1-'Inputs-Proposals'!$C$20)*(VLOOKUP(DZ$3,'Embedded Emissions'!$A$47:$B$78,2,FALSE)+VLOOKUP(DZ$3,'Embedded Emissions'!$A$129:$B$158,2,FALSE)), $C5 = "0", 0), 0)</f>
        <v>0</v>
      </c>
      <c r="EB5" s="100">
        <f>IFERROR(_xlfn.IFS($C5="1",( 'Inputs-System'!$C$30*'Coincidence Factors'!$B$5*(1+'Inputs-System'!$C$18)*(1+'Inputs-System'!$C$41))*('Inputs-Proposals'!$C$17*'Inputs-Proposals'!$C$19*(1-'Inputs-Proposals'!$C$20))*(VLOOKUP(DZ$3,DRIPE!$A$54:$I$82,5,FALSE)-VLOOKUP(DZ$3,DRIPE!$A$54:$I$82,6,FALSE)+VLOOKUP(DZ$3,DRIPE!$A$54:$I$82,9,FALSE))+ ('Inputs-System'!$C$26*'Coincidence Factors'!$B$5*(1+'Inputs-System'!$C$18)*(1+'Inputs-System'!$C$42))*'Inputs-Proposals'!$C$16*VLOOKUP(DZ$3,DRIPE!$A$54:$I$80,8,FALSE), $C5 = "2",( 'Inputs-System'!$C$30*'Coincidence Factors'!$B$5*(1+'Inputs-System'!$C$18)*(1+'Inputs-System'!$C$41))*('Inputs-Proposals'!$C$23*'Inputs-Proposals'!$C$25*(1-'Inputs-Proposals'!$C$26))*(VLOOKUP(DZ$3,DRIPE!$A$54:$I$82,5,FALSE)-VLOOKUP(DZ$3,DRIPE!$A$54:$I$82,6,FALSE)+VLOOKUP(DZ$3,DRIPE!$A$54:$I$82,9,FALSE))+ ('Inputs-System'!$C$26*'Coincidence Factors'!$B$5*(1+'Inputs-System'!$C$18)*(1+'Inputs-System'!$C$42))+ ('Inputs-System'!$C$26*'Coincidence Factors'!$B$5)*'Inputs-Proposals'!$C$22*VLOOKUP(DZ$3,DRIPE!$A$54:$I$80,8,FALSE), $C5= "3", ('Inputs-System'!$C$30*'Coincidence Factors'!$B$5)*('Inputs-Proposals'!$C$29*'Inputs-Proposals'!$C$31*(1-'Inputs-Proposals'!$C$32))*(VLOOKUP(DZ$3,DRIPE!$A$54:$I$80,5,FALSE)-VLOOKUP(DZ$3,DRIPE!$A$54:$I$80,6,FALSE)+VLOOKUP(DZ$3,DRIPE!$A$54:$I$80,9,FALSE))+ ('Inputs-System'!$C$26*'Coincidence Factors'!$B$5*(1+'Inputs-System'!$C$18)*(1+'Inputs-System'!$C$42))*'Inputs-Proposals'!$C$28*VLOOKUP(DZ$3,DRIPE!$A$54:$I$80,8,FALSE), $C5 = "0", 0), 0)</f>
        <v>0</v>
      </c>
      <c r="EC5" s="345">
        <f>IFERROR(_xlfn.IFS($C5="1",('Inputs-System'!$C$26*'Coincidence Factors'!$B$5*(1+'Inputs-System'!$C$18)*(1+'Inputs-System'!$C$42))*'Inputs-Proposals'!$D$16*(VLOOKUP(DZ$3,Capacity!$A$53:$E$85,4,FALSE)*(1+'Inputs-System'!$C$42)+VLOOKUP(DZ$3,Capacity!$A$53:$E$85,5,FALSE)*(1+'Inputs-System'!$C$43)*'Inputs-System'!$C$29), $C5 = "2", ('Inputs-System'!$C$26*'Coincidence Factors'!$B$5*(1+'Inputs-System'!$C$18))*'Inputs-Proposals'!$D$22*(VLOOKUP(DZ$3,Capacity!$A$53:$E$85,4,FALSE)*(1+'Inputs-System'!$C$42)+VLOOKUP(DZ$3,Capacity!$A$53:$E$85,5,FALSE)*'Inputs-System'!$C$29*(1+'Inputs-System'!$C$43)), $C5 = "3", ('Inputs-System'!$C$26*'Coincidence Factors'!$B$5*(1+'Inputs-System'!$C$18))*'Inputs-Proposals'!$D$28*(VLOOKUP(DZ$3,Capacity!$A$53:$E$85,4,FALSE)*(1+'Inputs-System'!$C$42)+VLOOKUP(DZ$3,Capacity!$A$53:$E$85,5,FALSE)*'Inputs-System'!$C$29*(1+'Inputs-System'!$C$43)), $C5 = "0", 0), 0)</f>
        <v>0</v>
      </c>
      <c r="ED5" s="100">
        <v>0</v>
      </c>
      <c r="EE5" s="346">
        <f>IFERROR(_xlfn.IFS($C5="1", 'Inputs-System'!$C$30*'Coincidence Factors'!$B$5*'Inputs-Proposals'!$C$17*'Inputs-Proposals'!$C$19*(VLOOKUP(DZ$3,'Non-Embedded Emissions'!$A$56:$D$90,2,FALSE)+VLOOKUP(DZ$3,'Non-Embedded Emissions'!$A$143:$D$174,2,FALSE)+VLOOKUP(DZ$3,'Non-Embedded Emissions'!$A$230:$D$259,2,FALSE)-VLOOKUP(DZ$3,'Non-Embedded Emissions'!$A$56:$D$90,3,FALSE)-VLOOKUP(DZ$3,'Non-Embedded Emissions'!$A$143:$D$174,3,FALSE)-VLOOKUP(DZ$3,'Non-Embedded Emissions'!$A$230:$D$259,3,FALSE)), $C5 = "2", 'Inputs-System'!$C$30*'Coincidence Factors'!$B$5*'Inputs-Proposals'!$C$23*'Inputs-Proposals'!$C$25*(VLOOKUP(DZ$3,'Non-Embedded Emissions'!$A$56:$D$90,2,FALSE)+VLOOKUP(DZ$3,'Non-Embedded Emissions'!$A$143:$D$174,2,FALSE)+VLOOKUP(DZ$3,'Non-Embedded Emissions'!$A$230:$D$259,2,FALSE)-VLOOKUP(DZ$3,'Non-Embedded Emissions'!$A$56:$D$90,3,FALSE)-VLOOKUP(DZ$3,'Non-Embedded Emissions'!$A$143:$D$174,3,FALSE)-VLOOKUP(DZ$3,'Non-Embedded Emissions'!$A$230:$D$259,3,FALSE)), $C5 = "3", 'Inputs-System'!$C$30*'Coincidence Factors'!$B$5*'Inputs-Proposals'!$C$29*'Inputs-Proposals'!$C$31*(VLOOKUP(DZ$3,'Non-Embedded Emissions'!$A$56:$D$90,2,FALSE)+VLOOKUP(DZ$3,'Non-Embedded Emissions'!$A$143:$D$174,2,FALSE)+VLOOKUP(DZ$3,'Non-Embedded Emissions'!$A$230:$D$259,2,FALSE)-VLOOKUP(DZ$3,'Non-Embedded Emissions'!$A$56:$D$90,3,FALSE)-VLOOKUP(DZ$3,'Non-Embedded Emissions'!$A$143:$D$174,3,FALSE)-VLOOKUP(DZ$3,'Non-Embedded Emissions'!$A$230:$D$259,3,FALSE)), $C5 = "0", 0), 0)</f>
        <v>0</v>
      </c>
    </row>
    <row r="6" spans="1:135" x14ac:dyDescent="0.35">
      <c r="A6" s="708"/>
      <c r="B6" s="3" t="s">
        <v>158</v>
      </c>
      <c r="C6" s="118" t="str">
        <f>IFERROR(_xlfn.IFS('Benefits Calc'!B6='Inputs-Proposals'!$C$15, "1", 'Benefits Calc'!B6='Inputs-Proposals'!$C$21, "2", 'Benefits Calc'!B6='Inputs-Proposals'!$C$27, "3"), "0")</f>
        <v>0</v>
      </c>
      <c r="D6" s="44">
        <f t="shared" si="0"/>
        <v>0</v>
      </c>
      <c r="E6" s="44">
        <f t="shared" si="1"/>
        <v>0</v>
      </c>
      <c r="F6" s="44">
        <f t="shared" si="2"/>
        <v>0</v>
      </c>
      <c r="G6" s="44">
        <f t="shared" si="3"/>
        <v>0</v>
      </c>
      <c r="H6" s="44">
        <f t="shared" si="4"/>
        <v>0</v>
      </c>
      <c r="I6" s="44">
        <f t="shared" si="5"/>
        <v>0</v>
      </c>
      <c r="J6" s="323">
        <f>NPV('Inputs-System'!$C$20,P6+V6+AB6+AH6+AN6+AT6+AZ6+BF6+BL6+BR6+BX6+CD6+CJ6+CP6+CV6+DB6+DH6+DN6+DT6+DZ6)</f>
        <v>0</v>
      </c>
      <c r="K6" s="44">
        <f>NPV('Inputs-System'!$C$20,Q6+W6+AC6+AI6+AO6+AU6+BA6+BG6+BM6+BS6+BY6+CE6+CK6+CQ6+CW6+DC6+DI6+DO6+DU6+EA6)</f>
        <v>0</v>
      </c>
      <c r="L6" s="44">
        <f>NPV('Inputs-System'!$C$20,R6+X6+AD6+AJ6+AP6+AV6+BB6+BH6+BN6+BT6+BZ6+CF6+CL6+CR6+CX6+DD6+DJ6+DP6+DV6+EB6)</f>
        <v>0</v>
      </c>
      <c r="M6" s="44">
        <f>NPV('Inputs-System'!$C$20,S6+Y6+AE6+AK6+AQ6+AW6+BC6+BI6+BO6+BU6+CA6+CG6+CM6+CS6+CY6+DE6+DK6+DQ6+DW6+EC6)</f>
        <v>0</v>
      </c>
      <c r="N6" s="44">
        <f>NPV('Inputs-System'!$C$20,T6+Z6+AF6+AL6+AR6+AX6+BD6+BJ6+BP6+BV6+CB6+CH6+CN6+CT6+CZ6+DF6+DL6+DR6+DX6+ED6)</f>
        <v>0</v>
      </c>
      <c r="O6" s="44">
        <f>NPV('Inputs-System'!$C$20,U6+AA6+AG6+AM6+AS6+AY6+BE6+BK6+BQ6+BW6+CC6+CI6+CO6+CU6+DA6+DG6+DM6+DS6+DY6+EE6)</f>
        <v>0</v>
      </c>
      <c r="P6" s="347">
        <f>IFERROR(_xlfn.IFS($C6="1",('Inputs-System'!$C$30*'Coincidence Factors'!$B$6*(1+'Inputs-System'!$C$18)*(1+'Inputs-System'!$C$41)*('Inputs-Proposals'!$C$17*'Inputs-Proposals'!$C$19*(1-'Inputs-Proposals'!$C$20^(P$3-'Inputs-System'!$C$7+1)))*(VLOOKUP(P$3,Energy!$A$51:$K$83,5,FALSE))), $C6 = "2",('Inputs-System'!$C$30*'Coincidence Factors'!$B$6)*(1+'Inputs-System'!$C$18)*(1+'Inputs-System'!$C$41)*('Inputs-Proposals'!$C$23*'Inputs-Proposals'!$C$25*(1-'Inputs-Proposals'!$C$26^(P$3-'Inputs-System'!$C$7+1)))*(VLOOKUP(P$3,Energy!$A$51:$K$83,5,FALSE)), $C6= "3", ('Inputs-System'!$C$30*'Coincidence Factors'!$B$6*(1+'Inputs-System'!$C$18)*(1+'Inputs-System'!$C$41)*('Inputs-Proposals'!$C$29*'Inputs-Proposals'!$C$31*(1-'Inputs-Proposals'!$C$32^(P$3-'Inputs-System'!$C$7+1)))*(VLOOKUP(P$3,Energy!$A$51:$K$83,5,FALSE))), $C6=0,0), 0)</f>
        <v>0</v>
      </c>
      <c r="Q6" s="44">
        <f>IFERROR(_xlfn.IFS($C6="1",('Inputs-System'!$C$30*'Coincidence Factors'!$B$6*(1+'Inputs-System'!$C$18)*(1+'Inputs-System'!$C$41))*'Inputs-Proposals'!$C$17*'Inputs-Proposals'!$C$19*(1-'Inputs-Proposals'!$C$20^(P$3-'Inputs-System'!$C$7+1))*(VLOOKUP(P$3,'Embedded Emissions'!$A$47:$B$78,2,FALSE)+VLOOKUP(P$3,'Embedded Emissions'!$A$129:$B$158,2,FALSE)), $C6 = "2",('Inputs-System'!$C$30*'Coincidence Factors'!$B$6*(1+'Inputs-System'!$C$18)*(1+'Inputs-System'!$C$41))*'Inputs-Proposals'!$C$23*'Inputs-Proposals'!$C$25*(1-'Inputs-Proposals'!$C$20^(P$3-'Inputs-System'!$C$7+1))*(VLOOKUP(P$3,'Embedded Emissions'!$A$47:$B$78,2,FALSE)+VLOOKUP(P$3,'Embedded Emissions'!$A$129:$B$158,2,FALSE)), $C6 = "3", ('Inputs-System'!$C$30*'Coincidence Factors'!$B$6*(1+'Inputs-System'!$C$18)*(1+'Inputs-System'!$C$41))*'Inputs-Proposals'!$C$29*'Inputs-Proposals'!$C$31*(1-'Inputs-Proposals'!$C$20^(P$3-'Inputs-System'!$C$7+1))*(VLOOKUP(P$3,'Embedded Emissions'!$A$47:$B$78,2,FALSE)+VLOOKUP(P$3,'Embedded Emissions'!$A$129:$B$158,2,FALSE)), $C6 = "0", 0), 0)</f>
        <v>0</v>
      </c>
      <c r="R6" s="44">
        <f>IFERROR(_xlfn.IFS($C6="1",( 'Inputs-System'!$C$30*'Coincidence Factors'!$B$6*(1+'Inputs-System'!$C$18)*(1+'Inputs-System'!$C$41))*('Inputs-Proposals'!$C$17*'Inputs-Proposals'!$C$19*(1-'Inputs-Proposals'!$C$20)^(P$3-'Inputs-System'!$C$7))*(VLOOKUP(P$3,DRIPE!$A$54:$I$82,5,FALSE)+VLOOKUP(P$3,DRIPE!$A$54:$I$82,9,FALSE))+ ('Inputs-System'!$C$26*'Coincidence Factors'!$B$6*(1+'Inputs-System'!$C$18)*(1+'Inputs-System'!$C$42))*'Inputs-Proposals'!$C$16*VLOOKUP(P$3,DRIPE!$A$54:$I$82,8,FALSE), $C6 = "2",( 'Inputs-System'!$C$30*'Coincidence Factors'!$B$6*(1+'Inputs-System'!$C$18)*(1+'Inputs-System'!$C$41))*('Inputs-Proposals'!$C$23*'Inputs-Proposals'!$C$25*(1-'Inputs-Proposals'!$C$26)^(P$3-'Inputs-System'!$C$7))*(VLOOKUP(P$3,DRIPE!$A$54:$I$82,5,FALSE)+VLOOKUP(P$3,DRIPE!$A$54:$I$82,9,FALSE))+ ('Inputs-System'!$C$26*'Coincidence Factors'!$B$6*(1+'Inputs-System'!$C$18)*(1+'Inputs-System'!$C$42))*'Inputs-Proposals'!$C$22*VLOOKUP(P$3,DRIPE!$A$54:$I$82,8,FALSE), $C6= "3", ( 'Inputs-System'!$C$30*'Coincidence Factors'!$B$6*(1+'Inputs-System'!$C$18)*(1+'Inputs-System'!$C$41))*('Inputs-Proposals'!$C$29*'Inputs-Proposals'!$C$31*(1-'Inputs-Proposals'!$C$32)^(P$3-'Inputs-System'!$C$7))*(VLOOKUP(P$3,DRIPE!$A$54:$I$82,5,FALSE)+VLOOKUP(P$3,DRIPE!$A$54:$I$82,9,FALSE))+ ('Inputs-System'!$C$26*'Coincidence Factors'!$B$6*(1+'Inputs-System'!$C$18)*(1+'Inputs-System'!$C$42))*'Inputs-Proposals'!$C$28*VLOOKUP(P$3,DRIPE!$A$54:$I$82,8,FALSE), $C6 = "0", 0), 0)</f>
        <v>0</v>
      </c>
      <c r="S6" s="45">
        <f>IFERROR(_xlfn.IFS($C6="1",('Inputs-System'!$C$26*'Coincidence Factors'!$B$6*(1+'Inputs-System'!$C$18))*'Inputs-Proposals'!$C$16*(VLOOKUP(P$3,Capacity!$A$53:$E$85,4,FALSE)*(1+'Inputs-System'!$C$42)+VLOOKUP(P$3,Capacity!$A$53:$E$85,5,FALSE)*'Inputs-System'!$C$29*(1+'Inputs-System'!$C$43)), $C6 = "2", ('Inputs-System'!$C$26*'Coincidence Factors'!$B$6*(1+'Inputs-System'!$C$18))*'Inputs-Proposals'!$C$22*(VLOOKUP(P$3,Capacity!$A$53:$E$85,4,FALSE)*(1+'Inputs-System'!$C$42)+VLOOKUP(P$3,Capacity!$A$53:$E$85,5,FALSE)*'Inputs-System'!$C$29*(1+'Inputs-System'!$C$43)), $C6 = "3",('Inputs-System'!$C$26*'Coincidence Factors'!$B$6*(1+'Inputs-System'!$C$18))*'Inputs-Proposals'!$C$28*(VLOOKUP(P$3,Capacity!$A$53:$E$85,4,FALSE)*(1+'Inputs-System'!$C$42)+VLOOKUP(P$3,Capacity!$A$53:$E$85,5,FALSE)*'Inputs-System'!$C$29*(1+'Inputs-System'!$C$43)), $C6 = "0", 0), 0)</f>
        <v>0</v>
      </c>
      <c r="T6" s="44">
        <v>0</v>
      </c>
      <c r="U6" s="342">
        <f>IFERROR(_xlfn.IFS($C6="1", 'Inputs-System'!$C$30*'Coincidence Factors'!$B$6*'Inputs-Proposals'!$C$17*'Inputs-Proposals'!$C$19*(VLOOKUP(P$3,'Non-Embedded Emissions'!$A$56:$D$90,2,FALSE)+VLOOKUP(P$3,'Non-Embedded Emissions'!$A$143:$D$174,2,FALSE)+VLOOKUP(P$3,'Non-Embedded Emissions'!$A$230:$D$259,2,FALSE)), $C6 = "2", 'Inputs-System'!$C$30*'Coincidence Factors'!$B$6*'Inputs-Proposals'!$C$23*'Inputs-Proposals'!$C$25*(VLOOKUP(P$3,'Non-Embedded Emissions'!$A$56:$D$90,2,FALSE)+VLOOKUP(P$3,'Non-Embedded Emissions'!$A$143:$D$174,2,FALSE)+VLOOKUP(P$3,'Non-Embedded Emissions'!$A$230:$D$259,2,FALSE)), $C6 = "3", 'Inputs-System'!$C$30*'Coincidence Factors'!$B$6*'Inputs-Proposals'!$C$29*'Inputs-Proposals'!$C$31*(VLOOKUP(P$3,'Non-Embedded Emissions'!$A$56:$D$90,2,FALSE)+VLOOKUP(P$3,'Non-Embedded Emissions'!$A$143:$D$174,2,FALSE)+VLOOKUP(P$3,'Non-Embedded Emissions'!$A$230:$D$259,2,FALSE)), $C6 = "0", 0), 0)</f>
        <v>0</v>
      </c>
      <c r="V6" s="45">
        <f>IFERROR(_xlfn.IFS($C6="1",('Inputs-System'!$C$30*'Coincidence Factors'!$B$6*(1+'Inputs-System'!$C$18)*(1+'Inputs-System'!$C$41)*('Inputs-Proposals'!$C$17*'Inputs-Proposals'!$C$19*(1-'Inputs-Proposals'!$C$20^(V$3-'Inputs-System'!$C$7)))*(VLOOKUP(V$3,Energy!$A$51:$K$83,5,FALSE))), $C6 = "2",('Inputs-System'!$C$30*'Coincidence Factors'!$B$6)*(1+'Inputs-System'!$C$18)*(1+'Inputs-System'!$C$41)*('Inputs-Proposals'!$C$23*'Inputs-Proposals'!$C$25*(1-'Inputs-Proposals'!$C$26^(V$3-'Inputs-System'!$C$7)))*(VLOOKUP(V$3,Energy!$A$51:$K$83,5,FALSE)), $C6= "3", ('Inputs-System'!$C$30*'Coincidence Factors'!$B$6*(1+'Inputs-System'!$C$18)*(1+'Inputs-System'!$C$41)*('Inputs-Proposals'!$C$29*'Inputs-Proposals'!$C$31*(1-'Inputs-Proposals'!$C$32^(V$3-'Inputs-System'!$C$7)))*(VLOOKUP(V$3,Energy!$A$51:$K$83,5,FALSE))), $C6= "0", 0), 0)</f>
        <v>0</v>
      </c>
      <c r="W6" s="44">
        <f>IFERROR(_xlfn.IFS($C6="1",('Inputs-System'!$C$30*'Coincidence Factors'!$B$6*(1+'Inputs-System'!$C$18)*(1+'Inputs-System'!$C$41))*'Inputs-Proposals'!$C$17*'Inputs-Proposals'!$C$19*(1-'Inputs-Proposals'!$C$20^(V$3-'Inputs-System'!$C$7))*(VLOOKUP(V$3,'Embedded Emissions'!$A$47:$B$78,2,FALSE)+VLOOKUP(V$3,'Embedded Emissions'!$A$129:$B$158,2,FALSE)), $C6 = "2",('Inputs-System'!$C$30*'Coincidence Factors'!$B$6*(1+'Inputs-System'!$C$18)*(1+'Inputs-System'!$C$41))*'Inputs-Proposals'!$C$23*'Inputs-Proposals'!$C$25*(1-'Inputs-Proposals'!$C$20^(V$3-'Inputs-System'!$C$7))*(VLOOKUP(V$3,'Embedded Emissions'!$A$47:$B$78,2,FALSE)+VLOOKUP(V$3,'Embedded Emissions'!$A$129:$B$158,2,FALSE)), $C6 = "3", ('Inputs-System'!$C$30*'Coincidence Factors'!$B$6*(1+'Inputs-System'!$C$18)*(1+'Inputs-System'!$C$41))*'Inputs-Proposals'!$C$29*'Inputs-Proposals'!$C$31*(1-'Inputs-Proposals'!$C$20^(V$3-'Inputs-System'!$C$7))*(VLOOKUP(V$3,'Embedded Emissions'!$A$47:$B$78,2,FALSE)+VLOOKUP(V$3,'Embedded Emissions'!$A$129:$B$158,2,FALSE)), $C6 = "0", 0), 0)</f>
        <v>0</v>
      </c>
      <c r="X6" s="44">
        <f>IFERROR(_xlfn.IFS($C6="1",( 'Inputs-System'!$C$30*'Coincidence Factors'!$B$6*(1+'Inputs-System'!$C$18)*(1+'Inputs-System'!$C$41))*('Inputs-Proposals'!$C$17*'Inputs-Proposals'!$C$19*(1-'Inputs-Proposals'!$C$20)^(V$3-'Inputs-System'!$C$7))*(VLOOKUP(V$3,DRIPE!$A$54:$I$82,5,FALSE)+VLOOKUP(V$3,DRIPE!$A$54:$I$82,9,FALSE))+ ('Inputs-System'!$C$26*'Coincidence Factors'!$B$6*(1+'Inputs-System'!$C$18)*(1+'Inputs-System'!$C$42))*'Inputs-Proposals'!$C$16*VLOOKUP(V$3,DRIPE!$A$54:$I$82,8,FALSE), $C6 = "2",( 'Inputs-System'!$C$30*'Coincidence Factors'!$B$6*(1+'Inputs-System'!$C$18)*(1+'Inputs-System'!$C$41))*('Inputs-Proposals'!$C$23*'Inputs-Proposals'!$C$25*(1-'Inputs-Proposals'!$C$26)^(V$3-'Inputs-System'!$C$7))*(VLOOKUP(V$3,DRIPE!$A$54:$I$82,5,FALSE)+VLOOKUP(V$3,DRIPE!$A$54:$I$82,9,FALSE))+ ('Inputs-System'!$C$26*'Coincidence Factors'!$B$6*(1+'Inputs-System'!$C$18)*(1+'Inputs-System'!$C$42))*'Inputs-Proposals'!$C$22*VLOOKUP(V$3,DRIPE!$A$54:$I$82,8,FALSE), $C6= "3", ( 'Inputs-System'!$C$30*'Coincidence Factors'!$B$6*(1+'Inputs-System'!$C$18)*(1+'Inputs-System'!$C$41))*('Inputs-Proposals'!$C$29*'Inputs-Proposals'!$C$31*(1-'Inputs-Proposals'!$C$32)^(V$3-'Inputs-System'!$C$7))*(VLOOKUP(V$3,DRIPE!$A$54:$I$82,5,FALSE)+VLOOKUP(V$3,DRIPE!$A$54:$I$82,9,FALSE))+ ('Inputs-System'!$C$26*'Coincidence Factors'!$B$6*(1+'Inputs-System'!$C$18)*(1+'Inputs-System'!$C$42))*'Inputs-Proposals'!$C$28*VLOOKUP(V$3,DRIPE!$A$54:$I$82,8,FALSE), $C6 = "0", 0), 0)</f>
        <v>0</v>
      </c>
      <c r="Y6" s="45">
        <f>IFERROR(_xlfn.IFS($C6="1",('Inputs-System'!$C$26*'Coincidence Factors'!$B$6*(1+'Inputs-System'!$C$18))*'Inputs-Proposals'!$C$16*(VLOOKUP(V$3,Capacity!$A$53:$E$85,4,FALSE)*(1+'Inputs-System'!$C$42)+VLOOKUP(V$3,Capacity!$A$53:$E$85,5,FALSE)*'Inputs-System'!$C$29*(1+'Inputs-System'!$C$43)), $C6 = "2", ('Inputs-System'!$C$26*'Coincidence Factors'!$B$6*(1+'Inputs-System'!$C$18))*'Inputs-Proposals'!$C$22*(VLOOKUP(V$3,Capacity!$A$53:$E$85,4,FALSE)*(1+'Inputs-System'!$C$42)+VLOOKUP(V$3,Capacity!$A$53:$E$85,5,FALSE)*'Inputs-System'!$C$29*(1+'Inputs-System'!$C$43)), $C6 = "3",('Inputs-System'!$C$26*'Coincidence Factors'!$B$6*(1+'Inputs-System'!$C$18))*'Inputs-Proposals'!$C$28*(VLOOKUP(V$3,Capacity!$A$53:$E$85,4,FALSE)*(1+'Inputs-System'!$C$42)+VLOOKUP(V$3,Capacity!$A$53:$E$85,5,FALSE)*'Inputs-System'!$C$29*(1+'Inputs-System'!$C$43)), $C6 = "0", 0), 0)</f>
        <v>0</v>
      </c>
      <c r="Z6" s="44">
        <v>0</v>
      </c>
      <c r="AA6" s="342">
        <f>IFERROR(_xlfn.IFS($C6="1", 'Inputs-System'!$C$30*'Coincidence Factors'!$B$6*'Inputs-Proposals'!$C$17*'Inputs-Proposals'!$C$19*(VLOOKUP(V$3,'Non-Embedded Emissions'!$A$56:$D$90,2,FALSE)+VLOOKUP(V$3,'Non-Embedded Emissions'!$A$143:$D$174,2,FALSE)+VLOOKUP(V$3,'Non-Embedded Emissions'!$A$230:$D$259,2,FALSE)), $C6 = "2", 'Inputs-System'!$C$30*'Coincidence Factors'!$B$6*'Inputs-Proposals'!$C$23*'Inputs-Proposals'!$C$25*(VLOOKUP(V$3,'Non-Embedded Emissions'!$A$56:$D$90,2,FALSE)+VLOOKUP(V$3,'Non-Embedded Emissions'!$A$143:$D$174,2,FALSE)+VLOOKUP(V$3,'Non-Embedded Emissions'!$A$230:$D$259,2,FALSE)), $C6 = "3", 'Inputs-System'!$C$30*'Coincidence Factors'!$B$6*'Inputs-Proposals'!$C$29*'Inputs-Proposals'!$C$31*(VLOOKUP(V$3,'Non-Embedded Emissions'!$A$56:$D$90,2,FALSE)+VLOOKUP(V$3,'Non-Embedded Emissions'!$A$143:$D$174,2,FALSE)+VLOOKUP(V$3,'Non-Embedded Emissions'!$A$230:$D$259,2,FALSE)), $C6 = "0", 0), 0)</f>
        <v>0</v>
      </c>
      <c r="AB6" s="45">
        <f>IFERROR(_xlfn.IFS($C6="1",('Inputs-System'!$C$30*'Coincidence Factors'!$B$6*(1+'Inputs-System'!$C$18)*(1+'Inputs-System'!$C$41)*('Inputs-Proposals'!$C$17*'Inputs-Proposals'!$C$19*(1-'Inputs-Proposals'!$C$20^(AB$3-'Inputs-System'!$C$7)))*(VLOOKUP(AB$3,Energy!$A$51:$K$83,5,FALSE))), $C6 = "2",('Inputs-System'!$C$30*'Coincidence Factors'!$B$6)*(1+'Inputs-System'!$C$18)*(1+'Inputs-System'!$C$41)*('Inputs-Proposals'!$C$23*'Inputs-Proposals'!$C$25*(1-'Inputs-Proposals'!$C$26^(AB$3-'Inputs-System'!$C$7)))*(VLOOKUP(AB$3,Energy!$A$51:$K$83,5,FALSE)), $C6= "3", ('Inputs-System'!$C$30*'Coincidence Factors'!$B$6*(1+'Inputs-System'!$C$18)*(1+'Inputs-System'!$C$41)*('Inputs-Proposals'!$C$29*'Inputs-Proposals'!$C$31*(1-'Inputs-Proposals'!$C$32^(AB$3-'Inputs-System'!$C$7)))*(VLOOKUP(AB$3,Energy!$A$51:$K$83,5,FALSE))), $C6= "0", 0), 0)</f>
        <v>0</v>
      </c>
      <c r="AC6" s="44">
        <f>IFERROR(_xlfn.IFS($C6="1",('Inputs-System'!$C$30*'Coincidence Factors'!$B$6*(1+'Inputs-System'!$C$18)*(1+'Inputs-System'!$C$41))*'Inputs-Proposals'!$C$17*'Inputs-Proposals'!$C$19*(1-'Inputs-Proposals'!$C$20^(AB$3-'Inputs-System'!$C$7))*(VLOOKUP(AB$3,'Embedded Emissions'!$A$47:$B$78,2,FALSE)+VLOOKUP(AB$3,'Embedded Emissions'!$A$129:$B$158,2,FALSE)), $C6 = "2",('Inputs-System'!$C$30*'Coincidence Factors'!$B$6*(1+'Inputs-System'!$C$18)*(1+'Inputs-System'!$C$41))*'Inputs-Proposals'!$C$23*'Inputs-Proposals'!$C$25*(1-'Inputs-Proposals'!$C$20^(AB$3-'Inputs-System'!$C$7))*(VLOOKUP(AB$3,'Embedded Emissions'!$A$47:$B$78,2,FALSE)+VLOOKUP(AB$3,'Embedded Emissions'!$A$129:$B$158,2,FALSE)), $C6 = "3", ('Inputs-System'!$C$30*'Coincidence Factors'!$B$6*(1+'Inputs-System'!$C$18)*(1+'Inputs-System'!$C$41))*'Inputs-Proposals'!$C$29*'Inputs-Proposals'!$C$31*(1-'Inputs-Proposals'!$C$20^(AB$3-'Inputs-System'!$C$7))*(VLOOKUP(AB$3,'Embedded Emissions'!$A$47:$B$78,2,FALSE)+VLOOKUP(AB$3,'Embedded Emissions'!$A$129:$B$158,2,FALSE)), $C6 = "0", 0), 0)</f>
        <v>0</v>
      </c>
      <c r="AD6" s="44">
        <f>IFERROR(_xlfn.IFS($C6="1",( 'Inputs-System'!$C$30*'Coincidence Factors'!$B$6*(1+'Inputs-System'!$C$18)*(1+'Inputs-System'!$C$41))*('Inputs-Proposals'!$C$17*'Inputs-Proposals'!$C$19*(1-'Inputs-Proposals'!$C$20)^(AB$3-'Inputs-System'!$C$7))*(VLOOKUP(AB$3,DRIPE!$A$54:$I$82,5,FALSE)+VLOOKUP(AB$3,DRIPE!$A$54:$I$82,9,FALSE))+ ('Inputs-System'!$C$26*'Coincidence Factors'!$B$6*(1+'Inputs-System'!$C$18)*(1+'Inputs-System'!$C$42))*'Inputs-Proposals'!$C$16*VLOOKUP(AB$3,DRIPE!$A$54:$I$82,8,FALSE), $C6 = "2",( 'Inputs-System'!$C$30*'Coincidence Factors'!$B$6*(1+'Inputs-System'!$C$18)*(1+'Inputs-System'!$C$41))*('Inputs-Proposals'!$C$23*'Inputs-Proposals'!$C$25*(1-'Inputs-Proposals'!$C$26)^(AB$3-'Inputs-System'!$C$7))*(VLOOKUP(AB$3,DRIPE!$A$54:$I$82,5,FALSE)+VLOOKUP(AB$3,DRIPE!$A$54:$I$82,9,FALSE))+ ('Inputs-System'!$C$26*'Coincidence Factors'!$B$6*(1+'Inputs-System'!$C$18)*(1+'Inputs-System'!$C$42))*'Inputs-Proposals'!$C$22*VLOOKUP(AB$3,DRIPE!$A$54:$I$82,8,FALSE), $C6= "3", ( 'Inputs-System'!$C$30*'Coincidence Factors'!$B$6*(1+'Inputs-System'!$C$18)*(1+'Inputs-System'!$C$41))*('Inputs-Proposals'!$C$29*'Inputs-Proposals'!$C$31*(1-'Inputs-Proposals'!$C$32)^(AB$3-'Inputs-System'!$C$7))*(VLOOKUP(AB$3,DRIPE!$A$54:$I$82,5,FALSE)+VLOOKUP(AB$3,DRIPE!$A$54:$I$82,9,FALSE))+ ('Inputs-System'!$C$26*'Coincidence Factors'!$B$6*(1+'Inputs-System'!$C$18)*(1+'Inputs-System'!$C$42))*'Inputs-Proposals'!$C$28*VLOOKUP(AB$3,DRIPE!$A$54:$I$82,8,FALSE), $C6 = "0", 0), 0)</f>
        <v>0</v>
      </c>
      <c r="AE6" s="45">
        <f>IFERROR(_xlfn.IFS($C6="1",('Inputs-System'!$C$26*'Coincidence Factors'!$B$6*(1+'Inputs-System'!$C$18))*'Inputs-Proposals'!$C$16*(VLOOKUP(AB$3,Capacity!$A$53:$E$85,4,FALSE)*(1+'Inputs-System'!$C$42)+VLOOKUP(AB$3,Capacity!$A$53:$E$85,5,FALSE)*'Inputs-System'!$C$29*(1+'Inputs-System'!$C$43)), $C6 = "2", ('Inputs-System'!$C$26*'Coincidence Factors'!$B$6*(1+'Inputs-System'!$C$18))*'Inputs-Proposals'!$C$22*(VLOOKUP(AB$3,Capacity!$A$53:$E$85,4,FALSE)*(1+'Inputs-System'!$C$42)+VLOOKUP(AB$3,Capacity!$A$53:$E$85,5,FALSE)*'Inputs-System'!$C$29*(1+'Inputs-System'!$C$43)), $C6 = "3",('Inputs-System'!$C$26*'Coincidence Factors'!$B$6*(1+'Inputs-System'!$C$18))*'Inputs-Proposals'!$C$28*(VLOOKUP(AB$3,Capacity!$A$53:$E$85,4,FALSE)*(1+'Inputs-System'!$C$42)+VLOOKUP(AB$3,Capacity!$A$53:$E$85,5,FALSE)*'Inputs-System'!$C$29*(1+'Inputs-System'!$C$43)), $C6 = "0", 0), 0)</f>
        <v>0</v>
      </c>
      <c r="AF6" s="44">
        <v>0</v>
      </c>
      <c r="AG6" s="342">
        <f>IFERROR(_xlfn.IFS($C6="1", 'Inputs-System'!$C$30*'Coincidence Factors'!$B$6*'Inputs-Proposals'!$C$17*'Inputs-Proposals'!$C$19*(VLOOKUP(AB$3,'Non-Embedded Emissions'!$A$56:$D$90,2,FALSE)+VLOOKUP(AB$3,'Non-Embedded Emissions'!$A$143:$D$174,2,FALSE)+VLOOKUP(AB$3,'Non-Embedded Emissions'!$A$230:$D$259,2,FALSE)), $C6 = "2", 'Inputs-System'!$C$30*'Coincidence Factors'!$B$6*'Inputs-Proposals'!$C$23*'Inputs-Proposals'!$C$25*(VLOOKUP(AB$3,'Non-Embedded Emissions'!$A$56:$D$90,2,FALSE)+VLOOKUP(AB$3,'Non-Embedded Emissions'!$A$143:$D$174,2,FALSE)+VLOOKUP(AB$3,'Non-Embedded Emissions'!$A$230:$D$259,2,FALSE)), $C6 = "3", 'Inputs-System'!$C$30*'Coincidence Factors'!$B$6*'Inputs-Proposals'!$C$29*'Inputs-Proposals'!$C$31*(VLOOKUP(AB$3,'Non-Embedded Emissions'!$A$56:$D$90,2,FALSE)+VLOOKUP(AB$3,'Non-Embedded Emissions'!$A$143:$D$174,2,FALSE)+VLOOKUP(AB$3,'Non-Embedded Emissions'!$A$230:$D$259,2,FALSE)), $C6 = "0", 0), 0)</f>
        <v>0</v>
      </c>
      <c r="AH6" s="45">
        <f>IFERROR(_xlfn.IFS($C6="1",('Inputs-System'!$C$30*'Coincidence Factors'!$B$6*(1+'Inputs-System'!$C$18)*(1+'Inputs-System'!$C$41)*('Inputs-Proposals'!$C$17*'Inputs-Proposals'!$C$19*(1-'Inputs-Proposals'!$C$20^(AH$3-'Inputs-System'!$C$7)))*(VLOOKUP(AH$3,Energy!$A$51:$K$83,5,FALSE))), $C6 = "2",('Inputs-System'!$C$30*'Coincidence Factors'!$B$6)*(1+'Inputs-System'!$C$18)*(1+'Inputs-System'!$C$41)*('Inputs-Proposals'!$C$23*'Inputs-Proposals'!$C$25*(1-'Inputs-Proposals'!$C$26^(AH$3-'Inputs-System'!$C$7)))*(VLOOKUP(AH$3,Energy!$A$51:$K$83,5,FALSE)), $C6= "3", ('Inputs-System'!$C$30*'Coincidence Factors'!$B$6*(1+'Inputs-System'!$C$18)*(1+'Inputs-System'!$C$41)*('Inputs-Proposals'!$C$29*'Inputs-Proposals'!$C$31*(1-'Inputs-Proposals'!$C$32^(AH$3-'Inputs-System'!$C$7)))*(VLOOKUP(AH$3,Energy!$A$51:$K$83,5,FALSE))), $C6= "0", 0), 0)</f>
        <v>0</v>
      </c>
      <c r="AI6" s="44">
        <f>IFERROR(_xlfn.IFS($C6="1",('Inputs-System'!$C$30*'Coincidence Factors'!$B$6*(1+'Inputs-System'!$C$18)*(1+'Inputs-System'!$C$41))*'Inputs-Proposals'!$C$17*'Inputs-Proposals'!$C$19*(1-'Inputs-Proposals'!$C$20^(AH$3-'Inputs-System'!$C$7))*(VLOOKUP(AH$3,'Embedded Emissions'!$A$47:$B$78,2,FALSE)+VLOOKUP(AH$3,'Embedded Emissions'!$A$129:$B$158,2,FALSE)), $C6 = "2",('Inputs-System'!$C$30*'Coincidence Factors'!$B$6*(1+'Inputs-System'!$C$18)*(1+'Inputs-System'!$C$41))*'Inputs-Proposals'!$C$23*'Inputs-Proposals'!$C$25*(1-'Inputs-Proposals'!$C$20^(AH$3-'Inputs-System'!$C$7))*(VLOOKUP(AH$3,'Embedded Emissions'!$A$47:$B$78,2,FALSE)+VLOOKUP(AH$3,'Embedded Emissions'!$A$129:$B$158,2,FALSE)), $C6 = "3", ('Inputs-System'!$C$30*'Coincidence Factors'!$B$6*(1+'Inputs-System'!$C$18)*(1+'Inputs-System'!$C$41))*'Inputs-Proposals'!$C$29*'Inputs-Proposals'!$C$31*(1-'Inputs-Proposals'!$C$20^(AH$3-'Inputs-System'!$C$7))*(VLOOKUP(AH$3,'Embedded Emissions'!$A$47:$B$78,2,FALSE)+VLOOKUP(AH$3,'Embedded Emissions'!$A$129:$B$158,2,FALSE)), $C6 = "0", 0), 0)</f>
        <v>0</v>
      </c>
      <c r="AJ6" s="44">
        <f>IFERROR(_xlfn.IFS($C6="1",( 'Inputs-System'!$C$30*'Coincidence Factors'!$B$6*(1+'Inputs-System'!$C$18)*(1+'Inputs-System'!$C$41))*('Inputs-Proposals'!$C$17*'Inputs-Proposals'!$C$19*(1-'Inputs-Proposals'!$C$20)^(AH$3-'Inputs-System'!$C$7))*(VLOOKUP(AH$3,DRIPE!$A$54:$I$82,5,FALSE)+VLOOKUP(AH$3,DRIPE!$A$54:$I$82,9,FALSE))+ ('Inputs-System'!$C$26*'Coincidence Factors'!$B$6*(1+'Inputs-System'!$C$18)*(1+'Inputs-System'!$C$42))*'Inputs-Proposals'!$C$16*VLOOKUP(AH$3,DRIPE!$A$54:$I$82,8,FALSE), $C6 = "2",( 'Inputs-System'!$C$30*'Coincidence Factors'!$B$6*(1+'Inputs-System'!$C$18)*(1+'Inputs-System'!$C$41))*('Inputs-Proposals'!$C$23*'Inputs-Proposals'!$C$25*(1-'Inputs-Proposals'!$C$26)^(AH$3-'Inputs-System'!$C$7))*(VLOOKUP(AH$3,DRIPE!$A$54:$I$82,5,FALSE)+VLOOKUP(AH$3,DRIPE!$A$54:$I$82,9,FALSE))+ ('Inputs-System'!$C$26*'Coincidence Factors'!$B$6*(1+'Inputs-System'!$C$18)*(1+'Inputs-System'!$C$42))*'Inputs-Proposals'!$C$22*VLOOKUP(AH$3,DRIPE!$A$54:$I$82,8,FALSE), $C6= "3", ( 'Inputs-System'!$C$30*'Coincidence Factors'!$B$6*(1+'Inputs-System'!$C$18)*(1+'Inputs-System'!$C$41))*('Inputs-Proposals'!$C$29*'Inputs-Proposals'!$C$31*(1-'Inputs-Proposals'!$C$32)^(AH$3-'Inputs-System'!$C$7))*(VLOOKUP(AH$3,DRIPE!$A$54:$I$82,5,FALSE)+VLOOKUP(AH$3,DRIPE!$A$54:$I$82,9,FALSE))+ ('Inputs-System'!$C$26*'Coincidence Factors'!$B$6*(1+'Inputs-System'!$C$18)*(1+'Inputs-System'!$C$42))*'Inputs-Proposals'!$C$28*VLOOKUP(AH$3,DRIPE!$A$54:$I$82,8,FALSE), $C6 = "0", 0), 0)</f>
        <v>0</v>
      </c>
      <c r="AK6" s="45">
        <f>IFERROR(_xlfn.IFS($C6="1",('Inputs-System'!$C$26*'Coincidence Factors'!$B$6*(1+'Inputs-System'!$C$18))*'Inputs-Proposals'!$C$16*(VLOOKUP(AH$3,Capacity!$A$53:$E$85,4,FALSE)*(1+'Inputs-System'!$C$42)+VLOOKUP(AH$3,Capacity!$A$53:$E$85,5,FALSE)*'Inputs-System'!$C$29*(1+'Inputs-System'!$C$43)), $C6 = "2", ('Inputs-System'!$C$26*'Coincidence Factors'!$B$6*(1+'Inputs-System'!$C$18))*'Inputs-Proposals'!$C$22*(VLOOKUP(AH$3,Capacity!$A$53:$E$85,4,FALSE)*(1+'Inputs-System'!$C$42)+VLOOKUP(AH$3,Capacity!$A$53:$E$85,5,FALSE)*'Inputs-System'!$C$29*(1+'Inputs-System'!$C$43)), $C6 = "3",('Inputs-System'!$C$26*'Coincidence Factors'!$B$6*(1+'Inputs-System'!$C$18))*'Inputs-Proposals'!$C$28*(VLOOKUP(AH$3,Capacity!$A$53:$E$85,4,FALSE)*(1+'Inputs-System'!$C$42)+VLOOKUP(AH$3,Capacity!$A$53:$E$85,5,FALSE)*'Inputs-System'!$C$29*(1+'Inputs-System'!$C$43)), $C6 = "0", 0), 0)</f>
        <v>0</v>
      </c>
      <c r="AL6" s="44">
        <v>0</v>
      </c>
      <c r="AM6" s="342">
        <f>IFERROR(_xlfn.IFS($C6="1", 'Inputs-System'!$C$30*'Coincidence Factors'!$B$6*'Inputs-Proposals'!$C$17*'Inputs-Proposals'!$C$19*(VLOOKUP(AH$3,'Non-Embedded Emissions'!$A$56:$D$90,2,FALSE)+VLOOKUP(AH$3,'Non-Embedded Emissions'!$A$143:$D$174,2,FALSE)+VLOOKUP(AH$3,'Non-Embedded Emissions'!$A$230:$D$259,2,FALSE)), $C6 = "2", 'Inputs-System'!$C$30*'Coincidence Factors'!$B$6*'Inputs-Proposals'!$C$23*'Inputs-Proposals'!$C$25*(VLOOKUP(AH$3,'Non-Embedded Emissions'!$A$56:$D$90,2,FALSE)+VLOOKUP(AH$3,'Non-Embedded Emissions'!$A$143:$D$174,2,FALSE)+VLOOKUP(AH$3,'Non-Embedded Emissions'!$A$230:$D$259,2,FALSE)), $C6 = "3", 'Inputs-System'!$C$30*'Coincidence Factors'!$B$6*'Inputs-Proposals'!$C$29*'Inputs-Proposals'!$C$31*(VLOOKUP(AH$3,'Non-Embedded Emissions'!$A$56:$D$90,2,FALSE)+VLOOKUP(AH$3,'Non-Embedded Emissions'!$A$143:$D$174,2,FALSE)+VLOOKUP(AH$3,'Non-Embedded Emissions'!$A$230:$D$259,2,FALSE)), $C6 = "0", 0), 0)</f>
        <v>0</v>
      </c>
      <c r="AN6" s="45">
        <f>IFERROR(_xlfn.IFS($C6="1",('Inputs-System'!$C$30*'Coincidence Factors'!$B$6*(1+'Inputs-System'!$C$18)*(1+'Inputs-System'!$C$41)*('Inputs-Proposals'!$C$17*'Inputs-Proposals'!$C$19*(1-'Inputs-Proposals'!$C$20^(AN$3-'Inputs-System'!$C$7)))*(VLOOKUP(AN$3,Energy!$A$51:$K$83,5,FALSE))), $C6 = "2",('Inputs-System'!$C$30*'Coincidence Factors'!$B$6)*(1+'Inputs-System'!$C$18)*(1+'Inputs-System'!$C$41)*('Inputs-Proposals'!$C$23*'Inputs-Proposals'!$C$25*(1-'Inputs-Proposals'!$C$26^(AN$3-'Inputs-System'!$C$7)))*(VLOOKUP(AN$3,Energy!$A$51:$K$83,5,FALSE)), $C6= "3", ('Inputs-System'!$C$30*'Coincidence Factors'!$B$6*(1+'Inputs-System'!$C$18)*(1+'Inputs-System'!$C$41)*('Inputs-Proposals'!$C$29*'Inputs-Proposals'!$C$31*(1-'Inputs-Proposals'!$C$32^(AN$3-'Inputs-System'!$C$7)))*(VLOOKUP(AN$3,Energy!$A$51:$K$83,5,FALSE))), $C6= "0", 0), 0)</f>
        <v>0</v>
      </c>
      <c r="AO6" s="44">
        <f>IFERROR(_xlfn.IFS($C6="1",('Inputs-System'!$C$30*'Coincidence Factors'!$B$6*(1+'Inputs-System'!$C$18)*(1+'Inputs-System'!$C$41))*'Inputs-Proposals'!$C$17*'Inputs-Proposals'!$C$19*(1-'Inputs-Proposals'!$C$20^(AN$3-'Inputs-System'!$C$7))*(VLOOKUP(AN$3,'Embedded Emissions'!$A$47:$B$78,2,FALSE)+VLOOKUP(AN$3,'Embedded Emissions'!$A$129:$B$158,2,FALSE)), $C6 = "2",('Inputs-System'!$C$30*'Coincidence Factors'!$B$6*(1+'Inputs-System'!$C$18)*(1+'Inputs-System'!$C$41))*'Inputs-Proposals'!$C$23*'Inputs-Proposals'!$C$25*(1-'Inputs-Proposals'!$C$20^(AN$3-'Inputs-System'!$C$7))*(VLOOKUP(AN$3,'Embedded Emissions'!$A$47:$B$78,2,FALSE)+VLOOKUP(AN$3,'Embedded Emissions'!$A$129:$B$158,2,FALSE)), $C6 = "3", ('Inputs-System'!$C$30*'Coincidence Factors'!$B$6*(1+'Inputs-System'!$C$18)*(1+'Inputs-System'!$C$41))*'Inputs-Proposals'!$C$29*'Inputs-Proposals'!$C$31*(1-'Inputs-Proposals'!$C$20^(AN$3-'Inputs-System'!$C$7))*(VLOOKUP(AN$3,'Embedded Emissions'!$A$47:$B$78,2,FALSE)+VLOOKUP(AN$3,'Embedded Emissions'!$A$129:$B$158,2,FALSE)), $C6 = "0", 0), 0)</f>
        <v>0</v>
      </c>
      <c r="AP6" s="44">
        <f>IFERROR(_xlfn.IFS($C6="1",( 'Inputs-System'!$C$30*'Coincidence Factors'!$B$6*(1+'Inputs-System'!$C$18)*(1+'Inputs-System'!$C$41))*('Inputs-Proposals'!$C$17*'Inputs-Proposals'!$C$19*(1-'Inputs-Proposals'!$C$20)^(AN$3-'Inputs-System'!$C$7))*(VLOOKUP(AN$3,DRIPE!$A$54:$I$82,5,FALSE)+VLOOKUP(AN$3,DRIPE!$A$54:$I$82,9,FALSE))+ ('Inputs-System'!$C$26*'Coincidence Factors'!$B$6*(1+'Inputs-System'!$C$18)*(1+'Inputs-System'!$C$42))*'Inputs-Proposals'!$C$16*VLOOKUP(AN$3,DRIPE!$A$54:$I$82,8,FALSE), $C6 = "2",( 'Inputs-System'!$C$30*'Coincidence Factors'!$B$6*(1+'Inputs-System'!$C$18)*(1+'Inputs-System'!$C$41))*('Inputs-Proposals'!$C$23*'Inputs-Proposals'!$C$25*(1-'Inputs-Proposals'!$C$26)^(AN$3-'Inputs-System'!$C$7))*(VLOOKUP(AN$3,DRIPE!$A$54:$I$82,5,FALSE)+VLOOKUP(AN$3,DRIPE!$A$54:$I$82,9,FALSE))+ ('Inputs-System'!$C$26*'Coincidence Factors'!$B$6*(1+'Inputs-System'!$C$18)*(1+'Inputs-System'!$C$42))*'Inputs-Proposals'!$C$22*VLOOKUP(AN$3,DRIPE!$A$54:$I$82,8,FALSE), $C6= "3", ( 'Inputs-System'!$C$30*'Coincidence Factors'!$B$6*(1+'Inputs-System'!$C$18)*(1+'Inputs-System'!$C$41))*('Inputs-Proposals'!$C$29*'Inputs-Proposals'!$C$31*(1-'Inputs-Proposals'!$C$32)^(AN$3-'Inputs-System'!$C$7))*(VLOOKUP(AN$3,DRIPE!$A$54:$I$82,5,FALSE)+VLOOKUP(AN$3,DRIPE!$A$54:$I$82,9,FALSE))+ ('Inputs-System'!$C$26*'Coincidence Factors'!$B$6*(1+'Inputs-System'!$C$18)*(1+'Inputs-System'!$C$42))*'Inputs-Proposals'!$C$28*VLOOKUP(AN$3,DRIPE!$A$54:$I$82,8,FALSE), $C6 = "0", 0), 0)</f>
        <v>0</v>
      </c>
      <c r="AQ6" s="45">
        <f>IFERROR(_xlfn.IFS($C6="1",('Inputs-System'!$C$26*'Coincidence Factors'!$B$6*(1+'Inputs-System'!$C$18))*'Inputs-Proposals'!$C$16*(VLOOKUP(AN$3,Capacity!$A$53:$E$85,4,FALSE)*(1+'Inputs-System'!$C$42)+VLOOKUP(AN$3,Capacity!$A$53:$E$85,5,FALSE)*'Inputs-System'!$C$29*(1+'Inputs-System'!$C$43)), $C6 = "2", ('Inputs-System'!$C$26*'Coincidence Factors'!$B$6*(1+'Inputs-System'!$C$18))*'Inputs-Proposals'!$C$22*(VLOOKUP(AN$3,Capacity!$A$53:$E$85,4,FALSE)*(1+'Inputs-System'!$C$42)+VLOOKUP(AN$3,Capacity!$A$53:$E$85,5,FALSE)*'Inputs-System'!$C$29*(1+'Inputs-System'!$C$43)), $C6 = "3",('Inputs-System'!$C$26*'Coincidence Factors'!$B$6*(1+'Inputs-System'!$C$18))*'Inputs-Proposals'!$C$28*(VLOOKUP(AN$3,Capacity!$A$53:$E$85,4,FALSE)*(1+'Inputs-System'!$C$42)+VLOOKUP(AN$3,Capacity!$A$53:$E$85,5,FALSE)*'Inputs-System'!$C$29*(1+'Inputs-System'!$C$43)), $C6 = "0", 0), 0)</f>
        <v>0</v>
      </c>
      <c r="AR6" s="44">
        <v>0</v>
      </c>
      <c r="AS6" s="342">
        <f>IFERROR(_xlfn.IFS($C6="1", 'Inputs-System'!$C$30*'Coincidence Factors'!$B$6*'Inputs-Proposals'!$C$17*'Inputs-Proposals'!$C$19*(VLOOKUP(AN$3,'Non-Embedded Emissions'!$A$56:$D$90,2,FALSE)+VLOOKUP(AN$3,'Non-Embedded Emissions'!$A$143:$D$174,2,FALSE)+VLOOKUP(AN$3,'Non-Embedded Emissions'!$A$230:$D$259,2,FALSE)), $C6 = "2", 'Inputs-System'!$C$30*'Coincidence Factors'!$B$6*'Inputs-Proposals'!$C$23*'Inputs-Proposals'!$C$25*(VLOOKUP(AN$3,'Non-Embedded Emissions'!$A$56:$D$90,2,FALSE)+VLOOKUP(AN$3,'Non-Embedded Emissions'!$A$143:$D$174,2,FALSE)+VLOOKUP(AN$3,'Non-Embedded Emissions'!$A$230:$D$259,2,FALSE)), $C6 = "3", 'Inputs-System'!$C$30*'Coincidence Factors'!$B$6*'Inputs-Proposals'!$C$29*'Inputs-Proposals'!$C$31*(VLOOKUP(AN$3,'Non-Embedded Emissions'!$A$56:$D$90,2,FALSE)+VLOOKUP(AN$3,'Non-Embedded Emissions'!$A$143:$D$174,2,FALSE)+VLOOKUP(AN$3,'Non-Embedded Emissions'!$A$230:$D$259,2,FALSE)), $C6 = "0", 0), 0)</f>
        <v>0</v>
      </c>
      <c r="AT6" s="45">
        <f>IFERROR(_xlfn.IFS($C6="1",('Inputs-System'!$C$30*'Coincidence Factors'!$B$6*(1+'Inputs-System'!$C$18)*(1+'Inputs-System'!$C$41)*('Inputs-Proposals'!$C$17*'Inputs-Proposals'!$C$19*(1-'Inputs-Proposals'!$C$20^(AT$3-'Inputs-System'!$C$7)))*(VLOOKUP(AT$3,Energy!$A$51:$K$83,5,FALSE))), $C6 = "2",('Inputs-System'!$C$30*'Coincidence Factors'!$B$6)*(1+'Inputs-System'!$C$18)*(1+'Inputs-System'!$C$41)*('Inputs-Proposals'!$C$23*'Inputs-Proposals'!$C$25*(1-'Inputs-Proposals'!$C$26^(AT$3-'Inputs-System'!$C$7)))*(VLOOKUP(AT$3,Energy!$A$51:$K$83,5,FALSE)), $C6= "3", ('Inputs-System'!$C$30*'Coincidence Factors'!$B$6*(1+'Inputs-System'!$C$18)*(1+'Inputs-System'!$C$41)*('Inputs-Proposals'!$C$29*'Inputs-Proposals'!$C$31*(1-'Inputs-Proposals'!$C$32^(AT$3-'Inputs-System'!$C$7)))*(VLOOKUP(AT$3,Energy!$A$51:$K$83,5,FALSE))), $C6= "0", 0), 0)</f>
        <v>0</v>
      </c>
      <c r="AU6" s="44">
        <f>IFERROR(_xlfn.IFS($C6="1",('Inputs-System'!$C$30*'Coincidence Factors'!$B$6*(1+'Inputs-System'!$C$18)*(1+'Inputs-System'!$C$41))*'Inputs-Proposals'!$C$17*'Inputs-Proposals'!$C$19*(1-'Inputs-Proposals'!$C$20^(AT$3-'Inputs-System'!$C$7))*(VLOOKUP(AT$3,'Embedded Emissions'!$A$47:$B$78,2,FALSE)+VLOOKUP(AT$3,'Embedded Emissions'!$A$129:$B$158,2,FALSE)), $C6 = "2",('Inputs-System'!$C$30*'Coincidence Factors'!$B$6*(1+'Inputs-System'!$C$18)*(1+'Inputs-System'!$C$41))*'Inputs-Proposals'!$C$23*'Inputs-Proposals'!$C$25*(1-'Inputs-Proposals'!$C$20^(AT$3-'Inputs-System'!$C$7))*(VLOOKUP(AT$3,'Embedded Emissions'!$A$47:$B$78,2,FALSE)+VLOOKUP(AT$3,'Embedded Emissions'!$A$129:$B$158,2,FALSE)), $C6 = "3", ('Inputs-System'!$C$30*'Coincidence Factors'!$B$6*(1+'Inputs-System'!$C$18)*(1+'Inputs-System'!$C$41))*'Inputs-Proposals'!$C$29*'Inputs-Proposals'!$C$31*(1-'Inputs-Proposals'!$C$20^(AT$3-'Inputs-System'!$C$7))*(VLOOKUP(AT$3,'Embedded Emissions'!$A$47:$B$78,2,FALSE)+VLOOKUP(AT$3,'Embedded Emissions'!$A$129:$B$158,2,FALSE)), $C6 = "0", 0), 0)</f>
        <v>0</v>
      </c>
      <c r="AV6" s="44">
        <f>IFERROR(_xlfn.IFS($C6="1",( 'Inputs-System'!$C$30*'Coincidence Factors'!$B$6*(1+'Inputs-System'!$C$18)*(1+'Inputs-System'!$C$41))*('Inputs-Proposals'!$C$17*'Inputs-Proposals'!$C$19*(1-'Inputs-Proposals'!$C$20)^(AT$3-'Inputs-System'!$C$7))*(VLOOKUP(AT$3,DRIPE!$A$54:$I$82,5,FALSE)+VLOOKUP(AT$3,DRIPE!$A$54:$I$82,9,FALSE))+ ('Inputs-System'!$C$26*'Coincidence Factors'!$B$6*(1+'Inputs-System'!$C$18)*(1+'Inputs-System'!$C$42))*'Inputs-Proposals'!$C$16*VLOOKUP(AT$3,DRIPE!$A$54:$I$82,8,FALSE), $C6 = "2",( 'Inputs-System'!$C$30*'Coincidence Factors'!$B$6*(1+'Inputs-System'!$C$18)*(1+'Inputs-System'!$C$41))*('Inputs-Proposals'!$C$23*'Inputs-Proposals'!$C$25*(1-'Inputs-Proposals'!$C$26)^(AT$3-'Inputs-System'!$C$7))*(VLOOKUP(AT$3,DRIPE!$A$54:$I$82,5,FALSE)+VLOOKUP(AT$3,DRIPE!$A$54:$I$82,9,FALSE))+ ('Inputs-System'!$C$26*'Coincidence Factors'!$B$6*(1+'Inputs-System'!$C$18)*(1+'Inputs-System'!$C$42))*'Inputs-Proposals'!$C$22*VLOOKUP(AT$3,DRIPE!$A$54:$I$82,8,FALSE), $C6= "3", ( 'Inputs-System'!$C$30*'Coincidence Factors'!$B$6*(1+'Inputs-System'!$C$18)*(1+'Inputs-System'!$C$41))*('Inputs-Proposals'!$C$29*'Inputs-Proposals'!$C$31*(1-'Inputs-Proposals'!$C$32)^(AT$3-'Inputs-System'!$C$7))*(VLOOKUP(AT$3,DRIPE!$A$54:$I$82,5,FALSE)+VLOOKUP(AT$3,DRIPE!$A$54:$I$82,9,FALSE))+ ('Inputs-System'!$C$26*'Coincidence Factors'!$B$6*(1+'Inputs-System'!$C$18)*(1+'Inputs-System'!$C$42))*'Inputs-Proposals'!$C$28*VLOOKUP(AT$3,DRIPE!$A$54:$I$82,8,FALSE), $C6 = "0", 0), 0)</f>
        <v>0</v>
      </c>
      <c r="AW6" s="45">
        <f>IFERROR(_xlfn.IFS($C6="1",('Inputs-System'!$C$26*'Coincidence Factors'!$B$6*(1+'Inputs-System'!$C$18))*'Inputs-Proposals'!$C$16*(VLOOKUP(AT$3,Capacity!$A$53:$E$85,4,FALSE)*(1+'Inputs-System'!$C$42)+VLOOKUP(AT$3,Capacity!$A$53:$E$85,5,FALSE)*'Inputs-System'!$C$29*(1+'Inputs-System'!$C$43)), $C6 = "2", ('Inputs-System'!$C$26*'Coincidence Factors'!$B$6*(1+'Inputs-System'!$C$18))*'Inputs-Proposals'!$C$22*(VLOOKUP(AT$3,Capacity!$A$53:$E$85,4,FALSE)*(1+'Inputs-System'!$C$42)+VLOOKUP(AT$3,Capacity!$A$53:$E$85,5,FALSE)*'Inputs-System'!$C$29*(1+'Inputs-System'!$C$43)), $C6 = "3",('Inputs-System'!$C$26*'Coincidence Factors'!$B$6*(1+'Inputs-System'!$C$18))*'Inputs-Proposals'!$C$28*(VLOOKUP(AT$3,Capacity!$A$53:$E$85,4,FALSE)*(1+'Inputs-System'!$C$42)+VLOOKUP(AT$3,Capacity!$A$53:$E$85,5,FALSE)*'Inputs-System'!$C$29*(1+'Inputs-System'!$C$43)), $C6 = "0", 0), 0)</f>
        <v>0</v>
      </c>
      <c r="AX6" s="44">
        <v>0</v>
      </c>
      <c r="AY6" s="342">
        <f>IFERROR(_xlfn.IFS($C6="1", 'Inputs-System'!$C$30*'Coincidence Factors'!$B$6*'Inputs-Proposals'!$C$17*'Inputs-Proposals'!$C$19*(VLOOKUP(AT$3,'Non-Embedded Emissions'!$A$56:$D$90,2,FALSE)+VLOOKUP(AT$3,'Non-Embedded Emissions'!$A$143:$D$174,2,FALSE)+VLOOKUP(AT$3,'Non-Embedded Emissions'!$A$230:$D$259,2,FALSE)), $C6 = "2", 'Inputs-System'!$C$30*'Coincidence Factors'!$B$6*'Inputs-Proposals'!$C$23*'Inputs-Proposals'!$C$25*(VLOOKUP(AT$3,'Non-Embedded Emissions'!$A$56:$D$90,2,FALSE)+VLOOKUP(AT$3,'Non-Embedded Emissions'!$A$143:$D$174,2,FALSE)+VLOOKUP(AT$3,'Non-Embedded Emissions'!$A$230:$D$259,2,FALSE)), $C6 = "3", 'Inputs-System'!$C$30*'Coincidence Factors'!$B$6*'Inputs-Proposals'!$C$29*'Inputs-Proposals'!$C$31*(VLOOKUP(AT$3,'Non-Embedded Emissions'!$A$56:$D$90,2,FALSE)+VLOOKUP(AT$3,'Non-Embedded Emissions'!$A$143:$D$174,2,FALSE)+VLOOKUP(AT$3,'Non-Embedded Emissions'!$A$230:$D$259,2,FALSE)), $C6 = "0", 0), 0)</f>
        <v>0</v>
      </c>
      <c r="AZ6" s="45">
        <f>IFERROR(_xlfn.IFS($C6="1",('Inputs-System'!$C$30*'Coincidence Factors'!$B$6*(1+'Inputs-System'!$C$18)*(1+'Inputs-System'!$C$41)*('Inputs-Proposals'!$C$17*'Inputs-Proposals'!$C$19*(1-'Inputs-Proposals'!$C$20^(AZ$3-'Inputs-System'!$C$7)))*(VLOOKUP(AZ$3,Energy!$A$51:$K$83,5,FALSE))), $C6 = "2",('Inputs-System'!$C$30*'Coincidence Factors'!$B$6)*(1+'Inputs-System'!$C$18)*(1+'Inputs-System'!$C$41)*('Inputs-Proposals'!$C$23*'Inputs-Proposals'!$C$25*(1-'Inputs-Proposals'!$C$26^(AZ$3-'Inputs-System'!$C$7)))*(VLOOKUP(AZ$3,Energy!$A$51:$K$83,5,FALSE)), $C6= "3", ('Inputs-System'!$C$30*'Coincidence Factors'!$B$6*(1+'Inputs-System'!$C$18)*(1+'Inputs-System'!$C$41)*('Inputs-Proposals'!$C$29*'Inputs-Proposals'!$C$31*(1-'Inputs-Proposals'!$C$32^(AZ$3-'Inputs-System'!$C$7)))*(VLOOKUP(AZ$3,Energy!$A$51:$K$83,5,FALSE))), $C6= "0", 0), 0)</f>
        <v>0</v>
      </c>
      <c r="BA6" s="44">
        <f>IFERROR(_xlfn.IFS($C6="1",('Inputs-System'!$C$30*'Coincidence Factors'!$B$6*(1+'Inputs-System'!$C$18)*(1+'Inputs-System'!$C$41))*'Inputs-Proposals'!$C$17*'Inputs-Proposals'!$C$19*(1-'Inputs-Proposals'!$C$20^(AZ$3-'Inputs-System'!$C$7))*(VLOOKUP(AZ$3,'Embedded Emissions'!$A$47:$B$78,2,FALSE)+VLOOKUP(AZ$3,'Embedded Emissions'!$A$129:$B$158,2,FALSE)), $C6 = "2",('Inputs-System'!$C$30*'Coincidence Factors'!$B$6*(1+'Inputs-System'!$C$18)*(1+'Inputs-System'!$C$41))*'Inputs-Proposals'!$C$23*'Inputs-Proposals'!$C$25*(1-'Inputs-Proposals'!$C$20^(AZ$3-'Inputs-System'!$C$7))*(VLOOKUP(AZ$3,'Embedded Emissions'!$A$47:$B$78,2,FALSE)+VLOOKUP(AZ$3,'Embedded Emissions'!$A$129:$B$158,2,FALSE)), $C6 = "3", ('Inputs-System'!$C$30*'Coincidence Factors'!$B$6*(1+'Inputs-System'!$C$18)*(1+'Inputs-System'!$C$41))*'Inputs-Proposals'!$C$29*'Inputs-Proposals'!$C$31*(1-'Inputs-Proposals'!$C$20^(AZ$3-'Inputs-System'!$C$7))*(VLOOKUP(AZ$3,'Embedded Emissions'!$A$47:$B$78,2,FALSE)+VLOOKUP(AZ$3,'Embedded Emissions'!$A$129:$B$158,2,FALSE)), $C6 = "0", 0), 0)</f>
        <v>0</v>
      </c>
      <c r="BB6" s="44">
        <f>IFERROR(_xlfn.IFS($C6="1",( 'Inputs-System'!$C$30*'Coincidence Factors'!$B$6*(1+'Inputs-System'!$C$18)*(1+'Inputs-System'!$C$41))*('Inputs-Proposals'!$C$17*'Inputs-Proposals'!$C$19*(1-'Inputs-Proposals'!$C$20)^(AZ$3-'Inputs-System'!$C$7))*(VLOOKUP(AZ$3,DRIPE!$A$54:$I$82,5,FALSE)+VLOOKUP(AZ$3,DRIPE!$A$54:$I$82,9,FALSE))+ ('Inputs-System'!$C$26*'Coincidence Factors'!$B$6*(1+'Inputs-System'!$C$18)*(1+'Inputs-System'!$C$42))*'Inputs-Proposals'!$C$16*VLOOKUP(AZ$3,DRIPE!$A$54:$I$82,8,FALSE), $C6 = "2",( 'Inputs-System'!$C$30*'Coincidence Factors'!$B$6*(1+'Inputs-System'!$C$18)*(1+'Inputs-System'!$C$41))*('Inputs-Proposals'!$C$23*'Inputs-Proposals'!$C$25*(1-'Inputs-Proposals'!$C$26)^(AZ$3-'Inputs-System'!$C$7))*(VLOOKUP(AZ$3,DRIPE!$A$54:$I$82,5,FALSE)+VLOOKUP(AZ$3,DRIPE!$A$54:$I$82,9,FALSE))+ ('Inputs-System'!$C$26*'Coincidence Factors'!$B$6*(1+'Inputs-System'!$C$18)*(1+'Inputs-System'!$C$42))*'Inputs-Proposals'!$C$22*VLOOKUP(AZ$3,DRIPE!$A$54:$I$82,8,FALSE), $C6= "3", ( 'Inputs-System'!$C$30*'Coincidence Factors'!$B$6*(1+'Inputs-System'!$C$18)*(1+'Inputs-System'!$C$41))*('Inputs-Proposals'!$C$29*'Inputs-Proposals'!$C$31*(1-'Inputs-Proposals'!$C$32)^(AZ$3-'Inputs-System'!$C$7))*(VLOOKUP(AZ$3,DRIPE!$A$54:$I$82,5,FALSE)+VLOOKUP(AZ$3,DRIPE!$A$54:$I$82,9,FALSE))+ ('Inputs-System'!$C$26*'Coincidence Factors'!$B$6*(1+'Inputs-System'!$C$18)*(1+'Inputs-System'!$C$42))*'Inputs-Proposals'!$C$28*VLOOKUP(AZ$3,DRIPE!$A$54:$I$82,8,FALSE), $C6 = "0", 0), 0)</f>
        <v>0</v>
      </c>
      <c r="BC6" s="45">
        <f>IFERROR(_xlfn.IFS($C6="1",('Inputs-System'!$C$26*'Coincidence Factors'!$B$6*(1+'Inputs-System'!$C$18))*'Inputs-Proposals'!$C$16*(VLOOKUP(AZ$3,Capacity!$A$53:$E$85,4,FALSE)*(1+'Inputs-System'!$C$42)+VLOOKUP(AZ$3,Capacity!$A$53:$E$85,5,FALSE)*'Inputs-System'!$C$29*(1+'Inputs-System'!$C$43)), $C6 = "2", ('Inputs-System'!$C$26*'Coincidence Factors'!$B$6*(1+'Inputs-System'!$C$18))*'Inputs-Proposals'!$C$22*(VLOOKUP(AZ$3,Capacity!$A$53:$E$85,4,FALSE)*(1+'Inputs-System'!$C$42)+VLOOKUP(AZ$3,Capacity!$A$53:$E$85,5,FALSE)*'Inputs-System'!$C$29*(1+'Inputs-System'!$C$43)), $C6 = "3",('Inputs-System'!$C$26*'Coincidence Factors'!$B$6*(1+'Inputs-System'!$C$18))*'Inputs-Proposals'!$C$28*(VLOOKUP(AZ$3,Capacity!$A$53:$E$85,4,FALSE)*(1+'Inputs-System'!$C$42)+VLOOKUP(AZ$3,Capacity!$A$53:$E$85,5,FALSE)*'Inputs-System'!$C$29*(1+'Inputs-System'!$C$43)), $C6 = "0", 0), 0)</f>
        <v>0</v>
      </c>
      <c r="BD6" s="44">
        <v>0</v>
      </c>
      <c r="BE6" s="342">
        <f>IFERROR(_xlfn.IFS($C6="1", 'Inputs-System'!$C$30*'Coincidence Factors'!$B$6*'Inputs-Proposals'!$C$17*'Inputs-Proposals'!$C$19*(VLOOKUP(AZ$3,'Non-Embedded Emissions'!$A$56:$D$90,2,FALSE)+VLOOKUP(AZ$3,'Non-Embedded Emissions'!$A$143:$D$174,2,FALSE)+VLOOKUP(AZ$3,'Non-Embedded Emissions'!$A$230:$D$259,2,FALSE)), $C6 = "2", 'Inputs-System'!$C$30*'Coincidence Factors'!$B$6*'Inputs-Proposals'!$C$23*'Inputs-Proposals'!$C$25*(VLOOKUP(AZ$3,'Non-Embedded Emissions'!$A$56:$D$90,2,FALSE)+VLOOKUP(AZ$3,'Non-Embedded Emissions'!$A$143:$D$174,2,FALSE)+VLOOKUP(AZ$3,'Non-Embedded Emissions'!$A$230:$D$259,2,FALSE)), $C6 = "3", 'Inputs-System'!$C$30*'Coincidence Factors'!$B$6*'Inputs-Proposals'!$C$29*'Inputs-Proposals'!$C$31*(VLOOKUP(AZ$3,'Non-Embedded Emissions'!$A$56:$D$90,2,FALSE)+VLOOKUP(AZ$3,'Non-Embedded Emissions'!$A$143:$D$174,2,FALSE)+VLOOKUP(AZ$3,'Non-Embedded Emissions'!$A$230:$D$259,2,FALSE)), $C6 = "0", 0), 0)</f>
        <v>0</v>
      </c>
      <c r="BF6" s="45">
        <f>IFERROR(_xlfn.IFS($C6="1",('Inputs-System'!$C$30*'Coincidence Factors'!$B$6*(1+'Inputs-System'!$C$18)*(1+'Inputs-System'!$C$41)*('Inputs-Proposals'!$C$17*'Inputs-Proposals'!$C$19*(1-'Inputs-Proposals'!$C$20^(BF$3-'Inputs-System'!$C$7)))*(VLOOKUP(BF$3,Energy!$A$51:$K$83,5,FALSE))), $C6 = "2",('Inputs-System'!$C$30*'Coincidence Factors'!$B$6)*(1+'Inputs-System'!$C$18)*(1+'Inputs-System'!$C$41)*('Inputs-Proposals'!$C$23*'Inputs-Proposals'!$C$25*(1-'Inputs-Proposals'!$C$26^(BF$3-'Inputs-System'!$C$7)))*(VLOOKUP(BF$3,Energy!$A$51:$K$83,5,FALSE)), $C6= "3", ('Inputs-System'!$C$30*'Coincidence Factors'!$B$6*(1+'Inputs-System'!$C$18)*(1+'Inputs-System'!$C$41)*('Inputs-Proposals'!$C$29*'Inputs-Proposals'!$C$31*(1-'Inputs-Proposals'!$C$32^(BF$3-'Inputs-System'!$C$7)))*(VLOOKUP(BF$3,Energy!$A$51:$K$83,5,FALSE))), $C6= "0", 0), 0)</f>
        <v>0</v>
      </c>
      <c r="BG6" s="44">
        <f>IFERROR(_xlfn.IFS($C6="1",('Inputs-System'!$C$30*'Coincidence Factors'!$B$6*(1+'Inputs-System'!$C$18)*(1+'Inputs-System'!$C$41))*'Inputs-Proposals'!$C$17*'Inputs-Proposals'!$C$19*(1-'Inputs-Proposals'!$C$20^(BF$3-'Inputs-System'!$C$7))*(VLOOKUP(BF$3,'Embedded Emissions'!$A$47:$B$78,2,FALSE)+VLOOKUP(BF$3,'Embedded Emissions'!$A$129:$B$158,2,FALSE)), $C6 = "2",('Inputs-System'!$C$30*'Coincidence Factors'!$B$6*(1+'Inputs-System'!$C$18)*(1+'Inputs-System'!$C$41))*'Inputs-Proposals'!$C$23*'Inputs-Proposals'!$C$25*(1-'Inputs-Proposals'!$C$20^(BF$3-'Inputs-System'!$C$7))*(VLOOKUP(BF$3,'Embedded Emissions'!$A$47:$B$78,2,FALSE)+VLOOKUP(BF$3,'Embedded Emissions'!$A$129:$B$158,2,FALSE)), $C6 = "3", ('Inputs-System'!$C$30*'Coincidence Factors'!$B$6*(1+'Inputs-System'!$C$18)*(1+'Inputs-System'!$C$41))*'Inputs-Proposals'!$C$29*'Inputs-Proposals'!$C$31*(1-'Inputs-Proposals'!$C$20^(BF$3-'Inputs-System'!$C$7))*(VLOOKUP(BF$3,'Embedded Emissions'!$A$47:$B$78,2,FALSE)+VLOOKUP(BF$3,'Embedded Emissions'!$A$129:$B$158,2,FALSE)), $C6 = "0", 0), 0)</f>
        <v>0</v>
      </c>
      <c r="BH6" s="44">
        <f>IFERROR(_xlfn.IFS($C6="1",( 'Inputs-System'!$C$30*'Coincidence Factors'!$B$6*(1+'Inputs-System'!$C$18)*(1+'Inputs-System'!$C$41))*('Inputs-Proposals'!$C$17*'Inputs-Proposals'!$C$19*(1-'Inputs-Proposals'!$C$20)^(BF$3-'Inputs-System'!$C$7))*(VLOOKUP(BF$3,DRIPE!$A$54:$I$82,5,FALSE)+VLOOKUP(BF$3,DRIPE!$A$54:$I$82,9,FALSE))+ ('Inputs-System'!$C$26*'Coincidence Factors'!$B$6*(1+'Inputs-System'!$C$18)*(1+'Inputs-System'!$C$42))*'Inputs-Proposals'!$C$16*VLOOKUP(BF$3,DRIPE!$A$54:$I$82,8,FALSE), $C6 = "2",( 'Inputs-System'!$C$30*'Coincidence Factors'!$B$6*(1+'Inputs-System'!$C$18)*(1+'Inputs-System'!$C$41))*('Inputs-Proposals'!$C$23*'Inputs-Proposals'!$C$25*(1-'Inputs-Proposals'!$C$26)^(BF$3-'Inputs-System'!$C$7))*(VLOOKUP(BF$3,DRIPE!$A$54:$I$82,5,FALSE)+VLOOKUP(BF$3,DRIPE!$A$54:$I$82,9,FALSE))+ ('Inputs-System'!$C$26*'Coincidence Factors'!$B$6*(1+'Inputs-System'!$C$18)*(1+'Inputs-System'!$C$42))*'Inputs-Proposals'!$C$22*VLOOKUP(BF$3,DRIPE!$A$54:$I$82,8,FALSE), $C6= "3", ( 'Inputs-System'!$C$30*'Coincidence Factors'!$B$6*(1+'Inputs-System'!$C$18)*(1+'Inputs-System'!$C$41))*('Inputs-Proposals'!$C$29*'Inputs-Proposals'!$C$31*(1-'Inputs-Proposals'!$C$32)^(BF$3-'Inputs-System'!$C$7))*(VLOOKUP(BF$3,DRIPE!$A$54:$I$82,5,FALSE)+VLOOKUP(BF$3,DRIPE!$A$54:$I$82,9,FALSE))+ ('Inputs-System'!$C$26*'Coincidence Factors'!$B$6*(1+'Inputs-System'!$C$18)*(1+'Inputs-System'!$C$42))*'Inputs-Proposals'!$C$28*VLOOKUP(BF$3,DRIPE!$A$54:$I$82,8,FALSE), $C6 = "0", 0), 0)</f>
        <v>0</v>
      </c>
      <c r="BI6" s="45">
        <f>IFERROR(_xlfn.IFS($C6="1",('Inputs-System'!$C$26*'Coincidence Factors'!$B$6*(1+'Inputs-System'!$C$18))*'Inputs-Proposals'!$C$16*(VLOOKUP(BF$3,Capacity!$A$53:$E$85,4,FALSE)*(1+'Inputs-System'!$C$42)+VLOOKUP(BF$3,Capacity!$A$53:$E$85,5,FALSE)*'Inputs-System'!$C$29*(1+'Inputs-System'!$C$43)), $C6 = "2", ('Inputs-System'!$C$26*'Coincidence Factors'!$B$6*(1+'Inputs-System'!$C$18))*'Inputs-Proposals'!$C$22*(VLOOKUP(BF$3,Capacity!$A$53:$E$85,4,FALSE)*(1+'Inputs-System'!$C$42)+VLOOKUP(BF$3,Capacity!$A$53:$E$85,5,FALSE)*'Inputs-System'!$C$29*(1+'Inputs-System'!$C$43)), $C6 = "3",('Inputs-System'!$C$26*'Coincidence Factors'!$B$6*(1+'Inputs-System'!$C$18))*'Inputs-Proposals'!$C$28*(VLOOKUP(BF$3,Capacity!$A$53:$E$85,4,FALSE)*(1+'Inputs-System'!$C$42)+VLOOKUP(BF$3,Capacity!$A$53:$E$85,5,FALSE)*'Inputs-System'!$C$29*(1+'Inputs-System'!$C$43)), $C6 = "0", 0), 0)</f>
        <v>0</v>
      </c>
      <c r="BJ6" s="44">
        <v>0</v>
      </c>
      <c r="BK6" s="342">
        <f>IFERROR(_xlfn.IFS($C6="1", 'Inputs-System'!$C$30*'Coincidence Factors'!$B$6*'Inputs-Proposals'!$C$17*'Inputs-Proposals'!$C$19*(VLOOKUP(BF$3,'Non-Embedded Emissions'!$A$56:$D$90,2,FALSE)+VLOOKUP(BF$3,'Non-Embedded Emissions'!$A$143:$D$174,2,FALSE)+VLOOKUP(BF$3,'Non-Embedded Emissions'!$A$230:$D$259,2,FALSE)), $C6 = "2", 'Inputs-System'!$C$30*'Coincidence Factors'!$B$6*'Inputs-Proposals'!$C$23*'Inputs-Proposals'!$C$25*(VLOOKUP(BF$3,'Non-Embedded Emissions'!$A$56:$D$90,2,FALSE)+VLOOKUP(BF$3,'Non-Embedded Emissions'!$A$143:$D$174,2,FALSE)+VLOOKUP(BF$3,'Non-Embedded Emissions'!$A$230:$D$259,2,FALSE)), $C6 = "3", 'Inputs-System'!$C$30*'Coincidence Factors'!$B$6*'Inputs-Proposals'!$C$29*'Inputs-Proposals'!$C$31*(VLOOKUP(BF$3,'Non-Embedded Emissions'!$A$56:$D$90,2,FALSE)+VLOOKUP(BF$3,'Non-Embedded Emissions'!$A$143:$D$174,2,FALSE)+VLOOKUP(BF$3,'Non-Embedded Emissions'!$A$230:$D$259,2,FALSE)), $C6 = "0", 0), 0)</f>
        <v>0</v>
      </c>
      <c r="BL6" s="45">
        <f>IFERROR(_xlfn.IFS($C6="1",('Inputs-System'!$C$30*'Coincidence Factors'!$B$6*(1+'Inputs-System'!$C$18)*(1+'Inputs-System'!$C$41)*('Inputs-Proposals'!$C$17*'Inputs-Proposals'!$C$19*(1-'Inputs-Proposals'!$C$20^(BL$3-'Inputs-System'!$C$7)))*(VLOOKUP(BL$3,Energy!$A$51:$K$83,5,FALSE))), $C6 = "2",('Inputs-System'!$C$30*'Coincidence Factors'!$B$6)*(1+'Inputs-System'!$C$18)*(1+'Inputs-System'!$C$41)*('Inputs-Proposals'!$C$23*'Inputs-Proposals'!$C$25*(1-'Inputs-Proposals'!$C$26^(BL$3-'Inputs-System'!$C$7)))*(VLOOKUP(BL$3,Energy!$A$51:$K$83,5,FALSE)), $C6= "3", ('Inputs-System'!$C$30*'Coincidence Factors'!$B$6*(1+'Inputs-System'!$C$18)*(1+'Inputs-System'!$C$41)*('Inputs-Proposals'!$C$29*'Inputs-Proposals'!$C$31*(1-'Inputs-Proposals'!$C$32^(BL$3-'Inputs-System'!$C$7)))*(VLOOKUP(BL$3,Energy!$A$51:$K$83,5,FALSE))), $C6= "0", 0), 0)</f>
        <v>0</v>
      </c>
      <c r="BM6" s="44">
        <f>IFERROR(_xlfn.IFS($C6="1",('Inputs-System'!$C$30*'Coincidence Factors'!$B$6*(1+'Inputs-System'!$C$18)*(1+'Inputs-System'!$C$41))*'Inputs-Proposals'!$C$17*'Inputs-Proposals'!$C$19*(1-'Inputs-Proposals'!$C$20^(BL$3-'Inputs-System'!$C$7))*(VLOOKUP(BL$3,'Embedded Emissions'!$A$47:$B$78,2,FALSE)+VLOOKUP(BL$3,'Embedded Emissions'!$A$129:$B$158,2,FALSE)), $C6 = "2",('Inputs-System'!$C$30*'Coincidence Factors'!$B$6*(1+'Inputs-System'!$C$18)*(1+'Inputs-System'!$C$41))*'Inputs-Proposals'!$C$23*'Inputs-Proposals'!$C$25*(1-'Inputs-Proposals'!$C$20^(BL$3-'Inputs-System'!$C$7))*(VLOOKUP(BL$3,'Embedded Emissions'!$A$47:$B$78,2,FALSE)+VLOOKUP(BL$3,'Embedded Emissions'!$A$129:$B$158,2,FALSE)), $C6 = "3", ('Inputs-System'!$C$30*'Coincidence Factors'!$B$6*(1+'Inputs-System'!$C$18)*(1+'Inputs-System'!$C$41))*'Inputs-Proposals'!$C$29*'Inputs-Proposals'!$C$31*(1-'Inputs-Proposals'!$C$20^(BL$3-'Inputs-System'!$C$7))*(VLOOKUP(BL$3,'Embedded Emissions'!$A$47:$B$78,2,FALSE)+VLOOKUP(BL$3,'Embedded Emissions'!$A$129:$B$158,2,FALSE)), $C6 = "0", 0), 0)</f>
        <v>0</v>
      </c>
      <c r="BN6" s="44">
        <f>IFERROR(_xlfn.IFS($C6="1",( 'Inputs-System'!$C$30*'Coincidence Factors'!$B$6*(1+'Inputs-System'!$C$18)*(1+'Inputs-System'!$C$41))*('Inputs-Proposals'!$C$17*'Inputs-Proposals'!$C$19*(1-'Inputs-Proposals'!$C$20)^(BL$3-'Inputs-System'!$C$7))*(VLOOKUP(BL$3,DRIPE!$A$54:$I$82,5,FALSE)+VLOOKUP(BL$3,DRIPE!$A$54:$I$82,9,FALSE))+ ('Inputs-System'!$C$26*'Coincidence Factors'!$B$6*(1+'Inputs-System'!$C$18)*(1+'Inputs-System'!$C$42))*'Inputs-Proposals'!$C$16*VLOOKUP(BL$3,DRIPE!$A$54:$I$82,8,FALSE), $C6 = "2",( 'Inputs-System'!$C$30*'Coincidence Factors'!$B$6*(1+'Inputs-System'!$C$18)*(1+'Inputs-System'!$C$41))*('Inputs-Proposals'!$C$23*'Inputs-Proposals'!$C$25*(1-'Inputs-Proposals'!$C$26)^(BL$3-'Inputs-System'!$C$7))*(VLOOKUP(BL$3,DRIPE!$A$54:$I$82,5,FALSE)+VLOOKUP(BL$3,DRIPE!$A$54:$I$82,9,FALSE))+ ('Inputs-System'!$C$26*'Coincidence Factors'!$B$6*(1+'Inputs-System'!$C$18)*(1+'Inputs-System'!$C$42))*'Inputs-Proposals'!$C$22*VLOOKUP(BL$3,DRIPE!$A$54:$I$82,8,FALSE), $C6= "3", ( 'Inputs-System'!$C$30*'Coincidence Factors'!$B$6*(1+'Inputs-System'!$C$18)*(1+'Inputs-System'!$C$41))*('Inputs-Proposals'!$C$29*'Inputs-Proposals'!$C$31*(1-'Inputs-Proposals'!$C$32)^(BL$3-'Inputs-System'!$C$7))*(VLOOKUP(BL$3,DRIPE!$A$54:$I$82,5,FALSE)+VLOOKUP(BL$3,DRIPE!$A$54:$I$82,9,FALSE))+ ('Inputs-System'!$C$26*'Coincidence Factors'!$B$6*(1+'Inputs-System'!$C$18)*(1+'Inputs-System'!$C$42))*'Inputs-Proposals'!$C$28*VLOOKUP(BL$3,DRIPE!$A$54:$I$82,8,FALSE), $C6 = "0", 0), 0)</f>
        <v>0</v>
      </c>
      <c r="BO6" s="45">
        <f>IFERROR(_xlfn.IFS($C6="1",('Inputs-System'!$C$26*'Coincidence Factors'!$B$6*(1+'Inputs-System'!$C$18))*'Inputs-Proposals'!$C$16*(VLOOKUP(BL$3,Capacity!$A$53:$E$85,4,FALSE)*(1+'Inputs-System'!$C$42)+VLOOKUP(BL$3,Capacity!$A$53:$E$85,5,FALSE)*'Inputs-System'!$C$29*(1+'Inputs-System'!$C$43)), $C6 = "2", ('Inputs-System'!$C$26*'Coincidence Factors'!$B$6*(1+'Inputs-System'!$C$18))*'Inputs-Proposals'!$C$22*(VLOOKUP(BL$3,Capacity!$A$53:$E$85,4,FALSE)*(1+'Inputs-System'!$C$42)+VLOOKUP(BL$3,Capacity!$A$53:$E$85,5,FALSE)*'Inputs-System'!$C$29*(1+'Inputs-System'!$C$43)), $C6 = "3",('Inputs-System'!$C$26*'Coincidence Factors'!$B$6*(1+'Inputs-System'!$C$18))*'Inputs-Proposals'!$C$28*(VLOOKUP(BL$3,Capacity!$A$53:$E$85,4,FALSE)*(1+'Inputs-System'!$C$42)+VLOOKUP(BL$3,Capacity!$A$53:$E$85,5,FALSE)*'Inputs-System'!$C$29*(1+'Inputs-System'!$C$43)), $C6 = "0", 0), 0)</f>
        <v>0</v>
      </c>
      <c r="BP6" s="44">
        <v>0</v>
      </c>
      <c r="BQ6" s="342">
        <f>IFERROR(_xlfn.IFS($C6="1", 'Inputs-System'!$C$30*'Coincidence Factors'!$B$6*'Inputs-Proposals'!$C$17*'Inputs-Proposals'!$C$19*(VLOOKUP(BL$3,'Non-Embedded Emissions'!$A$56:$D$90,2,FALSE)+VLOOKUP(BL$3,'Non-Embedded Emissions'!$A$143:$D$174,2,FALSE)+VLOOKUP(BL$3,'Non-Embedded Emissions'!$A$230:$D$259,2,FALSE)), $C6 = "2", 'Inputs-System'!$C$30*'Coincidence Factors'!$B$6*'Inputs-Proposals'!$C$23*'Inputs-Proposals'!$C$25*(VLOOKUP(BL$3,'Non-Embedded Emissions'!$A$56:$D$90,2,FALSE)+VLOOKUP(BL$3,'Non-Embedded Emissions'!$A$143:$D$174,2,FALSE)+VLOOKUP(BL$3,'Non-Embedded Emissions'!$A$230:$D$259,2,FALSE)), $C6 = "3", 'Inputs-System'!$C$30*'Coincidence Factors'!$B$6*'Inputs-Proposals'!$C$29*'Inputs-Proposals'!$C$31*(VLOOKUP(BL$3,'Non-Embedded Emissions'!$A$56:$D$90,2,FALSE)+VLOOKUP(BL$3,'Non-Embedded Emissions'!$A$143:$D$174,2,FALSE)+VLOOKUP(BL$3,'Non-Embedded Emissions'!$A$230:$D$259,2,FALSE)), $C6 = "0", 0), 0)</f>
        <v>0</v>
      </c>
      <c r="BR6" s="45">
        <f>IFERROR(_xlfn.IFS($C6="1",('Inputs-System'!$C$30*'Coincidence Factors'!$B$6*(1+'Inputs-System'!$C$18)*(1+'Inputs-System'!$C$41)*('Inputs-Proposals'!$C$17*'Inputs-Proposals'!$C$19*(1-'Inputs-Proposals'!$C$20^(BR$3-'Inputs-System'!$C$7)))*(VLOOKUP(BR$3,Energy!$A$51:$K$83,5,FALSE))), $C6 = "2",('Inputs-System'!$C$30*'Coincidence Factors'!$B$6)*(1+'Inputs-System'!$C$18)*(1+'Inputs-System'!$C$41)*('Inputs-Proposals'!$C$23*'Inputs-Proposals'!$C$25*(1-'Inputs-Proposals'!$C$26^(BR$3-'Inputs-System'!$C$7)))*(VLOOKUP(BR$3,Energy!$A$51:$K$83,5,FALSE)), $C6= "3", ('Inputs-System'!$C$30*'Coincidence Factors'!$B$6*(1+'Inputs-System'!$C$18)*(1+'Inputs-System'!$C$41)*('Inputs-Proposals'!$C$29*'Inputs-Proposals'!$C$31*(1-'Inputs-Proposals'!$C$32^(BR$3-'Inputs-System'!$C$7)))*(VLOOKUP(BR$3,Energy!$A$51:$K$83,5,FALSE))), $C6= "0", 0), 0)</f>
        <v>0</v>
      </c>
      <c r="BS6" s="44">
        <f>IFERROR(_xlfn.IFS($C6="1",('Inputs-System'!$C$30*'Coincidence Factors'!$B$6*(1+'Inputs-System'!$C$18)*(1+'Inputs-System'!$C$41))*'Inputs-Proposals'!$C$17*'Inputs-Proposals'!$C$19*(1-'Inputs-Proposals'!$C$20^(BR$3-'Inputs-System'!$C$7))*(VLOOKUP(BR$3,'Embedded Emissions'!$A$47:$B$78,2,FALSE)+VLOOKUP(BR$3,'Embedded Emissions'!$A$129:$B$158,2,FALSE)), $C6 = "2",('Inputs-System'!$C$30*'Coincidence Factors'!$B$6*(1+'Inputs-System'!$C$18)*(1+'Inputs-System'!$C$41))*'Inputs-Proposals'!$C$23*'Inputs-Proposals'!$C$25*(1-'Inputs-Proposals'!$C$20^(BR$3-'Inputs-System'!$C$7))*(VLOOKUP(BR$3,'Embedded Emissions'!$A$47:$B$78,2,FALSE)+VLOOKUP(BR$3,'Embedded Emissions'!$A$129:$B$158,2,FALSE)), $C6 = "3", ('Inputs-System'!$C$30*'Coincidence Factors'!$B$6*(1+'Inputs-System'!$C$18)*(1+'Inputs-System'!$C$41))*'Inputs-Proposals'!$C$29*'Inputs-Proposals'!$C$31*(1-'Inputs-Proposals'!$C$20^(BR$3-'Inputs-System'!$C$7))*(VLOOKUP(BR$3,'Embedded Emissions'!$A$47:$B$78,2,FALSE)+VLOOKUP(BR$3,'Embedded Emissions'!$A$129:$B$158,2,FALSE)), $C6 = "0", 0), 0)</f>
        <v>0</v>
      </c>
      <c r="BT6" s="44">
        <f>IFERROR(_xlfn.IFS($C6="1",( 'Inputs-System'!$C$30*'Coincidence Factors'!$B$6*(1+'Inputs-System'!$C$18)*(1+'Inputs-System'!$C$41))*('Inputs-Proposals'!$C$17*'Inputs-Proposals'!$C$19*(1-'Inputs-Proposals'!$C$20)^(BR$3-'Inputs-System'!$C$7))*(VLOOKUP(BR$3,DRIPE!$A$54:$I$82,5,FALSE)+VLOOKUP(BR$3,DRIPE!$A$54:$I$82,9,FALSE))+ ('Inputs-System'!$C$26*'Coincidence Factors'!$B$6*(1+'Inputs-System'!$C$18)*(1+'Inputs-System'!$C$42))*'Inputs-Proposals'!$C$16*VLOOKUP(BR$3,DRIPE!$A$54:$I$82,8,FALSE), $C6 = "2",( 'Inputs-System'!$C$30*'Coincidence Factors'!$B$6*(1+'Inputs-System'!$C$18)*(1+'Inputs-System'!$C$41))*('Inputs-Proposals'!$C$23*'Inputs-Proposals'!$C$25*(1-'Inputs-Proposals'!$C$26)^(BR$3-'Inputs-System'!$C$7))*(VLOOKUP(BR$3,DRIPE!$A$54:$I$82,5,FALSE)+VLOOKUP(BR$3,DRIPE!$A$54:$I$82,9,FALSE))+ ('Inputs-System'!$C$26*'Coincidence Factors'!$B$6*(1+'Inputs-System'!$C$18)*(1+'Inputs-System'!$C$42))*'Inputs-Proposals'!$C$22*VLOOKUP(BR$3,DRIPE!$A$54:$I$82,8,FALSE), $C6= "3", ( 'Inputs-System'!$C$30*'Coincidence Factors'!$B$6*(1+'Inputs-System'!$C$18)*(1+'Inputs-System'!$C$41))*('Inputs-Proposals'!$C$29*'Inputs-Proposals'!$C$31*(1-'Inputs-Proposals'!$C$32)^(BR$3-'Inputs-System'!$C$7))*(VLOOKUP(BR$3,DRIPE!$A$54:$I$82,5,FALSE)+VLOOKUP(BR$3,DRIPE!$A$54:$I$82,9,FALSE))+ ('Inputs-System'!$C$26*'Coincidence Factors'!$B$6*(1+'Inputs-System'!$C$18)*(1+'Inputs-System'!$C$42))*'Inputs-Proposals'!$C$28*VLOOKUP(BR$3,DRIPE!$A$54:$I$82,8,FALSE), $C6 = "0", 0), 0)</f>
        <v>0</v>
      </c>
      <c r="BU6" s="45">
        <f>IFERROR(_xlfn.IFS($C6="1",('Inputs-System'!$C$26*'Coincidence Factors'!$B$6*(1+'Inputs-System'!$C$18))*'Inputs-Proposals'!$C$16*(VLOOKUP(BR$3,Capacity!$A$53:$E$85,4,FALSE)*(1+'Inputs-System'!$C$42)+VLOOKUP(BR$3,Capacity!$A$53:$E$85,5,FALSE)*'Inputs-System'!$C$29*(1+'Inputs-System'!$C$43)), $C6 = "2", ('Inputs-System'!$C$26*'Coincidence Factors'!$B$6*(1+'Inputs-System'!$C$18))*'Inputs-Proposals'!$C$22*(VLOOKUP(BR$3,Capacity!$A$53:$E$85,4,FALSE)*(1+'Inputs-System'!$C$42)+VLOOKUP(BR$3,Capacity!$A$53:$E$85,5,FALSE)*'Inputs-System'!$C$29*(1+'Inputs-System'!$C$43)), $C6 = "3",('Inputs-System'!$C$26*'Coincidence Factors'!$B$6*(1+'Inputs-System'!$C$18))*'Inputs-Proposals'!$C$28*(VLOOKUP(BR$3,Capacity!$A$53:$E$85,4,FALSE)*(1+'Inputs-System'!$C$42)+VLOOKUP(BR$3,Capacity!$A$53:$E$85,5,FALSE)*'Inputs-System'!$C$29*(1+'Inputs-System'!$C$43)), $C6 = "0", 0), 0)</f>
        <v>0</v>
      </c>
      <c r="BV6" s="44">
        <v>0</v>
      </c>
      <c r="BW6" s="342">
        <f>IFERROR(_xlfn.IFS($C6="1", 'Inputs-System'!$C$30*'Coincidence Factors'!$B$6*'Inputs-Proposals'!$C$17*'Inputs-Proposals'!$C$19*(VLOOKUP(BR$3,'Non-Embedded Emissions'!$A$56:$D$90,2,FALSE)+VLOOKUP(BR$3,'Non-Embedded Emissions'!$A$143:$D$174,2,FALSE)+VLOOKUP(BR$3,'Non-Embedded Emissions'!$A$230:$D$259,2,FALSE)), $C6 = "2", 'Inputs-System'!$C$30*'Coincidence Factors'!$B$6*'Inputs-Proposals'!$C$23*'Inputs-Proposals'!$C$25*(VLOOKUP(BR$3,'Non-Embedded Emissions'!$A$56:$D$90,2,FALSE)+VLOOKUP(BR$3,'Non-Embedded Emissions'!$A$143:$D$174,2,FALSE)+VLOOKUP(BR$3,'Non-Embedded Emissions'!$A$230:$D$259,2,FALSE)), $C6 = "3", 'Inputs-System'!$C$30*'Coincidence Factors'!$B$6*'Inputs-Proposals'!$C$29*'Inputs-Proposals'!$C$31*(VLOOKUP(BR$3,'Non-Embedded Emissions'!$A$56:$D$90,2,FALSE)+VLOOKUP(BR$3,'Non-Embedded Emissions'!$A$143:$D$174,2,FALSE)+VLOOKUP(BR$3,'Non-Embedded Emissions'!$A$230:$D$259,2,FALSE)), $C6 = "0", 0), 0)</f>
        <v>0</v>
      </c>
      <c r="BX6" s="45">
        <f>IFERROR(_xlfn.IFS($C6="1",('Inputs-System'!$C$30*'Coincidence Factors'!$B$6*(1+'Inputs-System'!$C$18)*(1+'Inputs-System'!$C$41)*('Inputs-Proposals'!$C$17*'Inputs-Proposals'!$C$19*(1-'Inputs-Proposals'!$C$20^(BX$3-'Inputs-System'!$C$7)))*(VLOOKUP(BX$3,Energy!$A$51:$K$83,5,FALSE))), $C6 = "2",('Inputs-System'!$C$30*'Coincidence Factors'!$B$6)*(1+'Inputs-System'!$C$18)*(1+'Inputs-System'!$C$41)*('Inputs-Proposals'!$C$23*'Inputs-Proposals'!$C$25*(1-'Inputs-Proposals'!$C$26^(BX$3-'Inputs-System'!$C$7)))*(VLOOKUP(BX$3,Energy!$A$51:$K$83,5,FALSE)), $C6= "3", ('Inputs-System'!$C$30*'Coincidence Factors'!$B$6*(1+'Inputs-System'!$C$18)*(1+'Inputs-System'!$C$41)*('Inputs-Proposals'!$C$29*'Inputs-Proposals'!$C$31*(1-'Inputs-Proposals'!$C$32^(BX$3-'Inputs-System'!$C$7)))*(VLOOKUP(BX$3,Energy!$A$51:$K$83,5,FALSE))), $C6= "0", 0), 0)</f>
        <v>0</v>
      </c>
      <c r="BY6" s="44">
        <f>IFERROR(_xlfn.IFS($C6="1",('Inputs-System'!$C$30*'Coincidence Factors'!$B$6*(1+'Inputs-System'!$C$18)*(1+'Inputs-System'!$C$41))*'Inputs-Proposals'!$C$17*'Inputs-Proposals'!$C$19*(1-'Inputs-Proposals'!$C$20^(BX$3-'Inputs-System'!$C$7))*(VLOOKUP(BX$3,'Embedded Emissions'!$A$47:$B$78,2,FALSE)+VLOOKUP(BX$3,'Embedded Emissions'!$A$129:$B$158,2,FALSE)), $C6 = "2",('Inputs-System'!$C$30*'Coincidence Factors'!$B$6*(1+'Inputs-System'!$C$18)*(1+'Inputs-System'!$C$41))*'Inputs-Proposals'!$C$23*'Inputs-Proposals'!$C$25*(1-'Inputs-Proposals'!$C$20^(BX$3-'Inputs-System'!$C$7))*(VLOOKUP(BX$3,'Embedded Emissions'!$A$47:$B$78,2,FALSE)+VLOOKUP(BX$3,'Embedded Emissions'!$A$129:$B$158,2,FALSE)), $C6 = "3", ('Inputs-System'!$C$30*'Coincidence Factors'!$B$6*(1+'Inputs-System'!$C$18)*(1+'Inputs-System'!$C$41))*'Inputs-Proposals'!$C$29*'Inputs-Proposals'!$C$31*(1-'Inputs-Proposals'!$C$20^(BX$3-'Inputs-System'!$C$7))*(VLOOKUP(BX$3,'Embedded Emissions'!$A$47:$B$78,2,FALSE)+VLOOKUP(BX$3,'Embedded Emissions'!$A$129:$B$158,2,FALSE)), $C6 = "0", 0), 0)</f>
        <v>0</v>
      </c>
      <c r="BZ6" s="44">
        <f>IFERROR(_xlfn.IFS($C6="1",( 'Inputs-System'!$C$30*'Coincidence Factors'!$B$6*(1+'Inputs-System'!$C$18)*(1+'Inputs-System'!$C$41))*('Inputs-Proposals'!$C$17*'Inputs-Proposals'!$C$19*(1-'Inputs-Proposals'!$C$20)^(BX$3-'Inputs-System'!$C$7))*(VLOOKUP(BX$3,DRIPE!$A$54:$I$82,5,FALSE)+VLOOKUP(BX$3,DRIPE!$A$54:$I$82,9,FALSE))+ ('Inputs-System'!$C$26*'Coincidence Factors'!$B$6*(1+'Inputs-System'!$C$18)*(1+'Inputs-System'!$C$42))*'Inputs-Proposals'!$C$16*VLOOKUP(BX$3,DRIPE!$A$54:$I$82,8,FALSE), $C6 = "2",( 'Inputs-System'!$C$30*'Coincidence Factors'!$B$6*(1+'Inputs-System'!$C$18)*(1+'Inputs-System'!$C$41))*('Inputs-Proposals'!$C$23*'Inputs-Proposals'!$C$25*(1-'Inputs-Proposals'!$C$26)^(BX$3-'Inputs-System'!$C$7))*(VLOOKUP(BX$3,DRIPE!$A$54:$I$82,5,FALSE)+VLOOKUP(BX$3,DRIPE!$A$54:$I$82,9,FALSE))+ ('Inputs-System'!$C$26*'Coincidence Factors'!$B$6*(1+'Inputs-System'!$C$18)*(1+'Inputs-System'!$C$42))*'Inputs-Proposals'!$C$22*VLOOKUP(BX$3,DRIPE!$A$54:$I$82,8,FALSE), $C6= "3", ( 'Inputs-System'!$C$30*'Coincidence Factors'!$B$6*(1+'Inputs-System'!$C$18)*(1+'Inputs-System'!$C$41))*('Inputs-Proposals'!$C$29*'Inputs-Proposals'!$C$31*(1-'Inputs-Proposals'!$C$32)^(BX$3-'Inputs-System'!$C$7))*(VLOOKUP(BX$3,DRIPE!$A$54:$I$82,5,FALSE)+VLOOKUP(BX$3,DRIPE!$A$54:$I$82,9,FALSE))+ ('Inputs-System'!$C$26*'Coincidence Factors'!$B$6*(1+'Inputs-System'!$C$18)*(1+'Inputs-System'!$C$42))*'Inputs-Proposals'!$C$28*VLOOKUP(BX$3,DRIPE!$A$54:$I$82,8,FALSE), $C6 = "0", 0), 0)</f>
        <v>0</v>
      </c>
      <c r="CA6" s="45">
        <f>IFERROR(_xlfn.IFS($C6="1",('Inputs-System'!$C$26*'Coincidence Factors'!$B$6*(1+'Inputs-System'!$C$18))*'Inputs-Proposals'!$C$16*(VLOOKUP(BX$3,Capacity!$A$53:$E$85,4,FALSE)*(1+'Inputs-System'!$C$42)+VLOOKUP(BX$3,Capacity!$A$53:$E$85,5,FALSE)*'Inputs-System'!$C$29*(1+'Inputs-System'!$C$43)), $C6 = "2", ('Inputs-System'!$C$26*'Coincidence Factors'!$B$6*(1+'Inputs-System'!$C$18))*'Inputs-Proposals'!$C$22*(VLOOKUP(BX$3,Capacity!$A$53:$E$85,4,FALSE)*(1+'Inputs-System'!$C$42)+VLOOKUP(BX$3,Capacity!$A$53:$E$85,5,FALSE)*'Inputs-System'!$C$29*(1+'Inputs-System'!$C$43)), $C6 = "3",('Inputs-System'!$C$26*'Coincidence Factors'!$B$6*(1+'Inputs-System'!$C$18))*'Inputs-Proposals'!$C$28*(VLOOKUP(BX$3,Capacity!$A$53:$E$85,4,FALSE)*(1+'Inputs-System'!$C$42)+VLOOKUP(BX$3,Capacity!$A$53:$E$85,5,FALSE)*'Inputs-System'!$C$29*(1+'Inputs-System'!$C$43)), $C6 = "0", 0), 0)</f>
        <v>0</v>
      </c>
      <c r="CB6" s="44">
        <v>0</v>
      </c>
      <c r="CC6" s="342">
        <f>IFERROR(_xlfn.IFS($C6="1", 'Inputs-System'!$C$30*'Coincidence Factors'!$B$6*'Inputs-Proposals'!$C$17*'Inputs-Proposals'!$C$19*(VLOOKUP(BX$3,'Non-Embedded Emissions'!$A$56:$D$90,2,FALSE)+VLOOKUP(BX$3,'Non-Embedded Emissions'!$A$143:$D$174,2,FALSE)+VLOOKUP(BX$3,'Non-Embedded Emissions'!$A$230:$D$259,2,FALSE)), $C6 = "2", 'Inputs-System'!$C$30*'Coincidence Factors'!$B$6*'Inputs-Proposals'!$C$23*'Inputs-Proposals'!$C$25*(VLOOKUP(BX$3,'Non-Embedded Emissions'!$A$56:$D$90,2,FALSE)+VLOOKUP(BX$3,'Non-Embedded Emissions'!$A$143:$D$174,2,FALSE)+VLOOKUP(BX$3,'Non-Embedded Emissions'!$A$230:$D$259,2,FALSE)), $C6 = "3", 'Inputs-System'!$C$30*'Coincidence Factors'!$B$6*'Inputs-Proposals'!$C$29*'Inputs-Proposals'!$C$31*(VLOOKUP(BX$3,'Non-Embedded Emissions'!$A$56:$D$90,2,FALSE)+VLOOKUP(BX$3,'Non-Embedded Emissions'!$A$143:$D$174,2,FALSE)+VLOOKUP(BX$3,'Non-Embedded Emissions'!$A$230:$D$259,2,FALSE)), $C6 = "0", 0), 0)</f>
        <v>0</v>
      </c>
      <c r="CD6" s="45">
        <f>IFERROR(_xlfn.IFS($C6="1",('Inputs-System'!$C$30*'Coincidence Factors'!$B$6*(1+'Inputs-System'!$C$18)*(1+'Inputs-System'!$C$41)*('Inputs-Proposals'!$C$17*'Inputs-Proposals'!$C$19*(1-'Inputs-Proposals'!$C$20^(CD$3-'Inputs-System'!$C$7)))*(VLOOKUP(CD$3,Energy!$A$51:$K$83,5,FALSE))), $C6 = "2",('Inputs-System'!$C$30*'Coincidence Factors'!$B$6)*(1+'Inputs-System'!$C$18)*(1+'Inputs-System'!$C$41)*('Inputs-Proposals'!$C$23*'Inputs-Proposals'!$C$25*(1-'Inputs-Proposals'!$C$26^(CD$3-'Inputs-System'!$C$7)))*(VLOOKUP(CD$3,Energy!$A$51:$K$83,5,FALSE)), $C6= "3", ('Inputs-System'!$C$30*'Coincidence Factors'!$B$6*(1+'Inputs-System'!$C$18)*(1+'Inputs-System'!$C$41)*('Inputs-Proposals'!$C$29*'Inputs-Proposals'!$C$31*(1-'Inputs-Proposals'!$C$32^(CD$3-'Inputs-System'!$C$7)))*(VLOOKUP(CD$3,Energy!$A$51:$K$83,5,FALSE))), $C6= "0", 0), 0)</f>
        <v>0</v>
      </c>
      <c r="CE6" s="44">
        <f>IFERROR(_xlfn.IFS($C6="1",('Inputs-System'!$C$30*'Coincidence Factors'!$B$6*(1+'Inputs-System'!$C$18)*(1+'Inputs-System'!$C$41))*'Inputs-Proposals'!$C$17*'Inputs-Proposals'!$C$19*(1-'Inputs-Proposals'!$C$20^(CD$3-'Inputs-System'!$C$7))*(VLOOKUP(CD$3,'Embedded Emissions'!$A$47:$B$78,2,FALSE)+VLOOKUP(CD$3,'Embedded Emissions'!$A$129:$B$158,2,FALSE)), $C6 = "2",('Inputs-System'!$C$30*'Coincidence Factors'!$B$6*(1+'Inputs-System'!$C$18)*(1+'Inputs-System'!$C$41))*'Inputs-Proposals'!$C$23*'Inputs-Proposals'!$C$25*(1-'Inputs-Proposals'!$C$20^(CD$3-'Inputs-System'!$C$7))*(VLOOKUP(CD$3,'Embedded Emissions'!$A$47:$B$78,2,FALSE)+VLOOKUP(CD$3,'Embedded Emissions'!$A$129:$B$158,2,FALSE)), $C6 = "3", ('Inputs-System'!$C$30*'Coincidence Factors'!$B$6*(1+'Inputs-System'!$C$18)*(1+'Inputs-System'!$C$41))*'Inputs-Proposals'!$C$29*'Inputs-Proposals'!$C$31*(1-'Inputs-Proposals'!$C$20^(CD$3-'Inputs-System'!$C$7))*(VLOOKUP(CD$3,'Embedded Emissions'!$A$47:$B$78,2,FALSE)+VLOOKUP(CD$3,'Embedded Emissions'!$A$129:$B$158,2,FALSE)), $C6 = "0", 0), 0)</f>
        <v>0</v>
      </c>
      <c r="CF6" s="44">
        <f>IFERROR(_xlfn.IFS($C6="1",( 'Inputs-System'!$C$30*'Coincidence Factors'!$B$6*(1+'Inputs-System'!$C$18)*(1+'Inputs-System'!$C$41))*('Inputs-Proposals'!$C$17*'Inputs-Proposals'!$C$19*(1-'Inputs-Proposals'!$C$20)^(CD$3-'Inputs-System'!$C$7))*(VLOOKUP(CD$3,DRIPE!$A$54:$I$82,5,FALSE)+VLOOKUP(CD$3,DRIPE!$A$54:$I$82,9,FALSE))+ ('Inputs-System'!$C$26*'Coincidence Factors'!$B$6*(1+'Inputs-System'!$C$18)*(1+'Inputs-System'!$C$42))*'Inputs-Proposals'!$C$16*VLOOKUP(CD$3,DRIPE!$A$54:$I$82,8,FALSE), $C6 = "2",( 'Inputs-System'!$C$30*'Coincidence Factors'!$B$6*(1+'Inputs-System'!$C$18)*(1+'Inputs-System'!$C$41))*('Inputs-Proposals'!$C$23*'Inputs-Proposals'!$C$25*(1-'Inputs-Proposals'!$C$26)^(CD$3-'Inputs-System'!$C$7))*(VLOOKUP(CD$3,DRIPE!$A$54:$I$82,5,FALSE)+VLOOKUP(CD$3,DRIPE!$A$54:$I$82,9,FALSE))+ ('Inputs-System'!$C$26*'Coincidence Factors'!$B$6*(1+'Inputs-System'!$C$18)*(1+'Inputs-System'!$C$42))*'Inputs-Proposals'!$C$22*VLOOKUP(CD$3,DRIPE!$A$54:$I$82,8,FALSE), $C6= "3", ( 'Inputs-System'!$C$30*'Coincidence Factors'!$B$6*(1+'Inputs-System'!$C$18)*(1+'Inputs-System'!$C$41))*('Inputs-Proposals'!$C$29*'Inputs-Proposals'!$C$31*(1-'Inputs-Proposals'!$C$32)^(CD$3-'Inputs-System'!$C$7))*(VLOOKUP(CD$3,DRIPE!$A$54:$I$82,5,FALSE)+VLOOKUP(CD$3,DRIPE!$A$54:$I$82,9,FALSE))+ ('Inputs-System'!$C$26*'Coincidence Factors'!$B$6*(1+'Inputs-System'!$C$18)*(1+'Inputs-System'!$C$42))*'Inputs-Proposals'!$C$28*VLOOKUP(CD$3,DRIPE!$A$54:$I$82,8,FALSE), $C6 = "0", 0), 0)</f>
        <v>0</v>
      </c>
      <c r="CG6" s="45">
        <f>IFERROR(_xlfn.IFS($C6="1",('Inputs-System'!$C$26*'Coincidence Factors'!$B$6*(1+'Inputs-System'!$C$18))*'Inputs-Proposals'!$C$16*(VLOOKUP(CD$3,Capacity!$A$53:$E$85,4,FALSE)*(1+'Inputs-System'!$C$42)+VLOOKUP(CD$3,Capacity!$A$53:$E$85,5,FALSE)*'Inputs-System'!$C$29*(1+'Inputs-System'!$C$43)), $C6 = "2", ('Inputs-System'!$C$26*'Coincidence Factors'!$B$6*(1+'Inputs-System'!$C$18))*'Inputs-Proposals'!$C$22*(VLOOKUP(CD$3,Capacity!$A$53:$E$85,4,FALSE)*(1+'Inputs-System'!$C$42)+VLOOKUP(CD$3,Capacity!$A$53:$E$85,5,FALSE)*'Inputs-System'!$C$29*(1+'Inputs-System'!$C$43)), $C6 = "3",('Inputs-System'!$C$26*'Coincidence Factors'!$B$6*(1+'Inputs-System'!$C$18))*'Inputs-Proposals'!$C$28*(VLOOKUP(CD$3,Capacity!$A$53:$E$85,4,FALSE)*(1+'Inputs-System'!$C$42)+VLOOKUP(CD$3,Capacity!$A$53:$E$85,5,FALSE)*'Inputs-System'!$C$29*(1+'Inputs-System'!$C$43)), $C6 = "0", 0), 0)</f>
        <v>0</v>
      </c>
      <c r="CH6" s="44">
        <v>0</v>
      </c>
      <c r="CI6" s="342">
        <f>IFERROR(_xlfn.IFS($C6="1", 'Inputs-System'!$C$30*'Coincidence Factors'!$B$6*'Inputs-Proposals'!$C$17*'Inputs-Proposals'!$C$19*(VLOOKUP(CD$3,'Non-Embedded Emissions'!$A$56:$D$90,2,FALSE)+VLOOKUP(CD$3,'Non-Embedded Emissions'!$A$143:$D$174,2,FALSE)+VLOOKUP(CD$3,'Non-Embedded Emissions'!$A$230:$D$259,2,FALSE)), $C6 = "2", 'Inputs-System'!$C$30*'Coincidence Factors'!$B$6*'Inputs-Proposals'!$C$23*'Inputs-Proposals'!$C$25*(VLOOKUP(CD$3,'Non-Embedded Emissions'!$A$56:$D$90,2,FALSE)+VLOOKUP(CD$3,'Non-Embedded Emissions'!$A$143:$D$174,2,FALSE)+VLOOKUP(CD$3,'Non-Embedded Emissions'!$A$230:$D$259,2,FALSE)), $C6 = "3", 'Inputs-System'!$C$30*'Coincidence Factors'!$B$6*'Inputs-Proposals'!$C$29*'Inputs-Proposals'!$C$31*(VLOOKUP(CD$3,'Non-Embedded Emissions'!$A$56:$D$90,2,FALSE)+VLOOKUP(CD$3,'Non-Embedded Emissions'!$A$143:$D$174,2,FALSE)+VLOOKUP(CD$3,'Non-Embedded Emissions'!$A$230:$D$259,2,FALSE)), $C6 = "0", 0), 0)</f>
        <v>0</v>
      </c>
      <c r="CJ6" s="45">
        <f>IFERROR(_xlfn.IFS($C6="1",('Inputs-System'!$C$30*'Coincidence Factors'!$B$6*(1+'Inputs-System'!$C$18)*(1+'Inputs-System'!$C$41)*('Inputs-Proposals'!$C$17*'Inputs-Proposals'!$C$19*(1-'Inputs-Proposals'!$C$20^(CJ$3-'Inputs-System'!$C$7)))*(VLOOKUP(CJ$3,Energy!$A$51:$K$83,5,FALSE))), $C6 = "2",('Inputs-System'!$C$30*'Coincidence Factors'!$B$6)*(1+'Inputs-System'!$C$18)*(1+'Inputs-System'!$C$41)*('Inputs-Proposals'!$C$23*'Inputs-Proposals'!$C$25*(1-'Inputs-Proposals'!$C$26^(CJ$3-'Inputs-System'!$C$7)))*(VLOOKUP(CJ$3,Energy!$A$51:$K$83,5,FALSE)), $C6= "3", ('Inputs-System'!$C$30*'Coincidence Factors'!$B$6*(1+'Inputs-System'!$C$18)*(1+'Inputs-System'!$C$41)*('Inputs-Proposals'!$C$29*'Inputs-Proposals'!$C$31*(1-'Inputs-Proposals'!$C$32^(CJ$3-'Inputs-System'!$C$7)))*(VLOOKUP(CJ$3,Energy!$A$51:$K$83,5,FALSE))), $C6= "0", 0), 0)</f>
        <v>0</v>
      </c>
      <c r="CK6" s="44">
        <f>IFERROR(_xlfn.IFS($C6="1",('Inputs-System'!$C$30*'Coincidence Factors'!$B$6*(1+'Inputs-System'!$C$18)*(1+'Inputs-System'!$C$41))*'Inputs-Proposals'!$C$17*'Inputs-Proposals'!$C$19*(1-'Inputs-Proposals'!$C$20^(CJ$3-'Inputs-System'!$C$7))*(VLOOKUP(CJ$3,'Embedded Emissions'!$A$47:$B$78,2,FALSE)+VLOOKUP(CJ$3,'Embedded Emissions'!$A$129:$B$158,2,FALSE)), $C6 = "2",('Inputs-System'!$C$30*'Coincidence Factors'!$B$6*(1+'Inputs-System'!$C$18)*(1+'Inputs-System'!$C$41))*'Inputs-Proposals'!$C$23*'Inputs-Proposals'!$C$25*(1-'Inputs-Proposals'!$C$20^(CJ$3-'Inputs-System'!$C$7))*(VLOOKUP(CJ$3,'Embedded Emissions'!$A$47:$B$78,2,FALSE)+VLOOKUP(CJ$3,'Embedded Emissions'!$A$129:$B$158,2,FALSE)), $C6 = "3", ('Inputs-System'!$C$30*'Coincidence Factors'!$B$6*(1+'Inputs-System'!$C$18)*(1+'Inputs-System'!$C$41))*'Inputs-Proposals'!$C$29*'Inputs-Proposals'!$C$31*(1-'Inputs-Proposals'!$C$20^(CJ$3-'Inputs-System'!$C$7))*(VLOOKUP(CJ$3,'Embedded Emissions'!$A$47:$B$78,2,FALSE)+VLOOKUP(CJ$3,'Embedded Emissions'!$A$129:$B$158,2,FALSE)), $C6 = "0", 0), 0)</f>
        <v>0</v>
      </c>
      <c r="CL6" s="44">
        <f>IFERROR(_xlfn.IFS($C6="1",( 'Inputs-System'!$C$30*'Coincidence Factors'!$B$6*(1+'Inputs-System'!$C$18)*(1+'Inputs-System'!$C$41))*('Inputs-Proposals'!$C$17*'Inputs-Proposals'!$C$19*(1-'Inputs-Proposals'!$C$20)^(CJ$3-'Inputs-System'!$C$7))*(VLOOKUP(CJ$3,DRIPE!$A$54:$I$82,5,FALSE)+VLOOKUP(CJ$3,DRIPE!$A$54:$I$82,9,FALSE))+ ('Inputs-System'!$C$26*'Coincidence Factors'!$B$6*(1+'Inputs-System'!$C$18)*(1+'Inputs-System'!$C$42))*'Inputs-Proposals'!$C$16*VLOOKUP(CJ$3,DRIPE!$A$54:$I$82,8,FALSE), $C6 = "2",( 'Inputs-System'!$C$30*'Coincidence Factors'!$B$6*(1+'Inputs-System'!$C$18)*(1+'Inputs-System'!$C$41))*('Inputs-Proposals'!$C$23*'Inputs-Proposals'!$C$25*(1-'Inputs-Proposals'!$C$26)^(CJ$3-'Inputs-System'!$C$7))*(VLOOKUP(CJ$3,DRIPE!$A$54:$I$82,5,FALSE)+VLOOKUP(CJ$3,DRIPE!$A$54:$I$82,9,FALSE))+ ('Inputs-System'!$C$26*'Coincidence Factors'!$B$6*(1+'Inputs-System'!$C$18)*(1+'Inputs-System'!$C$42))*'Inputs-Proposals'!$C$22*VLOOKUP(CJ$3,DRIPE!$A$54:$I$82,8,FALSE), $C6= "3", ( 'Inputs-System'!$C$30*'Coincidence Factors'!$B$6*(1+'Inputs-System'!$C$18)*(1+'Inputs-System'!$C$41))*('Inputs-Proposals'!$C$29*'Inputs-Proposals'!$C$31*(1-'Inputs-Proposals'!$C$32)^(CJ$3-'Inputs-System'!$C$7))*(VLOOKUP(CJ$3,DRIPE!$A$54:$I$82,5,FALSE)+VLOOKUP(CJ$3,DRIPE!$A$54:$I$82,9,FALSE))+ ('Inputs-System'!$C$26*'Coincidence Factors'!$B$6*(1+'Inputs-System'!$C$18)*(1+'Inputs-System'!$C$42))*'Inputs-Proposals'!$C$28*VLOOKUP(CJ$3,DRIPE!$A$54:$I$82,8,FALSE), $C6 = "0", 0), 0)</f>
        <v>0</v>
      </c>
      <c r="CM6" s="45">
        <f>IFERROR(_xlfn.IFS($C6="1",('Inputs-System'!$C$26*'Coincidence Factors'!$B$6*(1+'Inputs-System'!$C$18))*'Inputs-Proposals'!$C$16*(VLOOKUP(CJ$3,Capacity!$A$53:$E$85,4,FALSE)*(1+'Inputs-System'!$C$42)+VLOOKUP(CJ$3,Capacity!$A$53:$E$85,5,FALSE)*'Inputs-System'!$C$29*(1+'Inputs-System'!$C$43)), $C6 = "2", ('Inputs-System'!$C$26*'Coincidence Factors'!$B$6*(1+'Inputs-System'!$C$18))*'Inputs-Proposals'!$C$22*(VLOOKUP(CJ$3,Capacity!$A$53:$E$85,4,FALSE)*(1+'Inputs-System'!$C$42)+VLOOKUP(CJ$3,Capacity!$A$53:$E$85,5,FALSE)*'Inputs-System'!$C$29*(1+'Inputs-System'!$C$43)), $C6 = "3",('Inputs-System'!$C$26*'Coincidence Factors'!$B$6*(1+'Inputs-System'!$C$18))*'Inputs-Proposals'!$C$28*(VLOOKUP(CJ$3,Capacity!$A$53:$E$85,4,FALSE)*(1+'Inputs-System'!$C$42)+VLOOKUP(CJ$3,Capacity!$A$53:$E$85,5,FALSE)*'Inputs-System'!$C$29*(1+'Inputs-System'!$C$43)), $C6 = "0", 0), 0)</f>
        <v>0</v>
      </c>
      <c r="CN6" s="44">
        <v>0</v>
      </c>
      <c r="CO6" s="342">
        <f>IFERROR(_xlfn.IFS($C6="1", 'Inputs-System'!$C$30*'Coincidence Factors'!$B$6*'Inputs-Proposals'!$C$17*'Inputs-Proposals'!$C$19*(VLOOKUP(CJ$3,'Non-Embedded Emissions'!$A$56:$D$90,2,FALSE)+VLOOKUP(CJ$3,'Non-Embedded Emissions'!$A$143:$D$174,2,FALSE)+VLOOKUP(CJ$3,'Non-Embedded Emissions'!$A$230:$D$259,2,FALSE)), $C6 = "2", 'Inputs-System'!$C$30*'Coincidence Factors'!$B$6*'Inputs-Proposals'!$C$23*'Inputs-Proposals'!$C$25*(VLOOKUP(CJ$3,'Non-Embedded Emissions'!$A$56:$D$90,2,FALSE)+VLOOKUP(CJ$3,'Non-Embedded Emissions'!$A$143:$D$174,2,FALSE)+VLOOKUP(CJ$3,'Non-Embedded Emissions'!$A$230:$D$259,2,FALSE)), $C6 = "3", 'Inputs-System'!$C$30*'Coincidence Factors'!$B$6*'Inputs-Proposals'!$C$29*'Inputs-Proposals'!$C$31*(VLOOKUP(CJ$3,'Non-Embedded Emissions'!$A$56:$D$90,2,FALSE)+VLOOKUP(CJ$3,'Non-Embedded Emissions'!$A$143:$D$174,2,FALSE)+VLOOKUP(CJ$3,'Non-Embedded Emissions'!$A$230:$D$259,2,FALSE)), $C6 = "0", 0), 0)</f>
        <v>0</v>
      </c>
      <c r="CP6" s="45">
        <f>IFERROR(_xlfn.IFS($C6="1",('Inputs-System'!$C$30*'Coincidence Factors'!$B$6*(1+'Inputs-System'!$C$18)*(1+'Inputs-System'!$C$41)*('Inputs-Proposals'!$C$17*'Inputs-Proposals'!$C$19*(1-'Inputs-Proposals'!$C$20^(CP$3-'Inputs-System'!$C$7)))*(VLOOKUP(CP$3,Energy!$A$51:$K$83,5,FALSE))), $C6 = "2",('Inputs-System'!$C$30*'Coincidence Factors'!$B$6)*(1+'Inputs-System'!$C$18)*(1+'Inputs-System'!$C$41)*('Inputs-Proposals'!$C$23*'Inputs-Proposals'!$C$25*(1-'Inputs-Proposals'!$C$26^(CP$3-'Inputs-System'!$C$7)))*(VLOOKUP(CP$3,Energy!$A$51:$K$83,5,FALSE)), $C6= "3", ('Inputs-System'!$C$30*'Coincidence Factors'!$B$6*(1+'Inputs-System'!$C$18)*(1+'Inputs-System'!$C$41)*('Inputs-Proposals'!$C$29*'Inputs-Proposals'!$C$31*(1-'Inputs-Proposals'!$C$32^(CP$3-'Inputs-System'!$C$7)))*(VLOOKUP(CP$3,Energy!$A$51:$K$83,5,FALSE))), $C6= "0", 0), 0)</f>
        <v>0</v>
      </c>
      <c r="CQ6" s="44">
        <f>IFERROR(_xlfn.IFS($C6="1",('Inputs-System'!$C$30*'Coincidence Factors'!$B$6*(1+'Inputs-System'!$C$18)*(1+'Inputs-System'!$C$41))*'Inputs-Proposals'!$C$17*'Inputs-Proposals'!$C$19*(1-'Inputs-Proposals'!$C$20^(CP$3-'Inputs-System'!$C$7))*(VLOOKUP(CP$3,'Embedded Emissions'!$A$47:$B$78,2,FALSE)+VLOOKUP(CP$3,'Embedded Emissions'!$A$129:$B$158,2,FALSE)), $C6 = "2",('Inputs-System'!$C$30*'Coincidence Factors'!$B$6*(1+'Inputs-System'!$C$18)*(1+'Inputs-System'!$C$41))*'Inputs-Proposals'!$C$23*'Inputs-Proposals'!$C$25*(1-'Inputs-Proposals'!$C$20^(CP$3-'Inputs-System'!$C$7))*(VLOOKUP(CP$3,'Embedded Emissions'!$A$47:$B$78,2,FALSE)+VLOOKUP(CP$3,'Embedded Emissions'!$A$129:$B$158,2,FALSE)), $C6 = "3", ('Inputs-System'!$C$30*'Coincidence Factors'!$B$6*(1+'Inputs-System'!$C$18)*(1+'Inputs-System'!$C$41))*'Inputs-Proposals'!$C$29*'Inputs-Proposals'!$C$31*(1-'Inputs-Proposals'!$C$20^(CP$3-'Inputs-System'!$C$7))*(VLOOKUP(CP$3,'Embedded Emissions'!$A$47:$B$78,2,FALSE)+VLOOKUP(CP$3,'Embedded Emissions'!$A$129:$B$158,2,FALSE)), $C6 = "0", 0), 0)</f>
        <v>0</v>
      </c>
      <c r="CR6" s="44">
        <f>IFERROR(_xlfn.IFS($C6="1",( 'Inputs-System'!$C$30*'Coincidence Factors'!$B$6*(1+'Inputs-System'!$C$18)*(1+'Inputs-System'!$C$41))*('Inputs-Proposals'!$C$17*'Inputs-Proposals'!$C$19*(1-'Inputs-Proposals'!$C$20)^(CP$3-'Inputs-System'!$C$7))*(VLOOKUP(CP$3,DRIPE!$A$54:$I$82,5,FALSE)+VLOOKUP(CP$3,DRIPE!$A$54:$I$82,9,FALSE))+ ('Inputs-System'!$C$26*'Coincidence Factors'!$B$6*(1+'Inputs-System'!$C$18)*(1+'Inputs-System'!$C$42))*'Inputs-Proposals'!$C$16*VLOOKUP(CP$3,DRIPE!$A$54:$I$82,8,FALSE), $C6 = "2",( 'Inputs-System'!$C$30*'Coincidence Factors'!$B$6*(1+'Inputs-System'!$C$18)*(1+'Inputs-System'!$C$41))*('Inputs-Proposals'!$C$23*'Inputs-Proposals'!$C$25*(1-'Inputs-Proposals'!$C$26)^(CP$3-'Inputs-System'!$C$7))*(VLOOKUP(CP$3,DRIPE!$A$54:$I$82,5,FALSE)+VLOOKUP(CP$3,DRIPE!$A$54:$I$82,9,FALSE))+ ('Inputs-System'!$C$26*'Coincidence Factors'!$B$6*(1+'Inputs-System'!$C$18)*(1+'Inputs-System'!$C$42))*'Inputs-Proposals'!$C$22*VLOOKUP(CP$3,DRIPE!$A$54:$I$82,8,FALSE), $C6= "3", ( 'Inputs-System'!$C$30*'Coincidence Factors'!$B$6*(1+'Inputs-System'!$C$18)*(1+'Inputs-System'!$C$41))*('Inputs-Proposals'!$C$29*'Inputs-Proposals'!$C$31*(1-'Inputs-Proposals'!$C$32)^(CP$3-'Inputs-System'!$C$7))*(VLOOKUP(CP$3,DRIPE!$A$54:$I$82,5,FALSE)+VLOOKUP(CP$3,DRIPE!$A$54:$I$82,9,FALSE))+ ('Inputs-System'!$C$26*'Coincidence Factors'!$B$6*(1+'Inputs-System'!$C$18)*(1+'Inputs-System'!$C$42))*'Inputs-Proposals'!$C$28*VLOOKUP(CP$3,DRIPE!$A$54:$I$82,8,FALSE), $C6 = "0", 0), 0)</f>
        <v>0</v>
      </c>
      <c r="CS6" s="45">
        <f>IFERROR(_xlfn.IFS($C6="1",('Inputs-System'!$C$26*'Coincidence Factors'!$B$6*(1+'Inputs-System'!$C$18))*'Inputs-Proposals'!$C$16*(VLOOKUP(CP$3,Capacity!$A$53:$E$85,4,FALSE)*(1+'Inputs-System'!$C$42)+VLOOKUP(CP$3,Capacity!$A$53:$E$85,5,FALSE)*'Inputs-System'!$C$29*(1+'Inputs-System'!$C$43)), $C6 = "2", ('Inputs-System'!$C$26*'Coincidence Factors'!$B$6*(1+'Inputs-System'!$C$18))*'Inputs-Proposals'!$C$22*(VLOOKUP(CP$3,Capacity!$A$53:$E$85,4,FALSE)*(1+'Inputs-System'!$C$42)+VLOOKUP(CP$3,Capacity!$A$53:$E$85,5,FALSE)*'Inputs-System'!$C$29*(1+'Inputs-System'!$C$43)), $C6 = "3",('Inputs-System'!$C$26*'Coincidence Factors'!$B$6*(1+'Inputs-System'!$C$18))*'Inputs-Proposals'!$C$28*(VLOOKUP(CP$3,Capacity!$A$53:$E$85,4,FALSE)*(1+'Inputs-System'!$C$42)+VLOOKUP(CP$3,Capacity!$A$53:$E$85,5,FALSE)*'Inputs-System'!$C$29*(1+'Inputs-System'!$C$43)), $C6 = "0", 0), 0)</f>
        <v>0</v>
      </c>
      <c r="CT6" s="44">
        <v>0</v>
      </c>
      <c r="CU6" s="342">
        <f>IFERROR(_xlfn.IFS($C6="1", 'Inputs-System'!$C$30*'Coincidence Factors'!$B$6*'Inputs-Proposals'!$C$17*'Inputs-Proposals'!$C$19*(VLOOKUP(CP$3,'Non-Embedded Emissions'!$A$56:$D$90,2,FALSE)+VLOOKUP(CP$3,'Non-Embedded Emissions'!$A$143:$D$174,2,FALSE)+VLOOKUP(CP$3,'Non-Embedded Emissions'!$A$230:$D$259,2,FALSE)), $C6 = "2", 'Inputs-System'!$C$30*'Coincidence Factors'!$B$6*'Inputs-Proposals'!$C$23*'Inputs-Proposals'!$C$25*(VLOOKUP(CP$3,'Non-Embedded Emissions'!$A$56:$D$90,2,FALSE)+VLOOKUP(CP$3,'Non-Embedded Emissions'!$A$143:$D$174,2,FALSE)+VLOOKUP(CP$3,'Non-Embedded Emissions'!$A$230:$D$259,2,FALSE)), $C6 = "3", 'Inputs-System'!$C$30*'Coincidence Factors'!$B$6*'Inputs-Proposals'!$C$29*'Inputs-Proposals'!$C$31*(VLOOKUP(CP$3,'Non-Embedded Emissions'!$A$56:$D$90,2,FALSE)+VLOOKUP(CP$3,'Non-Embedded Emissions'!$A$143:$D$174,2,FALSE)+VLOOKUP(CP$3,'Non-Embedded Emissions'!$A$230:$D$259,2,FALSE)), $C6 = "0", 0), 0)</f>
        <v>0</v>
      </c>
      <c r="CV6" s="45">
        <f>IFERROR(_xlfn.IFS($C6="1",('Inputs-System'!$C$30*'Coincidence Factors'!$B$6*(1+'Inputs-System'!$C$18)*(1+'Inputs-System'!$C$41)*('Inputs-Proposals'!$C$17*'Inputs-Proposals'!$C$19*(1-'Inputs-Proposals'!$C$20^(CV$3-'Inputs-System'!$C$7)))*(VLOOKUP(CV$3,Energy!$A$51:$K$83,5,FALSE))), $C6 = "2",('Inputs-System'!$C$30*'Coincidence Factors'!$B$6)*(1+'Inputs-System'!$C$18)*(1+'Inputs-System'!$C$41)*('Inputs-Proposals'!$C$23*'Inputs-Proposals'!$C$25*(1-'Inputs-Proposals'!$C$26^(CV$3-'Inputs-System'!$C$7)))*(VLOOKUP(CV$3,Energy!$A$51:$K$83,5,FALSE)), $C6= "3", ('Inputs-System'!$C$30*'Coincidence Factors'!$B$6*(1+'Inputs-System'!$C$18)*(1+'Inputs-System'!$C$41)*('Inputs-Proposals'!$C$29*'Inputs-Proposals'!$C$31*(1-'Inputs-Proposals'!$C$32^(CV$3-'Inputs-System'!$C$7)))*(VLOOKUP(CV$3,Energy!$A$51:$K$83,5,FALSE))), $C6= "0", 0), 0)</f>
        <v>0</v>
      </c>
      <c r="CW6" s="44">
        <f>IFERROR(_xlfn.IFS($C6="1",('Inputs-System'!$C$30*'Coincidence Factors'!$B$6*(1+'Inputs-System'!$C$18)*(1+'Inputs-System'!$C$41))*'Inputs-Proposals'!$C$17*'Inputs-Proposals'!$C$19*(1-'Inputs-Proposals'!$C$20^(CV$3-'Inputs-System'!$C$7))*(VLOOKUP(CV$3,'Embedded Emissions'!$A$47:$B$78,2,FALSE)+VLOOKUP(CV$3,'Embedded Emissions'!$A$129:$B$158,2,FALSE)), $C6 = "2",('Inputs-System'!$C$30*'Coincidence Factors'!$B$6*(1+'Inputs-System'!$C$18)*(1+'Inputs-System'!$C$41))*'Inputs-Proposals'!$C$23*'Inputs-Proposals'!$C$25*(1-'Inputs-Proposals'!$C$20^(CV$3-'Inputs-System'!$C$7))*(VLOOKUP(CV$3,'Embedded Emissions'!$A$47:$B$78,2,FALSE)+VLOOKUP(CV$3,'Embedded Emissions'!$A$129:$B$158,2,FALSE)), $C6 = "3", ('Inputs-System'!$C$30*'Coincidence Factors'!$B$6*(1+'Inputs-System'!$C$18)*(1+'Inputs-System'!$C$41))*'Inputs-Proposals'!$C$29*'Inputs-Proposals'!$C$31*(1-'Inputs-Proposals'!$C$20^(CV$3-'Inputs-System'!$C$7))*(VLOOKUP(CV$3,'Embedded Emissions'!$A$47:$B$78,2,FALSE)+VLOOKUP(CV$3,'Embedded Emissions'!$A$129:$B$158,2,FALSE)), $C6 = "0", 0), 0)</f>
        <v>0</v>
      </c>
      <c r="CX6" s="44">
        <f>IFERROR(_xlfn.IFS($C6="1",( 'Inputs-System'!$C$30*'Coincidence Factors'!$B$6*(1+'Inputs-System'!$C$18)*(1+'Inputs-System'!$C$41))*('Inputs-Proposals'!$C$17*'Inputs-Proposals'!$C$19*(1-'Inputs-Proposals'!$C$20)^(CV$3-'Inputs-System'!$C$7))*(VLOOKUP(CV$3,DRIPE!$A$54:$I$82,5,FALSE)+VLOOKUP(CV$3,DRIPE!$A$54:$I$82,9,FALSE))+ ('Inputs-System'!$C$26*'Coincidence Factors'!$B$6*(1+'Inputs-System'!$C$18)*(1+'Inputs-System'!$C$42))*'Inputs-Proposals'!$C$16*VLOOKUP(CV$3,DRIPE!$A$54:$I$82,8,FALSE), $C6 = "2",( 'Inputs-System'!$C$30*'Coincidence Factors'!$B$6*(1+'Inputs-System'!$C$18)*(1+'Inputs-System'!$C$41))*('Inputs-Proposals'!$C$23*'Inputs-Proposals'!$C$25*(1-'Inputs-Proposals'!$C$26)^(CV$3-'Inputs-System'!$C$7))*(VLOOKUP(CV$3,DRIPE!$A$54:$I$82,5,FALSE)+VLOOKUP(CV$3,DRIPE!$A$54:$I$82,9,FALSE))+ ('Inputs-System'!$C$26*'Coincidence Factors'!$B$6*(1+'Inputs-System'!$C$18)*(1+'Inputs-System'!$C$42))*'Inputs-Proposals'!$C$22*VLOOKUP(CV$3,DRIPE!$A$54:$I$82,8,FALSE), $C6= "3", ( 'Inputs-System'!$C$30*'Coincidence Factors'!$B$6*(1+'Inputs-System'!$C$18)*(1+'Inputs-System'!$C$41))*('Inputs-Proposals'!$C$29*'Inputs-Proposals'!$C$31*(1-'Inputs-Proposals'!$C$32)^(CV$3-'Inputs-System'!$C$7))*(VLOOKUP(CV$3,DRIPE!$A$54:$I$82,5,FALSE)+VLOOKUP(CV$3,DRIPE!$A$54:$I$82,9,FALSE))+ ('Inputs-System'!$C$26*'Coincidence Factors'!$B$6*(1+'Inputs-System'!$C$18)*(1+'Inputs-System'!$C$42))*'Inputs-Proposals'!$C$28*VLOOKUP(CV$3,DRIPE!$A$54:$I$82,8,FALSE), $C6 = "0", 0), 0)</f>
        <v>0</v>
      </c>
      <c r="CY6" s="45">
        <f>IFERROR(_xlfn.IFS($C6="1",('Inputs-System'!$C$26*'Coincidence Factors'!$B$6*(1+'Inputs-System'!$C$18))*'Inputs-Proposals'!$C$16*(VLOOKUP(CV$3,Capacity!$A$53:$E$85,4,FALSE)*(1+'Inputs-System'!$C$42)+VLOOKUP(CV$3,Capacity!$A$53:$E$85,5,FALSE)*'Inputs-System'!$C$29*(1+'Inputs-System'!$C$43)), $C6 = "2", ('Inputs-System'!$C$26*'Coincidence Factors'!$B$6*(1+'Inputs-System'!$C$18))*'Inputs-Proposals'!$C$22*(VLOOKUP(CV$3,Capacity!$A$53:$E$85,4,FALSE)*(1+'Inputs-System'!$C$42)+VLOOKUP(CV$3,Capacity!$A$53:$E$85,5,FALSE)*'Inputs-System'!$C$29*(1+'Inputs-System'!$C$43)), $C6 = "3",('Inputs-System'!$C$26*'Coincidence Factors'!$B$6*(1+'Inputs-System'!$C$18))*'Inputs-Proposals'!$C$28*(VLOOKUP(CV$3,Capacity!$A$53:$E$85,4,FALSE)*(1+'Inputs-System'!$C$42)+VLOOKUP(CV$3,Capacity!$A$53:$E$85,5,FALSE)*'Inputs-System'!$C$29*(1+'Inputs-System'!$C$43)), $C6 = "0", 0), 0)</f>
        <v>0</v>
      </c>
      <c r="CZ6" s="44">
        <v>0</v>
      </c>
      <c r="DA6" s="342">
        <f>IFERROR(_xlfn.IFS($C6="1", 'Inputs-System'!$C$30*'Coincidence Factors'!$B$6*'Inputs-Proposals'!$C$17*'Inputs-Proposals'!$C$19*(VLOOKUP(CV$3,'Non-Embedded Emissions'!$A$56:$D$90,2,FALSE)+VLOOKUP(CV$3,'Non-Embedded Emissions'!$A$143:$D$174,2,FALSE)+VLOOKUP(CV$3,'Non-Embedded Emissions'!$A$230:$D$259,2,FALSE)), $C6 = "2", 'Inputs-System'!$C$30*'Coincidence Factors'!$B$6*'Inputs-Proposals'!$C$23*'Inputs-Proposals'!$C$25*(VLOOKUP(CV$3,'Non-Embedded Emissions'!$A$56:$D$90,2,FALSE)+VLOOKUP(CV$3,'Non-Embedded Emissions'!$A$143:$D$174,2,FALSE)+VLOOKUP(CV$3,'Non-Embedded Emissions'!$A$230:$D$259,2,FALSE)), $C6 = "3", 'Inputs-System'!$C$30*'Coincidence Factors'!$B$6*'Inputs-Proposals'!$C$29*'Inputs-Proposals'!$C$31*(VLOOKUP(CV$3,'Non-Embedded Emissions'!$A$56:$D$90,2,FALSE)+VLOOKUP(CV$3,'Non-Embedded Emissions'!$A$143:$D$174,2,FALSE)+VLOOKUP(CV$3,'Non-Embedded Emissions'!$A$230:$D$259,2,FALSE)), $C6 = "0", 0), 0)</f>
        <v>0</v>
      </c>
      <c r="DB6" s="45">
        <f>IFERROR(_xlfn.IFS($C6="1",('Inputs-System'!$C$30*'Coincidence Factors'!$B$6*(1+'Inputs-System'!$C$18)*(1+'Inputs-System'!$C$41)*('Inputs-Proposals'!$C$17*'Inputs-Proposals'!$C$19*(1-'Inputs-Proposals'!$C$20^(DB$3-'Inputs-System'!$C$7)))*(VLOOKUP(DB$3,Energy!$A$51:$K$83,5,FALSE))), $C6 = "2",('Inputs-System'!$C$30*'Coincidence Factors'!$B$6)*(1+'Inputs-System'!$C$18)*(1+'Inputs-System'!$C$41)*('Inputs-Proposals'!$C$23*'Inputs-Proposals'!$C$25*(1-'Inputs-Proposals'!$C$26^(DB$3-'Inputs-System'!$C$7)))*(VLOOKUP(DB$3,Energy!$A$51:$K$83,5,FALSE)), $C6= "3", ('Inputs-System'!$C$30*'Coincidence Factors'!$B$6*(1+'Inputs-System'!$C$18)*(1+'Inputs-System'!$C$41)*('Inputs-Proposals'!$C$29*'Inputs-Proposals'!$C$31*(1-'Inputs-Proposals'!$C$32^(DB$3-'Inputs-System'!$C$7)))*(VLOOKUP(DB$3,Energy!$A$51:$K$83,5,FALSE))), $C6= "0", 0), 0)</f>
        <v>0</v>
      </c>
      <c r="DC6" s="44">
        <f>IFERROR(_xlfn.IFS($C6="1",('Inputs-System'!$C$30*'Coincidence Factors'!$B$6*(1+'Inputs-System'!$C$18)*(1+'Inputs-System'!$C$41))*'Inputs-Proposals'!$C$17*'Inputs-Proposals'!$C$19*(1-'Inputs-Proposals'!$C$20^(DB$3-'Inputs-System'!$C$7))*(VLOOKUP(DB$3,'Embedded Emissions'!$A$47:$B$78,2,FALSE)+VLOOKUP(DB$3,'Embedded Emissions'!$A$129:$B$158,2,FALSE)), $C6 = "2",('Inputs-System'!$C$30*'Coincidence Factors'!$B$6*(1+'Inputs-System'!$C$18)*(1+'Inputs-System'!$C$41))*'Inputs-Proposals'!$C$23*'Inputs-Proposals'!$C$25*(1-'Inputs-Proposals'!$C$20^(DB$3-'Inputs-System'!$C$7))*(VLOOKUP(DB$3,'Embedded Emissions'!$A$47:$B$78,2,FALSE)+VLOOKUP(DB$3,'Embedded Emissions'!$A$129:$B$158,2,FALSE)), $C6 = "3", ('Inputs-System'!$C$30*'Coincidence Factors'!$B$6*(1+'Inputs-System'!$C$18)*(1+'Inputs-System'!$C$41))*'Inputs-Proposals'!$C$29*'Inputs-Proposals'!$C$31*(1-'Inputs-Proposals'!$C$20^(DB$3-'Inputs-System'!$C$7))*(VLOOKUP(DB$3,'Embedded Emissions'!$A$47:$B$78,2,FALSE)+VLOOKUP(DB$3,'Embedded Emissions'!$A$129:$B$158,2,FALSE)), $C6 = "0", 0), 0)</f>
        <v>0</v>
      </c>
      <c r="DD6" s="44">
        <f>IFERROR(_xlfn.IFS($C6="1",( 'Inputs-System'!$C$30*'Coincidence Factors'!$B$6*(1+'Inputs-System'!$C$18)*(1+'Inputs-System'!$C$41))*('Inputs-Proposals'!$C$17*'Inputs-Proposals'!$C$19*(1-'Inputs-Proposals'!$C$20)^(DB$3-'Inputs-System'!$C$7))*(VLOOKUP(DB$3,DRIPE!$A$54:$I$82,5,FALSE)+VLOOKUP(DB$3,DRIPE!$A$54:$I$82,9,FALSE))+ ('Inputs-System'!$C$26*'Coincidence Factors'!$B$6*(1+'Inputs-System'!$C$18)*(1+'Inputs-System'!$C$42))*'Inputs-Proposals'!$C$16*VLOOKUP(DB$3,DRIPE!$A$54:$I$82,8,FALSE), $C6 = "2",( 'Inputs-System'!$C$30*'Coincidence Factors'!$B$6*(1+'Inputs-System'!$C$18)*(1+'Inputs-System'!$C$41))*('Inputs-Proposals'!$C$23*'Inputs-Proposals'!$C$25*(1-'Inputs-Proposals'!$C$26)^(DB$3-'Inputs-System'!$C$7))*(VLOOKUP(DB$3,DRIPE!$A$54:$I$82,5,FALSE)+VLOOKUP(DB$3,DRIPE!$A$54:$I$82,9,FALSE))+ ('Inputs-System'!$C$26*'Coincidence Factors'!$B$6*(1+'Inputs-System'!$C$18)*(1+'Inputs-System'!$C$42))*'Inputs-Proposals'!$C$22*VLOOKUP(DB$3,DRIPE!$A$54:$I$82,8,FALSE), $C6= "3", ( 'Inputs-System'!$C$30*'Coincidence Factors'!$B$6*(1+'Inputs-System'!$C$18)*(1+'Inputs-System'!$C$41))*('Inputs-Proposals'!$C$29*'Inputs-Proposals'!$C$31*(1-'Inputs-Proposals'!$C$32)^(DB$3-'Inputs-System'!$C$7))*(VLOOKUP(DB$3,DRIPE!$A$54:$I$82,5,FALSE)+VLOOKUP(DB$3,DRIPE!$A$54:$I$82,9,FALSE))+ ('Inputs-System'!$C$26*'Coincidence Factors'!$B$6*(1+'Inputs-System'!$C$18)*(1+'Inputs-System'!$C$42))*'Inputs-Proposals'!$C$28*VLOOKUP(DB$3,DRIPE!$A$54:$I$82,8,FALSE), $C6 = "0", 0), 0)</f>
        <v>0</v>
      </c>
      <c r="DE6" s="45">
        <f>IFERROR(_xlfn.IFS($C6="1",('Inputs-System'!$C$26*'Coincidence Factors'!$B$6*(1+'Inputs-System'!$C$18))*'Inputs-Proposals'!$C$16*(VLOOKUP(DB$3,Capacity!$A$53:$E$85,4,FALSE)*(1+'Inputs-System'!$C$42)+VLOOKUP(DB$3,Capacity!$A$53:$E$85,5,FALSE)*'Inputs-System'!$C$29*(1+'Inputs-System'!$C$43)), $C6 = "2", ('Inputs-System'!$C$26*'Coincidence Factors'!$B$6*(1+'Inputs-System'!$C$18))*'Inputs-Proposals'!$C$22*(VLOOKUP(DB$3,Capacity!$A$53:$E$85,4,FALSE)*(1+'Inputs-System'!$C$42)+VLOOKUP(DB$3,Capacity!$A$53:$E$85,5,FALSE)*'Inputs-System'!$C$29*(1+'Inputs-System'!$C$43)), $C6 = "3",('Inputs-System'!$C$26*'Coincidence Factors'!$B$6*(1+'Inputs-System'!$C$18))*'Inputs-Proposals'!$C$28*(VLOOKUP(DB$3,Capacity!$A$53:$E$85,4,FALSE)*(1+'Inputs-System'!$C$42)+VLOOKUP(DB$3,Capacity!$A$53:$E$85,5,FALSE)*'Inputs-System'!$C$29*(1+'Inputs-System'!$C$43)), $C6 = "0", 0), 0)</f>
        <v>0</v>
      </c>
      <c r="DF6" s="44">
        <v>0</v>
      </c>
      <c r="DG6" s="342">
        <f>IFERROR(_xlfn.IFS($C6="1", 'Inputs-System'!$C$30*'Coincidence Factors'!$B$6*'Inputs-Proposals'!$C$17*'Inputs-Proposals'!$C$19*(VLOOKUP(DB$3,'Non-Embedded Emissions'!$A$56:$D$90,2,FALSE)+VLOOKUP(DB$3,'Non-Embedded Emissions'!$A$143:$D$174,2,FALSE)+VLOOKUP(DB$3,'Non-Embedded Emissions'!$A$230:$D$259,2,FALSE)), $C6 = "2", 'Inputs-System'!$C$30*'Coincidence Factors'!$B$6*'Inputs-Proposals'!$C$23*'Inputs-Proposals'!$C$25*(VLOOKUP(DB$3,'Non-Embedded Emissions'!$A$56:$D$90,2,FALSE)+VLOOKUP(DB$3,'Non-Embedded Emissions'!$A$143:$D$174,2,FALSE)+VLOOKUP(DB$3,'Non-Embedded Emissions'!$A$230:$D$259,2,FALSE)), $C6 = "3", 'Inputs-System'!$C$30*'Coincidence Factors'!$B$6*'Inputs-Proposals'!$C$29*'Inputs-Proposals'!$C$31*(VLOOKUP(DB$3,'Non-Embedded Emissions'!$A$56:$D$90,2,FALSE)+VLOOKUP(DB$3,'Non-Embedded Emissions'!$A$143:$D$174,2,FALSE)+VLOOKUP(DB$3,'Non-Embedded Emissions'!$A$230:$D$259,2,FALSE)), $C6 = "0", 0), 0)</f>
        <v>0</v>
      </c>
      <c r="DH6" s="45">
        <f>IFERROR(_xlfn.IFS($C6="1",('Inputs-System'!$C$30*'Coincidence Factors'!$B$6*(1+'Inputs-System'!$C$18)*(1+'Inputs-System'!$C$41)*('Inputs-Proposals'!$C$17*'Inputs-Proposals'!$C$19*(1-'Inputs-Proposals'!$C$20^(DH$3-'Inputs-System'!$C$7)))*(VLOOKUP(DH$3,Energy!$A$51:$K$83,5,FALSE))), $C6 = "2",('Inputs-System'!$C$30*'Coincidence Factors'!$B$6)*(1+'Inputs-System'!$C$18)*(1+'Inputs-System'!$C$41)*('Inputs-Proposals'!$C$23*'Inputs-Proposals'!$C$25*(1-'Inputs-Proposals'!$C$26^(DH$3-'Inputs-System'!$C$7)))*(VLOOKUP(DH$3,Energy!$A$51:$K$83,5,FALSE)), $C6= "3", ('Inputs-System'!$C$30*'Coincidence Factors'!$B$6*(1+'Inputs-System'!$C$18)*(1+'Inputs-System'!$C$41)*('Inputs-Proposals'!$C$29*'Inputs-Proposals'!$C$31*(1-'Inputs-Proposals'!$C$32^(DH$3-'Inputs-System'!$C$7)))*(VLOOKUP(DH$3,Energy!$A$51:$K$83,5,FALSE))), $C6= "0", 0), 0)</f>
        <v>0</v>
      </c>
      <c r="DI6" s="44">
        <f>IFERROR(_xlfn.IFS($C6="1",('Inputs-System'!$C$30*'Coincidence Factors'!$B$6*(1+'Inputs-System'!$C$18)*(1+'Inputs-System'!$C$41))*'Inputs-Proposals'!$C$17*'Inputs-Proposals'!$C$19*(1-'Inputs-Proposals'!$C$20^(DH$3-'Inputs-System'!$C$7))*(VLOOKUP(DH$3,'Embedded Emissions'!$A$47:$B$78,2,FALSE)+VLOOKUP(DH$3,'Embedded Emissions'!$A$129:$B$158,2,FALSE)), $C6 = "2",('Inputs-System'!$C$30*'Coincidence Factors'!$B$6*(1+'Inputs-System'!$C$18)*(1+'Inputs-System'!$C$41))*'Inputs-Proposals'!$C$23*'Inputs-Proposals'!$C$25*(1-'Inputs-Proposals'!$C$20^(DH$3-'Inputs-System'!$C$7))*(VLOOKUP(DH$3,'Embedded Emissions'!$A$47:$B$78,2,FALSE)+VLOOKUP(DH$3,'Embedded Emissions'!$A$129:$B$158,2,FALSE)), $C6 = "3", ('Inputs-System'!$C$30*'Coincidence Factors'!$B$6*(1+'Inputs-System'!$C$18)*(1+'Inputs-System'!$C$41))*'Inputs-Proposals'!$C$29*'Inputs-Proposals'!$C$31*(1-'Inputs-Proposals'!$C$20^(DH$3-'Inputs-System'!$C$7))*(VLOOKUP(DH$3,'Embedded Emissions'!$A$47:$B$78,2,FALSE)+VLOOKUP(DH$3,'Embedded Emissions'!$A$129:$B$158,2,FALSE)), $C6 = "0", 0), 0)</f>
        <v>0</v>
      </c>
      <c r="DJ6" s="44">
        <f>IFERROR(_xlfn.IFS($C6="1",( 'Inputs-System'!$C$30*'Coincidence Factors'!$B$6*(1+'Inputs-System'!$C$18)*(1+'Inputs-System'!$C$41))*('Inputs-Proposals'!$C$17*'Inputs-Proposals'!$C$19*(1-'Inputs-Proposals'!$C$20)^(DH$3-'Inputs-System'!$C$7))*(VLOOKUP(DH$3,DRIPE!$A$54:$I$82,5,FALSE)+VLOOKUP(DH$3,DRIPE!$A$54:$I$82,9,FALSE))+ ('Inputs-System'!$C$26*'Coincidence Factors'!$B$6*(1+'Inputs-System'!$C$18)*(1+'Inputs-System'!$C$42))*'Inputs-Proposals'!$C$16*VLOOKUP(DH$3,DRIPE!$A$54:$I$82,8,FALSE), $C6 = "2",( 'Inputs-System'!$C$30*'Coincidence Factors'!$B$6*(1+'Inputs-System'!$C$18)*(1+'Inputs-System'!$C$41))*('Inputs-Proposals'!$C$23*'Inputs-Proposals'!$C$25*(1-'Inputs-Proposals'!$C$26)^(DH$3-'Inputs-System'!$C$7))*(VLOOKUP(DH$3,DRIPE!$A$54:$I$82,5,FALSE)+VLOOKUP(DH$3,DRIPE!$A$54:$I$82,9,FALSE))+ ('Inputs-System'!$C$26*'Coincidence Factors'!$B$6*(1+'Inputs-System'!$C$18)*(1+'Inputs-System'!$C$42))*'Inputs-Proposals'!$C$22*VLOOKUP(DH$3,DRIPE!$A$54:$I$82,8,FALSE), $C6= "3", ( 'Inputs-System'!$C$30*'Coincidence Factors'!$B$6*(1+'Inputs-System'!$C$18)*(1+'Inputs-System'!$C$41))*('Inputs-Proposals'!$C$29*'Inputs-Proposals'!$C$31*(1-'Inputs-Proposals'!$C$32)^(DH$3-'Inputs-System'!$C$7))*(VLOOKUP(DH$3,DRIPE!$A$54:$I$82,5,FALSE)+VLOOKUP(DH$3,DRIPE!$A$54:$I$82,9,FALSE))+ ('Inputs-System'!$C$26*'Coincidence Factors'!$B$6*(1+'Inputs-System'!$C$18)*(1+'Inputs-System'!$C$42))*'Inputs-Proposals'!$C$28*VLOOKUP(DH$3,DRIPE!$A$54:$I$82,8,FALSE), $C6 = "0", 0), 0)</f>
        <v>0</v>
      </c>
      <c r="DK6" s="45">
        <f>IFERROR(_xlfn.IFS($C6="1",('Inputs-System'!$C$26*'Coincidence Factors'!$B$6*(1+'Inputs-System'!$C$18))*'Inputs-Proposals'!$C$16*(VLOOKUP(DH$3,Capacity!$A$53:$E$85,4,FALSE)*(1+'Inputs-System'!$C$42)+VLOOKUP(DH$3,Capacity!$A$53:$E$85,5,FALSE)*'Inputs-System'!$C$29*(1+'Inputs-System'!$C$43)), $C6 = "2", ('Inputs-System'!$C$26*'Coincidence Factors'!$B$6*(1+'Inputs-System'!$C$18))*'Inputs-Proposals'!$C$22*(VLOOKUP(DH$3,Capacity!$A$53:$E$85,4,FALSE)*(1+'Inputs-System'!$C$42)+VLOOKUP(DH$3,Capacity!$A$53:$E$85,5,FALSE)*'Inputs-System'!$C$29*(1+'Inputs-System'!$C$43)), $C6 = "3",('Inputs-System'!$C$26*'Coincidence Factors'!$B$6*(1+'Inputs-System'!$C$18))*'Inputs-Proposals'!$C$28*(VLOOKUP(DH$3,Capacity!$A$53:$E$85,4,FALSE)*(1+'Inputs-System'!$C$42)+VLOOKUP(DH$3,Capacity!$A$53:$E$85,5,FALSE)*'Inputs-System'!$C$29*(1+'Inputs-System'!$C$43)), $C6 = "0", 0), 0)</f>
        <v>0</v>
      </c>
      <c r="DL6" s="44">
        <v>0</v>
      </c>
      <c r="DM6" s="342">
        <f>IFERROR(_xlfn.IFS($C6="1", 'Inputs-System'!$C$30*'Coincidence Factors'!$B$6*'Inputs-Proposals'!$C$17*'Inputs-Proposals'!$C$19*(VLOOKUP(DH$3,'Non-Embedded Emissions'!$A$56:$D$90,2,FALSE)+VLOOKUP(DH$3,'Non-Embedded Emissions'!$A$143:$D$174,2,FALSE)+VLOOKUP(DH$3,'Non-Embedded Emissions'!$A$230:$D$259,2,FALSE)), $C6 = "2", 'Inputs-System'!$C$30*'Coincidence Factors'!$B$6*'Inputs-Proposals'!$C$23*'Inputs-Proposals'!$C$25*(VLOOKUP(DH$3,'Non-Embedded Emissions'!$A$56:$D$90,2,FALSE)+VLOOKUP(DH$3,'Non-Embedded Emissions'!$A$143:$D$174,2,FALSE)+VLOOKUP(DH$3,'Non-Embedded Emissions'!$A$230:$D$259,2,FALSE)), $C6 = "3", 'Inputs-System'!$C$30*'Coincidence Factors'!$B$6*'Inputs-Proposals'!$C$29*'Inputs-Proposals'!$C$31*(VLOOKUP(DH$3,'Non-Embedded Emissions'!$A$56:$D$90,2,FALSE)+VLOOKUP(DH$3,'Non-Embedded Emissions'!$A$143:$D$174,2,FALSE)+VLOOKUP(DH$3,'Non-Embedded Emissions'!$A$230:$D$259,2,FALSE)), $C6 = "0", 0), 0)</f>
        <v>0</v>
      </c>
      <c r="DN6" s="45">
        <f>IFERROR(_xlfn.IFS($C6="1",('Inputs-System'!$C$30*'Coincidence Factors'!$B$6*(1+'Inputs-System'!$C$18)*(1+'Inputs-System'!$C$41)*('Inputs-Proposals'!$C$17*'Inputs-Proposals'!$C$19*(1-'Inputs-Proposals'!$C$20^(DN$3-'Inputs-System'!$C$7)))*(VLOOKUP(DN$3,Energy!$A$51:$K$83,5,FALSE))), $C6 = "2",('Inputs-System'!$C$30*'Coincidence Factors'!$B$6)*(1+'Inputs-System'!$C$18)*(1+'Inputs-System'!$C$41)*('Inputs-Proposals'!$C$23*'Inputs-Proposals'!$C$25*(1-'Inputs-Proposals'!$C$26^(DN$3-'Inputs-System'!$C$7)))*(VLOOKUP(DN$3,Energy!$A$51:$K$83,5,FALSE)), $C6= "3", ('Inputs-System'!$C$30*'Coincidence Factors'!$B$6*(1+'Inputs-System'!$C$18)*(1+'Inputs-System'!$C$41)*('Inputs-Proposals'!$C$29*'Inputs-Proposals'!$C$31*(1-'Inputs-Proposals'!$C$32^(DN$3-'Inputs-System'!$C$7)))*(VLOOKUP(DN$3,Energy!$A$51:$K$83,5,FALSE))), $C6= "0", 0), 0)</f>
        <v>0</v>
      </c>
      <c r="DO6" s="44">
        <f>IFERROR(_xlfn.IFS($C6="1",('Inputs-System'!$C$30*'Coincidence Factors'!$B$6*(1+'Inputs-System'!$C$18)*(1+'Inputs-System'!$C$41))*'Inputs-Proposals'!$C$17*'Inputs-Proposals'!$C$19*(1-'Inputs-Proposals'!$C$20^(DN$3-'Inputs-System'!$C$7))*(VLOOKUP(DN$3,'Embedded Emissions'!$A$47:$B$78,2,FALSE)+VLOOKUP(DN$3,'Embedded Emissions'!$A$129:$B$158,2,FALSE)), $C6 = "2",('Inputs-System'!$C$30*'Coincidence Factors'!$B$6*(1+'Inputs-System'!$C$18)*(1+'Inputs-System'!$C$41))*'Inputs-Proposals'!$C$23*'Inputs-Proposals'!$C$25*(1-'Inputs-Proposals'!$C$20^(DN$3-'Inputs-System'!$C$7))*(VLOOKUP(DN$3,'Embedded Emissions'!$A$47:$B$78,2,FALSE)+VLOOKUP(DN$3,'Embedded Emissions'!$A$129:$B$158,2,FALSE)), $C6 = "3", ('Inputs-System'!$C$30*'Coincidence Factors'!$B$6*(1+'Inputs-System'!$C$18)*(1+'Inputs-System'!$C$41))*'Inputs-Proposals'!$C$29*'Inputs-Proposals'!$C$31*(1-'Inputs-Proposals'!$C$20^(DN$3-'Inputs-System'!$C$7))*(VLOOKUP(DN$3,'Embedded Emissions'!$A$47:$B$78,2,FALSE)+VLOOKUP(DN$3,'Embedded Emissions'!$A$129:$B$158,2,FALSE)), $C6 = "0", 0), 0)</f>
        <v>0</v>
      </c>
      <c r="DP6" s="44">
        <f>IFERROR(_xlfn.IFS($C6="1",( 'Inputs-System'!$C$30*'Coincidence Factors'!$B$6*(1+'Inputs-System'!$C$18)*(1+'Inputs-System'!$C$41))*('Inputs-Proposals'!$C$17*'Inputs-Proposals'!$C$19*(1-'Inputs-Proposals'!$C$20)^(DN$3-'Inputs-System'!$C$7))*(VLOOKUP(DN$3,DRIPE!$A$54:$I$82,5,FALSE)+VLOOKUP(DN$3,DRIPE!$A$54:$I$82,9,FALSE))+ ('Inputs-System'!$C$26*'Coincidence Factors'!$B$6*(1+'Inputs-System'!$C$18)*(1+'Inputs-System'!$C$42))*'Inputs-Proposals'!$C$16*VLOOKUP(DN$3,DRIPE!$A$54:$I$82,8,FALSE), $C6 = "2",( 'Inputs-System'!$C$30*'Coincidence Factors'!$B$6*(1+'Inputs-System'!$C$18)*(1+'Inputs-System'!$C$41))*('Inputs-Proposals'!$C$23*'Inputs-Proposals'!$C$25*(1-'Inputs-Proposals'!$C$26)^(DN$3-'Inputs-System'!$C$7))*(VLOOKUP(DN$3,DRIPE!$A$54:$I$82,5,FALSE)+VLOOKUP(DN$3,DRIPE!$A$54:$I$82,9,FALSE))+ ('Inputs-System'!$C$26*'Coincidence Factors'!$B$6*(1+'Inputs-System'!$C$18)*(1+'Inputs-System'!$C$42))*'Inputs-Proposals'!$C$22*VLOOKUP(DN$3,DRIPE!$A$54:$I$82,8,FALSE), $C6= "3", ( 'Inputs-System'!$C$30*'Coincidence Factors'!$B$6*(1+'Inputs-System'!$C$18)*(1+'Inputs-System'!$C$41))*('Inputs-Proposals'!$C$29*'Inputs-Proposals'!$C$31*(1-'Inputs-Proposals'!$C$32)^(DN$3-'Inputs-System'!$C$7))*(VLOOKUP(DN$3,DRIPE!$A$54:$I$82,5,FALSE)+VLOOKUP(DN$3,DRIPE!$A$54:$I$82,9,FALSE))+ ('Inputs-System'!$C$26*'Coincidence Factors'!$B$6*(1+'Inputs-System'!$C$18)*(1+'Inputs-System'!$C$42))*'Inputs-Proposals'!$C$28*VLOOKUP(DN$3,DRIPE!$A$54:$I$82,8,FALSE), $C6 = "0", 0), 0)</f>
        <v>0</v>
      </c>
      <c r="DQ6" s="45">
        <f>IFERROR(_xlfn.IFS($C6="1",('Inputs-System'!$C$26*'Coincidence Factors'!$B$6*(1+'Inputs-System'!$C$18))*'Inputs-Proposals'!$C$16*(VLOOKUP(DN$3,Capacity!$A$53:$E$85,4,FALSE)*(1+'Inputs-System'!$C$42)+VLOOKUP(DN$3,Capacity!$A$53:$E$85,5,FALSE)*'Inputs-System'!$C$29*(1+'Inputs-System'!$C$43)), $C6 = "2", ('Inputs-System'!$C$26*'Coincidence Factors'!$B$6*(1+'Inputs-System'!$C$18))*'Inputs-Proposals'!$C$22*(VLOOKUP(DN$3,Capacity!$A$53:$E$85,4,FALSE)*(1+'Inputs-System'!$C$42)+VLOOKUP(DN$3,Capacity!$A$53:$E$85,5,FALSE)*'Inputs-System'!$C$29*(1+'Inputs-System'!$C$43)), $C6 = "3",('Inputs-System'!$C$26*'Coincidence Factors'!$B$6*(1+'Inputs-System'!$C$18))*'Inputs-Proposals'!$C$28*(VLOOKUP(DN$3,Capacity!$A$53:$E$85,4,FALSE)*(1+'Inputs-System'!$C$42)+VLOOKUP(DN$3,Capacity!$A$53:$E$85,5,FALSE)*'Inputs-System'!$C$29*(1+'Inputs-System'!$C$43)), $C6 = "0", 0), 0)</f>
        <v>0</v>
      </c>
      <c r="DR6" s="44">
        <v>0</v>
      </c>
      <c r="DS6" s="342">
        <f>IFERROR(_xlfn.IFS($C6="1", 'Inputs-System'!$C$30*'Coincidence Factors'!$B$6*'Inputs-Proposals'!$C$17*'Inputs-Proposals'!$C$19*(VLOOKUP(DN$3,'Non-Embedded Emissions'!$A$56:$D$90,2,FALSE)+VLOOKUP(DN$3,'Non-Embedded Emissions'!$A$143:$D$174,2,FALSE)+VLOOKUP(DN$3,'Non-Embedded Emissions'!$A$230:$D$259,2,FALSE)), $C6 = "2", 'Inputs-System'!$C$30*'Coincidence Factors'!$B$6*'Inputs-Proposals'!$C$23*'Inputs-Proposals'!$C$25*(VLOOKUP(DN$3,'Non-Embedded Emissions'!$A$56:$D$90,2,FALSE)+VLOOKUP(DN$3,'Non-Embedded Emissions'!$A$143:$D$174,2,FALSE)+VLOOKUP(DN$3,'Non-Embedded Emissions'!$A$230:$D$259,2,FALSE)), $C6 = "3", 'Inputs-System'!$C$30*'Coincidence Factors'!$B$6*'Inputs-Proposals'!$C$29*'Inputs-Proposals'!$C$31*(VLOOKUP(DN$3,'Non-Embedded Emissions'!$A$56:$D$90,2,FALSE)+VLOOKUP(DN$3,'Non-Embedded Emissions'!$A$143:$D$174,2,FALSE)+VLOOKUP(DN$3,'Non-Embedded Emissions'!$A$230:$D$259,2,FALSE)), $C6 = "0", 0), 0)</f>
        <v>0</v>
      </c>
      <c r="DT6" s="45">
        <f>IFERROR(_xlfn.IFS($C6="1",('Inputs-System'!$C$30*'Coincidence Factors'!$B$6*(1+'Inputs-System'!$C$18)*(1+'Inputs-System'!$C$41)*('Inputs-Proposals'!$C$17*'Inputs-Proposals'!$C$19*(1-'Inputs-Proposals'!$C$20^(DT$3-'Inputs-System'!$C$7)))*(VLOOKUP(DT$3,Energy!$A$51:$K$83,5,FALSE))), $C6 = "2",('Inputs-System'!$C$30*'Coincidence Factors'!$B$6)*(1+'Inputs-System'!$C$18)*(1+'Inputs-System'!$C$41)*('Inputs-Proposals'!$C$23*'Inputs-Proposals'!$C$25*(1-'Inputs-Proposals'!$C$26^(DT$3-'Inputs-System'!$C$7)))*(VLOOKUP(DT$3,Energy!$A$51:$K$83,5,FALSE)), $C6= "3", ('Inputs-System'!$C$30*'Coincidence Factors'!$B$6*(1+'Inputs-System'!$C$18)*(1+'Inputs-System'!$C$41)*('Inputs-Proposals'!$C$29*'Inputs-Proposals'!$C$31*(1-'Inputs-Proposals'!$C$32^(DT$3-'Inputs-System'!$C$7)))*(VLOOKUP(DT$3,Energy!$A$51:$K$83,5,FALSE))), $C6= "0", 0), 0)</f>
        <v>0</v>
      </c>
      <c r="DU6" s="44">
        <f>IFERROR(_xlfn.IFS($C6="1",('Inputs-System'!$C$30*'Coincidence Factors'!$B$6*(1+'Inputs-System'!$C$18)*(1+'Inputs-System'!$C$41))*'Inputs-Proposals'!$C$17*'Inputs-Proposals'!$C$19*(1-'Inputs-Proposals'!$C$20^(DT$3-'Inputs-System'!$C$7))*(VLOOKUP(DT$3,'Embedded Emissions'!$A$47:$B$78,2,FALSE)+VLOOKUP(DT$3,'Embedded Emissions'!$A$129:$B$158,2,FALSE)), $C6 = "2",('Inputs-System'!$C$30*'Coincidence Factors'!$B$6*(1+'Inputs-System'!$C$18)*(1+'Inputs-System'!$C$41))*'Inputs-Proposals'!$C$23*'Inputs-Proposals'!$C$25*(1-'Inputs-Proposals'!$C$20^(DT$3-'Inputs-System'!$C$7))*(VLOOKUP(DT$3,'Embedded Emissions'!$A$47:$B$78,2,FALSE)+VLOOKUP(DT$3,'Embedded Emissions'!$A$129:$B$158,2,FALSE)), $C6 = "3", ('Inputs-System'!$C$30*'Coincidence Factors'!$B$6*(1+'Inputs-System'!$C$18)*(1+'Inputs-System'!$C$41))*'Inputs-Proposals'!$C$29*'Inputs-Proposals'!$C$31*(1-'Inputs-Proposals'!$C$20^(DT$3-'Inputs-System'!$C$7))*(VLOOKUP(DT$3,'Embedded Emissions'!$A$47:$B$78,2,FALSE)+VLOOKUP(DT$3,'Embedded Emissions'!$A$129:$B$158,2,FALSE)), $C6 = "0", 0), 0)</f>
        <v>0</v>
      </c>
      <c r="DV6" s="44">
        <f>IFERROR(_xlfn.IFS($C6="1",( 'Inputs-System'!$C$30*'Coincidence Factors'!$B$6*(1+'Inputs-System'!$C$18)*(1+'Inputs-System'!$C$41))*('Inputs-Proposals'!$C$17*'Inputs-Proposals'!$C$19*(1-'Inputs-Proposals'!$C$20)^(DT$3-'Inputs-System'!$C$7))*(VLOOKUP(DT$3,DRIPE!$A$54:$I$82,5,FALSE)+VLOOKUP(DT$3,DRIPE!$A$54:$I$82,9,FALSE))+ ('Inputs-System'!$C$26*'Coincidence Factors'!$B$6*(1+'Inputs-System'!$C$18)*(1+'Inputs-System'!$C$42))*'Inputs-Proposals'!$C$16*VLOOKUP(DT$3,DRIPE!$A$54:$I$82,8,FALSE), $C6 = "2",( 'Inputs-System'!$C$30*'Coincidence Factors'!$B$6*(1+'Inputs-System'!$C$18)*(1+'Inputs-System'!$C$41))*('Inputs-Proposals'!$C$23*'Inputs-Proposals'!$C$25*(1-'Inputs-Proposals'!$C$26)^(DT$3-'Inputs-System'!$C$7))*(VLOOKUP(DT$3,DRIPE!$A$54:$I$82,5,FALSE)+VLOOKUP(DT$3,DRIPE!$A$54:$I$82,9,FALSE))+ ('Inputs-System'!$C$26*'Coincidence Factors'!$B$6*(1+'Inputs-System'!$C$18)*(1+'Inputs-System'!$C$42))*'Inputs-Proposals'!$C$22*VLOOKUP(DT$3,DRIPE!$A$54:$I$82,8,FALSE), $C6= "3", ( 'Inputs-System'!$C$30*'Coincidence Factors'!$B$6*(1+'Inputs-System'!$C$18)*(1+'Inputs-System'!$C$41))*('Inputs-Proposals'!$C$29*'Inputs-Proposals'!$C$31*(1-'Inputs-Proposals'!$C$32)^(DT$3-'Inputs-System'!$C$7))*(VLOOKUP(DT$3,DRIPE!$A$54:$I$82,5,FALSE)+VLOOKUP(DT$3,DRIPE!$A$54:$I$82,9,FALSE))+ ('Inputs-System'!$C$26*'Coincidence Factors'!$B$6*(1+'Inputs-System'!$C$18)*(1+'Inputs-System'!$C$42))*'Inputs-Proposals'!$C$28*VLOOKUP(DT$3,DRIPE!$A$54:$I$82,8,FALSE), $C6 = "0", 0), 0)</f>
        <v>0</v>
      </c>
      <c r="DW6" s="45">
        <f>IFERROR(_xlfn.IFS($C6="1",('Inputs-System'!$C$26*'Coincidence Factors'!$B$6*(1+'Inputs-System'!$C$18))*'Inputs-Proposals'!$C$16*(VLOOKUP(DT$3,Capacity!$A$53:$E$85,4,FALSE)*(1+'Inputs-System'!$C$42)+VLOOKUP(DT$3,Capacity!$A$53:$E$85,5,FALSE)*'Inputs-System'!$C$29*(1+'Inputs-System'!$C$43)), $C6 = "2", ('Inputs-System'!$C$26*'Coincidence Factors'!$B$6*(1+'Inputs-System'!$C$18))*'Inputs-Proposals'!$C$22*(VLOOKUP(DT$3,Capacity!$A$53:$E$85,4,FALSE)*(1+'Inputs-System'!$C$42)+VLOOKUP(DT$3,Capacity!$A$53:$E$85,5,FALSE)*'Inputs-System'!$C$29*(1+'Inputs-System'!$C$43)), $C6 = "3",('Inputs-System'!$C$26*'Coincidence Factors'!$B$6*(1+'Inputs-System'!$C$18))*'Inputs-Proposals'!$C$28*(VLOOKUP(DT$3,Capacity!$A$53:$E$85,4,FALSE)*(1+'Inputs-System'!$C$42)+VLOOKUP(DT$3,Capacity!$A$53:$E$85,5,FALSE)*'Inputs-System'!$C$29*(1+'Inputs-System'!$C$43)), $C6 = "0", 0), 0)</f>
        <v>0</v>
      </c>
      <c r="DX6" s="44">
        <v>0</v>
      </c>
      <c r="DY6" s="342">
        <f>IFERROR(_xlfn.IFS($C6="1", 'Inputs-System'!$C$30*'Coincidence Factors'!$B$6*'Inputs-Proposals'!$C$17*'Inputs-Proposals'!$C$19*(VLOOKUP(DT$3,'Non-Embedded Emissions'!$A$56:$D$90,2,FALSE)+VLOOKUP(DT$3,'Non-Embedded Emissions'!$A$143:$D$174,2,FALSE)+VLOOKUP(DT$3,'Non-Embedded Emissions'!$A$230:$D$259,2,FALSE)), $C6 = "2", 'Inputs-System'!$C$30*'Coincidence Factors'!$B$6*'Inputs-Proposals'!$C$23*'Inputs-Proposals'!$C$25*(VLOOKUP(DT$3,'Non-Embedded Emissions'!$A$56:$D$90,2,FALSE)+VLOOKUP(DT$3,'Non-Embedded Emissions'!$A$143:$D$174,2,FALSE)+VLOOKUP(DT$3,'Non-Embedded Emissions'!$A$230:$D$259,2,FALSE)), $C6 = "3", 'Inputs-System'!$C$30*'Coincidence Factors'!$B$6*'Inputs-Proposals'!$C$29*'Inputs-Proposals'!$C$31*(VLOOKUP(DT$3,'Non-Embedded Emissions'!$A$56:$D$90,2,FALSE)+VLOOKUP(DT$3,'Non-Embedded Emissions'!$A$143:$D$174,2,FALSE)+VLOOKUP(DT$3,'Non-Embedded Emissions'!$A$230:$D$259,2,FALSE)), $C6 = "0", 0), 0)</f>
        <v>0</v>
      </c>
      <c r="DZ6" s="45">
        <f>IFERROR(_xlfn.IFS($C6="1",('Inputs-System'!$C$30*'Coincidence Factors'!$B$6*(1+'Inputs-System'!$C$18)*(1+'Inputs-System'!$C$41)*('Inputs-Proposals'!$C$17*'Inputs-Proposals'!$C$19*(1-'Inputs-Proposals'!$C$20^(DZ$3-'Inputs-System'!$C$7)))*(VLOOKUP(DZ$3,Energy!$A$51:$K$83,5,FALSE))), $C6 = "2",('Inputs-System'!$C$30*'Coincidence Factors'!$B$6)*(1+'Inputs-System'!$C$18)*(1+'Inputs-System'!$C$41)*('Inputs-Proposals'!$C$23*'Inputs-Proposals'!$C$25*(1-'Inputs-Proposals'!$C$26^(DZ$3-'Inputs-System'!$C$7)))*(VLOOKUP(DZ$3,Energy!$A$51:$K$83,5,FALSE)), $C6= "3", ('Inputs-System'!$C$30*'Coincidence Factors'!$B$6*(1+'Inputs-System'!$C$18)*(1+'Inputs-System'!$C$41)*('Inputs-Proposals'!$C$29*'Inputs-Proposals'!$C$31*(1-'Inputs-Proposals'!$C$32^(DZ$3-'Inputs-System'!$C$7)))*(VLOOKUP(DZ$3,Energy!$A$51:$K$83,5,FALSE))), $C6= "0", 0), 0)</f>
        <v>0</v>
      </c>
      <c r="EA6" s="44">
        <f>IFERROR(_xlfn.IFS($C6="1",('Inputs-System'!$C$30*'Coincidence Factors'!$B$6*(1+'Inputs-System'!$C$18)*(1+'Inputs-System'!$C$41))*'Inputs-Proposals'!$C$17*'Inputs-Proposals'!$C$19*(1-'Inputs-Proposals'!$C$20^(DZ$3-'Inputs-System'!$C$7))*(VLOOKUP(DZ$3,'Embedded Emissions'!$A$47:$B$78,2,FALSE)+VLOOKUP(DZ$3,'Embedded Emissions'!$A$129:$B$158,2,FALSE)), $C6 = "2",('Inputs-System'!$C$30*'Coincidence Factors'!$B$6*(1+'Inputs-System'!$C$18)*(1+'Inputs-System'!$C$41))*'Inputs-Proposals'!$C$23*'Inputs-Proposals'!$C$25*(1-'Inputs-Proposals'!$C$20^(DZ$3-'Inputs-System'!$C$7))*(VLOOKUP(DZ$3,'Embedded Emissions'!$A$47:$B$78,2,FALSE)+VLOOKUP(DZ$3,'Embedded Emissions'!$A$129:$B$158,2,FALSE)), $C6 = "3", ('Inputs-System'!$C$30*'Coincidence Factors'!$B$6*(1+'Inputs-System'!$C$18)*(1+'Inputs-System'!$C$41))*'Inputs-Proposals'!$C$29*'Inputs-Proposals'!$C$31*(1-'Inputs-Proposals'!$C$20^(DZ$3-'Inputs-System'!$C$7))*(VLOOKUP(DZ$3,'Embedded Emissions'!$A$47:$B$78,2,FALSE)+VLOOKUP(DZ$3,'Embedded Emissions'!$A$129:$B$158,2,FALSE)), $C6 = "0", 0), 0)</f>
        <v>0</v>
      </c>
      <c r="EB6" s="44">
        <f>IFERROR(_xlfn.IFS($C6="1",( 'Inputs-System'!$C$30*'Coincidence Factors'!$B$6*(1+'Inputs-System'!$C$18)*(1+'Inputs-System'!$C$41))*('Inputs-Proposals'!$C$17*'Inputs-Proposals'!$C$19*(1-'Inputs-Proposals'!$C$20)^(DZ$3-'Inputs-System'!$C$7))*(VLOOKUP(DZ$3,DRIPE!$A$54:$I$82,5,FALSE)+VLOOKUP(DZ$3,DRIPE!$A$54:$I$82,9,FALSE))+ ('Inputs-System'!$C$26*'Coincidence Factors'!$B$6*(1+'Inputs-System'!$C$18)*(1+'Inputs-System'!$C$42))*'Inputs-Proposals'!$C$16*VLOOKUP(DZ$3,DRIPE!$A$54:$I$82,8,FALSE), $C6 = "2",( 'Inputs-System'!$C$30*'Coincidence Factors'!$B$6*(1+'Inputs-System'!$C$18)*(1+'Inputs-System'!$C$41))*('Inputs-Proposals'!$C$23*'Inputs-Proposals'!$C$25*(1-'Inputs-Proposals'!$C$26)^(DZ$3-'Inputs-System'!$C$7))*(VLOOKUP(DZ$3,DRIPE!$A$54:$I$82,5,FALSE)+VLOOKUP(DZ$3,DRIPE!$A$54:$I$82,9,FALSE))+ ('Inputs-System'!$C$26*'Coincidence Factors'!$B$6*(1+'Inputs-System'!$C$18)*(1+'Inputs-System'!$C$42))*'Inputs-Proposals'!$C$22*VLOOKUP(DZ$3,DRIPE!$A$54:$I$82,8,FALSE), $C6= "3", ( 'Inputs-System'!$C$30*'Coincidence Factors'!$B$6*(1+'Inputs-System'!$C$18)*(1+'Inputs-System'!$C$41))*('Inputs-Proposals'!$C$29*'Inputs-Proposals'!$C$31*(1-'Inputs-Proposals'!$C$32)^(DZ$3-'Inputs-System'!$C$7))*(VLOOKUP(DZ$3,DRIPE!$A$54:$I$82,5,FALSE)+VLOOKUP(DZ$3,DRIPE!$A$54:$I$82,9,FALSE))+ ('Inputs-System'!$C$26*'Coincidence Factors'!$B$6*(1+'Inputs-System'!$C$18)*(1+'Inputs-System'!$C$42))*'Inputs-Proposals'!$C$28*VLOOKUP(DZ$3,DRIPE!$A$54:$I$82,8,FALSE), $C6 = "0", 0), 0)</f>
        <v>0</v>
      </c>
      <c r="EC6" s="45">
        <f>IFERROR(_xlfn.IFS($C6="1",('Inputs-System'!$C$26*'Coincidence Factors'!$B$6*(1+'Inputs-System'!$C$18))*'Inputs-Proposals'!$C$16*(VLOOKUP(DZ$3,Capacity!$A$53:$E$85,4,FALSE)*(1+'Inputs-System'!$C$42)+VLOOKUP(DZ$3,Capacity!$A$53:$E$85,5,FALSE)*'Inputs-System'!$C$29*(1+'Inputs-System'!$C$43)), $C6 = "2", ('Inputs-System'!$C$26*'Coincidence Factors'!$B$6*(1+'Inputs-System'!$C$18))*'Inputs-Proposals'!$C$22*(VLOOKUP(DZ$3,Capacity!$A$53:$E$85,4,FALSE)*(1+'Inputs-System'!$C$42)+VLOOKUP(DZ$3,Capacity!$A$53:$E$85,5,FALSE)*'Inputs-System'!$C$29*(1+'Inputs-System'!$C$43)), $C6 = "3",('Inputs-System'!$C$26*'Coincidence Factors'!$B$6*(1+'Inputs-System'!$C$18))*'Inputs-Proposals'!$C$28*(VLOOKUP(DZ$3,Capacity!$A$53:$E$85,4,FALSE)*(1+'Inputs-System'!$C$42)+VLOOKUP(DZ$3,Capacity!$A$53:$E$85,5,FALSE)*'Inputs-System'!$C$29*(1+'Inputs-System'!$C$43)), $C6 = "0", 0), 0)</f>
        <v>0</v>
      </c>
      <c r="ED6" s="44">
        <v>0</v>
      </c>
      <c r="EE6" s="342">
        <f>IFERROR(_xlfn.IFS($C6="1", 'Inputs-System'!$C$30*'Coincidence Factors'!$B$6*'Inputs-Proposals'!$C$17*'Inputs-Proposals'!$C$19*(VLOOKUP(DZ$3,'Non-Embedded Emissions'!$A$56:$D$90,2,FALSE)+VLOOKUP(DZ$3,'Non-Embedded Emissions'!$A$143:$D$174,2,FALSE)+VLOOKUP(DZ$3,'Non-Embedded Emissions'!$A$230:$D$259,2,FALSE)), $C6 = "2", 'Inputs-System'!$C$30*'Coincidence Factors'!$B$6*'Inputs-Proposals'!$C$23*'Inputs-Proposals'!$C$25*(VLOOKUP(DZ$3,'Non-Embedded Emissions'!$A$56:$D$90,2,FALSE)+VLOOKUP(DZ$3,'Non-Embedded Emissions'!$A$143:$D$174,2,FALSE)+VLOOKUP(DZ$3,'Non-Embedded Emissions'!$A$230:$D$259,2,FALSE)), $C6 = "3", 'Inputs-System'!$C$30*'Coincidence Factors'!$B$6*'Inputs-Proposals'!$C$29*'Inputs-Proposals'!$C$31*(VLOOKUP(DZ$3,'Non-Embedded Emissions'!$A$56:$D$90,2,FALSE)+VLOOKUP(DZ$3,'Non-Embedded Emissions'!$A$143:$D$174,2,FALSE)+VLOOKUP(DZ$3,'Non-Embedded Emissions'!$A$230:$D$259,2,FALSE)), $C6 = "0", 0), 0)</f>
        <v>0</v>
      </c>
    </row>
    <row r="7" spans="1:135" x14ac:dyDescent="0.35">
      <c r="A7" s="708"/>
      <c r="B7" s="3" t="s">
        <v>159</v>
      </c>
      <c r="C7" s="118" t="str">
        <f>IFERROR(_xlfn.IFS('Benefits Calc'!B7='Inputs-Proposals'!$C$15, "1", 'Benefits Calc'!B7='Inputs-Proposals'!$C$21, "2", 'Benefits Calc'!B7='Inputs-Proposals'!$C$27, "3"), "0")</f>
        <v>0</v>
      </c>
      <c r="D7" s="44">
        <f t="shared" si="0"/>
        <v>0</v>
      </c>
      <c r="E7" s="44">
        <f t="shared" si="1"/>
        <v>0</v>
      </c>
      <c r="F7" s="44">
        <f t="shared" si="2"/>
        <v>0</v>
      </c>
      <c r="G7" s="44">
        <f t="shared" si="3"/>
        <v>0</v>
      </c>
      <c r="H7" s="44">
        <f t="shared" si="4"/>
        <v>0</v>
      </c>
      <c r="I7" s="44">
        <f t="shared" si="5"/>
        <v>0</v>
      </c>
      <c r="J7" s="323">
        <f>NPV('Inputs-System'!$C$20,P7+V7+AB7+AH7+AN7+AT7+AZ7+BF7+BL7+BR7+BX7+CD7+CJ7+CP7+CV7+DB7+DH7+DN7+DT7+DZ7)</f>
        <v>0</v>
      </c>
      <c r="K7" s="44">
        <f>NPV('Inputs-System'!$C$20,Q7+W7+AC7+AI7+AO7+AU7+BA7+BG7+BM7+BS7+BY7+CE7+CK7+CQ7+CW7+DC7+DI7+DO7+DU7+EA7)</f>
        <v>0</v>
      </c>
      <c r="L7" s="44">
        <f>NPV('Inputs-System'!$C$20,R7+X7+AD7+AJ7+AP7+AV7+BB7+BH7+BN7+BT7+BZ7+CF7+CL7+CR7+CX7+DD7+DJ7+DP7+DV7+EB7)</f>
        <v>0</v>
      </c>
      <c r="M7" s="44">
        <f>NPV('Inputs-System'!$C$20,S7+Y7+AE7+AK7+AQ7+AW7+BC7+BI7+BO7+BU7+CA7+CG7+CM7+CS7+CY7+DE7+DK7+DQ7+DW7+EC7)</f>
        <v>0</v>
      </c>
      <c r="N7" s="44">
        <f>NPV('Inputs-System'!$C$20,T7+Z7+AF7+AL7+AR7+AX7+BD7+BJ7+BP7+BV7+CB7+CH7+CN7+CT7+CZ7+DF7+DL7+DR7+DX7+ED7)</f>
        <v>0</v>
      </c>
      <c r="O7" s="44">
        <f>NPV('Inputs-System'!$C$20,U7+AA7+AG7+AM7+AS7+AY7+BE7+BK7+BQ7+BW7+CC7+CI7+CO7+CU7+DA7+DG7+DM7+DS7+DY7+EE7)</f>
        <v>0</v>
      </c>
      <c r="P7" s="347">
        <f>IFERROR(_xlfn.IFS($C7="1",('Inputs-System'!$C$30*'Coincidence Factors'!$B$7*(1+'Inputs-System'!$C$18)*(1+'Inputs-System'!$C$41)*('Inputs-Proposals'!$C$17*'Inputs-Proposals'!$C$19*('Inputs-Proposals'!$C$20))*(VLOOKUP(P$3,Energy!$A$51:$K$83,5,FALSE))), $C7 = "2",('Inputs-System'!$C$30*'Coincidence Factors'!$B$7)*(1+'Inputs-System'!$C$18)*(1+'Inputs-System'!$C$41)*('Inputs-Proposals'!$C$23*'Inputs-Proposals'!$C$25*('Inputs-Proposals'!$C$26))*(VLOOKUP(P$3,Energy!$A$51:$K$83,5,FALSE)), $C7= "3", ('Inputs-System'!$C$30*'Coincidence Factors'!$B$7*(1+'Inputs-System'!$C$18)*(1+'Inputs-System'!$C$41)*('Inputs-Proposals'!$C$29*'Inputs-Proposals'!$C$31*('Inputs-Proposals'!$C$32))*(VLOOKUP(P$3,Energy!$A$51:$K$83,5,FALSE))), $C7= "0", 0), 0)</f>
        <v>0</v>
      </c>
      <c r="Q7" s="44">
        <f>IFERROR(_xlfn.IFS($C7="1",'Inputs-System'!$C$30*'Coincidence Factors'!$B$7*(1+'Inputs-System'!$C$18)*(1+'Inputs-System'!$C$41)*'Inputs-Proposals'!$C$17*'Inputs-Proposals'!$C$19*('Inputs-Proposals'!$C$20)*(VLOOKUP(P$3,'Embedded Emissions'!$A$47:$B$78,2,FALSE)+VLOOKUP(P$3,'Embedded Emissions'!$A$129:$B$158,2,FALSE)), $C7 = "2",'Inputs-System'!$C$30*'Coincidence Factors'!$B$7*(1+'Inputs-System'!$C$18)*(1+'Inputs-System'!$C$41)*'Inputs-Proposals'!$C$23*'Inputs-Proposals'!$C$25*('Inputs-Proposals'!$C$20)*(VLOOKUP(P$3,'Embedded Emissions'!$A$47:$B$78,2,FALSE)+VLOOKUP(P$3,'Embedded Emissions'!$A$129:$B$158,2,FALSE)), $C7 = "3", 'Inputs-System'!$C$30*'Coincidence Factors'!$B$7*(1+'Inputs-System'!$C$18)*(1+'Inputs-System'!$C$41)*'Inputs-Proposals'!$C$29*'Inputs-Proposals'!$C$31*('Inputs-Proposals'!$C$20)*(VLOOKUP(P$3,'Embedded Emissions'!$A$47:$B$78,2,FALSE)+VLOOKUP(P$3,'Embedded Emissions'!$A$129:$B$158,2,FALSE)), $C7 = "0", 0), 0)</f>
        <v>0</v>
      </c>
      <c r="R7" s="44">
        <f>IFERROR(_xlfn.IFS($C7="1",( 'Inputs-System'!$C$30*'Coincidence Factors'!$B$7*(1+'Inputs-System'!$C$18)*(1+'Inputs-System'!$C$41))*('Inputs-Proposals'!$C$17*'Inputs-Proposals'!$C$19*('Inputs-Proposals'!$C$20))*(VLOOKUP(P$3,DRIPE!$A$54:$I$82,5,FALSE)+VLOOKUP(P$3,DRIPE!$A$54:$I$82,9,FALSE))+ ('Inputs-System'!$C$26*'Coincidence Factors'!$B$7*(1+'Inputs-System'!$C$18)*(1+'Inputs-System'!$C$42))*'Inputs-Proposals'!$C$16*VLOOKUP(P$3,DRIPE!$A$54:$I$82,8,FALSE), $C7 = "2",( 'Inputs-System'!$C$30*'Coincidence Factors'!$B$7*(1+'Inputs-System'!$C$18)*(1+'Inputs-System'!$C$41))*('Inputs-Proposals'!$C$23*'Inputs-Proposals'!$C$25*('Inputs-Proposals'!$C$26))*(VLOOKUP(P$3,DRIPE!$A$54:$I$82,5,FALSE)+VLOOKUP(P$3,DRIPE!$A$54:$I$82,12,FALSE))+ ('Inputs-System'!$C$26*'Coincidence Factors'!$B$7*(1+'Inputs-System'!$C$18)*(1+'Inputs-System'!$C$42))*'Inputs-Proposals'!$C$22*VLOOKUP(P$3,DRIPE!$A$54:$I$82,8,FALSE), $C7= "3", ( 'Inputs-System'!$C$30*'Coincidence Factors'!$B$7*(1+'Inputs-System'!$C$18)*(1+'Inputs-System'!$C$41))*('Inputs-Proposals'!$C$29*'Inputs-Proposals'!$C$31*('Inputs-Proposals'!$C$32))*(VLOOKUP(P$3,DRIPE!$A$54:$I$82,5,FALSE)+VLOOKUP(P$3,DRIPE!$A$54:$I$82,12,FALSE))+ ('Inputs-System'!$C$26*'Coincidence Factors'!$B$7*(1+'Inputs-System'!$C$18)*(1+'Inputs-System'!$C$42))*'Inputs-Proposals'!$C$28*VLOOKUP(P$3,DRIPE!$A$54:$I$82,8,FALSE), $C7 = "0", 0), 0)</f>
        <v>0</v>
      </c>
      <c r="S7" s="45">
        <f>IFERROR(_xlfn.IFS($C7="1",('Inputs-System'!$C$26*'Coincidence Factors'!$B$7*(1+'Inputs-System'!$C$18))*'Inputs-Proposals'!$C$16*(VLOOKUP(P$3,Capacity!$A$53:$E$85,4,FALSE)*(1+'Inputs-System'!$C$42)+VLOOKUP(P$3,Capacity!$A$53:$E$85,5,FALSE)*'Inputs-System'!$C$29*(1+'Inputs-System'!$C$43)), $C7 = "2", ('Inputs-System'!$C$26*'Coincidence Factors'!$B$7*(1+'Inputs-System'!$C$18))*'Inputs-Proposals'!$C$22*(VLOOKUP(P$3,Capacity!$A$53:$E$85,4,FALSE)*(1+'Inputs-System'!$C$42)+VLOOKUP(P$3,Capacity!$A$53:$E$85,5,FALSE)*'Inputs-System'!$C$29*(1+'Inputs-System'!$C$43)), $C7 = "3",('Inputs-System'!$C$26*'Coincidence Factors'!$B$7*(1+'Inputs-System'!$C$18))*'Inputs-Proposals'!$C$28*(VLOOKUP(P$3,Capacity!$A$53:$E$85,4,FALSE)*(1+'Inputs-System'!$C$42)+VLOOKUP(P$3,Capacity!$A$53:$E$85,5,FALSE)*'Inputs-System'!$C$29*(1+'Inputs-System'!$C$43)), $C7 = "0", 0), 0)</f>
        <v>0</v>
      </c>
      <c r="T7" s="44">
        <v>0</v>
      </c>
      <c r="U7" s="342">
        <f>IFERROR(_xlfn.IFS($C7="1", 'Inputs-System'!$C$30*'Coincidence Factors'!$B$7*'Inputs-Proposals'!$C$17*'Inputs-Proposals'!$C$19*(VLOOKUP(P$3,'Non-Embedded Emissions'!$A$56:$D$90,2,FALSE)+VLOOKUP(P$3,'Non-Embedded Emissions'!$A$143:$D$174,2,FALSE)+VLOOKUP(P$3,'Non-Embedded Emissions'!$A$230:$D$259,2,FALSE)), $C7 = "2", 'Inputs-System'!$C$30*'Coincidence Factors'!$B$7*'Inputs-Proposals'!$C$23*'Inputs-Proposals'!$C$25*(VLOOKUP(P$3,'Non-Embedded Emissions'!$A$56:$D$90,2,FALSE)+VLOOKUP(P$3,'Non-Embedded Emissions'!$A$143:$D$174,2,FALSE)+VLOOKUP(P$3,'Non-Embedded Emissions'!$A$230:$D$259,2,FALSE)), $C7 = "3", 'Inputs-System'!$C$30*'Coincidence Factors'!$B$7*'Inputs-Proposals'!$C$29*'Inputs-Proposals'!$C$31*(VLOOKUP(P$3,'Non-Embedded Emissions'!$A$56:$D$90,2,FALSE)+VLOOKUP(P$3,'Non-Embedded Emissions'!$A$143:$D$174,2,FALSE)+VLOOKUP(P$3,'Non-Embedded Emissions'!$A$230:$D$259,2,FALSE)), $C7 = "0", 0), 0)</f>
        <v>0</v>
      </c>
      <c r="V7" s="45">
        <f>IFERROR(_xlfn.IFS($C7="1",('Inputs-System'!$C$30*'Coincidence Factors'!$B$7*(1+'Inputs-System'!$C$18)*(1+'Inputs-System'!$C$41)*('Inputs-Proposals'!$C$17*'Inputs-Proposals'!$C$19*('Inputs-Proposals'!$C$20))*(VLOOKUP(V$3,Energy!$A$51:$K$83,5,FALSE))), $C7 = "2",('Inputs-System'!$C$30*'Coincidence Factors'!$B$7)*(1+'Inputs-System'!$C$18)*(1+'Inputs-System'!$C$41)*('Inputs-Proposals'!$C$23*'Inputs-Proposals'!$C$25*('Inputs-Proposals'!$C$26))*(VLOOKUP(V$3,Energy!$A$51:$K$83,5,FALSE)), $C7= "3", ('Inputs-System'!$C$30*'Coincidence Factors'!$B$7*(1+'Inputs-System'!$C$18)*(1+'Inputs-System'!$C$41)*('Inputs-Proposals'!$C$29*'Inputs-Proposals'!$C$31*('Inputs-Proposals'!$C$32))*(VLOOKUP(V$3,Energy!$A$51:$K$83,5,FALSE))), $C7= "0", 0), 0)</f>
        <v>0</v>
      </c>
      <c r="W7" s="44">
        <f>IFERROR(_xlfn.IFS($C7="1",'Inputs-System'!$C$30*'Coincidence Factors'!$B$7*(1+'Inputs-System'!$C$18)*(1+'Inputs-System'!$C$41)*'Inputs-Proposals'!$C$17*'Inputs-Proposals'!$C$19*('Inputs-Proposals'!$C$20)*(VLOOKUP(V$3,'Embedded Emissions'!$A$47:$B$78,2,FALSE)+VLOOKUP(V$3,'Embedded Emissions'!$A$129:$B$158,2,FALSE)), $C7 = "2",'Inputs-System'!$C$30*'Coincidence Factors'!$B$7*(1+'Inputs-System'!$C$18)*(1+'Inputs-System'!$C$41)*'Inputs-Proposals'!$C$23*'Inputs-Proposals'!$C$25*('Inputs-Proposals'!$C$20)*(VLOOKUP(V$3,'Embedded Emissions'!$A$47:$B$78,2,FALSE)+VLOOKUP(V$3,'Embedded Emissions'!$A$129:$B$158,2,FALSE)), $C7 = "3", 'Inputs-System'!$C$30*'Coincidence Factors'!$B$7*(1+'Inputs-System'!$C$18)*(1+'Inputs-System'!$C$41)*'Inputs-Proposals'!$C$29*'Inputs-Proposals'!$C$31*('Inputs-Proposals'!$C$20)*(VLOOKUP(V$3,'Embedded Emissions'!$A$47:$B$78,2,FALSE)+VLOOKUP(V$3,'Embedded Emissions'!$A$129:$B$158,2,FALSE)), $C7 = "0", 0), 0)</f>
        <v>0</v>
      </c>
      <c r="X7" s="44">
        <f>IFERROR(_xlfn.IFS($C7="1",( 'Inputs-System'!$C$30*'Coincidence Factors'!$B$7*(1+'Inputs-System'!$C$18)*(1+'Inputs-System'!$C$41))*('Inputs-Proposals'!$C$17*'Inputs-Proposals'!$C$19*('Inputs-Proposals'!$C$20))*(VLOOKUP(V$3,DRIPE!$A$54:$I$82,5,FALSE)+VLOOKUP(V$3,DRIPE!$A$54:$I$82,9,FALSE))+ ('Inputs-System'!$C$26*'Coincidence Factors'!$B$7*(1+'Inputs-System'!$C$18)*(1+'Inputs-System'!$C$42))*'Inputs-Proposals'!$C$16*VLOOKUP(V$3,DRIPE!$A$54:$I$82,8,FALSE), $C7 = "2",( 'Inputs-System'!$C$30*'Coincidence Factors'!$B$7*(1+'Inputs-System'!$C$18)*(1+'Inputs-System'!$C$41))*('Inputs-Proposals'!$C$23*'Inputs-Proposals'!$C$25*('Inputs-Proposals'!$C$26))*(VLOOKUP(V$3,DRIPE!$A$54:$I$82,5,FALSE)+VLOOKUP(V$3,DRIPE!$A$54:$I$82,12,FALSE))+ ('Inputs-System'!$C$26*'Coincidence Factors'!$B$7*(1+'Inputs-System'!$C$18)*(1+'Inputs-System'!$C$42))*'Inputs-Proposals'!$C$22*VLOOKUP(V$3,DRIPE!$A$54:$I$82,8,FALSE), $C7= "3", ( 'Inputs-System'!$C$30*'Coincidence Factors'!$B$7*(1+'Inputs-System'!$C$18)*(1+'Inputs-System'!$C$41))*('Inputs-Proposals'!$C$29*'Inputs-Proposals'!$C$31*('Inputs-Proposals'!$C$32))*(VLOOKUP(V$3,DRIPE!$A$54:$I$82,5,FALSE)+VLOOKUP(V$3,DRIPE!$A$54:$I$82,12,FALSE))+ ('Inputs-System'!$C$26*'Coincidence Factors'!$B$7*(1+'Inputs-System'!$C$18)*(1+'Inputs-System'!$C$42))*'Inputs-Proposals'!$C$28*VLOOKUP(V$3,DRIPE!$A$54:$I$82,8,FALSE), $C7 = "0", 0), 0)</f>
        <v>0</v>
      </c>
      <c r="Y7" s="45">
        <f>IFERROR(_xlfn.IFS($C7="1",('Inputs-System'!$C$26*'Coincidence Factors'!$B$7*(1+'Inputs-System'!$C$18))*'Inputs-Proposals'!$C$16*(VLOOKUP(V$3,Capacity!$A$53:$E$85,4,FALSE)*(1+'Inputs-System'!$C$42)+VLOOKUP(V$3,Capacity!$A$53:$E$85,5,FALSE)*'Inputs-System'!$C$29*(1+'Inputs-System'!$C$43)), $C7 = "2", ('Inputs-System'!$C$26*'Coincidence Factors'!$B$7*(1+'Inputs-System'!$C$18))*'Inputs-Proposals'!$C$22*(VLOOKUP(V$3,Capacity!$A$53:$E$85,4,FALSE)*(1+'Inputs-System'!$C$42)+VLOOKUP(V$3,Capacity!$A$53:$E$85,5,FALSE)*'Inputs-System'!$C$29*(1+'Inputs-System'!$C$43)), $C7 = "3",('Inputs-System'!$C$26*'Coincidence Factors'!$B$7*(1+'Inputs-System'!$C$18))*'Inputs-Proposals'!$C$28*(VLOOKUP(V$3,Capacity!$A$53:$E$85,4,FALSE)*(1+'Inputs-System'!$C$42)+VLOOKUP(V$3,Capacity!$A$53:$E$85,5,FALSE)*'Inputs-System'!$C$29*(1+'Inputs-System'!$C$43)), $C7 = "0", 0), 0)</f>
        <v>0</v>
      </c>
      <c r="Z7" s="44">
        <v>0</v>
      </c>
      <c r="AA7" s="342">
        <f>IFERROR(_xlfn.IFS($C7="1", 'Inputs-System'!$C$30*'Coincidence Factors'!$B$7*'Inputs-Proposals'!$C$17*'Inputs-Proposals'!$C$19*(VLOOKUP(V$3,'Non-Embedded Emissions'!$A$56:$D$90,2,FALSE)+VLOOKUP(V$3,'Non-Embedded Emissions'!$A$143:$D$174,2,FALSE)+VLOOKUP(V$3,'Non-Embedded Emissions'!$A$230:$D$259,2,FALSE)), $C7 = "2", 'Inputs-System'!$C$30*'Coincidence Factors'!$B$7*'Inputs-Proposals'!$C$23*'Inputs-Proposals'!$C$25*(VLOOKUP(V$3,'Non-Embedded Emissions'!$A$56:$D$90,2,FALSE)+VLOOKUP(V$3,'Non-Embedded Emissions'!$A$143:$D$174,2,FALSE)+VLOOKUP(V$3,'Non-Embedded Emissions'!$A$230:$D$259,2,FALSE)), $C7 = "3", 'Inputs-System'!$C$30*'Coincidence Factors'!$B$7*'Inputs-Proposals'!$C$29*'Inputs-Proposals'!$C$31*(VLOOKUP(V$3,'Non-Embedded Emissions'!$A$56:$D$90,2,FALSE)+VLOOKUP(V$3,'Non-Embedded Emissions'!$A$143:$D$174,2,FALSE)+VLOOKUP(V$3,'Non-Embedded Emissions'!$A$230:$D$259,2,FALSE)), $C7 = "0", 0), 0)</f>
        <v>0</v>
      </c>
      <c r="AB7" s="45">
        <f>IFERROR(_xlfn.IFS($C7="1",('Inputs-System'!$C$30*'Coincidence Factors'!$B$7*(1+'Inputs-System'!$C$18)*(1+'Inputs-System'!$C$41)*('Inputs-Proposals'!$C$17*'Inputs-Proposals'!$C$19*('Inputs-Proposals'!$C$20))*(VLOOKUP(AB$3,Energy!$A$51:$K$83,5,FALSE))), $C7 = "2",('Inputs-System'!$C$30*'Coincidence Factors'!$B$7)*(1+'Inputs-System'!$C$18)*(1+'Inputs-System'!$C$41)*('Inputs-Proposals'!$C$23*'Inputs-Proposals'!$C$25*('Inputs-Proposals'!$C$26))*(VLOOKUP(AB$3,Energy!$A$51:$K$83,5,FALSE)), $C7= "3", ('Inputs-System'!$C$30*'Coincidence Factors'!$B$7*(1+'Inputs-System'!$C$18)*(1+'Inputs-System'!$C$41)*('Inputs-Proposals'!$C$29*'Inputs-Proposals'!$C$31*('Inputs-Proposals'!$C$32))*(VLOOKUP(AB$3,Energy!$A$51:$K$83,5,FALSE))), $C7= "0", 0), 0)</f>
        <v>0</v>
      </c>
      <c r="AC7" s="44">
        <f>IFERROR(_xlfn.IFS($C7="1",'Inputs-System'!$C$30*'Coincidence Factors'!$B$7*(1+'Inputs-System'!$C$18)*(1+'Inputs-System'!$C$41)*'Inputs-Proposals'!$C$17*'Inputs-Proposals'!$C$19*('Inputs-Proposals'!$C$20)*(VLOOKUP(AB$3,'Embedded Emissions'!$A$47:$B$78,2,FALSE)+VLOOKUP(AB$3,'Embedded Emissions'!$A$129:$B$158,2,FALSE)), $C7 = "2",'Inputs-System'!$C$30*'Coincidence Factors'!$B$7*(1+'Inputs-System'!$C$18)*(1+'Inputs-System'!$C$41)*'Inputs-Proposals'!$C$23*'Inputs-Proposals'!$C$25*('Inputs-Proposals'!$C$20)*(VLOOKUP(AB$3,'Embedded Emissions'!$A$47:$B$78,2,FALSE)+VLOOKUP(AB$3,'Embedded Emissions'!$A$129:$B$158,2,FALSE)), $C7 = "3", 'Inputs-System'!$C$30*'Coincidence Factors'!$B$7*(1+'Inputs-System'!$C$18)*(1+'Inputs-System'!$C$41)*'Inputs-Proposals'!$C$29*'Inputs-Proposals'!$C$31*('Inputs-Proposals'!$C$20)*(VLOOKUP(AB$3,'Embedded Emissions'!$A$47:$B$78,2,FALSE)+VLOOKUP(AB$3,'Embedded Emissions'!$A$129:$B$158,2,FALSE)), $C7 = "0", 0), 0)</f>
        <v>0</v>
      </c>
      <c r="AD7" s="44">
        <f>IFERROR(_xlfn.IFS($C7="1",( 'Inputs-System'!$C$30*'Coincidence Factors'!$B$7*(1+'Inputs-System'!$C$18)*(1+'Inputs-System'!$C$41))*('Inputs-Proposals'!$C$17*'Inputs-Proposals'!$C$19*('Inputs-Proposals'!$C$20))*(VLOOKUP(AB$3,DRIPE!$A$54:$I$82,5,FALSE)+VLOOKUP(AB$3,DRIPE!$A$54:$I$82,9,FALSE))+ ('Inputs-System'!$C$26*'Coincidence Factors'!$B$7*(1+'Inputs-System'!$C$18)*(1+'Inputs-System'!$C$42))*'Inputs-Proposals'!$C$16*VLOOKUP(AB$3,DRIPE!$A$54:$I$82,8,FALSE), $C7 = "2",( 'Inputs-System'!$C$30*'Coincidence Factors'!$B$7*(1+'Inputs-System'!$C$18)*(1+'Inputs-System'!$C$41))*('Inputs-Proposals'!$C$23*'Inputs-Proposals'!$C$25*('Inputs-Proposals'!$C$26))*(VLOOKUP(AB$3,DRIPE!$A$54:$I$82,5,FALSE)+VLOOKUP(AB$3,DRIPE!$A$54:$I$82,12,FALSE))+ ('Inputs-System'!$C$26*'Coincidence Factors'!$B$7*(1+'Inputs-System'!$C$18)*(1+'Inputs-System'!$C$42))*'Inputs-Proposals'!$C$22*VLOOKUP(AB$3,DRIPE!$A$54:$I$82,8,FALSE), $C7= "3", ( 'Inputs-System'!$C$30*'Coincidence Factors'!$B$7*(1+'Inputs-System'!$C$18)*(1+'Inputs-System'!$C$41))*('Inputs-Proposals'!$C$29*'Inputs-Proposals'!$C$31*('Inputs-Proposals'!$C$32))*(VLOOKUP(AB$3,DRIPE!$A$54:$I$82,5,FALSE)+VLOOKUP(AB$3,DRIPE!$A$54:$I$82,12,FALSE))+ ('Inputs-System'!$C$26*'Coincidence Factors'!$B$7*(1+'Inputs-System'!$C$18)*(1+'Inputs-System'!$C$42))*'Inputs-Proposals'!$C$28*VLOOKUP(AB$3,DRIPE!$A$54:$I$82,8,FALSE), $C7 = "0", 0), 0)</f>
        <v>0</v>
      </c>
      <c r="AE7" s="45">
        <f>IFERROR(_xlfn.IFS($C7="1",('Inputs-System'!$C$26*'Coincidence Factors'!$B$7*(1+'Inputs-System'!$C$18))*'Inputs-Proposals'!$C$16*(VLOOKUP(AB$3,Capacity!$A$53:$E$85,4,FALSE)*(1+'Inputs-System'!$C$42)+VLOOKUP(AB$3,Capacity!$A$53:$E$85,5,FALSE)*'Inputs-System'!$C$29*(1+'Inputs-System'!$C$43)), $C7 = "2", ('Inputs-System'!$C$26*'Coincidence Factors'!$B$7*(1+'Inputs-System'!$C$18))*'Inputs-Proposals'!$C$22*(VLOOKUP(AB$3,Capacity!$A$53:$E$85,4,FALSE)*(1+'Inputs-System'!$C$42)+VLOOKUP(AB$3,Capacity!$A$53:$E$85,5,FALSE)*'Inputs-System'!$C$29*(1+'Inputs-System'!$C$43)), $C7 = "3",('Inputs-System'!$C$26*'Coincidence Factors'!$B$7*(1+'Inputs-System'!$C$18))*'Inputs-Proposals'!$C$28*(VLOOKUP(AB$3,Capacity!$A$53:$E$85,4,FALSE)*(1+'Inputs-System'!$C$42)+VLOOKUP(AB$3,Capacity!$A$53:$E$85,5,FALSE)*'Inputs-System'!$C$29*(1+'Inputs-System'!$C$43)), $C7 = "0", 0), 0)</f>
        <v>0</v>
      </c>
      <c r="AF7" s="44">
        <v>0</v>
      </c>
      <c r="AG7" s="342">
        <f>IFERROR(_xlfn.IFS($C7="1", 'Inputs-System'!$C$30*'Coincidence Factors'!$B$7*'Inputs-Proposals'!$C$17*'Inputs-Proposals'!$C$19*(VLOOKUP(AB$3,'Non-Embedded Emissions'!$A$56:$D$90,2,FALSE)+VLOOKUP(AB$3,'Non-Embedded Emissions'!$A$143:$D$174,2,FALSE)+VLOOKUP(AB$3,'Non-Embedded Emissions'!$A$230:$D$259,2,FALSE)), $C7 = "2", 'Inputs-System'!$C$30*'Coincidence Factors'!$B$7*'Inputs-Proposals'!$C$23*'Inputs-Proposals'!$C$25*(VLOOKUP(AB$3,'Non-Embedded Emissions'!$A$56:$D$90,2,FALSE)+VLOOKUP(AB$3,'Non-Embedded Emissions'!$A$143:$D$174,2,FALSE)+VLOOKUP(AB$3,'Non-Embedded Emissions'!$A$230:$D$259,2,FALSE)), $C7 = "3", 'Inputs-System'!$C$30*'Coincidence Factors'!$B$7*'Inputs-Proposals'!$C$29*'Inputs-Proposals'!$C$31*(VLOOKUP(AB$3,'Non-Embedded Emissions'!$A$56:$D$90,2,FALSE)+VLOOKUP(AB$3,'Non-Embedded Emissions'!$A$143:$D$174,2,FALSE)+VLOOKUP(AB$3,'Non-Embedded Emissions'!$A$230:$D$259,2,FALSE)), $C7 = "0", 0), 0)</f>
        <v>0</v>
      </c>
      <c r="AH7" s="45">
        <f>IFERROR(_xlfn.IFS($C7="1",('Inputs-System'!$C$30*'Coincidence Factors'!$B$7*(1+'Inputs-System'!$C$18)*(1+'Inputs-System'!$C$41)*('Inputs-Proposals'!$C$17*'Inputs-Proposals'!$C$19*('Inputs-Proposals'!$C$20))*(VLOOKUP(AH$3,Energy!$A$51:$K$83,5,FALSE))), $C7 = "2",('Inputs-System'!$C$30*'Coincidence Factors'!$B$7)*(1+'Inputs-System'!$C$18)*(1+'Inputs-System'!$C$41)*('Inputs-Proposals'!$C$23*'Inputs-Proposals'!$C$25*('Inputs-Proposals'!$C$26))*(VLOOKUP(AH$3,Energy!$A$51:$K$83,5,FALSE)), $C7= "3", ('Inputs-System'!$C$30*'Coincidence Factors'!$B$7*(1+'Inputs-System'!$C$18)*(1+'Inputs-System'!$C$41)*('Inputs-Proposals'!$C$29*'Inputs-Proposals'!$C$31*('Inputs-Proposals'!$C$32))*(VLOOKUP(AH$3,Energy!$A$51:$K$83,5,FALSE))), $C7= "0", 0), 0)</f>
        <v>0</v>
      </c>
      <c r="AI7" s="44">
        <f>IFERROR(_xlfn.IFS($C7="1",'Inputs-System'!$C$30*'Coincidence Factors'!$B$7*(1+'Inputs-System'!$C$18)*(1+'Inputs-System'!$C$41)*'Inputs-Proposals'!$C$17*'Inputs-Proposals'!$C$19*('Inputs-Proposals'!$C$20)*(VLOOKUP(AH$3,'Embedded Emissions'!$A$47:$B$78,2,FALSE)+VLOOKUP(AH$3,'Embedded Emissions'!$A$129:$B$158,2,FALSE)), $C7 = "2",'Inputs-System'!$C$30*'Coincidence Factors'!$B$7*(1+'Inputs-System'!$C$18)*(1+'Inputs-System'!$C$41)*'Inputs-Proposals'!$C$23*'Inputs-Proposals'!$C$25*('Inputs-Proposals'!$C$20)*(VLOOKUP(AH$3,'Embedded Emissions'!$A$47:$B$78,2,FALSE)+VLOOKUP(AH$3,'Embedded Emissions'!$A$129:$B$158,2,FALSE)), $C7 = "3", 'Inputs-System'!$C$30*'Coincidence Factors'!$B$7*(1+'Inputs-System'!$C$18)*(1+'Inputs-System'!$C$41)*'Inputs-Proposals'!$C$29*'Inputs-Proposals'!$C$31*('Inputs-Proposals'!$C$20)*(VLOOKUP(AH$3,'Embedded Emissions'!$A$47:$B$78,2,FALSE)+VLOOKUP(AH$3,'Embedded Emissions'!$A$129:$B$158,2,FALSE)), $C7 = "0", 0), 0)</f>
        <v>0</v>
      </c>
      <c r="AJ7" s="44">
        <f>IFERROR(_xlfn.IFS($C7="1",( 'Inputs-System'!$C$30*'Coincidence Factors'!$B$7*(1+'Inputs-System'!$C$18)*(1+'Inputs-System'!$C$41))*('Inputs-Proposals'!$C$17*'Inputs-Proposals'!$C$19*('Inputs-Proposals'!$C$20))*(VLOOKUP(AH$3,DRIPE!$A$54:$I$82,5,FALSE)+VLOOKUP(AH$3,DRIPE!$A$54:$I$82,9,FALSE))+ ('Inputs-System'!$C$26*'Coincidence Factors'!$B$7*(1+'Inputs-System'!$C$18)*(1+'Inputs-System'!$C$42))*'Inputs-Proposals'!$C$16*VLOOKUP(AH$3,DRIPE!$A$54:$I$82,8,FALSE), $C7 = "2",( 'Inputs-System'!$C$30*'Coincidence Factors'!$B$7*(1+'Inputs-System'!$C$18)*(1+'Inputs-System'!$C$41))*('Inputs-Proposals'!$C$23*'Inputs-Proposals'!$C$25*('Inputs-Proposals'!$C$26))*(VLOOKUP(AH$3,DRIPE!$A$54:$I$82,5,FALSE)+VLOOKUP(AH$3,DRIPE!$A$54:$I$82,12,FALSE))+ ('Inputs-System'!$C$26*'Coincidence Factors'!$B$7*(1+'Inputs-System'!$C$18)*(1+'Inputs-System'!$C$42))*'Inputs-Proposals'!$C$22*VLOOKUP(AH$3,DRIPE!$A$54:$I$82,8,FALSE), $C7= "3", ( 'Inputs-System'!$C$30*'Coincidence Factors'!$B$7*(1+'Inputs-System'!$C$18)*(1+'Inputs-System'!$C$41))*('Inputs-Proposals'!$C$29*'Inputs-Proposals'!$C$31*('Inputs-Proposals'!$C$32))*(VLOOKUP(AH$3,DRIPE!$A$54:$I$82,5,FALSE)+VLOOKUP(AH$3,DRIPE!$A$54:$I$82,12,FALSE))+ ('Inputs-System'!$C$26*'Coincidence Factors'!$B$7*(1+'Inputs-System'!$C$18)*(1+'Inputs-System'!$C$42))*'Inputs-Proposals'!$C$28*VLOOKUP(AH$3,DRIPE!$A$54:$I$82,8,FALSE), $C7 = "0", 0), 0)</f>
        <v>0</v>
      </c>
      <c r="AK7" s="45">
        <f>IFERROR(_xlfn.IFS($C7="1",('Inputs-System'!$C$26*'Coincidence Factors'!$B$7*(1+'Inputs-System'!$C$18))*'Inputs-Proposals'!$C$16*(VLOOKUP(AH$3,Capacity!$A$53:$E$85,4,FALSE)*(1+'Inputs-System'!$C$42)+VLOOKUP(AH$3,Capacity!$A$53:$E$85,5,FALSE)*'Inputs-System'!$C$29*(1+'Inputs-System'!$C$43)), $C7 = "2", ('Inputs-System'!$C$26*'Coincidence Factors'!$B$7*(1+'Inputs-System'!$C$18))*'Inputs-Proposals'!$C$22*(VLOOKUP(AH$3,Capacity!$A$53:$E$85,4,FALSE)*(1+'Inputs-System'!$C$42)+VLOOKUP(AH$3,Capacity!$A$53:$E$85,5,FALSE)*'Inputs-System'!$C$29*(1+'Inputs-System'!$C$43)), $C7 = "3",('Inputs-System'!$C$26*'Coincidence Factors'!$B$7*(1+'Inputs-System'!$C$18))*'Inputs-Proposals'!$C$28*(VLOOKUP(AH$3,Capacity!$A$53:$E$85,4,FALSE)*(1+'Inputs-System'!$C$42)+VLOOKUP(AH$3,Capacity!$A$53:$E$85,5,FALSE)*'Inputs-System'!$C$29*(1+'Inputs-System'!$C$43)), $C7 = "0", 0), 0)</f>
        <v>0</v>
      </c>
      <c r="AL7" s="44">
        <v>0</v>
      </c>
      <c r="AM7" s="342">
        <f>IFERROR(_xlfn.IFS($C7="1", 'Inputs-System'!$C$30*'Coincidence Factors'!$B$7*'Inputs-Proposals'!$C$17*'Inputs-Proposals'!$C$19*(VLOOKUP(AH$3,'Non-Embedded Emissions'!$A$56:$D$90,2,FALSE)+VLOOKUP(AH$3,'Non-Embedded Emissions'!$A$143:$D$174,2,FALSE)+VLOOKUP(AH$3,'Non-Embedded Emissions'!$A$230:$D$259,2,FALSE)), $C7 = "2", 'Inputs-System'!$C$30*'Coincidence Factors'!$B$7*'Inputs-Proposals'!$C$23*'Inputs-Proposals'!$C$25*(VLOOKUP(AH$3,'Non-Embedded Emissions'!$A$56:$D$90,2,FALSE)+VLOOKUP(AH$3,'Non-Embedded Emissions'!$A$143:$D$174,2,FALSE)+VLOOKUP(AH$3,'Non-Embedded Emissions'!$A$230:$D$259,2,FALSE)), $C7 = "3", 'Inputs-System'!$C$30*'Coincidence Factors'!$B$7*'Inputs-Proposals'!$C$29*'Inputs-Proposals'!$C$31*(VLOOKUP(AH$3,'Non-Embedded Emissions'!$A$56:$D$90,2,FALSE)+VLOOKUP(AH$3,'Non-Embedded Emissions'!$A$143:$D$174,2,FALSE)+VLOOKUP(AH$3,'Non-Embedded Emissions'!$A$230:$D$259,2,FALSE)), $C7 = "0", 0), 0)</f>
        <v>0</v>
      </c>
      <c r="AN7" s="45">
        <f>IFERROR(_xlfn.IFS($C7="1",('Inputs-System'!$C$30*'Coincidence Factors'!$B$7*(1+'Inputs-System'!$C$18)*(1+'Inputs-System'!$C$41)*('Inputs-Proposals'!$C$17*'Inputs-Proposals'!$C$19*('Inputs-Proposals'!$C$20))*(VLOOKUP(AN$3,Energy!$A$51:$K$83,5,FALSE))), $C7 = "2",('Inputs-System'!$C$30*'Coincidence Factors'!$B$7)*(1+'Inputs-System'!$C$18)*(1+'Inputs-System'!$C$41)*('Inputs-Proposals'!$C$23*'Inputs-Proposals'!$C$25*('Inputs-Proposals'!$C$26))*(VLOOKUP(AN$3,Energy!$A$51:$K$83,5,FALSE)), $C7= "3", ('Inputs-System'!$C$30*'Coincidence Factors'!$B$7*(1+'Inputs-System'!$C$18)*(1+'Inputs-System'!$C$41)*('Inputs-Proposals'!$C$29*'Inputs-Proposals'!$C$31*('Inputs-Proposals'!$C$32))*(VLOOKUP(AN$3,Energy!$A$51:$K$83,5,FALSE))), $C7= "0", 0), 0)</f>
        <v>0</v>
      </c>
      <c r="AO7" s="44">
        <f>IFERROR(_xlfn.IFS($C7="1",'Inputs-System'!$C$30*'Coincidence Factors'!$B$7*(1+'Inputs-System'!$C$18)*(1+'Inputs-System'!$C$41)*'Inputs-Proposals'!$C$17*'Inputs-Proposals'!$C$19*('Inputs-Proposals'!$C$20)*(VLOOKUP(AN$3,'Embedded Emissions'!$A$47:$B$78,2,FALSE)+VLOOKUP(AN$3,'Embedded Emissions'!$A$129:$B$158,2,FALSE)), $C7 = "2",'Inputs-System'!$C$30*'Coincidence Factors'!$B$7*(1+'Inputs-System'!$C$18)*(1+'Inputs-System'!$C$41)*'Inputs-Proposals'!$C$23*'Inputs-Proposals'!$C$25*('Inputs-Proposals'!$C$20)*(VLOOKUP(AN$3,'Embedded Emissions'!$A$47:$B$78,2,FALSE)+VLOOKUP(AN$3,'Embedded Emissions'!$A$129:$B$158,2,FALSE)), $C7 = "3", 'Inputs-System'!$C$30*'Coincidence Factors'!$B$7*(1+'Inputs-System'!$C$18)*(1+'Inputs-System'!$C$41)*'Inputs-Proposals'!$C$29*'Inputs-Proposals'!$C$31*('Inputs-Proposals'!$C$20)*(VLOOKUP(AN$3,'Embedded Emissions'!$A$47:$B$78,2,FALSE)+VLOOKUP(AN$3,'Embedded Emissions'!$A$129:$B$158,2,FALSE)), $C7 = "0", 0), 0)</f>
        <v>0</v>
      </c>
      <c r="AP7" s="44">
        <f>IFERROR(_xlfn.IFS($C7="1",( 'Inputs-System'!$C$30*'Coincidence Factors'!$B$7*(1+'Inputs-System'!$C$18)*(1+'Inputs-System'!$C$41))*('Inputs-Proposals'!$C$17*'Inputs-Proposals'!$C$19*('Inputs-Proposals'!$C$20))*(VLOOKUP(AN$3,DRIPE!$A$54:$I$82,5,FALSE)+VLOOKUP(AN$3,DRIPE!$A$54:$I$82,9,FALSE))+ ('Inputs-System'!$C$26*'Coincidence Factors'!$B$7*(1+'Inputs-System'!$C$18)*(1+'Inputs-System'!$C$42))*'Inputs-Proposals'!$C$16*VLOOKUP(AN$3,DRIPE!$A$54:$I$82,8,FALSE), $C7 = "2",( 'Inputs-System'!$C$30*'Coincidence Factors'!$B$7*(1+'Inputs-System'!$C$18)*(1+'Inputs-System'!$C$41))*('Inputs-Proposals'!$C$23*'Inputs-Proposals'!$C$25*('Inputs-Proposals'!$C$26))*(VLOOKUP(AN$3,DRIPE!$A$54:$I$82,5,FALSE)+VLOOKUP(AN$3,DRIPE!$A$54:$I$82,12,FALSE))+ ('Inputs-System'!$C$26*'Coincidence Factors'!$B$7*(1+'Inputs-System'!$C$18)*(1+'Inputs-System'!$C$42))*'Inputs-Proposals'!$C$22*VLOOKUP(AN$3,DRIPE!$A$54:$I$82,8,FALSE), $C7= "3", ( 'Inputs-System'!$C$30*'Coincidence Factors'!$B$7*(1+'Inputs-System'!$C$18)*(1+'Inputs-System'!$C$41))*('Inputs-Proposals'!$C$29*'Inputs-Proposals'!$C$31*('Inputs-Proposals'!$C$32))*(VLOOKUP(AN$3,DRIPE!$A$54:$I$82,5,FALSE)+VLOOKUP(AN$3,DRIPE!$A$54:$I$82,12,FALSE))+ ('Inputs-System'!$C$26*'Coincidence Factors'!$B$7*(1+'Inputs-System'!$C$18)*(1+'Inputs-System'!$C$42))*'Inputs-Proposals'!$C$28*VLOOKUP(AN$3,DRIPE!$A$54:$I$82,8,FALSE), $C7 = "0", 0), 0)</f>
        <v>0</v>
      </c>
      <c r="AQ7" s="45">
        <f>IFERROR(_xlfn.IFS($C7="1",('Inputs-System'!$C$26*'Coincidence Factors'!$B$7*(1+'Inputs-System'!$C$18))*'Inputs-Proposals'!$C$16*(VLOOKUP(AN$3,Capacity!$A$53:$E$85,4,FALSE)*(1+'Inputs-System'!$C$42)+VLOOKUP(AN$3,Capacity!$A$53:$E$85,5,FALSE)*'Inputs-System'!$C$29*(1+'Inputs-System'!$C$43)), $C7 = "2", ('Inputs-System'!$C$26*'Coincidence Factors'!$B$7*(1+'Inputs-System'!$C$18))*'Inputs-Proposals'!$C$22*(VLOOKUP(AN$3,Capacity!$A$53:$E$85,4,FALSE)*(1+'Inputs-System'!$C$42)+VLOOKUP(AN$3,Capacity!$A$53:$E$85,5,FALSE)*'Inputs-System'!$C$29*(1+'Inputs-System'!$C$43)), $C7 = "3",('Inputs-System'!$C$26*'Coincidence Factors'!$B$7*(1+'Inputs-System'!$C$18))*'Inputs-Proposals'!$C$28*(VLOOKUP(AN$3,Capacity!$A$53:$E$85,4,FALSE)*(1+'Inputs-System'!$C$42)+VLOOKUP(AN$3,Capacity!$A$53:$E$85,5,FALSE)*'Inputs-System'!$C$29*(1+'Inputs-System'!$C$43)), $C7 = "0", 0), 0)</f>
        <v>0</v>
      </c>
      <c r="AR7" s="44">
        <v>0</v>
      </c>
      <c r="AS7" s="342">
        <f>IFERROR(_xlfn.IFS($C7="1", 'Inputs-System'!$C$30*'Coincidence Factors'!$B$7*'Inputs-Proposals'!$C$17*'Inputs-Proposals'!$C$19*(VLOOKUP(AN$3,'Non-Embedded Emissions'!$A$56:$D$90,2,FALSE)+VLOOKUP(AN$3,'Non-Embedded Emissions'!$A$143:$D$174,2,FALSE)+VLOOKUP(AN$3,'Non-Embedded Emissions'!$A$230:$D$259,2,FALSE)), $C7 = "2", 'Inputs-System'!$C$30*'Coincidence Factors'!$B$7*'Inputs-Proposals'!$C$23*'Inputs-Proposals'!$C$25*(VLOOKUP(AN$3,'Non-Embedded Emissions'!$A$56:$D$90,2,FALSE)+VLOOKUP(AN$3,'Non-Embedded Emissions'!$A$143:$D$174,2,FALSE)+VLOOKUP(AN$3,'Non-Embedded Emissions'!$A$230:$D$259,2,FALSE)), $C7 = "3", 'Inputs-System'!$C$30*'Coincidence Factors'!$B$7*'Inputs-Proposals'!$C$29*'Inputs-Proposals'!$C$31*(VLOOKUP(AN$3,'Non-Embedded Emissions'!$A$56:$D$90,2,FALSE)+VLOOKUP(AN$3,'Non-Embedded Emissions'!$A$143:$D$174,2,FALSE)+VLOOKUP(AN$3,'Non-Embedded Emissions'!$A$230:$D$259,2,FALSE)), $C7 = "0", 0), 0)</f>
        <v>0</v>
      </c>
      <c r="AT7" s="45">
        <f>IFERROR(_xlfn.IFS($C7="1",('Inputs-System'!$C$30*'Coincidence Factors'!$B$7*(1+'Inputs-System'!$C$18)*(1+'Inputs-System'!$C$41)*('Inputs-Proposals'!$C$17*'Inputs-Proposals'!$C$19*('Inputs-Proposals'!$C$20))*(VLOOKUP(AT$3,Energy!$A$51:$K$83,5,FALSE))), $C7 = "2",('Inputs-System'!$C$30*'Coincidence Factors'!$B$7)*(1+'Inputs-System'!$C$18)*(1+'Inputs-System'!$C$41)*('Inputs-Proposals'!$C$23*'Inputs-Proposals'!$C$25*('Inputs-Proposals'!$C$26))*(VLOOKUP(AT$3,Energy!$A$51:$K$83,5,FALSE)), $C7= "3", ('Inputs-System'!$C$30*'Coincidence Factors'!$B$7*(1+'Inputs-System'!$C$18)*(1+'Inputs-System'!$C$41)*('Inputs-Proposals'!$C$29*'Inputs-Proposals'!$C$31*('Inputs-Proposals'!$C$32))*(VLOOKUP(AT$3,Energy!$A$51:$K$83,5,FALSE))), $C7= "0", 0), 0)</f>
        <v>0</v>
      </c>
      <c r="AU7" s="44">
        <f>IFERROR(_xlfn.IFS($C7="1",'Inputs-System'!$C$30*'Coincidence Factors'!$B$7*(1+'Inputs-System'!$C$18)*(1+'Inputs-System'!$C$41)*'Inputs-Proposals'!$C$17*'Inputs-Proposals'!$C$19*('Inputs-Proposals'!$C$20)*(VLOOKUP(AT$3,'Embedded Emissions'!$A$47:$B$78,2,FALSE)+VLOOKUP(AT$3,'Embedded Emissions'!$A$129:$B$158,2,FALSE)), $C7 = "2",'Inputs-System'!$C$30*'Coincidence Factors'!$B$7*(1+'Inputs-System'!$C$18)*(1+'Inputs-System'!$C$41)*'Inputs-Proposals'!$C$23*'Inputs-Proposals'!$C$25*('Inputs-Proposals'!$C$20)*(VLOOKUP(AT$3,'Embedded Emissions'!$A$47:$B$78,2,FALSE)+VLOOKUP(AT$3,'Embedded Emissions'!$A$129:$B$158,2,FALSE)), $C7 = "3", 'Inputs-System'!$C$30*'Coincidence Factors'!$B$7*(1+'Inputs-System'!$C$18)*(1+'Inputs-System'!$C$41)*'Inputs-Proposals'!$C$29*'Inputs-Proposals'!$C$31*('Inputs-Proposals'!$C$20)*(VLOOKUP(AT$3,'Embedded Emissions'!$A$47:$B$78,2,FALSE)+VLOOKUP(AT$3,'Embedded Emissions'!$A$129:$B$158,2,FALSE)), $C7 = "0", 0), 0)</f>
        <v>0</v>
      </c>
      <c r="AV7" s="44">
        <f>IFERROR(_xlfn.IFS($C7="1",( 'Inputs-System'!$C$30*'Coincidence Factors'!$B$7*(1+'Inputs-System'!$C$18)*(1+'Inputs-System'!$C$41))*('Inputs-Proposals'!$C$17*'Inputs-Proposals'!$C$19*('Inputs-Proposals'!$C$20))*(VLOOKUP(AT$3,DRIPE!$A$54:$I$82,5,FALSE)+VLOOKUP(AT$3,DRIPE!$A$54:$I$82,9,FALSE))+ ('Inputs-System'!$C$26*'Coincidence Factors'!$B$7*(1+'Inputs-System'!$C$18)*(1+'Inputs-System'!$C$42))*'Inputs-Proposals'!$C$16*VLOOKUP(AT$3,DRIPE!$A$54:$I$82,8,FALSE), $C7 = "2",( 'Inputs-System'!$C$30*'Coincidence Factors'!$B$7*(1+'Inputs-System'!$C$18)*(1+'Inputs-System'!$C$41))*('Inputs-Proposals'!$C$23*'Inputs-Proposals'!$C$25*('Inputs-Proposals'!$C$26))*(VLOOKUP(AT$3,DRIPE!$A$54:$I$82,5,FALSE)+VLOOKUP(AT$3,DRIPE!$A$54:$I$82,12,FALSE))+ ('Inputs-System'!$C$26*'Coincidence Factors'!$B$7*(1+'Inputs-System'!$C$18)*(1+'Inputs-System'!$C$42))*'Inputs-Proposals'!$C$22*VLOOKUP(AT$3,DRIPE!$A$54:$I$82,8,FALSE), $C7= "3", ( 'Inputs-System'!$C$30*'Coincidence Factors'!$B$7*(1+'Inputs-System'!$C$18)*(1+'Inputs-System'!$C$41))*('Inputs-Proposals'!$C$29*'Inputs-Proposals'!$C$31*('Inputs-Proposals'!$C$32))*(VLOOKUP(AT$3,DRIPE!$A$54:$I$82,5,FALSE)+VLOOKUP(AT$3,DRIPE!$A$54:$I$82,12,FALSE))+ ('Inputs-System'!$C$26*'Coincidence Factors'!$B$7*(1+'Inputs-System'!$C$18)*(1+'Inputs-System'!$C$42))*'Inputs-Proposals'!$C$28*VLOOKUP(AT$3,DRIPE!$A$54:$I$82,8,FALSE), $C7 = "0", 0), 0)</f>
        <v>0</v>
      </c>
      <c r="AW7" s="45">
        <f>IFERROR(_xlfn.IFS($C7="1",('Inputs-System'!$C$26*'Coincidence Factors'!$B$7*(1+'Inputs-System'!$C$18))*'Inputs-Proposals'!$C$16*(VLOOKUP(AT$3,Capacity!$A$53:$E$85,4,FALSE)*(1+'Inputs-System'!$C$42)+VLOOKUP(AT$3,Capacity!$A$53:$E$85,5,FALSE)*'Inputs-System'!$C$29*(1+'Inputs-System'!$C$43)), $C7 = "2", ('Inputs-System'!$C$26*'Coincidence Factors'!$B$7*(1+'Inputs-System'!$C$18))*'Inputs-Proposals'!$C$22*(VLOOKUP(AT$3,Capacity!$A$53:$E$85,4,FALSE)*(1+'Inputs-System'!$C$42)+VLOOKUP(AT$3,Capacity!$A$53:$E$85,5,FALSE)*'Inputs-System'!$C$29*(1+'Inputs-System'!$C$43)), $C7 = "3",('Inputs-System'!$C$26*'Coincidence Factors'!$B$7*(1+'Inputs-System'!$C$18))*'Inputs-Proposals'!$C$28*(VLOOKUP(AT$3,Capacity!$A$53:$E$85,4,FALSE)*(1+'Inputs-System'!$C$42)+VLOOKUP(AT$3,Capacity!$A$53:$E$85,5,FALSE)*'Inputs-System'!$C$29*(1+'Inputs-System'!$C$43)), $C7 = "0", 0), 0)</f>
        <v>0</v>
      </c>
      <c r="AX7" s="44">
        <v>0</v>
      </c>
      <c r="AY7" s="342">
        <f>IFERROR(_xlfn.IFS($C7="1", 'Inputs-System'!$C$30*'Coincidence Factors'!$B$7*'Inputs-Proposals'!$C$17*'Inputs-Proposals'!$C$19*(VLOOKUP(AT$3,'Non-Embedded Emissions'!$A$56:$D$90,2,FALSE)+VLOOKUP(AT$3,'Non-Embedded Emissions'!$A$143:$D$174,2,FALSE)+VLOOKUP(AT$3,'Non-Embedded Emissions'!$A$230:$D$259,2,FALSE)), $C7 = "2", 'Inputs-System'!$C$30*'Coincidence Factors'!$B$7*'Inputs-Proposals'!$C$23*'Inputs-Proposals'!$C$25*(VLOOKUP(AT$3,'Non-Embedded Emissions'!$A$56:$D$90,2,FALSE)+VLOOKUP(AT$3,'Non-Embedded Emissions'!$A$143:$D$174,2,FALSE)+VLOOKUP(AT$3,'Non-Embedded Emissions'!$A$230:$D$259,2,FALSE)), $C7 = "3", 'Inputs-System'!$C$30*'Coincidence Factors'!$B$7*'Inputs-Proposals'!$C$29*'Inputs-Proposals'!$C$31*(VLOOKUP(AT$3,'Non-Embedded Emissions'!$A$56:$D$90,2,FALSE)+VLOOKUP(AT$3,'Non-Embedded Emissions'!$A$143:$D$174,2,FALSE)+VLOOKUP(AT$3,'Non-Embedded Emissions'!$A$230:$D$259,2,FALSE)), $C7 = "0", 0), 0)</f>
        <v>0</v>
      </c>
      <c r="AZ7" s="45">
        <f>IFERROR(_xlfn.IFS($C7="1",('Inputs-System'!$C$30*'Coincidence Factors'!$B$7*(1+'Inputs-System'!$C$18)*(1+'Inputs-System'!$C$41)*('Inputs-Proposals'!$C$17*'Inputs-Proposals'!$C$19*('Inputs-Proposals'!$C$20))*(VLOOKUP(AZ$3,Energy!$A$51:$K$83,5,FALSE))), $C7 = "2",('Inputs-System'!$C$30*'Coincidence Factors'!$B$7)*(1+'Inputs-System'!$C$18)*(1+'Inputs-System'!$C$41)*('Inputs-Proposals'!$C$23*'Inputs-Proposals'!$C$25*('Inputs-Proposals'!$C$26))*(VLOOKUP(AZ$3,Energy!$A$51:$K$83,5,FALSE)), $C7= "3", ('Inputs-System'!$C$30*'Coincidence Factors'!$B$7*(1+'Inputs-System'!$C$18)*(1+'Inputs-System'!$C$41)*('Inputs-Proposals'!$C$29*'Inputs-Proposals'!$C$31*('Inputs-Proposals'!$C$32))*(VLOOKUP(AZ$3,Energy!$A$51:$K$83,5,FALSE))), $C7= "0", 0), 0)</f>
        <v>0</v>
      </c>
      <c r="BA7" s="44">
        <f>IFERROR(_xlfn.IFS($C7="1",'Inputs-System'!$C$30*'Coincidence Factors'!$B$7*(1+'Inputs-System'!$C$18)*(1+'Inputs-System'!$C$41)*'Inputs-Proposals'!$C$17*'Inputs-Proposals'!$C$19*('Inputs-Proposals'!$C$20)*(VLOOKUP(AZ$3,'Embedded Emissions'!$A$47:$B$78,2,FALSE)+VLOOKUP(AZ$3,'Embedded Emissions'!$A$129:$B$158,2,FALSE)), $C7 = "2",'Inputs-System'!$C$30*'Coincidence Factors'!$B$7*(1+'Inputs-System'!$C$18)*(1+'Inputs-System'!$C$41)*'Inputs-Proposals'!$C$23*'Inputs-Proposals'!$C$25*('Inputs-Proposals'!$C$20)*(VLOOKUP(AZ$3,'Embedded Emissions'!$A$47:$B$78,2,FALSE)+VLOOKUP(AZ$3,'Embedded Emissions'!$A$129:$B$158,2,FALSE)), $C7 = "3", 'Inputs-System'!$C$30*'Coincidence Factors'!$B$7*(1+'Inputs-System'!$C$18)*(1+'Inputs-System'!$C$41)*'Inputs-Proposals'!$C$29*'Inputs-Proposals'!$C$31*('Inputs-Proposals'!$C$20)*(VLOOKUP(AZ$3,'Embedded Emissions'!$A$47:$B$78,2,FALSE)+VLOOKUP(AZ$3,'Embedded Emissions'!$A$129:$B$158,2,FALSE)), $C7 = "0", 0), 0)</f>
        <v>0</v>
      </c>
      <c r="BB7" s="44">
        <f>IFERROR(_xlfn.IFS($C7="1",( 'Inputs-System'!$C$30*'Coincidence Factors'!$B$7*(1+'Inputs-System'!$C$18)*(1+'Inputs-System'!$C$41))*('Inputs-Proposals'!$C$17*'Inputs-Proposals'!$C$19*('Inputs-Proposals'!$C$20))*(VLOOKUP(AZ$3,DRIPE!$A$54:$I$82,5,FALSE)+VLOOKUP(AZ$3,DRIPE!$A$54:$I$82,9,FALSE))+ ('Inputs-System'!$C$26*'Coincidence Factors'!$B$7*(1+'Inputs-System'!$C$18)*(1+'Inputs-System'!$C$42))*'Inputs-Proposals'!$C$16*VLOOKUP(AZ$3,DRIPE!$A$54:$I$82,8,FALSE), $C7 = "2",( 'Inputs-System'!$C$30*'Coincidence Factors'!$B$7*(1+'Inputs-System'!$C$18)*(1+'Inputs-System'!$C$41))*('Inputs-Proposals'!$C$23*'Inputs-Proposals'!$C$25*('Inputs-Proposals'!$C$26))*(VLOOKUP(AZ$3,DRIPE!$A$54:$I$82,5,FALSE)+VLOOKUP(AZ$3,DRIPE!$A$54:$I$82,12,FALSE))+ ('Inputs-System'!$C$26*'Coincidence Factors'!$B$7*(1+'Inputs-System'!$C$18)*(1+'Inputs-System'!$C$42))*'Inputs-Proposals'!$C$22*VLOOKUP(AZ$3,DRIPE!$A$54:$I$82,8,FALSE), $C7= "3", ( 'Inputs-System'!$C$30*'Coincidence Factors'!$B$7*(1+'Inputs-System'!$C$18)*(1+'Inputs-System'!$C$41))*('Inputs-Proposals'!$C$29*'Inputs-Proposals'!$C$31*('Inputs-Proposals'!$C$32))*(VLOOKUP(AZ$3,DRIPE!$A$54:$I$82,5,FALSE)+VLOOKUP(AZ$3,DRIPE!$A$54:$I$82,12,FALSE))+ ('Inputs-System'!$C$26*'Coincidence Factors'!$B$7*(1+'Inputs-System'!$C$18)*(1+'Inputs-System'!$C$42))*'Inputs-Proposals'!$C$28*VLOOKUP(AZ$3,DRIPE!$A$54:$I$82,8,FALSE), $C7 = "0", 0), 0)</f>
        <v>0</v>
      </c>
      <c r="BC7" s="45">
        <f>IFERROR(_xlfn.IFS($C7="1",('Inputs-System'!$C$26*'Coincidence Factors'!$B$7*(1+'Inputs-System'!$C$18))*'Inputs-Proposals'!$C$16*(VLOOKUP(AZ$3,Capacity!$A$53:$E$85,4,FALSE)*(1+'Inputs-System'!$C$42)+VLOOKUP(AZ$3,Capacity!$A$53:$E$85,5,FALSE)*'Inputs-System'!$C$29*(1+'Inputs-System'!$C$43)), $C7 = "2", ('Inputs-System'!$C$26*'Coincidence Factors'!$B$7*(1+'Inputs-System'!$C$18))*'Inputs-Proposals'!$C$22*(VLOOKUP(AZ$3,Capacity!$A$53:$E$85,4,FALSE)*(1+'Inputs-System'!$C$42)+VLOOKUP(AZ$3,Capacity!$A$53:$E$85,5,FALSE)*'Inputs-System'!$C$29*(1+'Inputs-System'!$C$43)), $C7 = "3",('Inputs-System'!$C$26*'Coincidence Factors'!$B$7*(1+'Inputs-System'!$C$18))*'Inputs-Proposals'!$C$28*(VLOOKUP(AZ$3,Capacity!$A$53:$E$85,4,FALSE)*(1+'Inputs-System'!$C$42)+VLOOKUP(AZ$3,Capacity!$A$53:$E$85,5,FALSE)*'Inputs-System'!$C$29*(1+'Inputs-System'!$C$43)), $C7 = "0", 0), 0)</f>
        <v>0</v>
      </c>
      <c r="BD7" s="44">
        <v>0</v>
      </c>
      <c r="BE7" s="342">
        <f>IFERROR(_xlfn.IFS($C7="1", 'Inputs-System'!$C$30*'Coincidence Factors'!$B$7*'Inputs-Proposals'!$C$17*'Inputs-Proposals'!$C$19*(VLOOKUP(AZ$3,'Non-Embedded Emissions'!$A$56:$D$90,2,FALSE)+VLOOKUP(AZ$3,'Non-Embedded Emissions'!$A$143:$D$174,2,FALSE)+VLOOKUP(AZ$3,'Non-Embedded Emissions'!$A$230:$D$259,2,FALSE)), $C7 = "2", 'Inputs-System'!$C$30*'Coincidence Factors'!$B$7*'Inputs-Proposals'!$C$23*'Inputs-Proposals'!$C$25*(VLOOKUP(AZ$3,'Non-Embedded Emissions'!$A$56:$D$90,2,FALSE)+VLOOKUP(AZ$3,'Non-Embedded Emissions'!$A$143:$D$174,2,FALSE)+VLOOKUP(AZ$3,'Non-Embedded Emissions'!$A$230:$D$259,2,FALSE)), $C7 = "3", 'Inputs-System'!$C$30*'Coincidence Factors'!$B$7*'Inputs-Proposals'!$C$29*'Inputs-Proposals'!$C$31*(VLOOKUP(AZ$3,'Non-Embedded Emissions'!$A$56:$D$90,2,FALSE)+VLOOKUP(AZ$3,'Non-Embedded Emissions'!$A$143:$D$174,2,FALSE)+VLOOKUP(AZ$3,'Non-Embedded Emissions'!$A$230:$D$259,2,FALSE)), $C7 = "0", 0), 0)</f>
        <v>0</v>
      </c>
      <c r="BF7" s="45">
        <f>IFERROR(_xlfn.IFS($C7="1",('Inputs-System'!$C$30*'Coincidence Factors'!$B$7*(1+'Inputs-System'!$C$18)*(1+'Inputs-System'!$C$41)*('Inputs-Proposals'!$C$17*'Inputs-Proposals'!$C$19*('Inputs-Proposals'!$C$20))*(VLOOKUP(BF$3,Energy!$A$51:$K$83,5,FALSE))), $C7 = "2",('Inputs-System'!$C$30*'Coincidence Factors'!$B$7)*(1+'Inputs-System'!$C$18)*(1+'Inputs-System'!$C$41)*('Inputs-Proposals'!$C$23*'Inputs-Proposals'!$C$25*('Inputs-Proposals'!$C$26))*(VLOOKUP(BF$3,Energy!$A$51:$K$83,5,FALSE)), $C7= "3", ('Inputs-System'!$C$30*'Coincidence Factors'!$B$7*(1+'Inputs-System'!$C$18)*(1+'Inputs-System'!$C$41)*('Inputs-Proposals'!$C$29*'Inputs-Proposals'!$C$31*('Inputs-Proposals'!$C$32))*(VLOOKUP(BF$3,Energy!$A$51:$K$83,5,FALSE))), $C7= "0", 0), 0)</f>
        <v>0</v>
      </c>
      <c r="BG7" s="44">
        <f>IFERROR(_xlfn.IFS($C7="1",'Inputs-System'!$C$30*'Coincidence Factors'!$B$7*(1+'Inputs-System'!$C$18)*(1+'Inputs-System'!$C$41)*'Inputs-Proposals'!$C$17*'Inputs-Proposals'!$C$19*('Inputs-Proposals'!$C$20)*(VLOOKUP(BF$3,'Embedded Emissions'!$A$47:$B$78,2,FALSE)+VLOOKUP(BF$3,'Embedded Emissions'!$A$129:$B$158,2,FALSE)), $C7 = "2",'Inputs-System'!$C$30*'Coincidence Factors'!$B$7*(1+'Inputs-System'!$C$18)*(1+'Inputs-System'!$C$41)*'Inputs-Proposals'!$C$23*'Inputs-Proposals'!$C$25*('Inputs-Proposals'!$C$20)*(VLOOKUP(BF$3,'Embedded Emissions'!$A$47:$B$78,2,FALSE)+VLOOKUP(BF$3,'Embedded Emissions'!$A$129:$B$158,2,FALSE)), $C7 = "3", 'Inputs-System'!$C$30*'Coincidence Factors'!$B$7*(1+'Inputs-System'!$C$18)*(1+'Inputs-System'!$C$41)*'Inputs-Proposals'!$C$29*'Inputs-Proposals'!$C$31*('Inputs-Proposals'!$C$20)*(VLOOKUP(BF$3,'Embedded Emissions'!$A$47:$B$78,2,FALSE)+VLOOKUP(BF$3,'Embedded Emissions'!$A$129:$B$158,2,FALSE)), $C7 = "0", 0), 0)</f>
        <v>0</v>
      </c>
      <c r="BH7" s="44">
        <f>IFERROR(_xlfn.IFS($C7="1",( 'Inputs-System'!$C$30*'Coincidence Factors'!$B$7*(1+'Inputs-System'!$C$18)*(1+'Inputs-System'!$C$41))*('Inputs-Proposals'!$C$17*'Inputs-Proposals'!$C$19*('Inputs-Proposals'!$C$20))*(VLOOKUP(BF$3,DRIPE!$A$54:$I$82,5,FALSE)+VLOOKUP(BF$3,DRIPE!$A$54:$I$82,9,FALSE))+ ('Inputs-System'!$C$26*'Coincidence Factors'!$B$7*(1+'Inputs-System'!$C$18)*(1+'Inputs-System'!$C$42))*'Inputs-Proposals'!$C$16*VLOOKUP(BF$3,DRIPE!$A$54:$I$82,8,FALSE), $C7 = "2",( 'Inputs-System'!$C$30*'Coincidence Factors'!$B$7*(1+'Inputs-System'!$C$18)*(1+'Inputs-System'!$C$41))*('Inputs-Proposals'!$C$23*'Inputs-Proposals'!$C$25*('Inputs-Proposals'!$C$26))*(VLOOKUP(BF$3,DRIPE!$A$54:$I$82,5,FALSE)+VLOOKUP(BF$3,DRIPE!$A$54:$I$82,12,FALSE))+ ('Inputs-System'!$C$26*'Coincidence Factors'!$B$7*(1+'Inputs-System'!$C$18)*(1+'Inputs-System'!$C$42))*'Inputs-Proposals'!$C$22*VLOOKUP(BF$3,DRIPE!$A$54:$I$82,8,FALSE), $C7= "3", ( 'Inputs-System'!$C$30*'Coincidence Factors'!$B$7*(1+'Inputs-System'!$C$18)*(1+'Inputs-System'!$C$41))*('Inputs-Proposals'!$C$29*'Inputs-Proposals'!$C$31*('Inputs-Proposals'!$C$32))*(VLOOKUP(BF$3,DRIPE!$A$54:$I$82,5,FALSE)+VLOOKUP(BF$3,DRIPE!$A$54:$I$82,12,FALSE))+ ('Inputs-System'!$C$26*'Coincidence Factors'!$B$7*(1+'Inputs-System'!$C$18)*(1+'Inputs-System'!$C$42))*'Inputs-Proposals'!$C$28*VLOOKUP(BF$3,DRIPE!$A$54:$I$82,8,FALSE), $C7 = "0", 0), 0)</f>
        <v>0</v>
      </c>
      <c r="BI7" s="45">
        <f>IFERROR(_xlfn.IFS($C7="1",('Inputs-System'!$C$26*'Coincidence Factors'!$B$7*(1+'Inputs-System'!$C$18))*'Inputs-Proposals'!$C$16*(VLOOKUP(BF$3,Capacity!$A$53:$E$85,4,FALSE)*(1+'Inputs-System'!$C$42)+VLOOKUP(BF$3,Capacity!$A$53:$E$85,5,FALSE)*'Inputs-System'!$C$29*(1+'Inputs-System'!$C$43)), $C7 = "2", ('Inputs-System'!$C$26*'Coincidence Factors'!$B$7*(1+'Inputs-System'!$C$18))*'Inputs-Proposals'!$C$22*(VLOOKUP(BF$3,Capacity!$A$53:$E$85,4,FALSE)*(1+'Inputs-System'!$C$42)+VLOOKUP(BF$3,Capacity!$A$53:$E$85,5,FALSE)*'Inputs-System'!$C$29*(1+'Inputs-System'!$C$43)), $C7 = "3",('Inputs-System'!$C$26*'Coincidence Factors'!$B$7*(1+'Inputs-System'!$C$18))*'Inputs-Proposals'!$C$28*(VLOOKUP(BF$3,Capacity!$A$53:$E$85,4,FALSE)*(1+'Inputs-System'!$C$42)+VLOOKUP(BF$3,Capacity!$A$53:$E$85,5,FALSE)*'Inputs-System'!$C$29*(1+'Inputs-System'!$C$43)), $C7 = "0", 0), 0)</f>
        <v>0</v>
      </c>
      <c r="BJ7" s="44">
        <v>0</v>
      </c>
      <c r="BK7" s="342">
        <f>IFERROR(_xlfn.IFS($C7="1", 'Inputs-System'!$C$30*'Coincidence Factors'!$B$7*'Inputs-Proposals'!$C$17*'Inputs-Proposals'!$C$19*(VLOOKUP(BF$3,'Non-Embedded Emissions'!$A$56:$D$90,2,FALSE)+VLOOKUP(BF$3,'Non-Embedded Emissions'!$A$143:$D$174,2,FALSE)+VLOOKUP(BF$3,'Non-Embedded Emissions'!$A$230:$D$259,2,FALSE)), $C7 = "2", 'Inputs-System'!$C$30*'Coincidence Factors'!$B$7*'Inputs-Proposals'!$C$23*'Inputs-Proposals'!$C$25*(VLOOKUP(BF$3,'Non-Embedded Emissions'!$A$56:$D$90,2,FALSE)+VLOOKUP(BF$3,'Non-Embedded Emissions'!$A$143:$D$174,2,FALSE)+VLOOKUP(BF$3,'Non-Embedded Emissions'!$A$230:$D$259,2,FALSE)), $C7 = "3", 'Inputs-System'!$C$30*'Coincidence Factors'!$B$7*'Inputs-Proposals'!$C$29*'Inputs-Proposals'!$C$31*(VLOOKUP(BF$3,'Non-Embedded Emissions'!$A$56:$D$90,2,FALSE)+VLOOKUP(BF$3,'Non-Embedded Emissions'!$A$143:$D$174,2,FALSE)+VLOOKUP(BF$3,'Non-Embedded Emissions'!$A$230:$D$259,2,FALSE)), $C7 = "0", 0), 0)</f>
        <v>0</v>
      </c>
      <c r="BL7" s="45">
        <f>IFERROR(_xlfn.IFS($C7="1",('Inputs-System'!$C$30*'Coincidence Factors'!$B$7*(1+'Inputs-System'!$C$18)*(1+'Inputs-System'!$C$41)*('Inputs-Proposals'!$C$17*'Inputs-Proposals'!$C$19*('Inputs-Proposals'!$C$20))*(VLOOKUP(BL$3,Energy!$A$51:$K$83,5,FALSE))), $C7 = "2",('Inputs-System'!$C$30*'Coincidence Factors'!$B$7)*(1+'Inputs-System'!$C$18)*(1+'Inputs-System'!$C$41)*('Inputs-Proposals'!$C$23*'Inputs-Proposals'!$C$25*('Inputs-Proposals'!$C$26))*(VLOOKUP(BL$3,Energy!$A$51:$K$83,5,FALSE)), $C7= "3", ('Inputs-System'!$C$30*'Coincidence Factors'!$B$7*(1+'Inputs-System'!$C$18)*(1+'Inputs-System'!$C$41)*('Inputs-Proposals'!$C$29*'Inputs-Proposals'!$C$31*('Inputs-Proposals'!$C$32))*(VLOOKUP(BL$3,Energy!$A$51:$K$83,5,FALSE))), $C7= "0", 0), 0)</f>
        <v>0</v>
      </c>
      <c r="BM7" s="44">
        <f>IFERROR(_xlfn.IFS($C7="1",'Inputs-System'!$C$30*'Coincidence Factors'!$B$7*(1+'Inputs-System'!$C$18)*(1+'Inputs-System'!$C$41)*'Inputs-Proposals'!$C$17*'Inputs-Proposals'!$C$19*('Inputs-Proposals'!$C$20)*(VLOOKUP(BL$3,'Embedded Emissions'!$A$47:$B$78,2,FALSE)+VLOOKUP(BL$3,'Embedded Emissions'!$A$129:$B$158,2,FALSE)), $C7 = "2",'Inputs-System'!$C$30*'Coincidence Factors'!$B$7*(1+'Inputs-System'!$C$18)*(1+'Inputs-System'!$C$41)*'Inputs-Proposals'!$C$23*'Inputs-Proposals'!$C$25*('Inputs-Proposals'!$C$20)*(VLOOKUP(BL$3,'Embedded Emissions'!$A$47:$B$78,2,FALSE)+VLOOKUP(BL$3,'Embedded Emissions'!$A$129:$B$158,2,FALSE)), $C7 = "3", 'Inputs-System'!$C$30*'Coincidence Factors'!$B$7*(1+'Inputs-System'!$C$18)*(1+'Inputs-System'!$C$41)*'Inputs-Proposals'!$C$29*'Inputs-Proposals'!$C$31*('Inputs-Proposals'!$C$20)*(VLOOKUP(BL$3,'Embedded Emissions'!$A$47:$B$78,2,FALSE)+VLOOKUP(BL$3,'Embedded Emissions'!$A$129:$B$158,2,FALSE)), $C7 = "0", 0), 0)</f>
        <v>0</v>
      </c>
      <c r="BN7" s="44">
        <f>IFERROR(_xlfn.IFS($C7="1",( 'Inputs-System'!$C$30*'Coincidence Factors'!$B$7*(1+'Inputs-System'!$C$18)*(1+'Inputs-System'!$C$41))*('Inputs-Proposals'!$C$17*'Inputs-Proposals'!$C$19*('Inputs-Proposals'!$C$20))*(VLOOKUP(BL$3,DRIPE!$A$54:$I$82,5,FALSE)+VLOOKUP(BL$3,DRIPE!$A$54:$I$82,9,FALSE))+ ('Inputs-System'!$C$26*'Coincidence Factors'!$B$7*(1+'Inputs-System'!$C$18)*(1+'Inputs-System'!$C$42))*'Inputs-Proposals'!$C$16*VLOOKUP(BL$3,DRIPE!$A$54:$I$82,8,FALSE), $C7 = "2",( 'Inputs-System'!$C$30*'Coincidence Factors'!$B$7*(1+'Inputs-System'!$C$18)*(1+'Inputs-System'!$C$41))*('Inputs-Proposals'!$C$23*'Inputs-Proposals'!$C$25*('Inputs-Proposals'!$C$26))*(VLOOKUP(BL$3,DRIPE!$A$54:$I$82,5,FALSE)+VLOOKUP(BL$3,DRIPE!$A$54:$I$82,12,FALSE))+ ('Inputs-System'!$C$26*'Coincidence Factors'!$B$7*(1+'Inputs-System'!$C$18)*(1+'Inputs-System'!$C$42))*'Inputs-Proposals'!$C$22*VLOOKUP(BL$3,DRIPE!$A$54:$I$82,8,FALSE), $C7= "3", ( 'Inputs-System'!$C$30*'Coincidence Factors'!$B$7*(1+'Inputs-System'!$C$18)*(1+'Inputs-System'!$C$41))*('Inputs-Proposals'!$C$29*'Inputs-Proposals'!$C$31*('Inputs-Proposals'!$C$32))*(VLOOKUP(BL$3,DRIPE!$A$54:$I$82,5,FALSE)+VLOOKUP(BL$3,DRIPE!$A$54:$I$82,12,FALSE))+ ('Inputs-System'!$C$26*'Coincidence Factors'!$B$7*(1+'Inputs-System'!$C$18)*(1+'Inputs-System'!$C$42))*'Inputs-Proposals'!$C$28*VLOOKUP(BL$3,DRIPE!$A$54:$I$82,8,FALSE), $C7 = "0", 0), 0)</f>
        <v>0</v>
      </c>
      <c r="BO7" s="45">
        <f>IFERROR(_xlfn.IFS($C7="1",('Inputs-System'!$C$26*'Coincidence Factors'!$B$7*(1+'Inputs-System'!$C$18))*'Inputs-Proposals'!$C$16*(VLOOKUP(BL$3,Capacity!$A$53:$E$85,4,FALSE)*(1+'Inputs-System'!$C$42)+VLOOKUP(BL$3,Capacity!$A$53:$E$85,5,FALSE)*'Inputs-System'!$C$29*(1+'Inputs-System'!$C$43)), $C7 = "2", ('Inputs-System'!$C$26*'Coincidence Factors'!$B$7*(1+'Inputs-System'!$C$18))*'Inputs-Proposals'!$C$22*(VLOOKUP(BL$3,Capacity!$A$53:$E$85,4,FALSE)*(1+'Inputs-System'!$C$42)+VLOOKUP(BL$3,Capacity!$A$53:$E$85,5,FALSE)*'Inputs-System'!$C$29*(1+'Inputs-System'!$C$43)), $C7 = "3",('Inputs-System'!$C$26*'Coincidence Factors'!$B$7*(1+'Inputs-System'!$C$18))*'Inputs-Proposals'!$C$28*(VLOOKUP(BL$3,Capacity!$A$53:$E$85,4,FALSE)*(1+'Inputs-System'!$C$42)+VLOOKUP(BL$3,Capacity!$A$53:$E$85,5,FALSE)*'Inputs-System'!$C$29*(1+'Inputs-System'!$C$43)), $C7 = "0", 0), 0)</f>
        <v>0</v>
      </c>
      <c r="BP7" s="44">
        <v>0</v>
      </c>
      <c r="BQ7" s="342">
        <f>IFERROR(_xlfn.IFS($C7="1", 'Inputs-System'!$C$30*'Coincidence Factors'!$B$7*'Inputs-Proposals'!$C$17*'Inputs-Proposals'!$C$19*(VLOOKUP(BL$3,'Non-Embedded Emissions'!$A$56:$D$90,2,FALSE)+VLOOKUP(BL$3,'Non-Embedded Emissions'!$A$143:$D$174,2,FALSE)+VLOOKUP(BL$3,'Non-Embedded Emissions'!$A$230:$D$259,2,FALSE)), $C7 = "2", 'Inputs-System'!$C$30*'Coincidence Factors'!$B$7*'Inputs-Proposals'!$C$23*'Inputs-Proposals'!$C$25*(VLOOKUP(BL$3,'Non-Embedded Emissions'!$A$56:$D$90,2,FALSE)+VLOOKUP(BL$3,'Non-Embedded Emissions'!$A$143:$D$174,2,FALSE)+VLOOKUP(BL$3,'Non-Embedded Emissions'!$A$230:$D$259,2,FALSE)), $C7 = "3", 'Inputs-System'!$C$30*'Coincidence Factors'!$B$7*'Inputs-Proposals'!$C$29*'Inputs-Proposals'!$C$31*(VLOOKUP(BL$3,'Non-Embedded Emissions'!$A$56:$D$90,2,FALSE)+VLOOKUP(BL$3,'Non-Embedded Emissions'!$A$143:$D$174,2,FALSE)+VLOOKUP(BL$3,'Non-Embedded Emissions'!$A$230:$D$259,2,FALSE)), $C7 = "0", 0), 0)</f>
        <v>0</v>
      </c>
      <c r="BR7" s="45">
        <f>IFERROR(_xlfn.IFS($C7="1",('Inputs-System'!$C$30*'Coincidence Factors'!$B$7*(1+'Inputs-System'!$C$18)*(1+'Inputs-System'!$C$41)*('Inputs-Proposals'!$C$17*'Inputs-Proposals'!$C$19*('Inputs-Proposals'!$C$20))*(VLOOKUP(BR$3,Energy!$A$51:$K$83,5,FALSE))), $C7 = "2",('Inputs-System'!$C$30*'Coincidence Factors'!$B$7)*(1+'Inputs-System'!$C$18)*(1+'Inputs-System'!$C$41)*('Inputs-Proposals'!$C$23*'Inputs-Proposals'!$C$25*('Inputs-Proposals'!$C$26))*(VLOOKUP(BR$3,Energy!$A$51:$K$83,5,FALSE)), $C7= "3", ('Inputs-System'!$C$30*'Coincidence Factors'!$B$7*(1+'Inputs-System'!$C$18)*(1+'Inputs-System'!$C$41)*('Inputs-Proposals'!$C$29*'Inputs-Proposals'!$C$31*('Inputs-Proposals'!$C$32))*(VLOOKUP(BR$3,Energy!$A$51:$K$83,5,FALSE))), $C7= "0", 0), 0)</f>
        <v>0</v>
      </c>
      <c r="BS7" s="44">
        <f>IFERROR(_xlfn.IFS($C7="1",'Inputs-System'!$C$30*'Coincidence Factors'!$B$7*(1+'Inputs-System'!$C$18)*(1+'Inputs-System'!$C$41)*'Inputs-Proposals'!$C$17*'Inputs-Proposals'!$C$19*('Inputs-Proposals'!$C$20)*(VLOOKUP(BR$3,'Embedded Emissions'!$A$47:$B$78,2,FALSE)+VLOOKUP(BR$3,'Embedded Emissions'!$A$129:$B$158,2,FALSE)), $C7 = "2",'Inputs-System'!$C$30*'Coincidence Factors'!$B$7*(1+'Inputs-System'!$C$18)*(1+'Inputs-System'!$C$41)*'Inputs-Proposals'!$C$23*'Inputs-Proposals'!$C$25*('Inputs-Proposals'!$C$20)*(VLOOKUP(BR$3,'Embedded Emissions'!$A$47:$B$78,2,FALSE)+VLOOKUP(BR$3,'Embedded Emissions'!$A$129:$B$158,2,FALSE)), $C7 = "3", 'Inputs-System'!$C$30*'Coincidence Factors'!$B$7*(1+'Inputs-System'!$C$18)*(1+'Inputs-System'!$C$41)*'Inputs-Proposals'!$C$29*'Inputs-Proposals'!$C$31*('Inputs-Proposals'!$C$20)*(VLOOKUP(BR$3,'Embedded Emissions'!$A$47:$B$78,2,FALSE)+VLOOKUP(BR$3,'Embedded Emissions'!$A$129:$B$158,2,FALSE)), $C7 = "0", 0), 0)</f>
        <v>0</v>
      </c>
      <c r="BT7" s="44">
        <f>IFERROR(_xlfn.IFS($C7="1",( 'Inputs-System'!$C$30*'Coincidence Factors'!$B$7*(1+'Inputs-System'!$C$18)*(1+'Inputs-System'!$C$41))*('Inputs-Proposals'!$C$17*'Inputs-Proposals'!$C$19*('Inputs-Proposals'!$C$20))*(VLOOKUP(BR$3,DRIPE!$A$54:$I$82,5,FALSE)+VLOOKUP(BR$3,DRIPE!$A$54:$I$82,9,FALSE))+ ('Inputs-System'!$C$26*'Coincidence Factors'!$B$7*(1+'Inputs-System'!$C$18)*(1+'Inputs-System'!$C$42))*'Inputs-Proposals'!$C$16*VLOOKUP(BR$3,DRIPE!$A$54:$I$82,8,FALSE), $C7 = "2",( 'Inputs-System'!$C$30*'Coincidence Factors'!$B$7*(1+'Inputs-System'!$C$18)*(1+'Inputs-System'!$C$41))*('Inputs-Proposals'!$C$23*'Inputs-Proposals'!$C$25*('Inputs-Proposals'!$C$26))*(VLOOKUP(BR$3,DRIPE!$A$54:$I$82,5,FALSE)+VLOOKUP(BR$3,DRIPE!$A$54:$I$82,12,FALSE))+ ('Inputs-System'!$C$26*'Coincidence Factors'!$B$7*(1+'Inputs-System'!$C$18)*(1+'Inputs-System'!$C$42))*'Inputs-Proposals'!$C$22*VLOOKUP(BR$3,DRIPE!$A$54:$I$82,8,FALSE), $C7= "3", ( 'Inputs-System'!$C$30*'Coincidence Factors'!$B$7*(1+'Inputs-System'!$C$18)*(1+'Inputs-System'!$C$41))*('Inputs-Proposals'!$C$29*'Inputs-Proposals'!$C$31*('Inputs-Proposals'!$C$32))*(VLOOKUP(BR$3,DRIPE!$A$54:$I$82,5,FALSE)+VLOOKUP(BR$3,DRIPE!$A$54:$I$82,12,FALSE))+ ('Inputs-System'!$C$26*'Coincidence Factors'!$B$7*(1+'Inputs-System'!$C$18)*(1+'Inputs-System'!$C$42))*'Inputs-Proposals'!$C$28*VLOOKUP(BR$3,DRIPE!$A$54:$I$82,8,FALSE), $C7 = "0", 0), 0)</f>
        <v>0</v>
      </c>
      <c r="BU7" s="45">
        <f>IFERROR(_xlfn.IFS($C7="1",('Inputs-System'!$C$26*'Coincidence Factors'!$B$7*(1+'Inputs-System'!$C$18))*'Inputs-Proposals'!$C$16*(VLOOKUP(BR$3,Capacity!$A$53:$E$85,4,FALSE)*(1+'Inputs-System'!$C$42)+VLOOKUP(BR$3,Capacity!$A$53:$E$85,5,FALSE)*'Inputs-System'!$C$29*(1+'Inputs-System'!$C$43)), $C7 = "2", ('Inputs-System'!$C$26*'Coincidence Factors'!$B$7*(1+'Inputs-System'!$C$18))*'Inputs-Proposals'!$C$22*(VLOOKUP(BR$3,Capacity!$A$53:$E$85,4,FALSE)*(1+'Inputs-System'!$C$42)+VLOOKUP(BR$3,Capacity!$A$53:$E$85,5,FALSE)*'Inputs-System'!$C$29*(1+'Inputs-System'!$C$43)), $C7 = "3",('Inputs-System'!$C$26*'Coincidence Factors'!$B$7*(1+'Inputs-System'!$C$18))*'Inputs-Proposals'!$C$28*(VLOOKUP(BR$3,Capacity!$A$53:$E$85,4,FALSE)*(1+'Inputs-System'!$C$42)+VLOOKUP(BR$3,Capacity!$A$53:$E$85,5,FALSE)*'Inputs-System'!$C$29*(1+'Inputs-System'!$C$43)), $C7 = "0", 0), 0)</f>
        <v>0</v>
      </c>
      <c r="BV7" s="44">
        <v>0</v>
      </c>
      <c r="BW7" s="342">
        <f>IFERROR(_xlfn.IFS($C7="1", 'Inputs-System'!$C$30*'Coincidence Factors'!$B$7*'Inputs-Proposals'!$C$17*'Inputs-Proposals'!$C$19*(VLOOKUP(BR$3,'Non-Embedded Emissions'!$A$56:$D$90,2,FALSE)+VLOOKUP(BR$3,'Non-Embedded Emissions'!$A$143:$D$174,2,FALSE)+VLOOKUP(BR$3,'Non-Embedded Emissions'!$A$230:$D$259,2,FALSE)), $C7 = "2", 'Inputs-System'!$C$30*'Coincidence Factors'!$B$7*'Inputs-Proposals'!$C$23*'Inputs-Proposals'!$C$25*(VLOOKUP(BR$3,'Non-Embedded Emissions'!$A$56:$D$90,2,FALSE)+VLOOKUP(BR$3,'Non-Embedded Emissions'!$A$143:$D$174,2,FALSE)+VLOOKUP(BR$3,'Non-Embedded Emissions'!$A$230:$D$259,2,FALSE)), $C7 = "3", 'Inputs-System'!$C$30*'Coincidence Factors'!$B$7*'Inputs-Proposals'!$C$29*'Inputs-Proposals'!$C$31*(VLOOKUP(BR$3,'Non-Embedded Emissions'!$A$56:$D$90,2,FALSE)+VLOOKUP(BR$3,'Non-Embedded Emissions'!$A$143:$D$174,2,FALSE)+VLOOKUP(BR$3,'Non-Embedded Emissions'!$A$230:$D$259,2,FALSE)), $C7 = "0", 0), 0)</f>
        <v>0</v>
      </c>
      <c r="BX7" s="45">
        <f>IFERROR(_xlfn.IFS($C7="1",('Inputs-System'!$C$30*'Coincidence Factors'!$B$7*(1+'Inputs-System'!$C$18)*(1+'Inputs-System'!$C$41)*('Inputs-Proposals'!$C$17*'Inputs-Proposals'!$C$19*('Inputs-Proposals'!$C$20))*(VLOOKUP(BX$3,Energy!$A$51:$K$83,5,FALSE))), $C7 = "2",('Inputs-System'!$C$30*'Coincidence Factors'!$B$7)*(1+'Inputs-System'!$C$18)*(1+'Inputs-System'!$C$41)*('Inputs-Proposals'!$C$23*'Inputs-Proposals'!$C$25*('Inputs-Proposals'!$C$26))*(VLOOKUP(BX$3,Energy!$A$51:$K$83,5,FALSE)), $C7= "3", ('Inputs-System'!$C$30*'Coincidence Factors'!$B$7*(1+'Inputs-System'!$C$18)*(1+'Inputs-System'!$C$41)*('Inputs-Proposals'!$C$29*'Inputs-Proposals'!$C$31*('Inputs-Proposals'!$C$32))*(VLOOKUP(BX$3,Energy!$A$51:$K$83,5,FALSE))), $C7= "0", 0), 0)</f>
        <v>0</v>
      </c>
      <c r="BY7" s="44">
        <f>IFERROR(_xlfn.IFS($C7="1",'Inputs-System'!$C$30*'Coincidence Factors'!$B$7*(1+'Inputs-System'!$C$18)*(1+'Inputs-System'!$C$41)*'Inputs-Proposals'!$C$17*'Inputs-Proposals'!$C$19*('Inputs-Proposals'!$C$20)*(VLOOKUP(BX$3,'Embedded Emissions'!$A$47:$B$78,2,FALSE)+VLOOKUP(BX$3,'Embedded Emissions'!$A$129:$B$158,2,FALSE)), $C7 = "2",'Inputs-System'!$C$30*'Coincidence Factors'!$B$7*(1+'Inputs-System'!$C$18)*(1+'Inputs-System'!$C$41)*'Inputs-Proposals'!$C$23*'Inputs-Proposals'!$C$25*('Inputs-Proposals'!$C$20)*(VLOOKUP(BX$3,'Embedded Emissions'!$A$47:$B$78,2,FALSE)+VLOOKUP(BX$3,'Embedded Emissions'!$A$129:$B$158,2,FALSE)), $C7 = "3", 'Inputs-System'!$C$30*'Coincidence Factors'!$B$7*(1+'Inputs-System'!$C$18)*(1+'Inputs-System'!$C$41)*'Inputs-Proposals'!$C$29*'Inputs-Proposals'!$C$31*('Inputs-Proposals'!$C$20)*(VLOOKUP(BX$3,'Embedded Emissions'!$A$47:$B$78,2,FALSE)+VLOOKUP(BX$3,'Embedded Emissions'!$A$129:$B$158,2,FALSE)), $C7 = "0", 0), 0)</f>
        <v>0</v>
      </c>
      <c r="BZ7" s="44">
        <f>IFERROR(_xlfn.IFS($C7="1",( 'Inputs-System'!$C$30*'Coincidence Factors'!$B$7*(1+'Inputs-System'!$C$18)*(1+'Inputs-System'!$C$41))*('Inputs-Proposals'!$C$17*'Inputs-Proposals'!$C$19*('Inputs-Proposals'!$C$20))*(VLOOKUP(BX$3,DRIPE!$A$54:$I$82,5,FALSE)+VLOOKUP(BX$3,DRIPE!$A$54:$I$82,9,FALSE))+ ('Inputs-System'!$C$26*'Coincidence Factors'!$B$7*(1+'Inputs-System'!$C$18)*(1+'Inputs-System'!$C$42))*'Inputs-Proposals'!$C$16*VLOOKUP(BX$3,DRIPE!$A$54:$I$82,8,FALSE), $C7 = "2",( 'Inputs-System'!$C$30*'Coincidence Factors'!$B$7*(1+'Inputs-System'!$C$18)*(1+'Inputs-System'!$C$41))*('Inputs-Proposals'!$C$23*'Inputs-Proposals'!$C$25*('Inputs-Proposals'!$C$26))*(VLOOKUP(BX$3,DRIPE!$A$54:$I$82,5,FALSE)+VLOOKUP(BX$3,DRIPE!$A$54:$I$82,12,FALSE))+ ('Inputs-System'!$C$26*'Coincidence Factors'!$B$7*(1+'Inputs-System'!$C$18)*(1+'Inputs-System'!$C$42))*'Inputs-Proposals'!$C$22*VLOOKUP(BX$3,DRIPE!$A$54:$I$82,8,FALSE), $C7= "3", ( 'Inputs-System'!$C$30*'Coincidence Factors'!$B$7*(1+'Inputs-System'!$C$18)*(1+'Inputs-System'!$C$41))*('Inputs-Proposals'!$C$29*'Inputs-Proposals'!$C$31*('Inputs-Proposals'!$C$32))*(VLOOKUP(BX$3,DRIPE!$A$54:$I$82,5,FALSE)+VLOOKUP(BX$3,DRIPE!$A$54:$I$82,12,FALSE))+ ('Inputs-System'!$C$26*'Coincidence Factors'!$B$7*(1+'Inputs-System'!$C$18)*(1+'Inputs-System'!$C$42))*'Inputs-Proposals'!$C$28*VLOOKUP(BX$3,DRIPE!$A$54:$I$82,8,FALSE), $C7 = "0", 0), 0)</f>
        <v>0</v>
      </c>
      <c r="CA7" s="45">
        <f>IFERROR(_xlfn.IFS($C7="1",('Inputs-System'!$C$26*'Coincidence Factors'!$B$7*(1+'Inputs-System'!$C$18))*'Inputs-Proposals'!$C$16*(VLOOKUP(BX$3,Capacity!$A$53:$E$85,4,FALSE)*(1+'Inputs-System'!$C$42)+VLOOKUP(BX$3,Capacity!$A$53:$E$85,5,FALSE)*'Inputs-System'!$C$29*(1+'Inputs-System'!$C$43)), $C7 = "2", ('Inputs-System'!$C$26*'Coincidence Factors'!$B$7*(1+'Inputs-System'!$C$18))*'Inputs-Proposals'!$C$22*(VLOOKUP(BX$3,Capacity!$A$53:$E$85,4,FALSE)*(1+'Inputs-System'!$C$42)+VLOOKUP(BX$3,Capacity!$A$53:$E$85,5,FALSE)*'Inputs-System'!$C$29*(1+'Inputs-System'!$C$43)), $C7 = "3",('Inputs-System'!$C$26*'Coincidence Factors'!$B$7*(1+'Inputs-System'!$C$18))*'Inputs-Proposals'!$C$28*(VLOOKUP(BX$3,Capacity!$A$53:$E$85,4,FALSE)*(1+'Inputs-System'!$C$42)+VLOOKUP(BX$3,Capacity!$A$53:$E$85,5,FALSE)*'Inputs-System'!$C$29*(1+'Inputs-System'!$C$43)), $C7 = "0", 0), 0)</f>
        <v>0</v>
      </c>
      <c r="CB7" s="44">
        <v>0</v>
      </c>
      <c r="CC7" s="342">
        <f>IFERROR(_xlfn.IFS($C7="1", 'Inputs-System'!$C$30*'Coincidence Factors'!$B$7*'Inputs-Proposals'!$C$17*'Inputs-Proposals'!$C$19*(VLOOKUP(BX$3,'Non-Embedded Emissions'!$A$56:$D$90,2,FALSE)+VLOOKUP(BX$3,'Non-Embedded Emissions'!$A$143:$D$174,2,FALSE)+VLOOKUP(BX$3,'Non-Embedded Emissions'!$A$230:$D$259,2,FALSE)), $C7 = "2", 'Inputs-System'!$C$30*'Coincidence Factors'!$B$7*'Inputs-Proposals'!$C$23*'Inputs-Proposals'!$C$25*(VLOOKUP(BX$3,'Non-Embedded Emissions'!$A$56:$D$90,2,FALSE)+VLOOKUP(BX$3,'Non-Embedded Emissions'!$A$143:$D$174,2,FALSE)+VLOOKUP(BX$3,'Non-Embedded Emissions'!$A$230:$D$259,2,FALSE)), $C7 = "3", 'Inputs-System'!$C$30*'Coincidence Factors'!$B$7*'Inputs-Proposals'!$C$29*'Inputs-Proposals'!$C$31*(VLOOKUP(BX$3,'Non-Embedded Emissions'!$A$56:$D$90,2,FALSE)+VLOOKUP(BX$3,'Non-Embedded Emissions'!$A$143:$D$174,2,FALSE)+VLOOKUP(BX$3,'Non-Embedded Emissions'!$A$230:$D$259,2,FALSE)), $C7 = "0", 0), 0)</f>
        <v>0</v>
      </c>
      <c r="CD7" s="45">
        <f>IFERROR(_xlfn.IFS($C7="1",('Inputs-System'!$C$30*'Coincidence Factors'!$B$7*(1+'Inputs-System'!$C$18)*(1+'Inputs-System'!$C$41)*('Inputs-Proposals'!$C$17*'Inputs-Proposals'!$C$19*('Inputs-Proposals'!$C$20))*(VLOOKUP(CD$3,Energy!$A$51:$K$83,5,FALSE))), $C7 = "2",('Inputs-System'!$C$30*'Coincidence Factors'!$B$7)*(1+'Inputs-System'!$C$18)*(1+'Inputs-System'!$C$41)*('Inputs-Proposals'!$C$23*'Inputs-Proposals'!$C$25*('Inputs-Proposals'!$C$26))*(VLOOKUP(CD$3,Energy!$A$51:$K$83,5,FALSE)), $C7= "3", ('Inputs-System'!$C$30*'Coincidence Factors'!$B$7*(1+'Inputs-System'!$C$18)*(1+'Inputs-System'!$C$41)*('Inputs-Proposals'!$C$29*'Inputs-Proposals'!$C$31*('Inputs-Proposals'!$C$32))*(VLOOKUP(CD$3,Energy!$A$51:$K$83,5,FALSE))), $C7= "0", 0), 0)</f>
        <v>0</v>
      </c>
      <c r="CE7" s="44">
        <f>IFERROR(_xlfn.IFS($C7="1",'Inputs-System'!$C$30*'Coincidence Factors'!$B$7*(1+'Inputs-System'!$C$18)*(1+'Inputs-System'!$C$41)*'Inputs-Proposals'!$C$17*'Inputs-Proposals'!$C$19*('Inputs-Proposals'!$C$20)*(VLOOKUP(CD$3,'Embedded Emissions'!$A$47:$B$78,2,FALSE)+VLOOKUP(CD$3,'Embedded Emissions'!$A$129:$B$158,2,FALSE)), $C7 = "2",'Inputs-System'!$C$30*'Coincidence Factors'!$B$7*(1+'Inputs-System'!$C$18)*(1+'Inputs-System'!$C$41)*'Inputs-Proposals'!$C$23*'Inputs-Proposals'!$C$25*('Inputs-Proposals'!$C$20)*(VLOOKUP(CD$3,'Embedded Emissions'!$A$47:$B$78,2,FALSE)+VLOOKUP(CD$3,'Embedded Emissions'!$A$129:$B$158,2,FALSE)), $C7 = "3", 'Inputs-System'!$C$30*'Coincidence Factors'!$B$7*(1+'Inputs-System'!$C$18)*(1+'Inputs-System'!$C$41)*'Inputs-Proposals'!$C$29*'Inputs-Proposals'!$C$31*('Inputs-Proposals'!$C$20)*(VLOOKUP(CD$3,'Embedded Emissions'!$A$47:$B$78,2,FALSE)+VLOOKUP(CD$3,'Embedded Emissions'!$A$129:$B$158,2,FALSE)), $C7 = "0", 0), 0)</f>
        <v>0</v>
      </c>
      <c r="CF7" s="44">
        <f>IFERROR(_xlfn.IFS($C7="1",( 'Inputs-System'!$C$30*'Coincidence Factors'!$B$7*(1+'Inputs-System'!$C$18)*(1+'Inputs-System'!$C$41))*('Inputs-Proposals'!$C$17*'Inputs-Proposals'!$C$19*('Inputs-Proposals'!$C$20))*(VLOOKUP(CD$3,DRIPE!$A$54:$I$82,5,FALSE)+VLOOKUP(CD$3,DRIPE!$A$54:$I$82,9,FALSE))+ ('Inputs-System'!$C$26*'Coincidence Factors'!$B$7*(1+'Inputs-System'!$C$18)*(1+'Inputs-System'!$C$42))*'Inputs-Proposals'!$C$16*VLOOKUP(CD$3,DRIPE!$A$54:$I$82,8,FALSE), $C7 = "2",( 'Inputs-System'!$C$30*'Coincidence Factors'!$B$7*(1+'Inputs-System'!$C$18)*(1+'Inputs-System'!$C$41))*('Inputs-Proposals'!$C$23*'Inputs-Proposals'!$C$25*('Inputs-Proposals'!$C$26))*(VLOOKUP(CD$3,DRIPE!$A$54:$I$82,5,FALSE)+VLOOKUP(CD$3,DRIPE!$A$54:$I$82,12,FALSE))+ ('Inputs-System'!$C$26*'Coincidence Factors'!$B$7*(1+'Inputs-System'!$C$18)*(1+'Inputs-System'!$C$42))*'Inputs-Proposals'!$C$22*VLOOKUP(CD$3,DRIPE!$A$54:$I$82,8,FALSE), $C7= "3", ( 'Inputs-System'!$C$30*'Coincidence Factors'!$B$7*(1+'Inputs-System'!$C$18)*(1+'Inputs-System'!$C$41))*('Inputs-Proposals'!$C$29*'Inputs-Proposals'!$C$31*('Inputs-Proposals'!$C$32))*(VLOOKUP(CD$3,DRIPE!$A$54:$I$82,5,FALSE)+VLOOKUP(CD$3,DRIPE!$A$54:$I$82,12,FALSE))+ ('Inputs-System'!$C$26*'Coincidence Factors'!$B$7*(1+'Inputs-System'!$C$18)*(1+'Inputs-System'!$C$42))*'Inputs-Proposals'!$C$28*VLOOKUP(CD$3,DRIPE!$A$54:$I$82,8,FALSE), $C7 = "0", 0), 0)</f>
        <v>0</v>
      </c>
      <c r="CG7" s="45">
        <f>IFERROR(_xlfn.IFS($C7="1",('Inputs-System'!$C$26*'Coincidence Factors'!$B$7*(1+'Inputs-System'!$C$18))*'Inputs-Proposals'!$C$16*(VLOOKUP(CD$3,Capacity!$A$53:$E$85,4,FALSE)*(1+'Inputs-System'!$C$42)+VLOOKUP(CD$3,Capacity!$A$53:$E$85,5,FALSE)*'Inputs-System'!$C$29*(1+'Inputs-System'!$C$43)), $C7 = "2", ('Inputs-System'!$C$26*'Coincidence Factors'!$B$7*(1+'Inputs-System'!$C$18))*'Inputs-Proposals'!$C$22*(VLOOKUP(CD$3,Capacity!$A$53:$E$85,4,FALSE)*(1+'Inputs-System'!$C$42)+VLOOKUP(CD$3,Capacity!$A$53:$E$85,5,FALSE)*'Inputs-System'!$C$29*(1+'Inputs-System'!$C$43)), $C7 = "3",('Inputs-System'!$C$26*'Coincidence Factors'!$B$7*(1+'Inputs-System'!$C$18))*'Inputs-Proposals'!$C$28*(VLOOKUP(CD$3,Capacity!$A$53:$E$85,4,FALSE)*(1+'Inputs-System'!$C$42)+VLOOKUP(CD$3,Capacity!$A$53:$E$85,5,FALSE)*'Inputs-System'!$C$29*(1+'Inputs-System'!$C$43)), $C7 = "0", 0), 0)</f>
        <v>0</v>
      </c>
      <c r="CH7" s="44">
        <v>0</v>
      </c>
      <c r="CI7" s="342">
        <f>IFERROR(_xlfn.IFS($C7="1", 'Inputs-System'!$C$30*'Coincidence Factors'!$B$7*'Inputs-Proposals'!$C$17*'Inputs-Proposals'!$C$19*(VLOOKUP(CD$3,'Non-Embedded Emissions'!$A$56:$D$90,2,FALSE)+VLOOKUP(CD$3,'Non-Embedded Emissions'!$A$143:$D$174,2,FALSE)+VLOOKUP(CD$3,'Non-Embedded Emissions'!$A$230:$D$259,2,FALSE)), $C7 = "2", 'Inputs-System'!$C$30*'Coincidence Factors'!$B$7*'Inputs-Proposals'!$C$23*'Inputs-Proposals'!$C$25*(VLOOKUP(CD$3,'Non-Embedded Emissions'!$A$56:$D$90,2,FALSE)+VLOOKUP(CD$3,'Non-Embedded Emissions'!$A$143:$D$174,2,FALSE)+VLOOKUP(CD$3,'Non-Embedded Emissions'!$A$230:$D$259,2,FALSE)), $C7 = "3", 'Inputs-System'!$C$30*'Coincidence Factors'!$B$7*'Inputs-Proposals'!$C$29*'Inputs-Proposals'!$C$31*(VLOOKUP(CD$3,'Non-Embedded Emissions'!$A$56:$D$90,2,FALSE)+VLOOKUP(CD$3,'Non-Embedded Emissions'!$A$143:$D$174,2,FALSE)+VLOOKUP(CD$3,'Non-Embedded Emissions'!$A$230:$D$259,2,FALSE)), $C7 = "0", 0), 0)</f>
        <v>0</v>
      </c>
      <c r="CJ7" s="45">
        <f>IFERROR(_xlfn.IFS($C7="1",('Inputs-System'!$C$30*'Coincidence Factors'!$B$7*(1+'Inputs-System'!$C$18)*(1+'Inputs-System'!$C$41)*('Inputs-Proposals'!$C$17*'Inputs-Proposals'!$C$19*('Inputs-Proposals'!$C$20))*(VLOOKUP(CJ$3,Energy!$A$51:$K$83,5,FALSE))), $C7 = "2",('Inputs-System'!$C$30*'Coincidence Factors'!$B$7)*(1+'Inputs-System'!$C$18)*(1+'Inputs-System'!$C$41)*('Inputs-Proposals'!$C$23*'Inputs-Proposals'!$C$25*('Inputs-Proposals'!$C$26))*(VLOOKUP(CJ$3,Energy!$A$51:$K$83,5,FALSE)), $C7= "3", ('Inputs-System'!$C$30*'Coincidence Factors'!$B$7*(1+'Inputs-System'!$C$18)*(1+'Inputs-System'!$C$41)*('Inputs-Proposals'!$C$29*'Inputs-Proposals'!$C$31*('Inputs-Proposals'!$C$32))*(VLOOKUP(CJ$3,Energy!$A$51:$K$83,5,FALSE))), $C7= "0", 0), 0)</f>
        <v>0</v>
      </c>
      <c r="CK7" s="44">
        <f>IFERROR(_xlfn.IFS($C7="1",'Inputs-System'!$C$30*'Coincidence Factors'!$B$7*(1+'Inputs-System'!$C$18)*(1+'Inputs-System'!$C$41)*'Inputs-Proposals'!$C$17*'Inputs-Proposals'!$C$19*('Inputs-Proposals'!$C$20)*(VLOOKUP(CJ$3,'Embedded Emissions'!$A$47:$B$78,2,FALSE)+VLOOKUP(CJ$3,'Embedded Emissions'!$A$129:$B$158,2,FALSE)), $C7 = "2",'Inputs-System'!$C$30*'Coincidence Factors'!$B$7*(1+'Inputs-System'!$C$18)*(1+'Inputs-System'!$C$41)*'Inputs-Proposals'!$C$23*'Inputs-Proposals'!$C$25*('Inputs-Proposals'!$C$20)*(VLOOKUP(CJ$3,'Embedded Emissions'!$A$47:$B$78,2,FALSE)+VLOOKUP(CJ$3,'Embedded Emissions'!$A$129:$B$158,2,FALSE)), $C7 = "3", 'Inputs-System'!$C$30*'Coincidence Factors'!$B$7*(1+'Inputs-System'!$C$18)*(1+'Inputs-System'!$C$41)*'Inputs-Proposals'!$C$29*'Inputs-Proposals'!$C$31*('Inputs-Proposals'!$C$20)*(VLOOKUP(CJ$3,'Embedded Emissions'!$A$47:$B$78,2,FALSE)+VLOOKUP(CJ$3,'Embedded Emissions'!$A$129:$B$158,2,FALSE)), $C7 = "0", 0), 0)</f>
        <v>0</v>
      </c>
      <c r="CL7" s="44">
        <f>IFERROR(_xlfn.IFS($C7="1",( 'Inputs-System'!$C$30*'Coincidence Factors'!$B$7*(1+'Inputs-System'!$C$18)*(1+'Inputs-System'!$C$41))*('Inputs-Proposals'!$C$17*'Inputs-Proposals'!$C$19*('Inputs-Proposals'!$C$20))*(VLOOKUP(CJ$3,DRIPE!$A$54:$I$82,5,FALSE)+VLOOKUP(CJ$3,DRIPE!$A$54:$I$82,9,FALSE))+ ('Inputs-System'!$C$26*'Coincidence Factors'!$B$7*(1+'Inputs-System'!$C$18)*(1+'Inputs-System'!$C$42))*'Inputs-Proposals'!$C$16*VLOOKUP(CJ$3,DRIPE!$A$54:$I$82,8,FALSE), $C7 = "2",( 'Inputs-System'!$C$30*'Coincidence Factors'!$B$7*(1+'Inputs-System'!$C$18)*(1+'Inputs-System'!$C$41))*('Inputs-Proposals'!$C$23*'Inputs-Proposals'!$C$25*('Inputs-Proposals'!$C$26))*(VLOOKUP(CJ$3,DRIPE!$A$54:$I$82,5,FALSE)+VLOOKUP(CJ$3,DRIPE!$A$54:$I$82,12,FALSE))+ ('Inputs-System'!$C$26*'Coincidence Factors'!$B$7*(1+'Inputs-System'!$C$18)*(1+'Inputs-System'!$C$42))*'Inputs-Proposals'!$C$22*VLOOKUP(CJ$3,DRIPE!$A$54:$I$82,8,FALSE), $C7= "3", ( 'Inputs-System'!$C$30*'Coincidence Factors'!$B$7*(1+'Inputs-System'!$C$18)*(1+'Inputs-System'!$C$41))*('Inputs-Proposals'!$C$29*'Inputs-Proposals'!$C$31*('Inputs-Proposals'!$C$32))*(VLOOKUP(CJ$3,DRIPE!$A$54:$I$82,5,FALSE)+VLOOKUP(CJ$3,DRIPE!$A$54:$I$82,12,FALSE))+ ('Inputs-System'!$C$26*'Coincidence Factors'!$B$7*(1+'Inputs-System'!$C$18)*(1+'Inputs-System'!$C$42))*'Inputs-Proposals'!$C$28*VLOOKUP(CJ$3,DRIPE!$A$54:$I$82,8,FALSE), $C7 = "0", 0), 0)</f>
        <v>0</v>
      </c>
      <c r="CM7" s="45">
        <f>IFERROR(_xlfn.IFS($C7="1",('Inputs-System'!$C$26*'Coincidence Factors'!$B$7*(1+'Inputs-System'!$C$18))*'Inputs-Proposals'!$C$16*(VLOOKUP(CJ$3,Capacity!$A$53:$E$85,4,FALSE)*(1+'Inputs-System'!$C$42)+VLOOKUP(CJ$3,Capacity!$A$53:$E$85,5,FALSE)*'Inputs-System'!$C$29*(1+'Inputs-System'!$C$43)), $C7 = "2", ('Inputs-System'!$C$26*'Coincidence Factors'!$B$7*(1+'Inputs-System'!$C$18))*'Inputs-Proposals'!$C$22*(VLOOKUP(CJ$3,Capacity!$A$53:$E$85,4,FALSE)*(1+'Inputs-System'!$C$42)+VLOOKUP(CJ$3,Capacity!$A$53:$E$85,5,FALSE)*'Inputs-System'!$C$29*(1+'Inputs-System'!$C$43)), $C7 = "3",('Inputs-System'!$C$26*'Coincidence Factors'!$B$7*(1+'Inputs-System'!$C$18))*'Inputs-Proposals'!$C$28*(VLOOKUP(CJ$3,Capacity!$A$53:$E$85,4,FALSE)*(1+'Inputs-System'!$C$42)+VLOOKUP(CJ$3,Capacity!$A$53:$E$85,5,FALSE)*'Inputs-System'!$C$29*(1+'Inputs-System'!$C$43)), $C7 = "0", 0), 0)</f>
        <v>0</v>
      </c>
      <c r="CN7" s="44">
        <v>0</v>
      </c>
      <c r="CO7" s="342">
        <f>IFERROR(_xlfn.IFS($C7="1", 'Inputs-System'!$C$30*'Coincidence Factors'!$B$7*'Inputs-Proposals'!$C$17*'Inputs-Proposals'!$C$19*(VLOOKUP(CJ$3,'Non-Embedded Emissions'!$A$56:$D$90,2,FALSE)+VLOOKUP(CJ$3,'Non-Embedded Emissions'!$A$143:$D$174,2,FALSE)+VLOOKUP(CJ$3,'Non-Embedded Emissions'!$A$230:$D$259,2,FALSE)), $C7 = "2", 'Inputs-System'!$C$30*'Coincidence Factors'!$B$7*'Inputs-Proposals'!$C$23*'Inputs-Proposals'!$C$25*(VLOOKUP(CJ$3,'Non-Embedded Emissions'!$A$56:$D$90,2,FALSE)+VLOOKUP(CJ$3,'Non-Embedded Emissions'!$A$143:$D$174,2,FALSE)+VLOOKUP(CJ$3,'Non-Embedded Emissions'!$A$230:$D$259,2,FALSE)), $C7 = "3", 'Inputs-System'!$C$30*'Coincidence Factors'!$B$7*'Inputs-Proposals'!$C$29*'Inputs-Proposals'!$C$31*(VLOOKUP(CJ$3,'Non-Embedded Emissions'!$A$56:$D$90,2,FALSE)+VLOOKUP(CJ$3,'Non-Embedded Emissions'!$A$143:$D$174,2,FALSE)+VLOOKUP(CJ$3,'Non-Embedded Emissions'!$A$230:$D$259,2,FALSE)), $C7 = "0", 0), 0)</f>
        <v>0</v>
      </c>
      <c r="CP7" s="45">
        <f>IFERROR(_xlfn.IFS($C7="1",('Inputs-System'!$C$30*'Coincidence Factors'!$B$7*(1+'Inputs-System'!$C$18)*(1+'Inputs-System'!$C$41)*('Inputs-Proposals'!$C$17*'Inputs-Proposals'!$C$19*('Inputs-Proposals'!$C$20))*(VLOOKUP(CP$3,Energy!$A$51:$K$83,5,FALSE))), $C7 = "2",('Inputs-System'!$C$30*'Coincidence Factors'!$B$7)*(1+'Inputs-System'!$C$18)*(1+'Inputs-System'!$C$41)*('Inputs-Proposals'!$C$23*'Inputs-Proposals'!$C$25*('Inputs-Proposals'!$C$26))*(VLOOKUP(CP$3,Energy!$A$51:$K$83,5,FALSE)), $C7= "3", ('Inputs-System'!$C$30*'Coincidence Factors'!$B$7*(1+'Inputs-System'!$C$18)*(1+'Inputs-System'!$C$41)*('Inputs-Proposals'!$C$29*'Inputs-Proposals'!$C$31*('Inputs-Proposals'!$C$32))*(VLOOKUP(CP$3,Energy!$A$51:$K$83,5,FALSE))), $C7= "0", 0), 0)</f>
        <v>0</v>
      </c>
      <c r="CQ7" s="44">
        <f>IFERROR(_xlfn.IFS($C7="1",'Inputs-System'!$C$30*'Coincidence Factors'!$B$7*(1+'Inputs-System'!$C$18)*(1+'Inputs-System'!$C$41)*'Inputs-Proposals'!$C$17*'Inputs-Proposals'!$C$19*('Inputs-Proposals'!$C$20)*(VLOOKUP(CP$3,'Embedded Emissions'!$A$47:$B$78,2,FALSE)+VLOOKUP(CP$3,'Embedded Emissions'!$A$129:$B$158,2,FALSE)), $C7 = "2",'Inputs-System'!$C$30*'Coincidence Factors'!$B$7*(1+'Inputs-System'!$C$18)*(1+'Inputs-System'!$C$41)*'Inputs-Proposals'!$C$23*'Inputs-Proposals'!$C$25*('Inputs-Proposals'!$C$20)*(VLOOKUP(CP$3,'Embedded Emissions'!$A$47:$B$78,2,FALSE)+VLOOKUP(CP$3,'Embedded Emissions'!$A$129:$B$158,2,FALSE)), $C7 = "3", 'Inputs-System'!$C$30*'Coincidence Factors'!$B$7*(1+'Inputs-System'!$C$18)*(1+'Inputs-System'!$C$41)*'Inputs-Proposals'!$C$29*'Inputs-Proposals'!$C$31*('Inputs-Proposals'!$C$20)*(VLOOKUP(CP$3,'Embedded Emissions'!$A$47:$B$78,2,FALSE)+VLOOKUP(CP$3,'Embedded Emissions'!$A$129:$B$158,2,FALSE)), $C7 = "0", 0), 0)</f>
        <v>0</v>
      </c>
      <c r="CR7" s="44">
        <f>IFERROR(_xlfn.IFS($C7="1",( 'Inputs-System'!$C$30*'Coincidence Factors'!$B$7*(1+'Inputs-System'!$C$18)*(1+'Inputs-System'!$C$41))*('Inputs-Proposals'!$C$17*'Inputs-Proposals'!$C$19*('Inputs-Proposals'!$C$20))*(VLOOKUP(CP$3,DRIPE!$A$54:$I$82,5,FALSE)+VLOOKUP(CP$3,DRIPE!$A$54:$I$82,9,FALSE))+ ('Inputs-System'!$C$26*'Coincidence Factors'!$B$7*(1+'Inputs-System'!$C$18)*(1+'Inputs-System'!$C$42))*'Inputs-Proposals'!$C$16*VLOOKUP(CP$3,DRIPE!$A$54:$I$82,8,FALSE), $C7 = "2",( 'Inputs-System'!$C$30*'Coincidence Factors'!$B$7*(1+'Inputs-System'!$C$18)*(1+'Inputs-System'!$C$41))*('Inputs-Proposals'!$C$23*'Inputs-Proposals'!$C$25*('Inputs-Proposals'!$C$26))*(VLOOKUP(CP$3,DRIPE!$A$54:$I$82,5,FALSE)+VLOOKUP(CP$3,DRIPE!$A$54:$I$82,12,FALSE))+ ('Inputs-System'!$C$26*'Coincidence Factors'!$B$7*(1+'Inputs-System'!$C$18)*(1+'Inputs-System'!$C$42))*'Inputs-Proposals'!$C$22*VLOOKUP(CP$3,DRIPE!$A$54:$I$82,8,FALSE), $C7= "3", ( 'Inputs-System'!$C$30*'Coincidence Factors'!$B$7*(1+'Inputs-System'!$C$18)*(1+'Inputs-System'!$C$41))*('Inputs-Proposals'!$C$29*'Inputs-Proposals'!$C$31*('Inputs-Proposals'!$C$32))*(VLOOKUP(CP$3,DRIPE!$A$54:$I$82,5,FALSE)+VLOOKUP(CP$3,DRIPE!$A$54:$I$82,12,FALSE))+ ('Inputs-System'!$C$26*'Coincidence Factors'!$B$7*(1+'Inputs-System'!$C$18)*(1+'Inputs-System'!$C$42))*'Inputs-Proposals'!$C$28*VLOOKUP(CP$3,DRIPE!$A$54:$I$82,8,FALSE), $C7 = "0", 0), 0)</f>
        <v>0</v>
      </c>
      <c r="CS7" s="45">
        <f>IFERROR(_xlfn.IFS($C7="1",('Inputs-System'!$C$26*'Coincidence Factors'!$B$7*(1+'Inputs-System'!$C$18))*'Inputs-Proposals'!$C$16*(VLOOKUP(CP$3,Capacity!$A$53:$E$85,4,FALSE)*(1+'Inputs-System'!$C$42)+VLOOKUP(CP$3,Capacity!$A$53:$E$85,5,FALSE)*'Inputs-System'!$C$29*(1+'Inputs-System'!$C$43)), $C7 = "2", ('Inputs-System'!$C$26*'Coincidence Factors'!$B$7*(1+'Inputs-System'!$C$18))*'Inputs-Proposals'!$C$22*(VLOOKUP(CP$3,Capacity!$A$53:$E$85,4,FALSE)*(1+'Inputs-System'!$C$42)+VLOOKUP(CP$3,Capacity!$A$53:$E$85,5,FALSE)*'Inputs-System'!$C$29*(1+'Inputs-System'!$C$43)), $C7 = "3",('Inputs-System'!$C$26*'Coincidence Factors'!$B$7*(1+'Inputs-System'!$C$18))*'Inputs-Proposals'!$C$28*(VLOOKUP(CP$3,Capacity!$A$53:$E$85,4,FALSE)*(1+'Inputs-System'!$C$42)+VLOOKUP(CP$3,Capacity!$A$53:$E$85,5,FALSE)*'Inputs-System'!$C$29*(1+'Inputs-System'!$C$43)), $C7 = "0", 0), 0)</f>
        <v>0</v>
      </c>
      <c r="CT7" s="44">
        <v>0</v>
      </c>
      <c r="CU7" s="342">
        <f>IFERROR(_xlfn.IFS($C7="1", 'Inputs-System'!$C$30*'Coincidence Factors'!$B$7*'Inputs-Proposals'!$C$17*'Inputs-Proposals'!$C$19*(VLOOKUP(CP$3,'Non-Embedded Emissions'!$A$56:$D$90,2,FALSE)+VLOOKUP(CP$3,'Non-Embedded Emissions'!$A$143:$D$174,2,FALSE)+VLOOKUP(CP$3,'Non-Embedded Emissions'!$A$230:$D$259,2,FALSE)), $C7 = "2", 'Inputs-System'!$C$30*'Coincidence Factors'!$B$7*'Inputs-Proposals'!$C$23*'Inputs-Proposals'!$C$25*(VLOOKUP(CP$3,'Non-Embedded Emissions'!$A$56:$D$90,2,FALSE)+VLOOKUP(CP$3,'Non-Embedded Emissions'!$A$143:$D$174,2,FALSE)+VLOOKUP(CP$3,'Non-Embedded Emissions'!$A$230:$D$259,2,FALSE)), $C7 = "3", 'Inputs-System'!$C$30*'Coincidence Factors'!$B$7*'Inputs-Proposals'!$C$29*'Inputs-Proposals'!$C$31*(VLOOKUP(CP$3,'Non-Embedded Emissions'!$A$56:$D$90,2,FALSE)+VLOOKUP(CP$3,'Non-Embedded Emissions'!$A$143:$D$174,2,FALSE)+VLOOKUP(CP$3,'Non-Embedded Emissions'!$A$230:$D$259,2,FALSE)), $C7 = "0", 0), 0)</f>
        <v>0</v>
      </c>
      <c r="CV7" s="45">
        <f>IFERROR(_xlfn.IFS($C7="1",('Inputs-System'!$C$30*'Coincidence Factors'!$B$7*(1+'Inputs-System'!$C$18)*(1+'Inputs-System'!$C$41)*('Inputs-Proposals'!$C$17*'Inputs-Proposals'!$C$19*('Inputs-Proposals'!$C$20))*(VLOOKUP(CV$3,Energy!$A$51:$K$83,5,FALSE))), $C7 = "2",('Inputs-System'!$C$30*'Coincidence Factors'!$B$7)*(1+'Inputs-System'!$C$18)*(1+'Inputs-System'!$C$41)*('Inputs-Proposals'!$C$23*'Inputs-Proposals'!$C$25*('Inputs-Proposals'!$C$26))*(VLOOKUP(CV$3,Energy!$A$51:$K$83,5,FALSE)), $C7= "3", ('Inputs-System'!$C$30*'Coincidence Factors'!$B$7*(1+'Inputs-System'!$C$18)*(1+'Inputs-System'!$C$41)*('Inputs-Proposals'!$C$29*'Inputs-Proposals'!$C$31*('Inputs-Proposals'!$C$32))*(VLOOKUP(CV$3,Energy!$A$51:$K$83,5,FALSE))), $C7= "0", 0), 0)</f>
        <v>0</v>
      </c>
      <c r="CW7" s="44">
        <f>IFERROR(_xlfn.IFS($C7="1",'Inputs-System'!$C$30*'Coincidence Factors'!$B$7*(1+'Inputs-System'!$C$18)*(1+'Inputs-System'!$C$41)*'Inputs-Proposals'!$C$17*'Inputs-Proposals'!$C$19*('Inputs-Proposals'!$C$20)*(VLOOKUP(CV$3,'Embedded Emissions'!$A$47:$B$78,2,FALSE)+VLOOKUP(CV$3,'Embedded Emissions'!$A$129:$B$158,2,FALSE)), $C7 = "2",'Inputs-System'!$C$30*'Coincidence Factors'!$B$7*(1+'Inputs-System'!$C$18)*(1+'Inputs-System'!$C$41)*'Inputs-Proposals'!$C$23*'Inputs-Proposals'!$C$25*('Inputs-Proposals'!$C$20)*(VLOOKUP(CV$3,'Embedded Emissions'!$A$47:$B$78,2,FALSE)+VLOOKUP(CV$3,'Embedded Emissions'!$A$129:$B$158,2,FALSE)), $C7 = "3", 'Inputs-System'!$C$30*'Coincidence Factors'!$B$7*(1+'Inputs-System'!$C$18)*(1+'Inputs-System'!$C$41)*'Inputs-Proposals'!$C$29*'Inputs-Proposals'!$C$31*('Inputs-Proposals'!$C$20)*(VLOOKUP(CV$3,'Embedded Emissions'!$A$47:$B$78,2,FALSE)+VLOOKUP(CV$3,'Embedded Emissions'!$A$129:$B$158,2,FALSE)), $C7 = "0", 0), 0)</f>
        <v>0</v>
      </c>
      <c r="CX7" s="44">
        <f>IFERROR(_xlfn.IFS($C7="1",( 'Inputs-System'!$C$30*'Coincidence Factors'!$B$7*(1+'Inputs-System'!$C$18)*(1+'Inputs-System'!$C$41))*('Inputs-Proposals'!$C$17*'Inputs-Proposals'!$C$19*('Inputs-Proposals'!$C$20))*(VLOOKUP(CV$3,DRIPE!$A$54:$I$82,5,FALSE)+VLOOKUP(CV$3,DRIPE!$A$54:$I$82,9,FALSE))+ ('Inputs-System'!$C$26*'Coincidence Factors'!$B$7*(1+'Inputs-System'!$C$18)*(1+'Inputs-System'!$C$42))*'Inputs-Proposals'!$C$16*VLOOKUP(CV$3,DRIPE!$A$54:$I$82,8,FALSE), $C7 = "2",( 'Inputs-System'!$C$30*'Coincidence Factors'!$B$7*(1+'Inputs-System'!$C$18)*(1+'Inputs-System'!$C$41))*('Inputs-Proposals'!$C$23*'Inputs-Proposals'!$C$25*('Inputs-Proposals'!$C$26))*(VLOOKUP(CV$3,DRIPE!$A$54:$I$82,5,FALSE)+VLOOKUP(CV$3,DRIPE!$A$54:$I$82,12,FALSE))+ ('Inputs-System'!$C$26*'Coincidence Factors'!$B$7*(1+'Inputs-System'!$C$18)*(1+'Inputs-System'!$C$42))*'Inputs-Proposals'!$C$22*VLOOKUP(CV$3,DRIPE!$A$54:$I$82,8,FALSE), $C7= "3", ( 'Inputs-System'!$C$30*'Coincidence Factors'!$B$7*(1+'Inputs-System'!$C$18)*(1+'Inputs-System'!$C$41))*('Inputs-Proposals'!$C$29*'Inputs-Proposals'!$C$31*('Inputs-Proposals'!$C$32))*(VLOOKUP(CV$3,DRIPE!$A$54:$I$82,5,FALSE)+VLOOKUP(CV$3,DRIPE!$A$54:$I$82,12,FALSE))+ ('Inputs-System'!$C$26*'Coincidence Factors'!$B$7*(1+'Inputs-System'!$C$18)*(1+'Inputs-System'!$C$42))*'Inputs-Proposals'!$C$28*VLOOKUP(CV$3,DRIPE!$A$54:$I$82,8,FALSE), $C7 = "0", 0), 0)</f>
        <v>0</v>
      </c>
      <c r="CY7" s="45">
        <f>IFERROR(_xlfn.IFS($C7="1",('Inputs-System'!$C$26*'Coincidence Factors'!$B$7*(1+'Inputs-System'!$C$18))*'Inputs-Proposals'!$C$16*(VLOOKUP(CV$3,Capacity!$A$53:$E$85,4,FALSE)*(1+'Inputs-System'!$C$42)+VLOOKUP(CV$3,Capacity!$A$53:$E$85,5,FALSE)*'Inputs-System'!$C$29*(1+'Inputs-System'!$C$43)), $C7 = "2", ('Inputs-System'!$C$26*'Coincidence Factors'!$B$7*(1+'Inputs-System'!$C$18))*'Inputs-Proposals'!$C$22*(VLOOKUP(CV$3,Capacity!$A$53:$E$85,4,FALSE)*(1+'Inputs-System'!$C$42)+VLOOKUP(CV$3,Capacity!$A$53:$E$85,5,FALSE)*'Inputs-System'!$C$29*(1+'Inputs-System'!$C$43)), $C7 = "3",('Inputs-System'!$C$26*'Coincidence Factors'!$B$7*(1+'Inputs-System'!$C$18))*'Inputs-Proposals'!$C$28*(VLOOKUP(CV$3,Capacity!$A$53:$E$85,4,FALSE)*(1+'Inputs-System'!$C$42)+VLOOKUP(CV$3,Capacity!$A$53:$E$85,5,FALSE)*'Inputs-System'!$C$29*(1+'Inputs-System'!$C$43)), $C7 = "0", 0), 0)</f>
        <v>0</v>
      </c>
      <c r="CZ7" s="44">
        <v>0</v>
      </c>
      <c r="DA7" s="342">
        <f>IFERROR(_xlfn.IFS($C7="1", 'Inputs-System'!$C$30*'Coincidence Factors'!$B$7*'Inputs-Proposals'!$C$17*'Inputs-Proposals'!$C$19*(VLOOKUP(CV$3,'Non-Embedded Emissions'!$A$56:$D$90,2,FALSE)+VLOOKUP(CV$3,'Non-Embedded Emissions'!$A$143:$D$174,2,FALSE)+VLOOKUP(CV$3,'Non-Embedded Emissions'!$A$230:$D$259,2,FALSE)), $C7 = "2", 'Inputs-System'!$C$30*'Coincidence Factors'!$B$7*'Inputs-Proposals'!$C$23*'Inputs-Proposals'!$C$25*(VLOOKUP(CV$3,'Non-Embedded Emissions'!$A$56:$D$90,2,FALSE)+VLOOKUP(CV$3,'Non-Embedded Emissions'!$A$143:$D$174,2,FALSE)+VLOOKUP(CV$3,'Non-Embedded Emissions'!$A$230:$D$259,2,FALSE)), $C7 = "3", 'Inputs-System'!$C$30*'Coincidence Factors'!$B$7*'Inputs-Proposals'!$C$29*'Inputs-Proposals'!$C$31*(VLOOKUP(CV$3,'Non-Embedded Emissions'!$A$56:$D$90,2,FALSE)+VLOOKUP(CV$3,'Non-Embedded Emissions'!$A$143:$D$174,2,FALSE)+VLOOKUP(CV$3,'Non-Embedded Emissions'!$A$230:$D$259,2,FALSE)), $C7 = "0", 0), 0)</f>
        <v>0</v>
      </c>
      <c r="DB7" s="45">
        <f>IFERROR(_xlfn.IFS($C7="1",('Inputs-System'!$C$30*'Coincidence Factors'!$B$7*(1+'Inputs-System'!$C$18)*(1+'Inputs-System'!$C$41)*('Inputs-Proposals'!$C$17*'Inputs-Proposals'!$C$19*('Inputs-Proposals'!$C$20))*(VLOOKUP(DB$3,Energy!$A$51:$K$83,5,FALSE))), $C7 = "2",('Inputs-System'!$C$30*'Coincidence Factors'!$B$7)*(1+'Inputs-System'!$C$18)*(1+'Inputs-System'!$C$41)*('Inputs-Proposals'!$C$23*'Inputs-Proposals'!$C$25*('Inputs-Proposals'!$C$26))*(VLOOKUP(DB$3,Energy!$A$51:$K$83,5,FALSE)), $C7= "3", ('Inputs-System'!$C$30*'Coincidence Factors'!$B$7*(1+'Inputs-System'!$C$18)*(1+'Inputs-System'!$C$41)*('Inputs-Proposals'!$C$29*'Inputs-Proposals'!$C$31*('Inputs-Proposals'!$C$32))*(VLOOKUP(DB$3,Energy!$A$51:$K$83,5,FALSE))), $C7= "0", 0), 0)</f>
        <v>0</v>
      </c>
      <c r="DC7" s="44">
        <f>IFERROR(_xlfn.IFS($C7="1",'Inputs-System'!$C$30*'Coincidence Factors'!$B$7*(1+'Inputs-System'!$C$18)*(1+'Inputs-System'!$C$41)*'Inputs-Proposals'!$C$17*'Inputs-Proposals'!$C$19*('Inputs-Proposals'!$C$20)*(VLOOKUP(DB$3,'Embedded Emissions'!$A$47:$B$78,2,FALSE)+VLOOKUP(DB$3,'Embedded Emissions'!$A$129:$B$158,2,FALSE)), $C7 = "2",'Inputs-System'!$C$30*'Coincidence Factors'!$B$7*(1+'Inputs-System'!$C$18)*(1+'Inputs-System'!$C$41)*'Inputs-Proposals'!$C$23*'Inputs-Proposals'!$C$25*('Inputs-Proposals'!$C$20)*(VLOOKUP(DB$3,'Embedded Emissions'!$A$47:$B$78,2,FALSE)+VLOOKUP(DB$3,'Embedded Emissions'!$A$129:$B$158,2,FALSE)), $C7 = "3", 'Inputs-System'!$C$30*'Coincidence Factors'!$B$7*(1+'Inputs-System'!$C$18)*(1+'Inputs-System'!$C$41)*'Inputs-Proposals'!$C$29*'Inputs-Proposals'!$C$31*('Inputs-Proposals'!$C$20)*(VLOOKUP(DB$3,'Embedded Emissions'!$A$47:$B$78,2,FALSE)+VLOOKUP(DB$3,'Embedded Emissions'!$A$129:$B$158,2,FALSE)), $C7 = "0", 0), 0)</f>
        <v>0</v>
      </c>
      <c r="DD7" s="44">
        <f>IFERROR(_xlfn.IFS($C7="1",( 'Inputs-System'!$C$30*'Coincidence Factors'!$B$7*(1+'Inputs-System'!$C$18)*(1+'Inputs-System'!$C$41))*('Inputs-Proposals'!$C$17*'Inputs-Proposals'!$C$19*('Inputs-Proposals'!$C$20))*(VLOOKUP(DB$3,DRIPE!$A$54:$I$82,5,FALSE)+VLOOKUP(DB$3,DRIPE!$A$54:$I$82,9,FALSE))+ ('Inputs-System'!$C$26*'Coincidence Factors'!$B$7*(1+'Inputs-System'!$C$18)*(1+'Inputs-System'!$C$42))*'Inputs-Proposals'!$C$16*VLOOKUP(DB$3,DRIPE!$A$54:$I$82,8,FALSE), $C7 = "2",( 'Inputs-System'!$C$30*'Coincidence Factors'!$B$7*(1+'Inputs-System'!$C$18)*(1+'Inputs-System'!$C$41))*('Inputs-Proposals'!$C$23*'Inputs-Proposals'!$C$25*('Inputs-Proposals'!$C$26))*(VLOOKUP(DB$3,DRIPE!$A$54:$I$82,5,FALSE)+VLOOKUP(DB$3,DRIPE!$A$54:$I$82,12,FALSE))+ ('Inputs-System'!$C$26*'Coincidence Factors'!$B$7*(1+'Inputs-System'!$C$18)*(1+'Inputs-System'!$C$42))*'Inputs-Proposals'!$C$22*VLOOKUP(DB$3,DRIPE!$A$54:$I$82,8,FALSE), $C7= "3", ( 'Inputs-System'!$C$30*'Coincidence Factors'!$B$7*(1+'Inputs-System'!$C$18)*(1+'Inputs-System'!$C$41))*('Inputs-Proposals'!$C$29*'Inputs-Proposals'!$C$31*('Inputs-Proposals'!$C$32))*(VLOOKUP(DB$3,DRIPE!$A$54:$I$82,5,FALSE)+VLOOKUP(DB$3,DRIPE!$A$54:$I$82,12,FALSE))+ ('Inputs-System'!$C$26*'Coincidence Factors'!$B$7*(1+'Inputs-System'!$C$18)*(1+'Inputs-System'!$C$42))*'Inputs-Proposals'!$C$28*VLOOKUP(DB$3,DRIPE!$A$54:$I$82,8,FALSE), $C7 = "0", 0), 0)</f>
        <v>0</v>
      </c>
      <c r="DE7" s="45">
        <f>IFERROR(_xlfn.IFS($C7="1",('Inputs-System'!$C$26*'Coincidence Factors'!$B$7*(1+'Inputs-System'!$C$18))*'Inputs-Proposals'!$C$16*(VLOOKUP(DB$3,Capacity!$A$53:$E$85,4,FALSE)*(1+'Inputs-System'!$C$42)+VLOOKUP(DB$3,Capacity!$A$53:$E$85,5,FALSE)*'Inputs-System'!$C$29*(1+'Inputs-System'!$C$43)), $C7 = "2", ('Inputs-System'!$C$26*'Coincidence Factors'!$B$7*(1+'Inputs-System'!$C$18))*'Inputs-Proposals'!$C$22*(VLOOKUP(DB$3,Capacity!$A$53:$E$85,4,FALSE)*(1+'Inputs-System'!$C$42)+VLOOKUP(DB$3,Capacity!$A$53:$E$85,5,FALSE)*'Inputs-System'!$C$29*(1+'Inputs-System'!$C$43)), $C7 = "3",('Inputs-System'!$C$26*'Coincidence Factors'!$B$7*(1+'Inputs-System'!$C$18))*'Inputs-Proposals'!$C$28*(VLOOKUP(DB$3,Capacity!$A$53:$E$85,4,FALSE)*(1+'Inputs-System'!$C$42)+VLOOKUP(DB$3,Capacity!$A$53:$E$85,5,FALSE)*'Inputs-System'!$C$29*(1+'Inputs-System'!$C$43)), $C7 = "0", 0), 0)</f>
        <v>0</v>
      </c>
      <c r="DF7" s="44">
        <v>0</v>
      </c>
      <c r="DG7" s="342">
        <f>IFERROR(_xlfn.IFS($C7="1", 'Inputs-System'!$C$30*'Coincidence Factors'!$B$7*'Inputs-Proposals'!$C$17*'Inputs-Proposals'!$C$19*(VLOOKUP(DB$3,'Non-Embedded Emissions'!$A$56:$D$90,2,FALSE)+VLOOKUP(DB$3,'Non-Embedded Emissions'!$A$143:$D$174,2,FALSE)+VLOOKUP(DB$3,'Non-Embedded Emissions'!$A$230:$D$259,2,FALSE)), $C7 = "2", 'Inputs-System'!$C$30*'Coincidence Factors'!$B$7*'Inputs-Proposals'!$C$23*'Inputs-Proposals'!$C$25*(VLOOKUP(DB$3,'Non-Embedded Emissions'!$A$56:$D$90,2,FALSE)+VLOOKUP(DB$3,'Non-Embedded Emissions'!$A$143:$D$174,2,FALSE)+VLOOKUP(DB$3,'Non-Embedded Emissions'!$A$230:$D$259,2,FALSE)), $C7 = "3", 'Inputs-System'!$C$30*'Coincidence Factors'!$B$7*'Inputs-Proposals'!$C$29*'Inputs-Proposals'!$C$31*(VLOOKUP(DB$3,'Non-Embedded Emissions'!$A$56:$D$90,2,FALSE)+VLOOKUP(DB$3,'Non-Embedded Emissions'!$A$143:$D$174,2,FALSE)+VLOOKUP(DB$3,'Non-Embedded Emissions'!$A$230:$D$259,2,FALSE)), $C7 = "0", 0), 0)</f>
        <v>0</v>
      </c>
      <c r="DH7" s="45">
        <f>IFERROR(_xlfn.IFS($C7="1",('Inputs-System'!$C$30*'Coincidence Factors'!$B$7*(1+'Inputs-System'!$C$18)*(1+'Inputs-System'!$C$41)*('Inputs-Proposals'!$C$17*'Inputs-Proposals'!$C$19*('Inputs-Proposals'!$C$20))*(VLOOKUP(DH$3,Energy!$A$51:$K$83,5,FALSE))), $C7 = "2",('Inputs-System'!$C$30*'Coincidence Factors'!$B$7)*(1+'Inputs-System'!$C$18)*(1+'Inputs-System'!$C$41)*('Inputs-Proposals'!$C$23*'Inputs-Proposals'!$C$25*('Inputs-Proposals'!$C$26))*(VLOOKUP(DH$3,Energy!$A$51:$K$83,5,FALSE)), $C7= "3", ('Inputs-System'!$C$30*'Coincidence Factors'!$B$7*(1+'Inputs-System'!$C$18)*(1+'Inputs-System'!$C$41)*('Inputs-Proposals'!$C$29*'Inputs-Proposals'!$C$31*('Inputs-Proposals'!$C$32))*(VLOOKUP(DH$3,Energy!$A$51:$K$83,5,FALSE))), $C7= "0", 0), 0)</f>
        <v>0</v>
      </c>
      <c r="DI7" s="44">
        <f>IFERROR(_xlfn.IFS($C7="1",'Inputs-System'!$C$30*'Coincidence Factors'!$B$7*(1+'Inputs-System'!$C$18)*(1+'Inputs-System'!$C$41)*'Inputs-Proposals'!$C$17*'Inputs-Proposals'!$C$19*('Inputs-Proposals'!$C$20)*(VLOOKUP(DH$3,'Embedded Emissions'!$A$47:$B$78,2,FALSE)+VLOOKUP(DH$3,'Embedded Emissions'!$A$129:$B$158,2,FALSE)), $C7 = "2",'Inputs-System'!$C$30*'Coincidence Factors'!$B$7*(1+'Inputs-System'!$C$18)*(1+'Inputs-System'!$C$41)*'Inputs-Proposals'!$C$23*'Inputs-Proposals'!$C$25*('Inputs-Proposals'!$C$20)*(VLOOKUP(DH$3,'Embedded Emissions'!$A$47:$B$78,2,FALSE)+VLOOKUP(DH$3,'Embedded Emissions'!$A$129:$B$158,2,FALSE)), $C7 = "3", 'Inputs-System'!$C$30*'Coincidence Factors'!$B$7*(1+'Inputs-System'!$C$18)*(1+'Inputs-System'!$C$41)*'Inputs-Proposals'!$C$29*'Inputs-Proposals'!$C$31*('Inputs-Proposals'!$C$20)*(VLOOKUP(DH$3,'Embedded Emissions'!$A$47:$B$78,2,FALSE)+VLOOKUP(DH$3,'Embedded Emissions'!$A$129:$B$158,2,FALSE)), $C7 = "0", 0), 0)</f>
        <v>0</v>
      </c>
      <c r="DJ7" s="44">
        <f>IFERROR(_xlfn.IFS($C7="1",( 'Inputs-System'!$C$30*'Coincidence Factors'!$B$7*(1+'Inputs-System'!$C$18)*(1+'Inputs-System'!$C$41))*('Inputs-Proposals'!$C$17*'Inputs-Proposals'!$C$19*('Inputs-Proposals'!$C$20))*(VLOOKUP(DH$3,DRIPE!$A$54:$I$82,5,FALSE)+VLOOKUP(DH$3,DRIPE!$A$54:$I$82,9,FALSE))+ ('Inputs-System'!$C$26*'Coincidence Factors'!$B$7*(1+'Inputs-System'!$C$18)*(1+'Inputs-System'!$C$42))*'Inputs-Proposals'!$C$16*VLOOKUP(DH$3,DRIPE!$A$54:$I$82,8,FALSE), $C7 = "2",( 'Inputs-System'!$C$30*'Coincidence Factors'!$B$7*(1+'Inputs-System'!$C$18)*(1+'Inputs-System'!$C$41))*('Inputs-Proposals'!$C$23*'Inputs-Proposals'!$C$25*('Inputs-Proposals'!$C$26))*(VLOOKUP(DH$3,DRIPE!$A$54:$I$82,5,FALSE)+VLOOKUP(DH$3,DRIPE!$A$54:$I$82,12,FALSE))+ ('Inputs-System'!$C$26*'Coincidence Factors'!$B$7*(1+'Inputs-System'!$C$18)*(1+'Inputs-System'!$C$42))*'Inputs-Proposals'!$C$22*VLOOKUP(DH$3,DRIPE!$A$54:$I$82,8,FALSE), $C7= "3", ( 'Inputs-System'!$C$30*'Coincidence Factors'!$B$7*(1+'Inputs-System'!$C$18)*(1+'Inputs-System'!$C$41))*('Inputs-Proposals'!$C$29*'Inputs-Proposals'!$C$31*('Inputs-Proposals'!$C$32))*(VLOOKUP(DH$3,DRIPE!$A$54:$I$82,5,FALSE)+VLOOKUP(DH$3,DRIPE!$A$54:$I$82,12,FALSE))+ ('Inputs-System'!$C$26*'Coincidence Factors'!$B$7*(1+'Inputs-System'!$C$18)*(1+'Inputs-System'!$C$42))*'Inputs-Proposals'!$C$28*VLOOKUP(DH$3,DRIPE!$A$54:$I$82,8,FALSE), $C7 = "0", 0), 0)</f>
        <v>0</v>
      </c>
      <c r="DK7" s="45">
        <f>IFERROR(_xlfn.IFS($C7="1",('Inputs-System'!$C$26*'Coincidence Factors'!$B$7*(1+'Inputs-System'!$C$18))*'Inputs-Proposals'!$C$16*(VLOOKUP(DH$3,Capacity!$A$53:$E$85,4,FALSE)*(1+'Inputs-System'!$C$42)+VLOOKUP(DH$3,Capacity!$A$53:$E$85,5,FALSE)*'Inputs-System'!$C$29*(1+'Inputs-System'!$C$43)), $C7 = "2", ('Inputs-System'!$C$26*'Coincidence Factors'!$B$7*(1+'Inputs-System'!$C$18))*'Inputs-Proposals'!$C$22*(VLOOKUP(DH$3,Capacity!$A$53:$E$85,4,FALSE)*(1+'Inputs-System'!$C$42)+VLOOKUP(DH$3,Capacity!$A$53:$E$85,5,FALSE)*'Inputs-System'!$C$29*(1+'Inputs-System'!$C$43)), $C7 = "3",('Inputs-System'!$C$26*'Coincidence Factors'!$B$7*(1+'Inputs-System'!$C$18))*'Inputs-Proposals'!$C$28*(VLOOKUP(DH$3,Capacity!$A$53:$E$85,4,FALSE)*(1+'Inputs-System'!$C$42)+VLOOKUP(DH$3,Capacity!$A$53:$E$85,5,FALSE)*'Inputs-System'!$C$29*(1+'Inputs-System'!$C$43)), $C7 = "0", 0), 0)</f>
        <v>0</v>
      </c>
      <c r="DL7" s="44">
        <v>0</v>
      </c>
      <c r="DM7" s="342">
        <f>IFERROR(_xlfn.IFS($C7="1", 'Inputs-System'!$C$30*'Coincidence Factors'!$B$7*'Inputs-Proposals'!$C$17*'Inputs-Proposals'!$C$19*(VLOOKUP(DH$3,'Non-Embedded Emissions'!$A$56:$D$90,2,FALSE)+VLOOKUP(DH$3,'Non-Embedded Emissions'!$A$143:$D$174,2,FALSE)+VLOOKUP(DH$3,'Non-Embedded Emissions'!$A$230:$D$259,2,FALSE)), $C7 = "2", 'Inputs-System'!$C$30*'Coincidence Factors'!$B$7*'Inputs-Proposals'!$C$23*'Inputs-Proposals'!$C$25*(VLOOKUP(DH$3,'Non-Embedded Emissions'!$A$56:$D$90,2,FALSE)+VLOOKUP(DH$3,'Non-Embedded Emissions'!$A$143:$D$174,2,FALSE)+VLOOKUP(DH$3,'Non-Embedded Emissions'!$A$230:$D$259,2,FALSE)), $C7 = "3", 'Inputs-System'!$C$30*'Coincidence Factors'!$B$7*'Inputs-Proposals'!$C$29*'Inputs-Proposals'!$C$31*(VLOOKUP(DH$3,'Non-Embedded Emissions'!$A$56:$D$90,2,FALSE)+VLOOKUP(DH$3,'Non-Embedded Emissions'!$A$143:$D$174,2,FALSE)+VLOOKUP(DH$3,'Non-Embedded Emissions'!$A$230:$D$259,2,FALSE)), $C7 = "0", 0), 0)</f>
        <v>0</v>
      </c>
      <c r="DN7" s="45">
        <f>IFERROR(_xlfn.IFS($C7="1",('Inputs-System'!$C$30*'Coincidence Factors'!$B$7*(1+'Inputs-System'!$C$18)*(1+'Inputs-System'!$C$41)*('Inputs-Proposals'!$C$17*'Inputs-Proposals'!$C$19*('Inputs-Proposals'!$C$20))*(VLOOKUP(DN$3,Energy!$A$51:$K$83,5,FALSE))), $C7 = "2",('Inputs-System'!$C$30*'Coincidence Factors'!$B$7)*(1+'Inputs-System'!$C$18)*(1+'Inputs-System'!$C$41)*('Inputs-Proposals'!$C$23*'Inputs-Proposals'!$C$25*('Inputs-Proposals'!$C$26))*(VLOOKUP(DN$3,Energy!$A$51:$K$83,5,FALSE)), $C7= "3", ('Inputs-System'!$C$30*'Coincidence Factors'!$B$7*(1+'Inputs-System'!$C$18)*(1+'Inputs-System'!$C$41)*('Inputs-Proposals'!$C$29*'Inputs-Proposals'!$C$31*('Inputs-Proposals'!$C$32))*(VLOOKUP(DN$3,Energy!$A$51:$K$83,5,FALSE))), $C7= "0", 0), 0)</f>
        <v>0</v>
      </c>
      <c r="DO7" s="44">
        <f>IFERROR(_xlfn.IFS($C7="1",'Inputs-System'!$C$30*'Coincidence Factors'!$B$7*(1+'Inputs-System'!$C$18)*(1+'Inputs-System'!$C$41)*'Inputs-Proposals'!$C$17*'Inputs-Proposals'!$C$19*('Inputs-Proposals'!$C$20)*(VLOOKUP(DN$3,'Embedded Emissions'!$A$47:$B$78,2,FALSE)+VLOOKUP(DN$3,'Embedded Emissions'!$A$129:$B$158,2,FALSE)), $C7 = "2",'Inputs-System'!$C$30*'Coincidence Factors'!$B$7*(1+'Inputs-System'!$C$18)*(1+'Inputs-System'!$C$41)*'Inputs-Proposals'!$C$23*'Inputs-Proposals'!$C$25*('Inputs-Proposals'!$C$20)*(VLOOKUP(DN$3,'Embedded Emissions'!$A$47:$B$78,2,FALSE)+VLOOKUP(DN$3,'Embedded Emissions'!$A$129:$B$158,2,FALSE)), $C7 = "3", 'Inputs-System'!$C$30*'Coincidence Factors'!$B$7*(1+'Inputs-System'!$C$18)*(1+'Inputs-System'!$C$41)*'Inputs-Proposals'!$C$29*'Inputs-Proposals'!$C$31*('Inputs-Proposals'!$C$20)*(VLOOKUP(DN$3,'Embedded Emissions'!$A$47:$B$78,2,FALSE)+VLOOKUP(DN$3,'Embedded Emissions'!$A$129:$B$158,2,FALSE)), $C7 = "0", 0), 0)</f>
        <v>0</v>
      </c>
      <c r="DP7" s="44">
        <f>IFERROR(_xlfn.IFS($C7="1",( 'Inputs-System'!$C$30*'Coincidence Factors'!$B$7*(1+'Inputs-System'!$C$18)*(1+'Inputs-System'!$C$41))*('Inputs-Proposals'!$C$17*'Inputs-Proposals'!$C$19*('Inputs-Proposals'!$C$20))*(VLOOKUP(DN$3,DRIPE!$A$54:$I$82,5,FALSE)+VLOOKUP(DN$3,DRIPE!$A$54:$I$82,9,FALSE))+ ('Inputs-System'!$C$26*'Coincidence Factors'!$B$7*(1+'Inputs-System'!$C$18)*(1+'Inputs-System'!$C$42))*'Inputs-Proposals'!$C$16*VLOOKUP(DN$3,DRIPE!$A$54:$I$82,8,FALSE), $C7 = "2",( 'Inputs-System'!$C$30*'Coincidence Factors'!$B$7*(1+'Inputs-System'!$C$18)*(1+'Inputs-System'!$C$41))*('Inputs-Proposals'!$C$23*'Inputs-Proposals'!$C$25*('Inputs-Proposals'!$C$26))*(VLOOKUP(DN$3,DRIPE!$A$54:$I$82,5,FALSE)+VLOOKUP(DN$3,DRIPE!$A$54:$I$82,12,FALSE))+ ('Inputs-System'!$C$26*'Coincidence Factors'!$B$7*(1+'Inputs-System'!$C$18)*(1+'Inputs-System'!$C$42))*'Inputs-Proposals'!$C$22*VLOOKUP(DN$3,DRIPE!$A$54:$I$82,8,FALSE), $C7= "3", ( 'Inputs-System'!$C$30*'Coincidence Factors'!$B$7*(1+'Inputs-System'!$C$18)*(1+'Inputs-System'!$C$41))*('Inputs-Proposals'!$C$29*'Inputs-Proposals'!$C$31*('Inputs-Proposals'!$C$32))*(VLOOKUP(DN$3,DRIPE!$A$54:$I$82,5,FALSE)+VLOOKUP(DN$3,DRIPE!$A$54:$I$82,12,FALSE))+ ('Inputs-System'!$C$26*'Coincidence Factors'!$B$7*(1+'Inputs-System'!$C$18)*(1+'Inputs-System'!$C$42))*'Inputs-Proposals'!$C$28*VLOOKUP(DN$3,DRIPE!$A$54:$I$82,8,FALSE), $C7 = "0", 0), 0)</f>
        <v>0</v>
      </c>
      <c r="DQ7" s="45">
        <f>IFERROR(_xlfn.IFS($C7="1",('Inputs-System'!$C$26*'Coincidence Factors'!$B$7*(1+'Inputs-System'!$C$18))*'Inputs-Proposals'!$C$16*(VLOOKUP(DN$3,Capacity!$A$53:$E$85,4,FALSE)*(1+'Inputs-System'!$C$42)+VLOOKUP(DN$3,Capacity!$A$53:$E$85,5,FALSE)*'Inputs-System'!$C$29*(1+'Inputs-System'!$C$43)), $C7 = "2", ('Inputs-System'!$C$26*'Coincidence Factors'!$B$7*(1+'Inputs-System'!$C$18))*'Inputs-Proposals'!$C$22*(VLOOKUP(DN$3,Capacity!$A$53:$E$85,4,FALSE)*(1+'Inputs-System'!$C$42)+VLOOKUP(DN$3,Capacity!$A$53:$E$85,5,FALSE)*'Inputs-System'!$C$29*(1+'Inputs-System'!$C$43)), $C7 = "3",('Inputs-System'!$C$26*'Coincidence Factors'!$B$7*(1+'Inputs-System'!$C$18))*'Inputs-Proposals'!$C$28*(VLOOKUP(DN$3,Capacity!$A$53:$E$85,4,FALSE)*(1+'Inputs-System'!$C$42)+VLOOKUP(DN$3,Capacity!$A$53:$E$85,5,FALSE)*'Inputs-System'!$C$29*(1+'Inputs-System'!$C$43)), $C7 = "0", 0), 0)</f>
        <v>0</v>
      </c>
      <c r="DR7" s="44">
        <v>0</v>
      </c>
      <c r="DS7" s="342">
        <f>IFERROR(_xlfn.IFS($C7="1", 'Inputs-System'!$C$30*'Coincidence Factors'!$B$7*'Inputs-Proposals'!$C$17*'Inputs-Proposals'!$C$19*(VLOOKUP(DN$3,'Non-Embedded Emissions'!$A$56:$D$90,2,FALSE)+VLOOKUP(DN$3,'Non-Embedded Emissions'!$A$143:$D$174,2,FALSE)+VLOOKUP(DN$3,'Non-Embedded Emissions'!$A$230:$D$259,2,FALSE)), $C7 = "2", 'Inputs-System'!$C$30*'Coincidence Factors'!$B$7*'Inputs-Proposals'!$C$23*'Inputs-Proposals'!$C$25*(VLOOKUP(DN$3,'Non-Embedded Emissions'!$A$56:$D$90,2,FALSE)+VLOOKUP(DN$3,'Non-Embedded Emissions'!$A$143:$D$174,2,FALSE)+VLOOKUP(DN$3,'Non-Embedded Emissions'!$A$230:$D$259,2,FALSE)), $C7 = "3", 'Inputs-System'!$C$30*'Coincidence Factors'!$B$7*'Inputs-Proposals'!$C$29*'Inputs-Proposals'!$C$31*(VLOOKUP(DN$3,'Non-Embedded Emissions'!$A$56:$D$90,2,FALSE)+VLOOKUP(DN$3,'Non-Embedded Emissions'!$A$143:$D$174,2,FALSE)+VLOOKUP(DN$3,'Non-Embedded Emissions'!$A$230:$D$259,2,FALSE)), $C7 = "0", 0), 0)</f>
        <v>0</v>
      </c>
      <c r="DT7" s="45">
        <f>IFERROR(_xlfn.IFS($C7="1",('Inputs-System'!$C$30*'Coincidence Factors'!$B$7*(1+'Inputs-System'!$C$18)*(1+'Inputs-System'!$C$41)*('Inputs-Proposals'!$C$17*'Inputs-Proposals'!$C$19*('Inputs-Proposals'!$C$20))*(VLOOKUP(DT$3,Energy!$A$51:$K$83,5,FALSE))), $C7 = "2",('Inputs-System'!$C$30*'Coincidence Factors'!$B$7)*(1+'Inputs-System'!$C$18)*(1+'Inputs-System'!$C$41)*('Inputs-Proposals'!$C$23*'Inputs-Proposals'!$C$25*('Inputs-Proposals'!$C$26))*(VLOOKUP(DT$3,Energy!$A$51:$K$83,5,FALSE)), $C7= "3", ('Inputs-System'!$C$30*'Coincidence Factors'!$B$7*(1+'Inputs-System'!$C$18)*(1+'Inputs-System'!$C$41)*('Inputs-Proposals'!$C$29*'Inputs-Proposals'!$C$31*('Inputs-Proposals'!$C$32))*(VLOOKUP(DT$3,Energy!$A$51:$K$83,5,FALSE))), $C7= "0", 0), 0)</f>
        <v>0</v>
      </c>
      <c r="DU7" s="44">
        <f>IFERROR(_xlfn.IFS($C7="1",'Inputs-System'!$C$30*'Coincidence Factors'!$B$7*(1+'Inputs-System'!$C$18)*(1+'Inputs-System'!$C$41)*'Inputs-Proposals'!$C$17*'Inputs-Proposals'!$C$19*('Inputs-Proposals'!$C$20)*(VLOOKUP(DT$3,'Embedded Emissions'!$A$47:$B$78,2,FALSE)+VLOOKUP(DT$3,'Embedded Emissions'!$A$129:$B$158,2,FALSE)), $C7 = "2",'Inputs-System'!$C$30*'Coincidence Factors'!$B$7*(1+'Inputs-System'!$C$18)*(1+'Inputs-System'!$C$41)*'Inputs-Proposals'!$C$23*'Inputs-Proposals'!$C$25*('Inputs-Proposals'!$C$20)*(VLOOKUP(DT$3,'Embedded Emissions'!$A$47:$B$78,2,FALSE)+VLOOKUP(DT$3,'Embedded Emissions'!$A$129:$B$158,2,FALSE)), $C7 = "3", 'Inputs-System'!$C$30*'Coincidence Factors'!$B$7*(1+'Inputs-System'!$C$18)*(1+'Inputs-System'!$C$41)*'Inputs-Proposals'!$C$29*'Inputs-Proposals'!$C$31*('Inputs-Proposals'!$C$20)*(VLOOKUP(DT$3,'Embedded Emissions'!$A$47:$B$78,2,FALSE)+VLOOKUP(DT$3,'Embedded Emissions'!$A$129:$B$158,2,FALSE)), $C7 = "0", 0), 0)</f>
        <v>0</v>
      </c>
      <c r="DV7" s="44">
        <f>IFERROR(_xlfn.IFS($C7="1",( 'Inputs-System'!$C$30*'Coincidence Factors'!$B$7*(1+'Inputs-System'!$C$18)*(1+'Inputs-System'!$C$41))*('Inputs-Proposals'!$C$17*'Inputs-Proposals'!$C$19*('Inputs-Proposals'!$C$20))*(VLOOKUP(DT$3,DRIPE!$A$54:$I$82,5,FALSE)+VLOOKUP(DT$3,DRIPE!$A$54:$I$82,9,FALSE))+ ('Inputs-System'!$C$26*'Coincidence Factors'!$B$7*(1+'Inputs-System'!$C$18)*(1+'Inputs-System'!$C$42))*'Inputs-Proposals'!$C$16*VLOOKUP(DT$3,DRIPE!$A$54:$I$82,8,FALSE), $C7 = "2",( 'Inputs-System'!$C$30*'Coincidence Factors'!$B$7*(1+'Inputs-System'!$C$18)*(1+'Inputs-System'!$C$41))*('Inputs-Proposals'!$C$23*'Inputs-Proposals'!$C$25*('Inputs-Proposals'!$C$26))*(VLOOKUP(DT$3,DRIPE!$A$54:$I$82,5,FALSE)+VLOOKUP(DT$3,DRIPE!$A$54:$I$82,12,FALSE))+ ('Inputs-System'!$C$26*'Coincidence Factors'!$B$7*(1+'Inputs-System'!$C$18)*(1+'Inputs-System'!$C$42))*'Inputs-Proposals'!$C$22*VLOOKUP(DT$3,DRIPE!$A$54:$I$82,8,FALSE), $C7= "3", ( 'Inputs-System'!$C$30*'Coincidence Factors'!$B$7*(1+'Inputs-System'!$C$18)*(1+'Inputs-System'!$C$41))*('Inputs-Proposals'!$C$29*'Inputs-Proposals'!$C$31*('Inputs-Proposals'!$C$32))*(VLOOKUP(DT$3,DRIPE!$A$54:$I$82,5,FALSE)+VLOOKUP(DT$3,DRIPE!$A$54:$I$82,12,FALSE))+ ('Inputs-System'!$C$26*'Coincidence Factors'!$B$7*(1+'Inputs-System'!$C$18)*(1+'Inputs-System'!$C$42))*'Inputs-Proposals'!$C$28*VLOOKUP(DT$3,DRIPE!$A$54:$I$82,8,FALSE), $C7 = "0", 0), 0)</f>
        <v>0</v>
      </c>
      <c r="DW7" s="45">
        <f>IFERROR(_xlfn.IFS($C7="1",('Inputs-System'!$C$26*'Coincidence Factors'!$B$7*(1+'Inputs-System'!$C$18))*'Inputs-Proposals'!$C$16*(VLOOKUP(DT$3,Capacity!$A$53:$E$85,4,FALSE)*(1+'Inputs-System'!$C$42)+VLOOKUP(DT$3,Capacity!$A$53:$E$85,5,FALSE)*'Inputs-System'!$C$29*(1+'Inputs-System'!$C$43)), $C7 = "2", ('Inputs-System'!$C$26*'Coincidence Factors'!$B$7*(1+'Inputs-System'!$C$18))*'Inputs-Proposals'!$C$22*(VLOOKUP(DT$3,Capacity!$A$53:$E$85,4,FALSE)*(1+'Inputs-System'!$C$42)+VLOOKUP(DT$3,Capacity!$A$53:$E$85,5,FALSE)*'Inputs-System'!$C$29*(1+'Inputs-System'!$C$43)), $C7 = "3",('Inputs-System'!$C$26*'Coincidence Factors'!$B$7*(1+'Inputs-System'!$C$18))*'Inputs-Proposals'!$C$28*(VLOOKUP(DT$3,Capacity!$A$53:$E$85,4,FALSE)*(1+'Inputs-System'!$C$42)+VLOOKUP(DT$3,Capacity!$A$53:$E$85,5,FALSE)*'Inputs-System'!$C$29*(1+'Inputs-System'!$C$43)), $C7 = "0", 0), 0)</f>
        <v>0</v>
      </c>
      <c r="DX7" s="44">
        <v>0</v>
      </c>
      <c r="DY7" s="342">
        <f>IFERROR(_xlfn.IFS($C7="1", 'Inputs-System'!$C$30*'Coincidence Factors'!$B$7*'Inputs-Proposals'!$C$17*'Inputs-Proposals'!$C$19*(VLOOKUP(DT$3,'Non-Embedded Emissions'!$A$56:$D$90,2,FALSE)+VLOOKUP(DT$3,'Non-Embedded Emissions'!$A$143:$D$174,2,FALSE)+VLOOKUP(DT$3,'Non-Embedded Emissions'!$A$230:$D$259,2,FALSE)), $C7 = "2", 'Inputs-System'!$C$30*'Coincidence Factors'!$B$7*'Inputs-Proposals'!$C$23*'Inputs-Proposals'!$C$25*(VLOOKUP(DT$3,'Non-Embedded Emissions'!$A$56:$D$90,2,FALSE)+VLOOKUP(DT$3,'Non-Embedded Emissions'!$A$143:$D$174,2,FALSE)+VLOOKUP(DT$3,'Non-Embedded Emissions'!$A$230:$D$259,2,FALSE)), $C7 = "3", 'Inputs-System'!$C$30*'Coincidence Factors'!$B$7*'Inputs-Proposals'!$C$29*'Inputs-Proposals'!$C$31*(VLOOKUP(DT$3,'Non-Embedded Emissions'!$A$56:$D$90,2,FALSE)+VLOOKUP(DT$3,'Non-Embedded Emissions'!$A$143:$D$174,2,FALSE)+VLOOKUP(DT$3,'Non-Embedded Emissions'!$A$230:$D$259,2,FALSE)), $C7 = "0", 0), 0)</f>
        <v>0</v>
      </c>
      <c r="DZ7" s="45">
        <f>IFERROR(_xlfn.IFS($C7="1",('Inputs-System'!$C$30*'Coincidence Factors'!$B$7*(1+'Inputs-System'!$C$18)*(1+'Inputs-System'!$C$41)*('Inputs-Proposals'!$C$17*'Inputs-Proposals'!$C$19*('Inputs-Proposals'!$C$20))*(VLOOKUP(DZ$3,Energy!$A$51:$K$83,5,FALSE))), $C7 = "2",('Inputs-System'!$C$30*'Coincidence Factors'!$B$7)*(1+'Inputs-System'!$C$18)*(1+'Inputs-System'!$C$41)*('Inputs-Proposals'!$C$23*'Inputs-Proposals'!$C$25*('Inputs-Proposals'!$C$26))*(VLOOKUP(DZ$3,Energy!$A$51:$K$83,5,FALSE)), $C7= "3", ('Inputs-System'!$C$30*'Coincidence Factors'!$B$7*(1+'Inputs-System'!$C$18)*(1+'Inputs-System'!$C$41)*('Inputs-Proposals'!$C$29*'Inputs-Proposals'!$C$31*('Inputs-Proposals'!$C$32))*(VLOOKUP(DZ$3,Energy!$A$51:$K$83,5,FALSE))), $C7= "0", 0), 0)</f>
        <v>0</v>
      </c>
      <c r="EA7" s="44">
        <f>IFERROR(_xlfn.IFS($C7="1",'Inputs-System'!$C$30*'Coincidence Factors'!$B$7*(1+'Inputs-System'!$C$18)*(1+'Inputs-System'!$C$41)*'Inputs-Proposals'!$C$17*'Inputs-Proposals'!$C$19*('Inputs-Proposals'!$C$20)*(VLOOKUP(DZ$3,'Embedded Emissions'!$A$47:$B$78,2,FALSE)+VLOOKUP(DZ$3,'Embedded Emissions'!$A$129:$B$158,2,FALSE)), $C7 = "2",'Inputs-System'!$C$30*'Coincidence Factors'!$B$7*(1+'Inputs-System'!$C$18)*(1+'Inputs-System'!$C$41)*'Inputs-Proposals'!$C$23*'Inputs-Proposals'!$C$25*('Inputs-Proposals'!$C$20)*(VLOOKUP(DZ$3,'Embedded Emissions'!$A$47:$B$78,2,FALSE)+VLOOKUP(DZ$3,'Embedded Emissions'!$A$129:$B$158,2,FALSE)), $C7 = "3", 'Inputs-System'!$C$30*'Coincidence Factors'!$B$7*(1+'Inputs-System'!$C$18)*(1+'Inputs-System'!$C$41)*'Inputs-Proposals'!$C$29*'Inputs-Proposals'!$C$31*('Inputs-Proposals'!$C$20)*(VLOOKUP(DZ$3,'Embedded Emissions'!$A$47:$B$78,2,FALSE)+VLOOKUP(DZ$3,'Embedded Emissions'!$A$129:$B$158,2,FALSE)), $C7 = "0", 0), 0)</f>
        <v>0</v>
      </c>
      <c r="EB7" s="44">
        <f>IFERROR(_xlfn.IFS($C7="1",( 'Inputs-System'!$C$30*'Coincidence Factors'!$B$7*(1+'Inputs-System'!$C$18)*(1+'Inputs-System'!$C$41))*('Inputs-Proposals'!$C$17*'Inputs-Proposals'!$C$19*('Inputs-Proposals'!$C$20))*(VLOOKUP(DZ$3,DRIPE!$A$54:$I$82,5,FALSE)+VLOOKUP(DZ$3,DRIPE!$A$54:$I$82,9,FALSE))+ ('Inputs-System'!$C$26*'Coincidence Factors'!$B$7*(1+'Inputs-System'!$C$18)*(1+'Inputs-System'!$C$42))*'Inputs-Proposals'!$C$16*VLOOKUP(DZ$3,DRIPE!$A$54:$I$82,8,FALSE), $C7 = "2",( 'Inputs-System'!$C$30*'Coincidence Factors'!$B$7*(1+'Inputs-System'!$C$18)*(1+'Inputs-System'!$C$41))*('Inputs-Proposals'!$C$23*'Inputs-Proposals'!$C$25*('Inputs-Proposals'!$C$26))*(VLOOKUP(DZ$3,DRIPE!$A$54:$I$82,5,FALSE)+VLOOKUP(DZ$3,DRIPE!$A$54:$I$82,12,FALSE))+ ('Inputs-System'!$C$26*'Coincidence Factors'!$B$7*(1+'Inputs-System'!$C$18)*(1+'Inputs-System'!$C$42))*'Inputs-Proposals'!$C$22*VLOOKUP(DZ$3,DRIPE!$A$54:$I$82,8,FALSE), $C7= "3", ( 'Inputs-System'!$C$30*'Coincidence Factors'!$B$7*(1+'Inputs-System'!$C$18)*(1+'Inputs-System'!$C$41))*('Inputs-Proposals'!$C$29*'Inputs-Proposals'!$C$31*('Inputs-Proposals'!$C$32))*(VLOOKUP(DZ$3,DRIPE!$A$54:$I$82,5,FALSE)+VLOOKUP(DZ$3,DRIPE!$A$54:$I$82,12,FALSE))+ ('Inputs-System'!$C$26*'Coincidence Factors'!$B$7*(1+'Inputs-System'!$C$18)*(1+'Inputs-System'!$C$42))*'Inputs-Proposals'!$C$28*VLOOKUP(DZ$3,DRIPE!$A$54:$I$82,8,FALSE), $C7 = "0", 0), 0)</f>
        <v>0</v>
      </c>
      <c r="EC7" s="45">
        <f>IFERROR(_xlfn.IFS($C7="1",('Inputs-System'!$C$26*'Coincidence Factors'!$B$7*(1+'Inputs-System'!$C$18))*'Inputs-Proposals'!$C$16*(VLOOKUP(DZ$3,Capacity!$A$53:$E$85,4,FALSE)*(1+'Inputs-System'!$C$42)+VLOOKUP(DZ$3,Capacity!$A$53:$E$85,5,FALSE)*'Inputs-System'!$C$29*(1+'Inputs-System'!$C$43)), $C7 = "2", ('Inputs-System'!$C$26*'Coincidence Factors'!$B$7*(1+'Inputs-System'!$C$18))*'Inputs-Proposals'!$C$22*(VLOOKUP(DZ$3,Capacity!$A$53:$E$85,4,FALSE)*(1+'Inputs-System'!$C$42)+VLOOKUP(DZ$3,Capacity!$A$53:$E$85,5,FALSE)*'Inputs-System'!$C$29*(1+'Inputs-System'!$C$43)), $C7 = "3",('Inputs-System'!$C$26*'Coincidence Factors'!$B$7*(1+'Inputs-System'!$C$18))*'Inputs-Proposals'!$C$28*(VLOOKUP(DZ$3,Capacity!$A$53:$E$85,4,FALSE)*(1+'Inputs-System'!$C$42)+VLOOKUP(DZ$3,Capacity!$A$53:$E$85,5,FALSE)*'Inputs-System'!$C$29*(1+'Inputs-System'!$C$43)), $C7 = "0", 0), 0)</f>
        <v>0</v>
      </c>
      <c r="ED7" s="44">
        <v>0</v>
      </c>
      <c r="EE7" s="342">
        <f>IFERROR(_xlfn.IFS($C7="1", 'Inputs-System'!$C$30*'Coincidence Factors'!$B$7*'Inputs-Proposals'!$C$17*'Inputs-Proposals'!$C$19*(VLOOKUP(DZ$3,'Non-Embedded Emissions'!$A$56:$D$90,2,FALSE)+VLOOKUP(DZ$3,'Non-Embedded Emissions'!$A$143:$D$174,2,FALSE)+VLOOKUP(DZ$3,'Non-Embedded Emissions'!$A$230:$D$259,2,FALSE)), $C7 = "2", 'Inputs-System'!$C$30*'Coincidence Factors'!$B$7*'Inputs-Proposals'!$C$23*'Inputs-Proposals'!$C$25*(VLOOKUP(DZ$3,'Non-Embedded Emissions'!$A$56:$D$90,2,FALSE)+VLOOKUP(DZ$3,'Non-Embedded Emissions'!$A$143:$D$174,2,FALSE)+VLOOKUP(DZ$3,'Non-Embedded Emissions'!$A$230:$D$259,2,FALSE)), $C7 = "3", 'Inputs-System'!$C$30*'Coincidence Factors'!$B$7*'Inputs-Proposals'!$C$29*'Inputs-Proposals'!$C$31*(VLOOKUP(DZ$3,'Non-Embedded Emissions'!$A$56:$D$90,2,FALSE)+VLOOKUP(DZ$3,'Non-Embedded Emissions'!$A$143:$D$174,2,FALSE)+VLOOKUP(DZ$3,'Non-Embedded Emissions'!$A$230:$D$259,2,FALSE)), $C7 = "0", 0), 0)</f>
        <v>0</v>
      </c>
    </row>
    <row r="8" spans="1:135" x14ac:dyDescent="0.35">
      <c r="A8" s="708"/>
      <c r="B8" s="3" t="s">
        <v>160</v>
      </c>
      <c r="C8" s="118" t="str">
        <f>IFERROR(_xlfn.IFS('Benefits Calc'!B8='Inputs-Proposals'!$C$15, "1", 'Benefits Calc'!B8='Inputs-Proposals'!$C$21, "2", 'Benefits Calc'!B8='Inputs-Proposals'!$C$27, "3"), "0")</f>
        <v>0</v>
      </c>
      <c r="D8" s="44">
        <f t="shared" si="0"/>
        <v>0</v>
      </c>
      <c r="E8" s="44">
        <f t="shared" si="1"/>
        <v>0</v>
      </c>
      <c r="F8" s="44">
        <f t="shared" si="2"/>
        <v>0</v>
      </c>
      <c r="G8" s="44">
        <f t="shared" si="3"/>
        <v>0</v>
      </c>
      <c r="H8" s="44">
        <f t="shared" si="4"/>
        <v>0</v>
      </c>
      <c r="I8" s="44">
        <f t="shared" si="5"/>
        <v>0</v>
      </c>
      <c r="J8" s="323">
        <f>NPV('Inputs-System'!$C$20,P8+V8+AB8+AH8+AN8+AT8+AZ8+BF8+BL8+BR8+BX8+CD8+CJ8+CP8+CV8+DB8+DH8+DN8+DT8+DZ8)</f>
        <v>0</v>
      </c>
      <c r="K8" s="44">
        <f>NPV('Inputs-System'!$C$20,Q8+W8+AC8+AI8+AO8+AU8+BA8+BG8+BM8+BS8+BY8+CE8+CK8+CQ8+CW8+DC8+DI8+DO8+DU8+EA8)</f>
        <v>0</v>
      </c>
      <c r="L8" s="44">
        <f>NPV('Inputs-System'!$C$20,R8+X8+AD8+AJ8+AP8+AV8+BB8+BH8+BN8+BT8+BZ8+CF8+CL8+CR8+CX8+DD8+DJ8+DP8+DV8+EB8)</f>
        <v>0</v>
      </c>
      <c r="M8" s="44">
        <f>NPV('Inputs-System'!$C$20,S8+Y8+AE8+AK8+AQ8+AW8+BC8+BI8+BO8+BU8+CA8+CG8+CM8+CS8+CY8+DE8+DK8+DQ8+DW8+EC8)</f>
        <v>0</v>
      </c>
      <c r="N8" s="44">
        <f>NPV('Inputs-System'!$C$20,T8+Z8+AF8+AL8+AR8+AX8+BD8+BJ8+BP8+BV8+CB8+CH8+CN8+CT8+CZ8+DF8+DL8+DR8+DX8+ED8)</f>
        <v>0</v>
      </c>
      <c r="O8" s="44">
        <f>NPV('Inputs-System'!$C$20,U8+AA8+AG8+AM8+AS8+AY8+BE8+BK8+BQ8+BW8+CC8+CI8+CO8+CU8+DA8+DG8+DM8+DS8+DY8+EE8)</f>
        <v>0</v>
      </c>
      <c r="P8" s="347">
        <f>IFERROR(_xlfn.IFS($C8="1",('Inputs-System'!$C$30*'Coincidence Factors'!$B$8*(1+'Inputs-System'!$C$18)*(1+'Inputs-System'!$C$41)*('Inputs-Proposals'!$C$17*'Inputs-Proposals'!$C$19*('Inputs-Proposals'!$C$20))*(VLOOKUP(P$3,Energy!$A$51:$K$83,5,FALSE))), $C8 = "2",('Inputs-System'!$C$30*'Coincidence Factors'!$B$8)*(1+'Inputs-System'!$C$18)*(1+'Inputs-System'!$C$41)*('Inputs-Proposals'!$C$23*'Inputs-Proposals'!$C$25*('Inputs-Proposals'!$C$26))*(VLOOKUP(P$3,Energy!$A$51:$K$83,5,FALSE)), $C8= "3", ('Inputs-System'!$C$30*'Coincidence Factors'!$B$8*(1+'Inputs-System'!$C$18)*(1+'Inputs-System'!$C$41)*('Inputs-Proposals'!$C$29*'Inputs-Proposals'!$C$31*('Inputs-Proposals'!$C$32))*(VLOOKUP(P$3,Energy!$A$51:$K$83,5,FALSE))), $C8= "0", 0), 0)</f>
        <v>0</v>
      </c>
      <c r="Q8" s="44">
        <f>IFERROR(_xlfn.IFS($C8="1",'Inputs-System'!$C$30*'Coincidence Factors'!$B$8*(1+'Inputs-System'!$C$18)*(1+'Inputs-System'!$C$41)*'Inputs-Proposals'!$C$17*'Inputs-Proposals'!$C$19*('Inputs-Proposals'!$C$20)*(VLOOKUP(P$3,'Embedded Emissions'!$A$47:$B$78,2,FALSE)+VLOOKUP(P$3,'Embedded Emissions'!$A$129:$B$158,2,FALSE)), $C8 = "2", 'Inputs-System'!$C$30*'Coincidence Factors'!$B$8*(1+'Inputs-System'!$C$18)*(1+'Inputs-System'!$C$41)*'Inputs-Proposals'!$C$23*'Inputs-Proposals'!$C$25*('Inputs-Proposals'!$C$20)*(VLOOKUP(P$3,'Embedded Emissions'!$A$47:$B$78,2,FALSE)+VLOOKUP(P$3,'Embedded Emissions'!$A$129:$B$158,2,FALSE)), $C8 = "3",'Inputs-System'!$C$30*'Coincidence Factors'!$B$8*(1+'Inputs-System'!$C$18)*(1+'Inputs-System'!$C$41)*'Inputs-Proposals'!$C$29*'Inputs-Proposals'!$C$31*('Inputs-Proposals'!$C$20)*(VLOOKUP(P$3,'Embedded Emissions'!$A$47:$B$78,2,FALSE)+VLOOKUP(P$3,'Embedded Emissions'!$A$129:$B$158,2,FALSE)), $C8 = "0", 0), 0)</f>
        <v>0</v>
      </c>
      <c r="R8" s="44">
        <f>IFERROR(_xlfn.IFS($C8="1",( 'Inputs-System'!$C$30*'Coincidence Factors'!$B$8*(1+'Inputs-System'!$C$18)*(1+'Inputs-System'!$C$41))*('Inputs-Proposals'!$C$17*'Inputs-Proposals'!$C$19*('Inputs-Proposals'!$C$20))*(VLOOKUP(P$3,DRIPE!$A$54:$I$82,5,FALSE)+VLOOKUP(P$3,DRIPE!$A$54:$I$82,9,FALSE))+ ('Inputs-System'!$C$26*'Coincidence Factors'!$B$8*(1+'Inputs-System'!$C$18)*(1+'Inputs-System'!$C$42))*'Inputs-Proposals'!$C$16*VLOOKUP(P$3,DRIPE!$A$54:$I$82,8,FALSE), $C8 = "2",( 'Inputs-System'!$C$30*'Coincidence Factors'!$B$8*(1+'Inputs-System'!$C$18)*(1+'Inputs-System'!$C$41))*('Inputs-Proposals'!$C$23*'Inputs-Proposals'!$C$25*('Inputs-Proposals'!$C$26))*(VLOOKUP(P$3,DRIPE!$A$54:$I$82,5,FALSE)+VLOOKUP(P$3,DRIPE!$A$54:$I$82,9,FALSE))+  ('Inputs-System'!$C$26*'Coincidence Factors'!$B$8*(1+'Inputs-System'!$C$18)*(1+'Inputs-System'!$C$42))*'Inputs-Proposals'!$C$22*VLOOKUP(P$3,DRIPE!$A$54:$I$82,8,FALSE), $C8= "3", ( 'Inputs-System'!$C$30*'Coincidence Factors'!$B$8*(1+'Inputs-System'!$C$18)*(1+'Inputs-System'!$C$41))*('Inputs-Proposals'!$C$29*'Inputs-Proposals'!$C$31*('Inputs-Proposals'!$C$32))*(VLOOKUP(P$3,DRIPE!$A$54:$I$82,5,FALSE)+VLOOKUP(P$3,DRIPE!$A$54:$I$82,9,FALSE))+  ('Inputs-System'!$C$26*'Coincidence Factors'!$B$8*(1+'Inputs-System'!$C$18)*(1+'Inputs-System'!$C$42))*'Inputs-Proposals'!$C$28*VLOOKUP(P$3,DRIPE!$A$54:$I$82,8,FALSE), $C8 = "0", 0), 0)</f>
        <v>0</v>
      </c>
      <c r="S8" s="45">
        <f>IFERROR(_xlfn.IFS($C8="1",('Inputs-System'!$C$30*'Coincidence Factors'!$B$8*(1+'Inputs-System'!$C$18))*'Inputs-Proposals'!$C$16*(VLOOKUP(P$3,Capacity!$A$53:$E$85,4,FALSE)*(1+'Inputs-System'!$C$42)+VLOOKUP(P$3,Capacity!$A$53:$E$85,5,FALSE)*'Inputs-System'!$C$29*(1+'Inputs-System'!$C$43)), $C8 = "2", ('Inputs-System'!$C$30*'Coincidence Factors'!$B$8*(1+'Inputs-System'!$C$18))*'Inputs-Proposals'!$C$22*(VLOOKUP(P$3,Capacity!$A$53:$E$85,4,FALSE)*(1+'Inputs-System'!$C$42)+VLOOKUP(P$3,Capacity!$A$53:$E$85,5,FALSE)*'Inputs-System'!$C$29*(1+'Inputs-System'!$C$43)), $C8 = "3",('Inputs-System'!$C$30*'Coincidence Factors'!$B$8*(1+'Inputs-System'!$C$18))*'Inputs-Proposals'!$C$28*(VLOOKUP(P$3,Capacity!$A$53:$E$85,4,FALSE)*(1+'Inputs-System'!$C$42)+VLOOKUP(P$3,Capacity!$A$53:$E$85,5,FALSE)*'Inputs-System'!$C$29*(1+'Inputs-System'!$C$43)), $C8 = "0", 0), 0)</f>
        <v>0</v>
      </c>
      <c r="T8" s="44">
        <v>0</v>
      </c>
      <c r="U8" s="342">
        <f>IFERROR(_xlfn.IFS($C8="1", 'Inputs-System'!$C$30*'Coincidence Factors'!$B$8*'Inputs-Proposals'!$C$17*'Inputs-Proposals'!$C$19*(VLOOKUP(P$3,'Non-Embedded Emissions'!$A$56:$D$90,2,FALSE)+VLOOKUP(P$3,'Non-Embedded Emissions'!$A$143:$D$174,2,FALSE)+VLOOKUP(P$3,'Non-Embedded Emissions'!$A$230:$D$259,2,FALSE)), $C8 = "2", 'Inputs-System'!$C$30*'Coincidence Factors'!$B$8*'Inputs-Proposals'!$C$23*'Inputs-Proposals'!$C$25*(VLOOKUP(P$3,'Non-Embedded Emissions'!$A$56:$D$90,2,FALSE)+VLOOKUP(P$3,'Non-Embedded Emissions'!$A$143:$D$174,2,FALSE)+VLOOKUP(P$3,'Non-Embedded Emissions'!$A$230:$D$259,2,FALSE)), $C8 = "3", 'Inputs-System'!$C$30*'Coincidence Factors'!$B$8*'Inputs-Proposals'!$C$29*'Inputs-Proposals'!$C$31*(VLOOKUP(P$3,'Non-Embedded Emissions'!$A$56:$D$90,2,FALSE)+VLOOKUP(P$3,'Non-Embedded Emissions'!$A$143:$D$174,2,FALSE)+VLOOKUP(P$3,'Non-Embedded Emissions'!$A$230:$D$259,2,FALSE)), $C8 = "0", 0), 0)</f>
        <v>0</v>
      </c>
      <c r="V8" s="45">
        <f>IFERROR(_xlfn.IFS($C8="1",('Inputs-System'!$C$30*'Coincidence Factors'!$B$8*(1+'Inputs-System'!$C$18)*(1+'Inputs-System'!$C$41)*('Inputs-Proposals'!$C$17*'Inputs-Proposals'!$C$19*('Inputs-Proposals'!$C$20))*(VLOOKUP(V$3,Energy!$A$51:$K$83,5,FALSE))), $C8 = "2",('Inputs-System'!$C$30*'Coincidence Factors'!$B$8)*(1+'Inputs-System'!$C$18)*(1+'Inputs-System'!$C$41)*('Inputs-Proposals'!$C$23*'Inputs-Proposals'!$C$25*('Inputs-Proposals'!$C$26))*(VLOOKUP(V$3,Energy!$A$51:$K$83,5,FALSE)), $C8= "3", ('Inputs-System'!$C$30*'Coincidence Factors'!$B$8*(1+'Inputs-System'!$C$18)*(1+'Inputs-System'!$C$41)*('Inputs-Proposals'!$C$29*'Inputs-Proposals'!$C$31*('Inputs-Proposals'!$C$32))*(VLOOKUP(V$3,Energy!$A$51:$K$83,5,FALSE))), $C8= "0", 0), 0)</f>
        <v>0</v>
      </c>
      <c r="W8" s="44">
        <f>IFERROR(_xlfn.IFS($C8="1",'Inputs-System'!$C$30*'Coincidence Factors'!$B$8*(1+'Inputs-System'!$C$18)*(1+'Inputs-System'!$C$41)*'Inputs-Proposals'!$C$17*'Inputs-Proposals'!$C$19*('Inputs-Proposals'!$C$20)*(VLOOKUP(V$3,'Embedded Emissions'!$A$47:$B$78,2,FALSE)+VLOOKUP(V$3,'Embedded Emissions'!$A$129:$B$158,2,FALSE)), $C8 = "2", 'Inputs-System'!$C$30*'Coincidence Factors'!$B$8*(1+'Inputs-System'!$C$18)*(1+'Inputs-System'!$C$41)*'Inputs-Proposals'!$C$23*'Inputs-Proposals'!$C$25*('Inputs-Proposals'!$C$20)*(VLOOKUP(V$3,'Embedded Emissions'!$A$47:$B$78,2,FALSE)+VLOOKUP(V$3,'Embedded Emissions'!$A$129:$B$158,2,FALSE)), $C8 = "3",'Inputs-System'!$C$30*'Coincidence Factors'!$B$8*(1+'Inputs-System'!$C$18)*(1+'Inputs-System'!$C$41)*'Inputs-Proposals'!$C$29*'Inputs-Proposals'!$C$31*('Inputs-Proposals'!$C$20)*(VLOOKUP(V$3,'Embedded Emissions'!$A$47:$B$78,2,FALSE)+VLOOKUP(V$3,'Embedded Emissions'!$A$129:$B$158,2,FALSE)), $C8 = "0", 0), 0)</f>
        <v>0</v>
      </c>
      <c r="X8" s="44">
        <f>IFERROR(_xlfn.IFS($C8="1",( 'Inputs-System'!$C$30*'Coincidence Factors'!$B$8*(1+'Inputs-System'!$C$18)*(1+'Inputs-System'!$C$41))*('Inputs-Proposals'!$C$17*'Inputs-Proposals'!$C$19*('Inputs-Proposals'!$C$20))*(VLOOKUP(V$3,DRIPE!$A$54:$I$82,5,FALSE)+VLOOKUP(V$3,DRIPE!$A$54:$I$82,9,FALSE))+ ('Inputs-System'!$C$26*'Coincidence Factors'!$B$8*(1+'Inputs-System'!$C$18)*(1+'Inputs-System'!$C$42))*'Inputs-Proposals'!$C$16*VLOOKUP(V$3,DRIPE!$A$54:$I$82,8,FALSE), $C8 = "2",( 'Inputs-System'!$C$30*'Coincidence Factors'!$B$8*(1+'Inputs-System'!$C$18)*(1+'Inputs-System'!$C$41))*('Inputs-Proposals'!$C$23*'Inputs-Proposals'!$C$25*('Inputs-Proposals'!$C$26))*(VLOOKUP(V$3,DRIPE!$A$54:$I$82,5,FALSE)+VLOOKUP(V$3,DRIPE!$A$54:$I$82,9,FALSE))+  ('Inputs-System'!$C$26*'Coincidence Factors'!$B$8*(1+'Inputs-System'!$C$18)*(1+'Inputs-System'!$C$42))*'Inputs-Proposals'!$C$22*VLOOKUP(V$3,DRIPE!$A$54:$I$82,8,FALSE), $C8= "3", ( 'Inputs-System'!$C$30*'Coincidence Factors'!$B$8*(1+'Inputs-System'!$C$18)*(1+'Inputs-System'!$C$41))*('Inputs-Proposals'!$C$29*'Inputs-Proposals'!$C$31*('Inputs-Proposals'!$C$32))*(VLOOKUP(V$3,DRIPE!$A$54:$I$82,5,FALSE)+VLOOKUP(V$3,DRIPE!$A$54:$I$82,9,FALSE))+  ('Inputs-System'!$C$26*'Coincidence Factors'!$B$8*(1+'Inputs-System'!$C$18)*(1+'Inputs-System'!$C$42))*'Inputs-Proposals'!$C$28*VLOOKUP(V$3,DRIPE!$A$54:$I$82,8,FALSE), $C8 = "0", 0), 0)</f>
        <v>0</v>
      </c>
      <c r="Y8" s="45">
        <f>IFERROR(_xlfn.IFS($C8="1",('Inputs-System'!$C$30*'Coincidence Factors'!$B$8*(1+'Inputs-System'!$C$18))*'Inputs-Proposals'!$C$16*(VLOOKUP(V$3,Capacity!$A$53:$E$85,4,FALSE)*(1+'Inputs-System'!$C$42)+VLOOKUP(V$3,Capacity!$A$53:$E$85,5,FALSE)*'Inputs-System'!$C$29*(1+'Inputs-System'!$C$43)), $C8 = "2", ('Inputs-System'!$C$30*'Coincidence Factors'!$B$8*(1+'Inputs-System'!$C$18))*'Inputs-Proposals'!$C$22*(VLOOKUP(V$3,Capacity!$A$53:$E$85,4,FALSE)*(1+'Inputs-System'!$C$42)+VLOOKUP(V$3,Capacity!$A$53:$E$85,5,FALSE)*'Inputs-System'!$C$29*(1+'Inputs-System'!$C$43)), $C8 = "3",('Inputs-System'!$C$30*'Coincidence Factors'!$B$8*(1+'Inputs-System'!$C$18))*'Inputs-Proposals'!$C$28*(VLOOKUP(V$3,Capacity!$A$53:$E$85,4,FALSE)*(1+'Inputs-System'!$C$42)+VLOOKUP(V$3,Capacity!$A$53:$E$85,5,FALSE)*'Inputs-System'!$C$29*(1+'Inputs-System'!$C$43)), $C8 = "0", 0), 0)</f>
        <v>0</v>
      </c>
      <c r="Z8" s="44">
        <v>0</v>
      </c>
      <c r="AA8" s="342">
        <f>IFERROR(_xlfn.IFS($C8="1", 'Inputs-System'!$C$30*'Coincidence Factors'!$B$8*'Inputs-Proposals'!$C$17*'Inputs-Proposals'!$C$19*(VLOOKUP(V$3,'Non-Embedded Emissions'!$A$56:$D$90,2,FALSE)+VLOOKUP(V$3,'Non-Embedded Emissions'!$A$143:$D$174,2,FALSE)+VLOOKUP(V$3,'Non-Embedded Emissions'!$A$230:$D$259,2,FALSE)), $C8 = "2", 'Inputs-System'!$C$30*'Coincidence Factors'!$B$8*'Inputs-Proposals'!$C$23*'Inputs-Proposals'!$C$25*(VLOOKUP(V$3,'Non-Embedded Emissions'!$A$56:$D$90,2,FALSE)+VLOOKUP(V$3,'Non-Embedded Emissions'!$A$143:$D$174,2,FALSE)+VLOOKUP(V$3,'Non-Embedded Emissions'!$A$230:$D$259,2,FALSE)), $C8 = "3", 'Inputs-System'!$C$30*'Coincidence Factors'!$B$8*'Inputs-Proposals'!$C$29*'Inputs-Proposals'!$C$31*(VLOOKUP(V$3,'Non-Embedded Emissions'!$A$56:$D$90,2,FALSE)+VLOOKUP(V$3,'Non-Embedded Emissions'!$A$143:$D$174,2,FALSE)+VLOOKUP(V$3,'Non-Embedded Emissions'!$A$230:$D$259,2,FALSE)), $C8 = "0", 0), 0)</f>
        <v>0</v>
      </c>
      <c r="AB8" s="45">
        <f>IFERROR(_xlfn.IFS($C8="1",('Inputs-System'!$C$30*'Coincidence Factors'!$B$8*(1+'Inputs-System'!$C$18)*(1+'Inputs-System'!$C$41)*('Inputs-Proposals'!$C$17*'Inputs-Proposals'!$C$19*('Inputs-Proposals'!$C$20))*(VLOOKUP(AB$3,Energy!$A$51:$K$83,5,FALSE))), $C8 = "2",('Inputs-System'!$C$30*'Coincidence Factors'!$B$8)*(1+'Inputs-System'!$C$18)*(1+'Inputs-System'!$C$41)*('Inputs-Proposals'!$C$23*'Inputs-Proposals'!$C$25*('Inputs-Proposals'!$C$26))*(VLOOKUP(AB$3,Energy!$A$51:$K$83,5,FALSE)), $C8= "3", ('Inputs-System'!$C$30*'Coincidence Factors'!$B$8*(1+'Inputs-System'!$C$18)*(1+'Inputs-System'!$C$41)*('Inputs-Proposals'!$C$29*'Inputs-Proposals'!$C$31*('Inputs-Proposals'!$C$32))*(VLOOKUP(AB$3,Energy!$A$51:$K$83,5,FALSE))), $C8= "0", 0), 0)</f>
        <v>0</v>
      </c>
      <c r="AC8" s="44">
        <f>IFERROR(_xlfn.IFS($C8="1",'Inputs-System'!$C$30*'Coincidence Factors'!$B$8*(1+'Inputs-System'!$C$18)*(1+'Inputs-System'!$C$41)*'Inputs-Proposals'!$C$17*'Inputs-Proposals'!$C$19*('Inputs-Proposals'!$C$20)*(VLOOKUP(AB$3,'Embedded Emissions'!$A$47:$B$78,2,FALSE)+VLOOKUP(AB$3,'Embedded Emissions'!$A$129:$B$158,2,FALSE)), $C8 = "2", 'Inputs-System'!$C$30*'Coincidence Factors'!$B$8*(1+'Inputs-System'!$C$18)*(1+'Inputs-System'!$C$41)*'Inputs-Proposals'!$C$23*'Inputs-Proposals'!$C$25*('Inputs-Proposals'!$C$20)*(VLOOKUP(AB$3,'Embedded Emissions'!$A$47:$B$78,2,FALSE)+VLOOKUP(AB$3,'Embedded Emissions'!$A$129:$B$158,2,FALSE)), $C8 = "3",'Inputs-System'!$C$30*'Coincidence Factors'!$B$8*(1+'Inputs-System'!$C$18)*(1+'Inputs-System'!$C$41)*'Inputs-Proposals'!$C$29*'Inputs-Proposals'!$C$31*('Inputs-Proposals'!$C$20)*(VLOOKUP(AB$3,'Embedded Emissions'!$A$47:$B$78,2,FALSE)+VLOOKUP(AB$3,'Embedded Emissions'!$A$129:$B$158,2,FALSE)), $C8 = "0", 0), 0)</f>
        <v>0</v>
      </c>
      <c r="AD8" s="44">
        <f>IFERROR(_xlfn.IFS($C8="1",( 'Inputs-System'!$C$30*'Coincidence Factors'!$B$8*(1+'Inputs-System'!$C$18)*(1+'Inputs-System'!$C$41))*('Inputs-Proposals'!$C$17*'Inputs-Proposals'!$C$19*('Inputs-Proposals'!$C$20))*(VLOOKUP(AB$3,DRIPE!$A$54:$I$82,5,FALSE)+VLOOKUP(AB$3,DRIPE!$A$54:$I$82,9,FALSE))+ ('Inputs-System'!$C$26*'Coincidence Factors'!$B$8*(1+'Inputs-System'!$C$18)*(1+'Inputs-System'!$C$42))*'Inputs-Proposals'!$C$16*VLOOKUP(AB$3,DRIPE!$A$54:$I$82,8,FALSE), $C8 = "2",( 'Inputs-System'!$C$30*'Coincidence Factors'!$B$8*(1+'Inputs-System'!$C$18)*(1+'Inputs-System'!$C$41))*('Inputs-Proposals'!$C$23*'Inputs-Proposals'!$C$25*('Inputs-Proposals'!$C$26))*(VLOOKUP(AB$3,DRIPE!$A$54:$I$82,5,FALSE)+VLOOKUP(AB$3,DRIPE!$A$54:$I$82,9,FALSE))+  ('Inputs-System'!$C$26*'Coincidence Factors'!$B$8*(1+'Inputs-System'!$C$18)*(1+'Inputs-System'!$C$42))*'Inputs-Proposals'!$C$22*VLOOKUP(AB$3,DRIPE!$A$54:$I$82,8,FALSE), $C8= "3", ( 'Inputs-System'!$C$30*'Coincidence Factors'!$B$8*(1+'Inputs-System'!$C$18)*(1+'Inputs-System'!$C$41))*('Inputs-Proposals'!$C$29*'Inputs-Proposals'!$C$31*('Inputs-Proposals'!$C$32))*(VLOOKUP(AB$3,DRIPE!$A$54:$I$82,5,FALSE)+VLOOKUP(AB$3,DRIPE!$A$54:$I$82,9,FALSE))+  ('Inputs-System'!$C$26*'Coincidence Factors'!$B$8*(1+'Inputs-System'!$C$18)*(1+'Inputs-System'!$C$42))*'Inputs-Proposals'!$C$28*VLOOKUP(AB$3,DRIPE!$A$54:$I$82,8,FALSE), $C8 = "0", 0), 0)</f>
        <v>0</v>
      </c>
      <c r="AE8" s="45">
        <f>IFERROR(_xlfn.IFS($C8="1",('Inputs-System'!$C$30*'Coincidence Factors'!$B$8*(1+'Inputs-System'!$C$18))*'Inputs-Proposals'!$C$16*(VLOOKUP(AB$3,Capacity!$A$53:$E$85,4,FALSE)*(1+'Inputs-System'!$C$42)+VLOOKUP(AB$3,Capacity!$A$53:$E$85,5,FALSE)*'Inputs-System'!$C$29*(1+'Inputs-System'!$C$43)), $C8 = "2", ('Inputs-System'!$C$30*'Coincidence Factors'!$B$8*(1+'Inputs-System'!$C$18))*'Inputs-Proposals'!$C$22*(VLOOKUP(AB$3,Capacity!$A$53:$E$85,4,FALSE)*(1+'Inputs-System'!$C$42)+VLOOKUP(AB$3,Capacity!$A$53:$E$85,5,FALSE)*'Inputs-System'!$C$29*(1+'Inputs-System'!$C$43)), $C8 = "3",('Inputs-System'!$C$30*'Coincidence Factors'!$B$8*(1+'Inputs-System'!$C$18))*'Inputs-Proposals'!$C$28*(VLOOKUP(AB$3,Capacity!$A$53:$E$85,4,FALSE)*(1+'Inputs-System'!$C$42)+VLOOKUP(AB$3,Capacity!$A$53:$E$85,5,FALSE)*'Inputs-System'!$C$29*(1+'Inputs-System'!$C$43)), $C8 = "0", 0), 0)</f>
        <v>0</v>
      </c>
      <c r="AF8" s="44">
        <v>0</v>
      </c>
      <c r="AG8" s="342">
        <f>IFERROR(_xlfn.IFS($C8="1", 'Inputs-System'!$C$30*'Coincidence Factors'!$B$8*'Inputs-Proposals'!$C$17*'Inputs-Proposals'!$C$19*(VLOOKUP(AB$3,'Non-Embedded Emissions'!$A$56:$D$90,2,FALSE)+VLOOKUP(AB$3,'Non-Embedded Emissions'!$A$143:$D$174,2,FALSE)+VLOOKUP(AB$3,'Non-Embedded Emissions'!$A$230:$D$259,2,FALSE)), $C8 = "2", 'Inputs-System'!$C$30*'Coincidence Factors'!$B$8*'Inputs-Proposals'!$C$23*'Inputs-Proposals'!$C$25*(VLOOKUP(AB$3,'Non-Embedded Emissions'!$A$56:$D$90,2,FALSE)+VLOOKUP(AB$3,'Non-Embedded Emissions'!$A$143:$D$174,2,FALSE)+VLOOKUP(AB$3,'Non-Embedded Emissions'!$A$230:$D$259,2,FALSE)), $C8 = "3", 'Inputs-System'!$C$30*'Coincidence Factors'!$B$8*'Inputs-Proposals'!$C$29*'Inputs-Proposals'!$C$31*(VLOOKUP(AB$3,'Non-Embedded Emissions'!$A$56:$D$90,2,FALSE)+VLOOKUP(AB$3,'Non-Embedded Emissions'!$A$143:$D$174,2,FALSE)+VLOOKUP(AB$3,'Non-Embedded Emissions'!$A$230:$D$259,2,FALSE)), $C8 = "0", 0), 0)</f>
        <v>0</v>
      </c>
      <c r="AH8" s="45">
        <f>IFERROR(_xlfn.IFS($C8="1",('Inputs-System'!$C$30*'Coincidence Factors'!$B$8*(1+'Inputs-System'!$C$18)*(1+'Inputs-System'!$C$41)*('Inputs-Proposals'!$C$17*'Inputs-Proposals'!$C$19*('Inputs-Proposals'!$C$20))*(VLOOKUP(AH$3,Energy!$A$51:$K$83,5,FALSE))), $C8 = "2",('Inputs-System'!$C$30*'Coincidence Factors'!$B$8)*(1+'Inputs-System'!$C$18)*(1+'Inputs-System'!$C$41)*('Inputs-Proposals'!$C$23*'Inputs-Proposals'!$C$25*('Inputs-Proposals'!$C$26))*(VLOOKUP(AH$3,Energy!$A$51:$K$83,5,FALSE)), $C8= "3", ('Inputs-System'!$C$30*'Coincidence Factors'!$B$8*(1+'Inputs-System'!$C$18)*(1+'Inputs-System'!$C$41)*('Inputs-Proposals'!$C$29*'Inputs-Proposals'!$C$31*('Inputs-Proposals'!$C$32))*(VLOOKUP(AH$3,Energy!$A$51:$K$83,5,FALSE))), $C8= "0", 0), 0)</f>
        <v>0</v>
      </c>
      <c r="AI8" s="44">
        <f>IFERROR(_xlfn.IFS($C8="1",'Inputs-System'!$C$30*'Coincidence Factors'!$B$8*(1+'Inputs-System'!$C$18)*(1+'Inputs-System'!$C$41)*'Inputs-Proposals'!$C$17*'Inputs-Proposals'!$C$19*('Inputs-Proposals'!$C$20)*(VLOOKUP(AH$3,'Embedded Emissions'!$A$47:$B$78,2,FALSE)+VLOOKUP(AH$3,'Embedded Emissions'!$A$129:$B$158,2,FALSE)), $C8 = "2", 'Inputs-System'!$C$30*'Coincidence Factors'!$B$8*(1+'Inputs-System'!$C$18)*(1+'Inputs-System'!$C$41)*'Inputs-Proposals'!$C$23*'Inputs-Proposals'!$C$25*('Inputs-Proposals'!$C$20)*(VLOOKUP(AH$3,'Embedded Emissions'!$A$47:$B$78,2,FALSE)+VLOOKUP(AH$3,'Embedded Emissions'!$A$129:$B$158,2,FALSE)), $C8 = "3",'Inputs-System'!$C$30*'Coincidence Factors'!$B$8*(1+'Inputs-System'!$C$18)*(1+'Inputs-System'!$C$41)*'Inputs-Proposals'!$C$29*'Inputs-Proposals'!$C$31*('Inputs-Proposals'!$C$20)*(VLOOKUP(AH$3,'Embedded Emissions'!$A$47:$B$78,2,FALSE)+VLOOKUP(AH$3,'Embedded Emissions'!$A$129:$B$158,2,FALSE)), $C8 = "0", 0), 0)</f>
        <v>0</v>
      </c>
      <c r="AJ8" s="44">
        <f>IFERROR(_xlfn.IFS($C8="1",( 'Inputs-System'!$C$30*'Coincidence Factors'!$B$8*(1+'Inputs-System'!$C$18)*(1+'Inputs-System'!$C$41))*('Inputs-Proposals'!$C$17*'Inputs-Proposals'!$C$19*('Inputs-Proposals'!$C$20))*(VLOOKUP(AH$3,DRIPE!$A$54:$I$82,5,FALSE)+VLOOKUP(AH$3,DRIPE!$A$54:$I$82,9,FALSE))+ ('Inputs-System'!$C$26*'Coincidence Factors'!$B$8*(1+'Inputs-System'!$C$18)*(1+'Inputs-System'!$C$42))*'Inputs-Proposals'!$C$16*VLOOKUP(AH$3,DRIPE!$A$54:$I$82,8,FALSE), $C8 = "2",( 'Inputs-System'!$C$30*'Coincidence Factors'!$B$8*(1+'Inputs-System'!$C$18)*(1+'Inputs-System'!$C$41))*('Inputs-Proposals'!$C$23*'Inputs-Proposals'!$C$25*('Inputs-Proposals'!$C$26))*(VLOOKUP(AH$3,DRIPE!$A$54:$I$82,5,FALSE)+VLOOKUP(AH$3,DRIPE!$A$54:$I$82,9,FALSE))+  ('Inputs-System'!$C$26*'Coincidence Factors'!$B$8*(1+'Inputs-System'!$C$18)*(1+'Inputs-System'!$C$42))*'Inputs-Proposals'!$C$22*VLOOKUP(AH$3,DRIPE!$A$54:$I$82,8,FALSE), $C8= "3", ( 'Inputs-System'!$C$30*'Coincidence Factors'!$B$8*(1+'Inputs-System'!$C$18)*(1+'Inputs-System'!$C$41))*('Inputs-Proposals'!$C$29*'Inputs-Proposals'!$C$31*('Inputs-Proposals'!$C$32))*(VLOOKUP(AH$3,DRIPE!$A$54:$I$82,5,FALSE)+VLOOKUP(AH$3,DRIPE!$A$54:$I$82,9,FALSE))+  ('Inputs-System'!$C$26*'Coincidence Factors'!$B$8*(1+'Inputs-System'!$C$18)*(1+'Inputs-System'!$C$42))*'Inputs-Proposals'!$C$28*VLOOKUP(AH$3,DRIPE!$A$54:$I$82,8,FALSE), $C8 = "0", 0), 0)</f>
        <v>0</v>
      </c>
      <c r="AK8" s="45">
        <f>IFERROR(_xlfn.IFS($C8="1",('Inputs-System'!$C$30*'Coincidence Factors'!$B$8*(1+'Inputs-System'!$C$18))*'Inputs-Proposals'!$C$16*(VLOOKUP(AH$3,Capacity!$A$53:$E$85,4,FALSE)*(1+'Inputs-System'!$C$42)+VLOOKUP(AH$3,Capacity!$A$53:$E$85,5,FALSE)*'Inputs-System'!$C$29*(1+'Inputs-System'!$C$43)), $C8 = "2", ('Inputs-System'!$C$30*'Coincidence Factors'!$B$8*(1+'Inputs-System'!$C$18))*'Inputs-Proposals'!$C$22*(VLOOKUP(AH$3,Capacity!$A$53:$E$85,4,FALSE)*(1+'Inputs-System'!$C$42)+VLOOKUP(AH$3,Capacity!$A$53:$E$85,5,FALSE)*'Inputs-System'!$C$29*(1+'Inputs-System'!$C$43)), $C8 = "3",('Inputs-System'!$C$30*'Coincidence Factors'!$B$8*(1+'Inputs-System'!$C$18))*'Inputs-Proposals'!$C$28*(VLOOKUP(AH$3,Capacity!$A$53:$E$85,4,FALSE)*(1+'Inputs-System'!$C$42)+VLOOKUP(AH$3,Capacity!$A$53:$E$85,5,FALSE)*'Inputs-System'!$C$29*(1+'Inputs-System'!$C$43)), $C8 = "0", 0), 0)</f>
        <v>0</v>
      </c>
      <c r="AL8" s="44">
        <v>0</v>
      </c>
      <c r="AM8" s="342">
        <f>IFERROR(_xlfn.IFS($C8="1", 'Inputs-System'!$C$30*'Coincidence Factors'!$B$8*'Inputs-Proposals'!$C$17*'Inputs-Proposals'!$C$19*(VLOOKUP(AH$3,'Non-Embedded Emissions'!$A$56:$D$90,2,FALSE)+VLOOKUP(AH$3,'Non-Embedded Emissions'!$A$143:$D$174,2,FALSE)+VLOOKUP(AH$3,'Non-Embedded Emissions'!$A$230:$D$259,2,FALSE)), $C8 = "2", 'Inputs-System'!$C$30*'Coincidence Factors'!$B$8*'Inputs-Proposals'!$C$23*'Inputs-Proposals'!$C$25*(VLOOKUP(AH$3,'Non-Embedded Emissions'!$A$56:$D$90,2,FALSE)+VLOOKUP(AH$3,'Non-Embedded Emissions'!$A$143:$D$174,2,FALSE)+VLOOKUP(AH$3,'Non-Embedded Emissions'!$A$230:$D$259,2,FALSE)), $C8 = "3", 'Inputs-System'!$C$30*'Coincidence Factors'!$B$8*'Inputs-Proposals'!$C$29*'Inputs-Proposals'!$C$31*(VLOOKUP(AH$3,'Non-Embedded Emissions'!$A$56:$D$90,2,FALSE)+VLOOKUP(AH$3,'Non-Embedded Emissions'!$A$143:$D$174,2,FALSE)+VLOOKUP(AH$3,'Non-Embedded Emissions'!$A$230:$D$259,2,FALSE)), $C8 = "0", 0), 0)</f>
        <v>0</v>
      </c>
      <c r="AN8" s="45">
        <f>IFERROR(_xlfn.IFS($C8="1",('Inputs-System'!$C$30*'Coincidence Factors'!$B$8*(1+'Inputs-System'!$C$18)*(1+'Inputs-System'!$C$41)*('Inputs-Proposals'!$C$17*'Inputs-Proposals'!$C$19*('Inputs-Proposals'!$C$20))*(VLOOKUP(AN$3,Energy!$A$51:$K$83,5,FALSE))), $C8 = "2",('Inputs-System'!$C$30*'Coincidence Factors'!$B$8)*(1+'Inputs-System'!$C$18)*(1+'Inputs-System'!$C$41)*('Inputs-Proposals'!$C$23*'Inputs-Proposals'!$C$25*('Inputs-Proposals'!$C$26))*(VLOOKUP(AN$3,Energy!$A$51:$K$83,5,FALSE)), $C8= "3", ('Inputs-System'!$C$30*'Coincidence Factors'!$B$8*(1+'Inputs-System'!$C$18)*(1+'Inputs-System'!$C$41)*('Inputs-Proposals'!$C$29*'Inputs-Proposals'!$C$31*('Inputs-Proposals'!$C$32))*(VLOOKUP(AN$3,Energy!$A$51:$K$83,5,FALSE))), $C8= "0", 0), 0)</f>
        <v>0</v>
      </c>
      <c r="AO8" s="44">
        <f>IFERROR(_xlfn.IFS($C8="1",'Inputs-System'!$C$30*'Coincidence Factors'!$B$8*(1+'Inputs-System'!$C$18)*(1+'Inputs-System'!$C$41)*'Inputs-Proposals'!$C$17*'Inputs-Proposals'!$C$19*('Inputs-Proposals'!$C$20)*(VLOOKUP(AN$3,'Embedded Emissions'!$A$47:$B$78,2,FALSE)+VLOOKUP(AN$3,'Embedded Emissions'!$A$129:$B$158,2,FALSE)), $C8 = "2", 'Inputs-System'!$C$30*'Coincidence Factors'!$B$8*(1+'Inputs-System'!$C$18)*(1+'Inputs-System'!$C$41)*'Inputs-Proposals'!$C$23*'Inputs-Proposals'!$C$25*('Inputs-Proposals'!$C$20)*(VLOOKUP(AN$3,'Embedded Emissions'!$A$47:$B$78,2,FALSE)+VLOOKUP(AN$3,'Embedded Emissions'!$A$129:$B$158,2,FALSE)), $C8 = "3",'Inputs-System'!$C$30*'Coincidence Factors'!$B$8*(1+'Inputs-System'!$C$18)*(1+'Inputs-System'!$C$41)*'Inputs-Proposals'!$C$29*'Inputs-Proposals'!$C$31*('Inputs-Proposals'!$C$20)*(VLOOKUP(AN$3,'Embedded Emissions'!$A$47:$B$78,2,FALSE)+VLOOKUP(AN$3,'Embedded Emissions'!$A$129:$B$158,2,FALSE)), $C8 = "0", 0), 0)</f>
        <v>0</v>
      </c>
      <c r="AP8" s="44">
        <f>IFERROR(_xlfn.IFS($C8="1",( 'Inputs-System'!$C$30*'Coincidence Factors'!$B$8*(1+'Inputs-System'!$C$18)*(1+'Inputs-System'!$C$41))*('Inputs-Proposals'!$C$17*'Inputs-Proposals'!$C$19*('Inputs-Proposals'!$C$20))*(VLOOKUP(AN$3,DRIPE!$A$54:$I$82,5,FALSE)+VLOOKUP(AN$3,DRIPE!$A$54:$I$82,9,FALSE))+ ('Inputs-System'!$C$26*'Coincidence Factors'!$B$8*(1+'Inputs-System'!$C$18)*(1+'Inputs-System'!$C$42))*'Inputs-Proposals'!$C$16*VLOOKUP(AN$3,DRIPE!$A$54:$I$82,8,FALSE), $C8 = "2",( 'Inputs-System'!$C$30*'Coincidence Factors'!$B$8*(1+'Inputs-System'!$C$18)*(1+'Inputs-System'!$C$41))*('Inputs-Proposals'!$C$23*'Inputs-Proposals'!$C$25*('Inputs-Proposals'!$C$26))*(VLOOKUP(AN$3,DRIPE!$A$54:$I$82,5,FALSE)+VLOOKUP(AN$3,DRIPE!$A$54:$I$82,9,FALSE))+  ('Inputs-System'!$C$26*'Coincidence Factors'!$B$8*(1+'Inputs-System'!$C$18)*(1+'Inputs-System'!$C$42))*'Inputs-Proposals'!$C$22*VLOOKUP(AN$3,DRIPE!$A$54:$I$82,8,FALSE), $C8= "3", ( 'Inputs-System'!$C$30*'Coincidence Factors'!$B$8*(1+'Inputs-System'!$C$18)*(1+'Inputs-System'!$C$41))*('Inputs-Proposals'!$C$29*'Inputs-Proposals'!$C$31*('Inputs-Proposals'!$C$32))*(VLOOKUP(AN$3,DRIPE!$A$54:$I$82,5,FALSE)+VLOOKUP(AN$3,DRIPE!$A$54:$I$82,9,FALSE))+  ('Inputs-System'!$C$26*'Coincidence Factors'!$B$8*(1+'Inputs-System'!$C$18)*(1+'Inputs-System'!$C$42))*'Inputs-Proposals'!$C$28*VLOOKUP(AN$3,DRIPE!$A$54:$I$82,8,FALSE), $C8 = "0", 0), 0)</f>
        <v>0</v>
      </c>
      <c r="AQ8" s="45">
        <f>IFERROR(_xlfn.IFS($C8="1",('Inputs-System'!$C$30*'Coincidence Factors'!$B$8*(1+'Inputs-System'!$C$18))*'Inputs-Proposals'!$C$16*(VLOOKUP(AN$3,Capacity!$A$53:$E$85,4,FALSE)*(1+'Inputs-System'!$C$42)+VLOOKUP(AN$3,Capacity!$A$53:$E$85,5,FALSE)*'Inputs-System'!$C$29*(1+'Inputs-System'!$C$43)), $C8 = "2", ('Inputs-System'!$C$30*'Coincidence Factors'!$B$8*(1+'Inputs-System'!$C$18))*'Inputs-Proposals'!$C$22*(VLOOKUP(AN$3,Capacity!$A$53:$E$85,4,FALSE)*(1+'Inputs-System'!$C$42)+VLOOKUP(AN$3,Capacity!$A$53:$E$85,5,FALSE)*'Inputs-System'!$C$29*(1+'Inputs-System'!$C$43)), $C8 = "3",('Inputs-System'!$C$30*'Coincidence Factors'!$B$8*(1+'Inputs-System'!$C$18))*'Inputs-Proposals'!$C$28*(VLOOKUP(AN$3,Capacity!$A$53:$E$85,4,FALSE)*(1+'Inputs-System'!$C$42)+VLOOKUP(AN$3,Capacity!$A$53:$E$85,5,FALSE)*'Inputs-System'!$C$29*(1+'Inputs-System'!$C$43)), $C8 = "0", 0), 0)</f>
        <v>0</v>
      </c>
      <c r="AR8" s="44">
        <v>0</v>
      </c>
      <c r="AS8" s="342">
        <f>IFERROR(_xlfn.IFS($C8="1", 'Inputs-System'!$C$30*'Coincidence Factors'!$B$8*'Inputs-Proposals'!$C$17*'Inputs-Proposals'!$C$19*(VLOOKUP(AN$3,'Non-Embedded Emissions'!$A$56:$D$90,2,FALSE)+VLOOKUP(AN$3,'Non-Embedded Emissions'!$A$143:$D$174,2,FALSE)+VLOOKUP(AN$3,'Non-Embedded Emissions'!$A$230:$D$259,2,FALSE)), $C8 = "2", 'Inputs-System'!$C$30*'Coincidence Factors'!$B$8*'Inputs-Proposals'!$C$23*'Inputs-Proposals'!$C$25*(VLOOKUP(AN$3,'Non-Embedded Emissions'!$A$56:$D$90,2,FALSE)+VLOOKUP(AN$3,'Non-Embedded Emissions'!$A$143:$D$174,2,FALSE)+VLOOKUP(AN$3,'Non-Embedded Emissions'!$A$230:$D$259,2,FALSE)), $C8 = "3", 'Inputs-System'!$C$30*'Coincidence Factors'!$B$8*'Inputs-Proposals'!$C$29*'Inputs-Proposals'!$C$31*(VLOOKUP(AN$3,'Non-Embedded Emissions'!$A$56:$D$90,2,FALSE)+VLOOKUP(AN$3,'Non-Embedded Emissions'!$A$143:$D$174,2,FALSE)+VLOOKUP(AN$3,'Non-Embedded Emissions'!$A$230:$D$259,2,FALSE)), $C8 = "0", 0), 0)</f>
        <v>0</v>
      </c>
      <c r="AT8" s="45">
        <f>IFERROR(_xlfn.IFS($C8="1",('Inputs-System'!$C$30*'Coincidence Factors'!$B$8*(1+'Inputs-System'!$C$18)*(1+'Inputs-System'!$C$41)*('Inputs-Proposals'!$C$17*'Inputs-Proposals'!$C$19*('Inputs-Proposals'!$C$20))*(VLOOKUP(AT$3,Energy!$A$51:$K$83,5,FALSE))), $C8 = "2",('Inputs-System'!$C$30*'Coincidence Factors'!$B$8)*(1+'Inputs-System'!$C$18)*(1+'Inputs-System'!$C$41)*('Inputs-Proposals'!$C$23*'Inputs-Proposals'!$C$25*('Inputs-Proposals'!$C$26))*(VLOOKUP(AT$3,Energy!$A$51:$K$83,5,FALSE)), $C8= "3", ('Inputs-System'!$C$30*'Coincidence Factors'!$B$8*(1+'Inputs-System'!$C$18)*(1+'Inputs-System'!$C$41)*('Inputs-Proposals'!$C$29*'Inputs-Proposals'!$C$31*('Inputs-Proposals'!$C$32))*(VLOOKUP(AT$3,Energy!$A$51:$K$83,5,FALSE))), $C8= "0", 0), 0)</f>
        <v>0</v>
      </c>
      <c r="AU8" s="44">
        <f>IFERROR(_xlfn.IFS($C8="1",'Inputs-System'!$C$30*'Coincidence Factors'!$B$8*(1+'Inputs-System'!$C$18)*(1+'Inputs-System'!$C$41)*'Inputs-Proposals'!$C$17*'Inputs-Proposals'!$C$19*('Inputs-Proposals'!$C$20)*(VLOOKUP(AT$3,'Embedded Emissions'!$A$47:$B$78,2,FALSE)+VLOOKUP(AT$3,'Embedded Emissions'!$A$129:$B$158,2,FALSE)), $C8 = "2", 'Inputs-System'!$C$30*'Coincidence Factors'!$B$8*(1+'Inputs-System'!$C$18)*(1+'Inputs-System'!$C$41)*'Inputs-Proposals'!$C$23*'Inputs-Proposals'!$C$25*('Inputs-Proposals'!$C$20)*(VLOOKUP(AT$3,'Embedded Emissions'!$A$47:$B$78,2,FALSE)+VLOOKUP(AT$3,'Embedded Emissions'!$A$129:$B$158,2,FALSE)), $C8 = "3",'Inputs-System'!$C$30*'Coincidence Factors'!$B$8*(1+'Inputs-System'!$C$18)*(1+'Inputs-System'!$C$41)*'Inputs-Proposals'!$C$29*'Inputs-Proposals'!$C$31*('Inputs-Proposals'!$C$20)*(VLOOKUP(AT$3,'Embedded Emissions'!$A$47:$B$78,2,FALSE)+VLOOKUP(AT$3,'Embedded Emissions'!$A$129:$B$158,2,FALSE)), $C8 = "0", 0), 0)</f>
        <v>0</v>
      </c>
      <c r="AV8" s="44">
        <f>IFERROR(_xlfn.IFS($C8="1",( 'Inputs-System'!$C$30*'Coincidence Factors'!$B$8*(1+'Inputs-System'!$C$18)*(1+'Inputs-System'!$C$41))*('Inputs-Proposals'!$C$17*'Inputs-Proposals'!$C$19*('Inputs-Proposals'!$C$20))*(VLOOKUP(AT$3,DRIPE!$A$54:$I$82,5,FALSE)+VLOOKUP(AT$3,DRIPE!$A$54:$I$82,9,FALSE))+ ('Inputs-System'!$C$26*'Coincidence Factors'!$B$8*(1+'Inputs-System'!$C$18)*(1+'Inputs-System'!$C$42))*'Inputs-Proposals'!$C$16*VLOOKUP(AT$3,DRIPE!$A$54:$I$82,8,FALSE), $C8 = "2",( 'Inputs-System'!$C$30*'Coincidence Factors'!$B$8*(1+'Inputs-System'!$C$18)*(1+'Inputs-System'!$C$41))*('Inputs-Proposals'!$C$23*'Inputs-Proposals'!$C$25*('Inputs-Proposals'!$C$26))*(VLOOKUP(AT$3,DRIPE!$A$54:$I$82,5,FALSE)+VLOOKUP(AT$3,DRIPE!$A$54:$I$82,9,FALSE))+  ('Inputs-System'!$C$26*'Coincidence Factors'!$B$8*(1+'Inputs-System'!$C$18)*(1+'Inputs-System'!$C$42))*'Inputs-Proposals'!$C$22*VLOOKUP(AT$3,DRIPE!$A$54:$I$82,8,FALSE), $C8= "3", ( 'Inputs-System'!$C$30*'Coincidence Factors'!$B$8*(1+'Inputs-System'!$C$18)*(1+'Inputs-System'!$C$41))*('Inputs-Proposals'!$C$29*'Inputs-Proposals'!$C$31*('Inputs-Proposals'!$C$32))*(VLOOKUP(AT$3,DRIPE!$A$54:$I$82,5,FALSE)+VLOOKUP(AT$3,DRIPE!$A$54:$I$82,9,FALSE))+  ('Inputs-System'!$C$26*'Coincidence Factors'!$B$8*(1+'Inputs-System'!$C$18)*(1+'Inputs-System'!$C$42))*'Inputs-Proposals'!$C$28*VLOOKUP(AT$3,DRIPE!$A$54:$I$82,8,FALSE), $C8 = "0", 0), 0)</f>
        <v>0</v>
      </c>
      <c r="AW8" s="45">
        <f>IFERROR(_xlfn.IFS($C8="1",('Inputs-System'!$C$30*'Coincidence Factors'!$B$8*(1+'Inputs-System'!$C$18))*'Inputs-Proposals'!$C$16*(VLOOKUP(AT$3,Capacity!$A$53:$E$85,4,FALSE)*(1+'Inputs-System'!$C$42)+VLOOKUP(AT$3,Capacity!$A$53:$E$85,5,FALSE)*'Inputs-System'!$C$29*(1+'Inputs-System'!$C$43)), $C8 = "2", ('Inputs-System'!$C$30*'Coincidence Factors'!$B$8*(1+'Inputs-System'!$C$18))*'Inputs-Proposals'!$C$22*(VLOOKUP(AT$3,Capacity!$A$53:$E$85,4,FALSE)*(1+'Inputs-System'!$C$42)+VLOOKUP(AT$3,Capacity!$A$53:$E$85,5,FALSE)*'Inputs-System'!$C$29*(1+'Inputs-System'!$C$43)), $C8 = "3",('Inputs-System'!$C$30*'Coincidence Factors'!$B$8*(1+'Inputs-System'!$C$18))*'Inputs-Proposals'!$C$28*(VLOOKUP(AT$3,Capacity!$A$53:$E$85,4,FALSE)*(1+'Inputs-System'!$C$42)+VLOOKUP(AT$3,Capacity!$A$53:$E$85,5,FALSE)*'Inputs-System'!$C$29*(1+'Inputs-System'!$C$43)), $C8 = "0", 0), 0)</f>
        <v>0</v>
      </c>
      <c r="AX8" s="44">
        <v>0</v>
      </c>
      <c r="AY8" s="342">
        <f>IFERROR(_xlfn.IFS($C8="1", 'Inputs-System'!$C$30*'Coincidence Factors'!$B$8*'Inputs-Proposals'!$C$17*'Inputs-Proposals'!$C$19*(VLOOKUP(AT$3,'Non-Embedded Emissions'!$A$56:$D$90,2,FALSE)+VLOOKUP(AT$3,'Non-Embedded Emissions'!$A$143:$D$174,2,FALSE)+VLOOKUP(AT$3,'Non-Embedded Emissions'!$A$230:$D$259,2,FALSE)), $C8 = "2", 'Inputs-System'!$C$30*'Coincidence Factors'!$B$8*'Inputs-Proposals'!$C$23*'Inputs-Proposals'!$C$25*(VLOOKUP(AT$3,'Non-Embedded Emissions'!$A$56:$D$90,2,FALSE)+VLOOKUP(AT$3,'Non-Embedded Emissions'!$A$143:$D$174,2,FALSE)+VLOOKUP(AT$3,'Non-Embedded Emissions'!$A$230:$D$259,2,FALSE)), $C8 = "3", 'Inputs-System'!$C$30*'Coincidence Factors'!$B$8*'Inputs-Proposals'!$C$29*'Inputs-Proposals'!$C$31*(VLOOKUP(AT$3,'Non-Embedded Emissions'!$A$56:$D$90,2,FALSE)+VLOOKUP(AT$3,'Non-Embedded Emissions'!$A$143:$D$174,2,FALSE)+VLOOKUP(AT$3,'Non-Embedded Emissions'!$A$230:$D$259,2,FALSE)), $C8 = "0", 0), 0)</f>
        <v>0</v>
      </c>
      <c r="AZ8" s="45">
        <f>IFERROR(_xlfn.IFS($C8="1",('Inputs-System'!$C$30*'Coincidence Factors'!$B$8*(1+'Inputs-System'!$C$18)*(1+'Inputs-System'!$C$41)*('Inputs-Proposals'!$C$17*'Inputs-Proposals'!$C$19*('Inputs-Proposals'!$C$20))*(VLOOKUP(AZ$3,Energy!$A$51:$K$83,5,FALSE))), $C8 = "2",('Inputs-System'!$C$30*'Coincidence Factors'!$B$8)*(1+'Inputs-System'!$C$18)*(1+'Inputs-System'!$C$41)*('Inputs-Proposals'!$C$23*'Inputs-Proposals'!$C$25*('Inputs-Proposals'!$C$26))*(VLOOKUP(AZ$3,Energy!$A$51:$K$83,5,FALSE)), $C8= "3", ('Inputs-System'!$C$30*'Coincidence Factors'!$B$8*(1+'Inputs-System'!$C$18)*(1+'Inputs-System'!$C$41)*('Inputs-Proposals'!$C$29*'Inputs-Proposals'!$C$31*('Inputs-Proposals'!$C$32))*(VLOOKUP(AZ$3,Energy!$A$51:$K$83,5,FALSE))), $C8= "0", 0), 0)</f>
        <v>0</v>
      </c>
      <c r="BA8" s="44">
        <f>IFERROR(_xlfn.IFS($C8="1",'Inputs-System'!$C$30*'Coincidence Factors'!$B$8*(1+'Inputs-System'!$C$18)*(1+'Inputs-System'!$C$41)*'Inputs-Proposals'!$C$17*'Inputs-Proposals'!$C$19*('Inputs-Proposals'!$C$20)*(VLOOKUP(AZ$3,'Embedded Emissions'!$A$47:$B$78,2,FALSE)+VLOOKUP(AZ$3,'Embedded Emissions'!$A$129:$B$158,2,FALSE)), $C8 = "2", 'Inputs-System'!$C$30*'Coincidence Factors'!$B$8*(1+'Inputs-System'!$C$18)*(1+'Inputs-System'!$C$41)*'Inputs-Proposals'!$C$23*'Inputs-Proposals'!$C$25*('Inputs-Proposals'!$C$20)*(VLOOKUP(AZ$3,'Embedded Emissions'!$A$47:$B$78,2,FALSE)+VLOOKUP(AZ$3,'Embedded Emissions'!$A$129:$B$158,2,FALSE)), $C8 = "3",'Inputs-System'!$C$30*'Coincidence Factors'!$B$8*(1+'Inputs-System'!$C$18)*(1+'Inputs-System'!$C$41)*'Inputs-Proposals'!$C$29*'Inputs-Proposals'!$C$31*('Inputs-Proposals'!$C$20)*(VLOOKUP(AZ$3,'Embedded Emissions'!$A$47:$B$78,2,FALSE)+VLOOKUP(AZ$3,'Embedded Emissions'!$A$129:$B$158,2,FALSE)), $C8 = "0", 0), 0)</f>
        <v>0</v>
      </c>
      <c r="BB8" s="44">
        <f>IFERROR(_xlfn.IFS($C8="1",( 'Inputs-System'!$C$30*'Coincidence Factors'!$B$8*(1+'Inputs-System'!$C$18)*(1+'Inputs-System'!$C$41))*('Inputs-Proposals'!$C$17*'Inputs-Proposals'!$C$19*('Inputs-Proposals'!$C$20))*(VLOOKUP(AZ$3,DRIPE!$A$54:$I$82,5,FALSE)+VLOOKUP(AZ$3,DRIPE!$A$54:$I$82,9,FALSE))+ ('Inputs-System'!$C$26*'Coincidence Factors'!$B$8*(1+'Inputs-System'!$C$18)*(1+'Inputs-System'!$C$42))*'Inputs-Proposals'!$C$16*VLOOKUP(AZ$3,DRIPE!$A$54:$I$82,8,FALSE), $C8 = "2",( 'Inputs-System'!$C$30*'Coincidence Factors'!$B$8*(1+'Inputs-System'!$C$18)*(1+'Inputs-System'!$C$41))*('Inputs-Proposals'!$C$23*'Inputs-Proposals'!$C$25*('Inputs-Proposals'!$C$26))*(VLOOKUP(AZ$3,DRIPE!$A$54:$I$82,5,FALSE)+VLOOKUP(AZ$3,DRIPE!$A$54:$I$82,9,FALSE))+  ('Inputs-System'!$C$26*'Coincidence Factors'!$B$8*(1+'Inputs-System'!$C$18)*(1+'Inputs-System'!$C$42))*'Inputs-Proposals'!$C$22*VLOOKUP(AZ$3,DRIPE!$A$54:$I$82,8,FALSE), $C8= "3", ( 'Inputs-System'!$C$30*'Coincidence Factors'!$B$8*(1+'Inputs-System'!$C$18)*(1+'Inputs-System'!$C$41))*('Inputs-Proposals'!$C$29*'Inputs-Proposals'!$C$31*('Inputs-Proposals'!$C$32))*(VLOOKUP(AZ$3,DRIPE!$A$54:$I$82,5,FALSE)+VLOOKUP(AZ$3,DRIPE!$A$54:$I$82,9,FALSE))+  ('Inputs-System'!$C$26*'Coincidence Factors'!$B$8*(1+'Inputs-System'!$C$18)*(1+'Inputs-System'!$C$42))*'Inputs-Proposals'!$C$28*VLOOKUP(AZ$3,DRIPE!$A$54:$I$82,8,FALSE), $C8 = "0", 0), 0)</f>
        <v>0</v>
      </c>
      <c r="BC8" s="45">
        <f>IFERROR(_xlfn.IFS($C8="1",('Inputs-System'!$C$30*'Coincidence Factors'!$B$8*(1+'Inputs-System'!$C$18))*'Inputs-Proposals'!$C$16*(VLOOKUP(AZ$3,Capacity!$A$53:$E$85,4,FALSE)*(1+'Inputs-System'!$C$42)+VLOOKUP(AZ$3,Capacity!$A$53:$E$85,5,FALSE)*'Inputs-System'!$C$29*(1+'Inputs-System'!$C$43)), $C8 = "2", ('Inputs-System'!$C$30*'Coincidence Factors'!$B$8*(1+'Inputs-System'!$C$18))*'Inputs-Proposals'!$C$22*(VLOOKUP(AZ$3,Capacity!$A$53:$E$85,4,FALSE)*(1+'Inputs-System'!$C$42)+VLOOKUP(AZ$3,Capacity!$A$53:$E$85,5,FALSE)*'Inputs-System'!$C$29*(1+'Inputs-System'!$C$43)), $C8 = "3",('Inputs-System'!$C$30*'Coincidence Factors'!$B$8*(1+'Inputs-System'!$C$18))*'Inputs-Proposals'!$C$28*(VLOOKUP(AZ$3,Capacity!$A$53:$E$85,4,FALSE)*(1+'Inputs-System'!$C$42)+VLOOKUP(AZ$3,Capacity!$A$53:$E$85,5,FALSE)*'Inputs-System'!$C$29*(1+'Inputs-System'!$C$43)), $C8 = "0", 0), 0)</f>
        <v>0</v>
      </c>
      <c r="BD8" s="44">
        <v>0</v>
      </c>
      <c r="BE8" s="342">
        <f>IFERROR(_xlfn.IFS($C8="1", 'Inputs-System'!$C$30*'Coincidence Factors'!$B$8*'Inputs-Proposals'!$C$17*'Inputs-Proposals'!$C$19*(VLOOKUP(AZ$3,'Non-Embedded Emissions'!$A$56:$D$90,2,FALSE)+VLOOKUP(AZ$3,'Non-Embedded Emissions'!$A$143:$D$174,2,FALSE)+VLOOKUP(AZ$3,'Non-Embedded Emissions'!$A$230:$D$259,2,FALSE)), $C8 = "2", 'Inputs-System'!$C$30*'Coincidence Factors'!$B$8*'Inputs-Proposals'!$C$23*'Inputs-Proposals'!$C$25*(VLOOKUP(AZ$3,'Non-Embedded Emissions'!$A$56:$D$90,2,FALSE)+VLOOKUP(AZ$3,'Non-Embedded Emissions'!$A$143:$D$174,2,FALSE)+VLOOKUP(AZ$3,'Non-Embedded Emissions'!$A$230:$D$259,2,FALSE)), $C8 = "3", 'Inputs-System'!$C$30*'Coincidence Factors'!$B$8*'Inputs-Proposals'!$C$29*'Inputs-Proposals'!$C$31*(VLOOKUP(AZ$3,'Non-Embedded Emissions'!$A$56:$D$90,2,FALSE)+VLOOKUP(AZ$3,'Non-Embedded Emissions'!$A$143:$D$174,2,FALSE)+VLOOKUP(AZ$3,'Non-Embedded Emissions'!$A$230:$D$259,2,FALSE)), $C8 = "0", 0), 0)</f>
        <v>0</v>
      </c>
      <c r="BF8" s="45">
        <f>IFERROR(_xlfn.IFS($C8="1",('Inputs-System'!$C$30*'Coincidence Factors'!$B$8*(1+'Inputs-System'!$C$18)*(1+'Inputs-System'!$C$41)*('Inputs-Proposals'!$C$17*'Inputs-Proposals'!$C$19*('Inputs-Proposals'!$C$20))*(VLOOKUP(BF$3,Energy!$A$51:$K$83,5,FALSE))), $C8 = "2",('Inputs-System'!$C$30*'Coincidence Factors'!$B$8)*(1+'Inputs-System'!$C$18)*(1+'Inputs-System'!$C$41)*('Inputs-Proposals'!$C$23*'Inputs-Proposals'!$C$25*('Inputs-Proposals'!$C$26))*(VLOOKUP(BF$3,Energy!$A$51:$K$83,5,FALSE)), $C8= "3", ('Inputs-System'!$C$30*'Coincidence Factors'!$B$8*(1+'Inputs-System'!$C$18)*(1+'Inputs-System'!$C$41)*('Inputs-Proposals'!$C$29*'Inputs-Proposals'!$C$31*('Inputs-Proposals'!$C$32))*(VLOOKUP(BF$3,Energy!$A$51:$K$83,5,FALSE))), $C8= "0", 0), 0)</f>
        <v>0</v>
      </c>
      <c r="BG8" s="44">
        <f>IFERROR(_xlfn.IFS($C8="1",'Inputs-System'!$C$30*'Coincidence Factors'!$B$8*(1+'Inputs-System'!$C$18)*(1+'Inputs-System'!$C$41)*'Inputs-Proposals'!$C$17*'Inputs-Proposals'!$C$19*('Inputs-Proposals'!$C$20)*(VLOOKUP(BF$3,'Embedded Emissions'!$A$47:$B$78,2,FALSE)+VLOOKUP(BF$3,'Embedded Emissions'!$A$129:$B$158,2,FALSE)), $C8 = "2", 'Inputs-System'!$C$30*'Coincidence Factors'!$B$8*(1+'Inputs-System'!$C$18)*(1+'Inputs-System'!$C$41)*'Inputs-Proposals'!$C$23*'Inputs-Proposals'!$C$25*('Inputs-Proposals'!$C$20)*(VLOOKUP(BF$3,'Embedded Emissions'!$A$47:$B$78,2,FALSE)+VLOOKUP(BF$3,'Embedded Emissions'!$A$129:$B$158,2,FALSE)), $C8 = "3",'Inputs-System'!$C$30*'Coincidence Factors'!$B$8*(1+'Inputs-System'!$C$18)*(1+'Inputs-System'!$C$41)*'Inputs-Proposals'!$C$29*'Inputs-Proposals'!$C$31*('Inputs-Proposals'!$C$20)*(VLOOKUP(BF$3,'Embedded Emissions'!$A$47:$B$78,2,FALSE)+VLOOKUP(BF$3,'Embedded Emissions'!$A$129:$B$158,2,FALSE)), $C8 = "0", 0), 0)</f>
        <v>0</v>
      </c>
      <c r="BH8" s="44">
        <f>IFERROR(_xlfn.IFS($C8="1",( 'Inputs-System'!$C$30*'Coincidence Factors'!$B$8*(1+'Inputs-System'!$C$18)*(1+'Inputs-System'!$C$41))*('Inputs-Proposals'!$C$17*'Inputs-Proposals'!$C$19*('Inputs-Proposals'!$C$20))*(VLOOKUP(BF$3,DRIPE!$A$54:$I$82,5,FALSE)+VLOOKUP(BF$3,DRIPE!$A$54:$I$82,9,FALSE))+ ('Inputs-System'!$C$26*'Coincidence Factors'!$B$8*(1+'Inputs-System'!$C$18)*(1+'Inputs-System'!$C$42))*'Inputs-Proposals'!$C$16*VLOOKUP(BF$3,DRIPE!$A$54:$I$82,8,FALSE), $C8 = "2",( 'Inputs-System'!$C$30*'Coincidence Factors'!$B$8*(1+'Inputs-System'!$C$18)*(1+'Inputs-System'!$C$41))*('Inputs-Proposals'!$C$23*'Inputs-Proposals'!$C$25*('Inputs-Proposals'!$C$26))*(VLOOKUP(BF$3,DRIPE!$A$54:$I$82,5,FALSE)+VLOOKUP(BF$3,DRIPE!$A$54:$I$82,9,FALSE))+  ('Inputs-System'!$C$26*'Coincidence Factors'!$B$8*(1+'Inputs-System'!$C$18)*(1+'Inputs-System'!$C$42))*'Inputs-Proposals'!$C$22*VLOOKUP(BF$3,DRIPE!$A$54:$I$82,8,FALSE), $C8= "3", ( 'Inputs-System'!$C$30*'Coincidence Factors'!$B$8*(1+'Inputs-System'!$C$18)*(1+'Inputs-System'!$C$41))*('Inputs-Proposals'!$C$29*'Inputs-Proposals'!$C$31*('Inputs-Proposals'!$C$32))*(VLOOKUP(BF$3,DRIPE!$A$54:$I$82,5,FALSE)+VLOOKUP(BF$3,DRIPE!$A$54:$I$82,9,FALSE))+  ('Inputs-System'!$C$26*'Coincidence Factors'!$B$8*(1+'Inputs-System'!$C$18)*(1+'Inputs-System'!$C$42))*'Inputs-Proposals'!$C$28*VLOOKUP(BF$3,DRIPE!$A$54:$I$82,8,FALSE), $C8 = "0", 0), 0)</f>
        <v>0</v>
      </c>
      <c r="BI8" s="45">
        <f>IFERROR(_xlfn.IFS($C8="1",('Inputs-System'!$C$30*'Coincidence Factors'!$B$8*(1+'Inputs-System'!$C$18))*'Inputs-Proposals'!$C$16*(VLOOKUP(BF$3,Capacity!$A$53:$E$85,4,FALSE)*(1+'Inputs-System'!$C$42)+VLOOKUP(BF$3,Capacity!$A$53:$E$85,5,FALSE)*'Inputs-System'!$C$29*(1+'Inputs-System'!$C$43)), $C8 = "2", ('Inputs-System'!$C$30*'Coincidence Factors'!$B$8*(1+'Inputs-System'!$C$18))*'Inputs-Proposals'!$C$22*(VLOOKUP(BF$3,Capacity!$A$53:$E$85,4,FALSE)*(1+'Inputs-System'!$C$42)+VLOOKUP(BF$3,Capacity!$A$53:$E$85,5,FALSE)*'Inputs-System'!$C$29*(1+'Inputs-System'!$C$43)), $C8 = "3",('Inputs-System'!$C$30*'Coincidence Factors'!$B$8*(1+'Inputs-System'!$C$18))*'Inputs-Proposals'!$C$28*(VLOOKUP(BF$3,Capacity!$A$53:$E$85,4,FALSE)*(1+'Inputs-System'!$C$42)+VLOOKUP(BF$3,Capacity!$A$53:$E$85,5,FALSE)*'Inputs-System'!$C$29*(1+'Inputs-System'!$C$43)), $C8 = "0", 0), 0)</f>
        <v>0</v>
      </c>
      <c r="BJ8" s="44">
        <v>0</v>
      </c>
      <c r="BK8" s="342">
        <f>IFERROR(_xlfn.IFS($C8="1", 'Inputs-System'!$C$30*'Coincidence Factors'!$B$8*'Inputs-Proposals'!$C$17*'Inputs-Proposals'!$C$19*(VLOOKUP(BF$3,'Non-Embedded Emissions'!$A$56:$D$90,2,FALSE)+VLOOKUP(BF$3,'Non-Embedded Emissions'!$A$143:$D$174,2,FALSE)+VLOOKUP(BF$3,'Non-Embedded Emissions'!$A$230:$D$259,2,FALSE)), $C8 = "2", 'Inputs-System'!$C$30*'Coincidence Factors'!$B$8*'Inputs-Proposals'!$C$23*'Inputs-Proposals'!$C$25*(VLOOKUP(BF$3,'Non-Embedded Emissions'!$A$56:$D$90,2,FALSE)+VLOOKUP(BF$3,'Non-Embedded Emissions'!$A$143:$D$174,2,FALSE)+VLOOKUP(BF$3,'Non-Embedded Emissions'!$A$230:$D$259,2,FALSE)), $C8 = "3", 'Inputs-System'!$C$30*'Coincidence Factors'!$B$8*'Inputs-Proposals'!$C$29*'Inputs-Proposals'!$C$31*(VLOOKUP(BF$3,'Non-Embedded Emissions'!$A$56:$D$90,2,FALSE)+VLOOKUP(BF$3,'Non-Embedded Emissions'!$A$143:$D$174,2,FALSE)+VLOOKUP(BF$3,'Non-Embedded Emissions'!$A$230:$D$259,2,FALSE)), $C8 = "0", 0), 0)</f>
        <v>0</v>
      </c>
      <c r="BL8" s="45">
        <f>IFERROR(_xlfn.IFS($C8="1",('Inputs-System'!$C$30*'Coincidence Factors'!$B$8*(1+'Inputs-System'!$C$18)*(1+'Inputs-System'!$C$41)*('Inputs-Proposals'!$C$17*'Inputs-Proposals'!$C$19*('Inputs-Proposals'!$C$20))*(VLOOKUP(BL$3,Energy!$A$51:$K$83,5,FALSE))), $C8 = "2",('Inputs-System'!$C$30*'Coincidence Factors'!$B$8)*(1+'Inputs-System'!$C$18)*(1+'Inputs-System'!$C$41)*('Inputs-Proposals'!$C$23*'Inputs-Proposals'!$C$25*('Inputs-Proposals'!$C$26))*(VLOOKUP(BL$3,Energy!$A$51:$K$83,5,FALSE)), $C8= "3", ('Inputs-System'!$C$30*'Coincidence Factors'!$B$8*(1+'Inputs-System'!$C$18)*(1+'Inputs-System'!$C$41)*('Inputs-Proposals'!$C$29*'Inputs-Proposals'!$C$31*('Inputs-Proposals'!$C$32))*(VLOOKUP(BL$3,Energy!$A$51:$K$83,5,FALSE))), $C8= "0", 0), 0)</f>
        <v>0</v>
      </c>
      <c r="BM8" s="44">
        <f>IFERROR(_xlfn.IFS($C8="1",'Inputs-System'!$C$30*'Coincidence Factors'!$B$8*(1+'Inputs-System'!$C$18)*(1+'Inputs-System'!$C$41)*'Inputs-Proposals'!$C$17*'Inputs-Proposals'!$C$19*('Inputs-Proposals'!$C$20)*(VLOOKUP(BL$3,'Embedded Emissions'!$A$47:$B$78,2,FALSE)+VLOOKUP(BL$3,'Embedded Emissions'!$A$129:$B$158,2,FALSE)), $C8 = "2", 'Inputs-System'!$C$30*'Coincidence Factors'!$B$8*(1+'Inputs-System'!$C$18)*(1+'Inputs-System'!$C$41)*'Inputs-Proposals'!$C$23*'Inputs-Proposals'!$C$25*('Inputs-Proposals'!$C$20)*(VLOOKUP(BL$3,'Embedded Emissions'!$A$47:$B$78,2,FALSE)+VLOOKUP(BL$3,'Embedded Emissions'!$A$129:$B$158,2,FALSE)), $C8 = "3",'Inputs-System'!$C$30*'Coincidence Factors'!$B$8*(1+'Inputs-System'!$C$18)*(1+'Inputs-System'!$C$41)*'Inputs-Proposals'!$C$29*'Inputs-Proposals'!$C$31*('Inputs-Proposals'!$C$20)*(VLOOKUP(BL$3,'Embedded Emissions'!$A$47:$B$78,2,FALSE)+VLOOKUP(BL$3,'Embedded Emissions'!$A$129:$B$158,2,FALSE)), $C8 = "0", 0), 0)</f>
        <v>0</v>
      </c>
      <c r="BN8" s="44">
        <f>IFERROR(_xlfn.IFS($C8="1",( 'Inputs-System'!$C$30*'Coincidence Factors'!$B$8*(1+'Inputs-System'!$C$18)*(1+'Inputs-System'!$C$41))*('Inputs-Proposals'!$C$17*'Inputs-Proposals'!$C$19*('Inputs-Proposals'!$C$20))*(VLOOKUP(BL$3,DRIPE!$A$54:$I$82,5,FALSE)+VLOOKUP(BL$3,DRIPE!$A$54:$I$82,9,FALSE))+ ('Inputs-System'!$C$26*'Coincidence Factors'!$B$8*(1+'Inputs-System'!$C$18)*(1+'Inputs-System'!$C$42))*'Inputs-Proposals'!$C$16*VLOOKUP(BL$3,DRIPE!$A$54:$I$82,8,FALSE), $C8 = "2",( 'Inputs-System'!$C$30*'Coincidence Factors'!$B$8*(1+'Inputs-System'!$C$18)*(1+'Inputs-System'!$C$41))*('Inputs-Proposals'!$C$23*'Inputs-Proposals'!$C$25*('Inputs-Proposals'!$C$26))*(VLOOKUP(BL$3,DRIPE!$A$54:$I$82,5,FALSE)+VLOOKUP(BL$3,DRIPE!$A$54:$I$82,9,FALSE))+  ('Inputs-System'!$C$26*'Coincidence Factors'!$B$8*(1+'Inputs-System'!$C$18)*(1+'Inputs-System'!$C$42))*'Inputs-Proposals'!$C$22*VLOOKUP(BL$3,DRIPE!$A$54:$I$82,8,FALSE), $C8= "3", ( 'Inputs-System'!$C$30*'Coincidence Factors'!$B$8*(1+'Inputs-System'!$C$18)*(1+'Inputs-System'!$C$41))*('Inputs-Proposals'!$C$29*'Inputs-Proposals'!$C$31*('Inputs-Proposals'!$C$32))*(VLOOKUP(BL$3,DRIPE!$A$54:$I$82,5,FALSE)+VLOOKUP(BL$3,DRIPE!$A$54:$I$82,9,FALSE))+  ('Inputs-System'!$C$26*'Coincidence Factors'!$B$8*(1+'Inputs-System'!$C$18)*(1+'Inputs-System'!$C$42))*'Inputs-Proposals'!$C$28*VLOOKUP(BL$3,DRIPE!$A$54:$I$82,8,FALSE), $C8 = "0", 0), 0)</f>
        <v>0</v>
      </c>
      <c r="BO8" s="45">
        <f>IFERROR(_xlfn.IFS($C8="1",('Inputs-System'!$C$30*'Coincidence Factors'!$B$8*(1+'Inputs-System'!$C$18))*'Inputs-Proposals'!$C$16*(VLOOKUP(BL$3,Capacity!$A$53:$E$85,4,FALSE)*(1+'Inputs-System'!$C$42)+VLOOKUP(BL$3,Capacity!$A$53:$E$85,5,FALSE)*'Inputs-System'!$C$29*(1+'Inputs-System'!$C$43)), $C8 = "2", ('Inputs-System'!$C$30*'Coincidence Factors'!$B$8*(1+'Inputs-System'!$C$18))*'Inputs-Proposals'!$C$22*(VLOOKUP(BL$3,Capacity!$A$53:$E$85,4,FALSE)*(1+'Inputs-System'!$C$42)+VLOOKUP(BL$3,Capacity!$A$53:$E$85,5,FALSE)*'Inputs-System'!$C$29*(1+'Inputs-System'!$C$43)), $C8 = "3",('Inputs-System'!$C$30*'Coincidence Factors'!$B$8*(1+'Inputs-System'!$C$18))*'Inputs-Proposals'!$C$28*(VLOOKUP(BL$3,Capacity!$A$53:$E$85,4,FALSE)*(1+'Inputs-System'!$C$42)+VLOOKUP(BL$3,Capacity!$A$53:$E$85,5,FALSE)*'Inputs-System'!$C$29*(1+'Inputs-System'!$C$43)), $C8 = "0", 0), 0)</f>
        <v>0</v>
      </c>
      <c r="BP8" s="44">
        <v>0</v>
      </c>
      <c r="BQ8" s="342">
        <f>IFERROR(_xlfn.IFS($C8="1", 'Inputs-System'!$C$30*'Coincidence Factors'!$B$8*'Inputs-Proposals'!$C$17*'Inputs-Proposals'!$C$19*(VLOOKUP(BL$3,'Non-Embedded Emissions'!$A$56:$D$90,2,FALSE)+VLOOKUP(BL$3,'Non-Embedded Emissions'!$A$143:$D$174,2,FALSE)+VLOOKUP(BL$3,'Non-Embedded Emissions'!$A$230:$D$259,2,FALSE)), $C8 = "2", 'Inputs-System'!$C$30*'Coincidence Factors'!$B$8*'Inputs-Proposals'!$C$23*'Inputs-Proposals'!$C$25*(VLOOKUP(BL$3,'Non-Embedded Emissions'!$A$56:$D$90,2,FALSE)+VLOOKUP(BL$3,'Non-Embedded Emissions'!$A$143:$D$174,2,FALSE)+VLOOKUP(BL$3,'Non-Embedded Emissions'!$A$230:$D$259,2,FALSE)), $C8 = "3", 'Inputs-System'!$C$30*'Coincidence Factors'!$B$8*'Inputs-Proposals'!$C$29*'Inputs-Proposals'!$C$31*(VLOOKUP(BL$3,'Non-Embedded Emissions'!$A$56:$D$90,2,FALSE)+VLOOKUP(BL$3,'Non-Embedded Emissions'!$A$143:$D$174,2,FALSE)+VLOOKUP(BL$3,'Non-Embedded Emissions'!$A$230:$D$259,2,FALSE)), $C8 = "0", 0), 0)</f>
        <v>0</v>
      </c>
      <c r="BR8" s="45">
        <f>IFERROR(_xlfn.IFS($C8="1",('Inputs-System'!$C$30*'Coincidence Factors'!$B$8*(1+'Inputs-System'!$C$18)*(1+'Inputs-System'!$C$41)*('Inputs-Proposals'!$C$17*'Inputs-Proposals'!$C$19*('Inputs-Proposals'!$C$20))*(VLOOKUP(BR$3,Energy!$A$51:$K$83,5,FALSE))), $C8 = "2",('Inputs-System'!$C$30*'Coincidence Factors'!$B$8)*(1+'Inputs-System'!$C$18)*(1+'Inputs-System'!$C$41)*('Inputs-Proposals'!$C$23*'Inputs-Proposals'!$C$25*('Inputs-Proposals'!$C$26))*(VLOOKUP(BR$3,Energy!$A$51:$K$83,5,FALSE)), $C8= "3", ('Inputs-System'!$C$30*'Coincidence Factors'!$B$8*(1+'Inputs-System'!$C$18)*(1+'Inputs-System'!$C$41)*('Inputs-Proposals'!$C$29*'Inputs-Proposals'!$C$31*('Inputs-Proposals'!$C$32))*(VLOOKUP(BR$3,Energy!$A$51:$K$83,5,FALSE))), $C8= "0", 0), 0)</f>
        <v>0</v>
      </c>
      <c r="BS8" s="44">
        <f>IFERROR(_xlfn.IFS($C8="1",'Inputs-System'!$C$30*'Coincidence Factors'!$B$8*(1+'Inputs-System'!$C$18)*(1+'Inputs-System'!$C$41)*'Inputs-Proposals'!$C$17*'Inputs-Proposals'!$C$19*('Inputs-Proposals'!$C$20)*(VLOOKUP(BR$3,'Embedded Emissions'!$A$47:$B$78,2,FALSE)+VLOOKUP(BR$3,'Embedded Emissions'!$A$129:$B$158,2,FALSE)), $C8 = "2", 'Inputs-System'!$C$30*'Coincidence Factors'!$B$8*(1+'Inputs-System'!$C$18)*(1+'Inputs-System'!$C$41)*'Inputs-Proposals'!$C$23*'Inputs-Proposals'!$C$25*('Inputs-Proposals'!$C$20)*(VLOOKUP(BR$3,'Embedded Emissions'!$A$47:$B$78,2,FALSE)+VLOOKUP(BR$3,'Embedded Emissions'!$A$129:$B$158,2,FALSE)), $C8 = "3",'Inputs-System'!$C$30*'Coincidence Factors'!$B$8*(1+'Inputs-System'!$C$18)*(1+'Inputs-System'!$C$41)*'Inputs-Proposals'!$C$29*'Inputs-Proposals'!$C$31*('Inputs-Proposals'!$C$20)*(VLOOKUP(BR$3,'Embedded Emissions'!$A$47:$B$78,2,FALSE)+VLOOKUP(BR$3,'Embedded Emissions'!$A$129:$B$158,2,FALSE)), $C8 = "0", 0), 0)</f>
        <v>0</v>
      </c>
      <c r="BT8" s="44">
        <f>IFERROR(_xlfn.IFS($C8="1",( 'Inputs-System'!$C$30*'Coincidence Factors'!$B$8*(1+'Inputs-System'!$C$18)*(1+'Inputs-System'!$C$41))*('Inputs-Proposals'!$C$17*'Inputs-Proposals'!$C$19*('Inputs-Proposals'!$C$20))*(VLOOKUP(BR$3,DRIPE!$A$54:$I$82,5,FALSE)+VLOOKUP(BR$3,DRIPE!$A$54:$I$82,9,FALSE))+ ('Inputs-System'!$C$26*'Coincidence Factors'!$B$8*(1+'Inputs-System'!$C$18)*(1+'Inputs-System'!$C$42))*'Inputs-Proposals'!$C$16*VLOOKUP(BR$3,DRIPE!$A$54:$I$82,8,FALSE), $C8 = "2",( 'Inputs-System'!$C$30*'Coincidence Factors'!$B$8*(1+'Inputs-System'!$C$18)*(1+'Inputs-System'!$C$41))*('Inputs-Proposals'!$C$23*'Inputs-Proposals'!$C$25*('Inputs-Proposals'!$C$26))*(VLOOKUP(BR$3,DRIPE!$A$54:$I$82,5,FALSE)+VLOOKUP(BR$3,DRIPE!$A$54:$I$82,9,FALSE))+  ('Inputs-System'!$C$26*'Coincidence Factors'!$B$8*(1+'Inputs-System'!$C$18)*(1+'Inputs-System'!$C$42))*'Inputs-Proposals'!$C$22*VLOOKUP(BR$3,DRIPE!$A$54:$I$82,8,FALSE), $C8= "3", ( 'Inputs-System'!$C$30*'Coincidence Factors'!$B$8*(1+'Inputs-System'!$C$18)*(1+'Inputs-System'!$C$41))*('Inputs-Proposals'!$C$29*'Inputs-Proposals'!$C$31*('Inputs-Proposals'!$C$32))*(VLOOKUP(BR$3,DRIPE!$A$54:$I$82,5,FALSE)+VLOOKUP(BR$3,DRIPE!$A$54:$I$82,9,FALSE))+  ('Inputs-System'!$C$26*'Coincidence Factors'!$B$8*(1+'Inputs-System'!$C$18)*(1+'Inputs-System'!$C$42))*'Inputs-Proposals'!$C$28*VLOOKUP(BR$3,DRIPE!$A$54:$I$82,8,FALSE), $C8 = "0", 0), 0)</f>
        <v>0</v>
      </c>
      <c r="BU8" s="45">
        <f>IFERROR(_xlfn.IFS($C8="1",('Inputs-System'!$C$30*'Coincidence Factors'!$B$8*(1+'Inputs-System'!$C$18))*'Inputs-Proposals'!$C$16*(VLOOKUP(BR$3,Capacity!$A$53:$E$85,4,FALSE)*(1+'Inputs-System'!$C$42)+VLOOKUP(BR$3,Capacity!$A$53:$E$85,5,FALSE)*'Inputs-System'!$C$29*(1+'Inputs-System'!$C$43)), $C8 = "2", ('Inputs-System'!$C$30*'Coincidence Factors'!$B$8*(1+'Inputs-System'!$C$18))*'Inputs-Proposals'!$C$22*(VLOOKUP(BR$3,Capacity!$A$53:$E$85,4,FALSE)*(1+'Inputs-System'!$C$42)+VLOOKUP(BR$3,Capacity!$A$53:$E$85,5,FALSE)*'Inputs-System'!$C$29*(1+'Inputs-System'!$C$43)), $C8 = "3",('Inputs-System'!$C$30*'Coincidence Factors'!$B$8*(1+'Inputs-System'!$C$18))*'Inputs-Proposals'!$C$28*(VLOOKUP(BR$3,Capacity!$A$53:$E$85,4,FALSE)*(1+'Inputs-System'!$C$42)+VLOOKUP(BR$3,Capacity!$A$53:$E$85,5,FALSE)*'Inputs-System'!$C$29*(1+'Inputs-System'!$C$43)), $C8 = "0", 0), 0)</f>
        <v>0</v>
      </c>
      <c r="BV8" s="44">
        <v>0</v>
      </c>
      <c r="BW8" s="342">
        <f>IFERROR(_xlfn.IFS($C8="1", 'Inputs-System'!$C$30*'Coincidence Factors'!$B$8*'Inputs-Proposals'!$C$17*'Inputs-Proposals'!$C$19*(VLOOKUP(BR$3,'Non-Embedded Emissions'!$A$56:$D$90,2,FALSE)+VLOOKUP(BR$3,'Non-Embedded Emissions'!$A$143:$D$174,2,FALSE)+VLOOKUP(BR$3,'Non-Embedded Emissions'!$A$230:$D$259,2,FALSE)), $C8 = "2", 'Inputs-System'!$C$30*'Coincidence Factors'!$B$8*'Inputs-Proposals'!$C$23*'Inputs-Proposals'!$C$25*(VLOOKUP(BR$3,'Non-Embedded Emissions'!$A$56:$D$90,2,FALSE)+VLOOKUP(BR$3,'Non-Embedded Emissions'!$A$143:$D$174,2,FALSE)+VLOOKUP(BR$3,'Non-Embedded Emissions'!$A$230:$D$259,2,FALSE)), $C8 = "3", 'Inputs-System'!$C$30*'Coincidence Factors'!$B$8*'Inputs-Proposals'!$C$29*'Inputs-Proposals'!$C$31*(VLOOKUP(BR$3,'Non-Embedded Emissions'!$A$56:$D$90,2,FALSE)+VLOOKUP(BR$3,'Non-Embedded Emissions'!$A$143:$D$174,2,FALSE)+VLOOKUP(BR$3,'Non-Embedded Emissions'!$A$230:$D$259,2,FALSE)), $C8 = "0", 0), 0)</f>
        <v>0</v>
      </c>
      <c r="BX8" s="45">
        <f>IFERROR(_xlfn.IFS($C8="1",('Inputs-System'!$C$30*'Coincidence Factors'!$B$8*(1+'Inputs-System'!$C$18)*(1+'Inputs-System'!$C$41)*('Inputs-Proposals'!$C$17*'Inputs-Proposals'!$C$19*('Inputs-Proposals'!$C$20))*(VLOOKUP(BX$3,Energy!$A$51:$K$83,5,FALSE))), $C8 = "2",('Inputs-System'!$C$30*'Coincidence Factors'!$B$8)*(1+'Inputs-System'!$C$18)*(1+'Inputs-System'!$C$41)*('Inputs-Proposals'!$C$23*'Inputs-Proposals'!$C$25*('Inputs-Proposals'!$C$26))*(VLOOKUP(BX$3,Energy!$A$51:$K$83,5,FALSE)), $C8= "3", ('Inputs-System'!$C$30*'Coincidence Factors'!$B$8*(1+'Inputs-System'!$C$18)*(1+'Inputs-System'!$C$41)*('Inputs-Proposals'!$C$29*'Inputs-Proposals'!$C$31*('Inputs-Proposals'!$C$32))*(VLOOKUP(BX$3,Energy!$A$51:$K$83,5,FALSE))), $C8= "0", 0), 0)</f>
        <v>0</v>
      </c>
      <c r="BY8" s="44">
        <f>IFERROR(_xlfn.IFS($C8="1",'Inputs-System'!$C$30*'Coincidence Factors'!$B$8*(1+'Inputs-System'!$C$18)*(1+'Inputs-System'!$C$41)*'Inputs-Proposals'!$C$17*'Inputs-Proposals'!$C$19*('Inputs-Proposals'!$C$20)*(VLOOKUP(BX$3,'Embedded Emissions'!$A$47:$B$78,2,FALSE)+VLOOKUP(BX$3,'Embedded Emissions'!$A$129:$B$158,2,FALSE)), $C8 = "2", 'Inputs-System'!$C$30*'Coincidence Factors'!$B$8*(1+'Inputs-System'!$C$18)*(1+'Inputs-System'!$C$41)*'Inputs-Proposals'!$C$23*'Inputs-Proposals'!$C$25*('Inputs-Proposals'!$C$20)*(VLOOKUP(BX$3,'Embedded Emissions'!$A$47:$B$78,2,FALSE)+VLOOKUP(BX$3,'Embedded Emissions'!$A$129:$B$158,2,FALSE)), $C8 = "3",'Inputs-System'!$C$30*'Coincidence Factors'!$B$8*(1+'Inputs-System'!$C$18)*(1+'Inputs-System'!$C$41)*'Inputs-Proposals'!$C$29*'Inputs-Proposals'!$C$31*('Inputs-Proposals'!$C$20)*(VLOOKUP(BX$3,'Embedded Emissions'!$A$47:$B$78,2,FALSE)+VLOOKUP(BX$3,'Embedded Emissions'!$A$129:$B$158,2,FALSE)), $C8 = "0", 0), 0)</f>
        <v>0</v>
      </c>
      <c r="BZ8" s="44">
        <f>IFERROR(_xlfn.IFS($C8="1",( 'Inputs-System'!$C$30*'Coincidence Factors'!$B$8*(1+'Inputs-System'!$C$18)*(1+'Inputs-System'!$C$41))*('Inputs-Proposals'!$C$17*'Inputs-Proposals'!$C$19*('Inputs-Proposals'!$C$20))*(VLOOKUP(BX$3,DRIPE!$A$54:$I$82,5,FALSE)+VLOOKUP(BX$3,DRIPE!$A$54:$I$82,9,FALSE))+ ('Inputs-System'!$C$26*'Coincidence Factors'!$B$8*(1+'Inputs-System'!$C$18)*(1+'Inputs-System'!$C$42))*'Inputs-Proposals'!$C$16*VLOOKUP(BX$3,DRIPE!$A$54:$I$82,8,FALSE), $C8 = "2",( 'Inputs-System'!$C$30*'Coincidence Factors'!$B$8*(1+'Inputs-System'!$C$18)*(1+'Inputs-System'!$C$41))*('Inputs-Proposals'!$C$23*'Inputs-Proposals'!$C$25*('Inputs-Proposals'!$C$26))*(VLOOKUP(BX$3,DRIPE!$A$54:$I$82,5,FALSE)+VLOOKUP(BX$3,DRIPE!$A$54:$I$82,9,FALSE))+  ('Inputs-System'!$C$26*'Coincidence Factors'!$B$8*(1+'Inputs-System'!$C$18)*(1+'Inputs-System'!$C$42))*'Inputs-Proposals'!$C$22*VLOOKUP(BX$3,DRIPE!$A$54:$I$82,8,FALSE), $C8= "3", ( 'Inputs-System'!$C$30*'Coincidence Factors'!$B$8*(1+'Inputs-System'!$C$18)*(1+'Inputs-System'!$C$41))*('Inputs-Proposals'!$C$29*'Inputs-Proposals'!$C$31*('Inputs-Proposals'!$C$32))*(VLOOKUP(BX$3,DRIPE!$A$54:$I$82,5,FALSE)+VLOOKUP(BX$3,DRIPE!$A$54:$I$82,9,FALSE))+  ('Inputs-System'!$C$26*'Coincidence Factors'!$B$8*(1+'Inputs-System'!$C$18)*(1+'Inputs-System'!$C$42))*'Inputs-Proposals'!$C$28*VLOOKUP(BX$3,DRIPE!$A$54:$I$82,8,FALSE), $C8 = "0", 0), 0)</f>
        <v>0</v>
      </c>
      <c r="CA8" s="45">
        <f>IFERROR(_xlfn.IFS($C8="1",('Inputs-System'!$C$30*'Coincidence Factors'!$B$8*(1+'Inputs-System'!$C$18))*'Inputs-Proposals'!$C$16*(VLOOKUP(BX$3,Capacity!$A$53:$E$85,4,FALSE)*(1+'Inputs-System'!$C$42)+VLOOKUP(BX$3,Capacity!$A$53:$E$85,5,FALSE)*'Inputs-System'!$C$29*(1+'Inputs-System'!$C$43)), $C8 = "2", ('Inputs-System'!$C$30*'Coincidence Factors'!$B$8*(1+'Inputs-System'!$C$18))*'Inputs-Proposals'!$C$22*(VLOOKUP(BX$3,Capacity!$A$53:$E$85,4,FALSE)*(1+'Inputs-System'!$C$42)+VLOOKUP(BX$3,Capacity!$A$53:$E$85,5,FALSE)*'Inputs-System'!$C$29*(1+'Inputs-System'!$C$43)), $C8 = "3",('Inputs-System'!$C$30*'Coincidence Factors'!$B$8*(1+'Inputs-System'!$C$18))*'Inputs-Proposals'!$C$28*(VLOOKUP(BX$3,Capacity!$A$53:$E$85,4,FALSE)*(1+'Inputs-System'!$C$42)+VLOOKUP(BX$3,Capacity!$A$53:$E$85,5,FALSE)*'Inputs-System'!$C$29*(1+'Inputs-System'!$C$43)), $C8 = "0", 0), 0)</f>
        <v>0</v>
      </c>
      <c r="CB8" s="44">
        <v>0</v>
      </c>
      <c r="CC8" s="342">
        <f>IFERROR(_xlfn.IFS($C8="1", 'Inputs-System'!$C$30*'Coincidence Factors'!$B$8*'Inputs-Proposals'!$C$17*'Inputs-Proposals'!$C$19*(VLOOKUP(BX$3,'Non-Embedded Emissions'!$A$56:$D$90,2,FALSE)+VLOOKUP(BX$3,'Non-Embedded Emissions'!$A$143:$D$174,2,FALSE)+VLOOKUP(BX$3,'Non-Embedded Emissions'!$A$230:$D$259,2,FALSE)), $C8 = "2", 'Inputs-System'!$C$30*'Coincidence Factors'!$B$8*'Inputs-Proposals'!$C$23*'Inputs-Proposals'!$C$25*(VLOOKUP(BX$3,'Non-Embedded Emissions'!$A$56:$D$90,2,FALSE)+VLOOKUP(BX$3,'Non-Embedded Emissions'!$A$143:$D$174,2,FALSE)+VLOOKUP(BX$3,'Non-Embedded Emissions'!$A$230:$D$259,2,FALSE)), $C8 = "3", 'Inputs-System'!$C$30*'Coincidence Factors'!$B$8*'Inputs-Proposals'!$C$29*'Inputs-Proposals'!$C$31*(VLOOKUP(BX$3,'Non-Embedded Emissions'!$A$56:$D$90,2,FALSE)+VLOOKUP(BX$3,'Non-Embedded Emissions'!$A$143:$D$174,2,FALSE)+VLOOKUP(BX$3,'Non-Embedded Emissions'!$A$230:$D$259,2,FALSE)), $C8 = "0", 0), 0)</f>
        <v>0</v>
      </c>
      <c r="CD8" s="45">
        <f>IFERROR(_xlfn.IFS($C8="1",('Inputs-System'!$C$30*'Coincidence Factors'!$B$8*(1+'Inputs-System'!$C$18)*(1+'Inputs-System'!$C$41)*('Inputs-Proposals'!$C$17*'Inputs-Proposals'!$C$19*('Inputs-Proposals'!$C$20))*(VLOOKUP(CD$3,Energy!$A$51:$K$83,5,FALSE))), $C8 = "2",('Inputs-System'!$C$30*'Coincidence Factors'!$B$8)*(1+'Inputs-System'!$C$18)*(1+'Inputs-System'!$C$41)*('Inputs-Proposals'!$C$23*'Inputs-Proposals'!$C$25*('Inputs-Proposals'!$C$26))*(VLOOKUP(CD$3,Energy!$A$51:$K$83,5,FALSE)), $C8= "3", ('Inputs-System'!$C$30*'Coincidence Factors'!$B$8*(1+'Inputs-System'!$C$18)*(1+'Inputs-System'!$C$41)*('Inputs-Proposals'!$C$29*'Inputs-Proposals'!$C$31*('Inputs-Proposals'!$C$32))*(VLOOKUP(CD$3,Energy!$A$51:$K$83,5,FALSE))), $C8= "0", 0), 0)</f>
        <v>0</v>
      </c>
      <c r="CE8" s="44">
        <f>IFERROR(_xlfn.IFS($C8="1",'Inputs-System'!$C$30*'Coincidence Factors'!$B$8*(1+'Inputs-System'!$C$18)*(1+'Inputs-System'!$C$41)*'Inputs-Proposals'!$C$17*'Inputs-Proposals'!$C$19*('Inputs-Proposals'!$C$20)*(VLOOKUP(CD$3,'Embedded Emissions'!$A$47:$B$78,2,FALSE)+VLOOKUP(CD$3,'Embedded Emissions'!$A$129:$B$158,2,FALSE)), $C8 = "2", 'Inputs-System'!$C$30*'Coincidence Factors'!$B$8*(1+'Inputs-System'!$C$18)*(1+'Inputs-System'!$C$41)*'Inputs-Proposals'!$C$23*'Inputs-Proposals'!$C$25*('Inputs-Proposals'!$C$20)*(VLOOKUP(CD$3,'Embedded Emissions'!$A$47:$B$78,2,FALSE)+VLOOKUP(CD$3,'Embedded Emissions'!$A$129:$B$158,2,FALSE)), $C8 = "3",'Inputs-System'!$C$30*'Coincidence Factors'!$B$8*(1+'Inputs-System'!$C$18)*(1+'Inputs-System'!$C$41)*'Inputs-Proposals'!$C$29*'Inputs-Proposals'!$C$31*('Inputs-Proposals'!$C$20)*(VLOOKUP(CD$3,'Embedded Emissions'!$A$47:$B$78,2,FALSE)+VLOOKUP(CD$3,'Embedded Emissions'!$A$129:$B$158,2,FALSE)), $C8 = "0", 0), 0)</f>
        <v>0</v>
      </c>
      <c r="CF8" s="44">
        <f>IFERROR(_xlfn.IFS($C8="1",( 'Inputs-System'!$C$30*'Coincidence Factors'!$B$8*(1+'Inputs-System'!$C$18)*(1+'Inputs-System'!$C$41))*('Inputs-Proposals'!$C$17*'Inputs-Proposals'!$C$19*('Inputs-Proposals'!$C$20))*(VLOOKUP(CD$3,DRIPE!$A$54:$I$82,5,FALSE)+VLOOKUP(CD$3,DRIPE!$A$54:$I$82,9,FALSE))+ ('Inputs-System'!$C$26*'Coincidence Factors'!$B$8*(1+'Inputs-System'!$C$18)*(1+'Inputs-System'!$C$42))*'Inputs-Proposals'!$C$16*VLOOKUP(CD$3,DRIPE!$A$54:$I$82,8,FALSE), $C8 = "2",( 'Inputs-System'!$C$30*'Coincidence Factors'!$B$8*(1+'Inputs-System'!$C$18)*(1+'Inputs-System'!$C$41))*('Inputs-Proposals'!$C$23*'Inputs-Proposals'!$C$25*('Inputs-Proposals'!$C$26))*(VLOOKUP(CD$3,DRIPE!$A$54:$I$82,5,FALSE)+VLOOKUP(CD$3,DRIPE!$A$54:$I$82,9,FALSE))+  ('Inputs-System'!$C$26*'Coincidence Factors'!$B$8*(1+'Inputs-System'!$C$18)*(1+'Inputs-System'!$C$42))*'Inputs-Proposals'!$C$22*VLOOKUP(CD$3,DRIPE!$A$54:$I$82,8,FALSE), $C8= "3", ( 'Inputs-System'!$C$30*'Coincidence Factors'!$B$8*(1+'Inputs-System'!$C$18)*(1+'Inputs-System'!$C$41))*('Inputs-Proposals'!$C$29*'Inputs-Proposals'!$C$31*('Inputs-Proposals'!$C$32))*(VLOOKUP(CD$3,DRIPE!$A$54:$I$82,5,FALSE)+VLOOKUP(CD$3,DRIPE!$A$54:$I$82,9,FALSE))+  ('Inputs-System'!$C$26*'Coincidence Factors'!$B$8*(1+'Inputs-System'!$C$18)*(1+'Inputs-System'!$C$42))*'Inputs-Proposals'!$C$28*VLOOKUP(CD$3,DRIPE!$A$54:$I$82,8,FALSE), $C8 = "0", 0), 0)</f>
        <v>0</v>
      </c>
      <c r="CG8" s="45">
        <f>IFERROR(_xlfn.IFS($C8="1",('Inputs-System'!$C$30*'Coincidence Factors'!$B$8*(1+'Inputs-System'!$C$18))*'Inputs-Proposals'!$C$16*(VLOOKUP(CD$3,Capacity!$A$53:$E$85,4,FALSE)*(1+'Inputs-System'!$C$42)+VLOOKUP(CD$3,Capacity!$A$53:$E$85,5,FALSE)*'Inputs-System'!$C$29*(1+'Inputs-System'!$C$43)), $C8 = "2", ('Inputs-System'!$C$30*'Coincidence Factors'!$B$8*(1+'Inputs-System'!$C$18))*'Inputs-Proposals'!$C$22*(VLOOKUP(CD$3,Capacity!$A$53:$E$85,4,FALSE)*(1+'Inputs-System'!$C$42)+VLOOKUP(CD$3,Capacity!$A$53:$E$85,5,FALSE)*'Inputs-System'!$C$29*(1+'Inputs-System'!$C$43)), $C8 = "3",('Inputs-System'!$C$30*'Coincidence Factors'!$B$8*(1+'Inputs-System'!$C$18))*'Inputs-Proposals'!$C$28*(VLOOKUP(CD$3,Capacity!$A$53:$E$85,4,FALSE)*(1+'Inputs-System'!$C$42)+VLOOKUP(CD$3,Capacity!$A$53:$E$85,5,FALSE)*'Inputs-System'!$C$29*(1+'Inputs-System'!$C$43)), $C8 = "0", 0), 0)</f>
        <v>0</v>
      </c>
      <c r="CH8" s="44">
        <v>0</v>
      </c>
      <c r="CI8" s="342">
        <f>IFERROR(_xlfn.IFS($C8="1", 'Inputs-System'!$C$30*'Coincidence Factors'!$B$8*'Inputs-Proposals'!$C$17*'Inputs-Proposals'!$C$19*(VLOOKUP(CD$3,'Non-Embedded Emissions'!$A$56:$D$90,2,FALSE)+VLOOKUP(CD$3,'Non-Embedded Emissions'!$A$143:$D$174,2,FALSE)+VLOOKUP(CD$3,'Non-Embedded Emissions'!$A$230:$D$259,2,FALSE)), $C8 = "2", 'Inputs-System'!$C$30*'Coincidence Factors'!$B$8*'Inputs-Proposals'!$C$23*'Inputs-Proposals'!$C$25*(VLOOKUP(CD$3,'Non-Embedded Emissions'!$A$56:$D$90,2,FALSE)+VLOOKUP(CD$3,'Non-Embedded Emissions'!$A$143:$D$174,2,FALSE)+VLOOKUP(CD$3,'Non-Embedded Emissions'!$A$230:$D$259,2,FALSE)), $C8 = "3", 'Inputs-System'!$C$30*'Coincidence Factors'!$B$8*'Inputs-Proposals'!$C$29*'Inputs-Proposals'!$C$31*(VLOOKUP(CD$3,'Non-Embedded Emissions'!$A$56:$D$90,2,FALSE)+VLOOKUP(CD$3,'Non-Embedded Emissions'!$A$143:$D$174,2,FALSE)+VLOOKUP(CD$3,'Non-Embedded Emissions'!$A$230:$D$259,2,FALSE)), $C8 = "0", 0), 0)</f>
        <v>0</v>
      </c>
      <c r="CJ8" s="45">
        <f>IFERROR(_xlfn.IFS($C8="1",('Inputs-System'!$C$30*'Coincidence Factors'!$B$8*(1+'Inputs-System'!$C$18)*(1+'Inputs-System'!$C$41)*('Inputs-Proposals'!$C$17*'Inputs-Proposals'!$C$19*('Inputs-Proposals'!$C$20))*(VLOOKUP(CJ$3,Energy!$A$51:$K$83,5,FALSE))), $C8 = "2",('Inputs-System'!$C$30*'Coincidence Factors'!$B$8)*(1+'Inputs-System'!$C$18)*(1+'Inputs-System'!$C$41)*('Inputs-Proposals'!$C$23*'Inputs-Proposals'!$C$25*('Inputs-Proposals'!$C$26))*(VLOOKUP(CJ$3,Energy!$A$51:$K$83,5,FALSE)), $C8= "3", ('Inputs-System'!$C$30*'Coincidence Factors'!$B$8*(1+'Inputs-System'!$C$18)*(1+'Inputs-System'!$C$41)*('Inputs-Proposals'!$C$29*'Inputs-Proposals'!$C$31*('Inputs-Proposals'!$C$32))*(VLOOKUP(CJ$3,Energy!$A$51:$K$83,5,FALSE))), $C8= "0", 0), 0)</f>
        <v>0</v>
      </c>
      <c r="CK8" s="44">
        <f>IFERROR(_xlfn.IFS($C8="1",'Inputs-System'!$C$30*'Coincidence Factors'!$B$8*(1+'Inputs-System'!$C$18)*(1+'Inputs-System'!$C$41)*'Inputs-Proposals'!$C$17*'Inputs-Proposals'!$C$19*('Inputs-Proposals'!$C$20)*(VLOOKUP(CJ$3,'Embedded Emissions'!$A$47:$B$78,2,FALSE)+VLOOKUP(CJ$3,'Embedded Emissions'!$A$129:$B$158,2,FALSE)), $C8 = "2", 'Inputs-System'!$C$30*'Coincidence Factors'!$B$8*(1+'Inputs-System'!$C$18)*(1+'Inputs-System'!$C$41)*'Inputs-Proposals'!$C$23*'Inputs-Proposals'!$C$25*('Inputs-Proposals'!$C$20)*(VLOOKUP(CJ$3,'Embedded Emissions'!$A$47:$B$78,2,FALSE)+VLOOKUP(CJ$3,'Embedded Emissions'!$A$129:$B$158,2,FALSE)), $C8 = "3",'Inputs-System'!$C$30*'Coincidence Factors'!$B$8*(1+'Inputs-System'!$C$18)*(1+'Inputs-System'!$C$41)*'Inputs-Proposals'!$C$29*'Inputs-Proposals'!$C$31*('Inputs-Proposals'!$C$20)*(VLOOKUP(CJ$3,'Embedded Emissions'!$A$47:$B$78,2,FALSE)+VLOOKUP(CJ$3,'Embedded Emissions'!$A$129:$B$158,2,FALSE)), $C8 = "0", 0), 0)</f>
        <v>0</v>
      </c>
      <c r="CL8" s="44">
        <f>IFERROR(_xlfn.IFS($C8="1",( 'Inputs-System'!$C$30*'Coincidence Factors'!$B$8*(1+'Inputs-System'!$C$18)*(1+'Inputs-System'!$C$41))*('Inputs-Proposals'!$C$17*'Inputs-Proposals'!$C$19*('Inputs-Proposals'!$C$20))*(VLOOKUP(CJ$3,DRIPE!$A$54:$I$82,5,FALSE)+VLOOKUP(CJ$3,DRIPE!$A$54:$I$82,9,FALSE))+ ('Inputs-System'!$C$26*'Coincidence Factors'!$B$8*(1+'Inputs-System'!$C$18)*(1+'Inputs-System'!$C$42))*'Inputs-Proposals'!$C$16*VLOOKUP(CJ$3,DRIPE!$A$54:$I$82,8,FALSE), $C8 = "2",( 'Inputs-System'!$C$30*'Coincidence Factors'!$B$8*(1+'Inputs-System'!$C$18)*(1+'Inputs-System'!$C$41))*('Inputs-Proposals'!$C$23*'Inputs-Proposals'!$C$25*('Inputs-Proposals'!$C$26))*(VLOOKUP(CJ$3,DRIPE!$A$54:$I$82,5,FALSE)+VLOOKUP(CJ$3,DRIPE!$A$54:$I$82,9,FALSE))+  ('Inputs-System'!$C$26*'Coincidence Factors'!$B$8*(1+'Inputs-System'!$C$18)*(1+'Inputs-System'!$C$42))*'Inputs-Proposals'!$C$22*VLOOKUP(CJ$3,DRIPE!$A$54:$I$82,8,FALSE), $C8= "3", ( 'Inputs-System'!$C$30*'Coincidence Factors'!$B$8*(1+'Inputs-System'!$C$18)*(1+'Inputs-System'!$C$41))*('Inputs-Proposals'!$C$29*'Inputs-Proposals'!$C$31*('Inputs-Proposals'!$C$32))*(VLOOKUP(CJ$3,DRIPE!$A$54:$I$82,5,FALSE)+VLOOKUP(CJ$3,DRIPE!$A$54:$I$82,9,FALSE))+  ('Inputs-System'!$C$26*'Coincidence Factors'!$B$8*(1+'Inputs-System'!$C$18)*(1+'Inputs-System'!$C$42))*'Inputs-Proposals'!$C$28*VLOOKUP(CJ$3,DRIPE!$A$54:$I$82,8,FALSE), $C8 = "0", 0), 0)</f>
        <v>0</v>
      </c>
      <c r="CM8" s="45">
        <f>IFERROR(_xlfn.IFS($C8="1",('Inputs-System'!$C$30*'Coincidence Factors'!$B$8*(1+'Inputs-System'!$C$18))*'Inputs-Proposals'!$C$16*(VLOOKUP(CJ$3,Capacity!$A$53:$E$85,4,FALSE)*(1+'Inputs-System'!$C$42)+VLOOKUP(CJ$3,Capacity!$A$53:$E$85,5,FALSE)*'Inputs-System'!$C$29*(1+'Inputs-System'!$C$43)), $C8 = "2", ('Inputs-System'!$C$30*'Coincidence Factors'!$B$8*(1+'Inputs-System'!$C$18))*'Inputs-Proposals'!$C$22*(VLOOKUP(CJ$3,Capacity!$A$53:$E$85,4,FALSE)*(1+'Inputs-System'!$C$42)+VLOOKUP(CJ$3,Capacity!$A$53:$E$85,5,FALSE)*'Inputs-System'!$C$29*(1+'Inputs-System'!$C$43)), $C8 = "3",('Inputs-System'!$C$30*'Coincidence Factors'!$B$8*(1+'Inputs-System'!$C$18))*'Inputs-Proposals'!$C$28*(VLOOKUP(CJ$3,Capacity!$A$53:$E$85,4,FALSE)*(1+'Inputs-System'!$C$42)+VLOOKUP(CJ$3,Capacity!$A$53:$E$85,5,FALSE)*'Inputs-System'!$C$29*(1+'Inputs-System'!$C$43)), $C8 = "0", 0), 0)</f>
        <v>0</v>
      </c>
      <c r="CN8" s="44">
        <v>0</v>
      </c>
      <c r="CO8" s="342">
        <f>IFERROR(_xlfn.IFS($C8="1", 'Inputs-System'!$C$30*'Coincidence Factors'!$B$8*'Inputs-Proposals'!$C$17*'Inputs-Proposals'!$C$19*(VLOOKUP(CJ$3,'Non-Embedded Emissions'!$A$56:$D$90,2,FALSE)+VLOOKUP(CJ$3,'Non-Embedded Emissions'!$A$143:$D$174,2,FALSE)+VLOOKUP(CJ$3,'Non-Embedded Emissions'!$A$230:$D$259,2,FALSE)), $C8 = "2", 'Inputs-System'!$C$30*'Coincidence Factors'!$B$8*'Inputs-Proposals'!$C$23*'Inputs-Proposals'!$C$25*(VLOOKUP(CJ$3,'Non-Embedded Emissions'!$A$56:$D$90,2,FALSE)+VLOOKUP(CJ$3,'Non-Embedded Emissions'!$A$143:$D$174,2,FALSE)+VLOOKUP(CJ$3,'Non-Embedded Emissions'!$A$230:$D$259,2,FALSE)), $C8 = "3", 'Inputs-System'!$C$30*'Coincidence Factors'!$B$8*'Inputs-Proposals'!$C$29*'Inputs-Proposals'!$C$31*(VLOOKUP(CJ$3,'Non-Embedded Emissions'!$A$56:$D$90,2,FALSE)+VLOOKUP(CJ$3,'Non-Embedded Emissions'!$A$143:$D$174,2,FALSE)+VLOOKUP(CJ$3,'Non-Embedded Emissions'!$A$230:$D$259,2,FALSE)), $C8 = "0", 0), 0)</f>
        <v>0</v>
      </c>
      <c r="CP8" s="45">
        <f>IFERROR(_xlfn.IFS($C8="1",('Inputs-System'!$C$30*'Coincidence Factors'!$B$8*(1+'Inputs-System'!$C$18)*(1+'Inputs-System'!$C$41)*('Inputs-Proposals'!$C$17*'Inputs-Proposals'!$C$19*('Inputs-Proposals'!$C$20))*(VLOOKUP(CP$3,Energy!$A$51:$K$83,5,FALSE))), $C8 = "2",('Inputs-System'!$C$30*'Coincidence Factors'!$B$8)*(1+'Inputs-System'!$C$18)*(1+'Inputs-System'!$C$41)*('Inputs-Proposals'!$C$23*'Inputs-Proposals'!$C$25*('Inputs-Proposals'!$C$26))*(VLOOKUP(CP$3,Energy!$A$51:$K$83,5,FALSE)), $C8= "3", ('Inputs-System'!$C$30*'Coincidence Factors'!$B$8*(1+'Inputs-System'!$C$18)*(1+'Inputs-System'!$C$41)*('Inputs-Proposals'!$C$29*'Inputs-Proposals'!$C$31*('Inputs-Proposals'!$C$32))*(VLOOKUP(CP$3,Energy!$A$51:$K$83,5,FALSE))), $C8= "0", 0), 0)</f>
        <v>0</v>
      </c>
      <c r="CQ8" s="44">
        <f>IFERROR(_xlfn.IFS($C8="1",'Inputs-System'!$C$30*'Coincidence Factors'!$B$8*(1+'Inputs-System'!$C$18)*(1+'Inputs-System'!$C$41)*'Inputs-Proposals'!$C$17*'Inputs-Proposals'!$C$19*('Inputs-Proposals'!$C$20)*(VLOOKUP(CP$3,'Embedded Emissions'!$A$47:$B$78,2,FALSE)+VLOOKUP(CP$3,'Embedded Emissions'!$A$129:$B$158,2,FALSE)), $C8 = "2", 'Inputs-System'!$C$30*'Coincidence Factors'!$B$8*(1+'Inputs-System'!$C$18)*(1+'Inputs-System'!$C$41)*'Inputs-Proposals'!$C$23*'Inputs-Proposals'!$C$25*('Inputs-Proposals'!$C$20)*(VLOOKUP(CP$3,'Embedded Emissions'!$A$47:$B$78,2,FALSE)+VLOOKUP(CP$3,'Embedded Emissions'!$A$129:$B$158,2,FALSE)), $C8 = "3",'Inputs-System'!$C$30*'Coincidence Factors'!$B$8*(1+'Inputs-System'!$C$18)*(1+'Inputs-System'!$C$41)*'Inputs-Proposals'!$C$29*'Inputs-Proposals'!$C$31*('Inputs-Proposals'!$C$20)*(VLOOKUP(CP$3,'Embedded Emissions'!$A$47:$B$78,2,FALSE)+VLOOKUP(CP$3,'Embedded Emissions'!$A$129:$B$158,2,FALSE)), $C8 = "0", 0), 0)</f>
        <v>0</v>
      </c>
      <c r="CR8" s="44">
        <f>IFERROR(_xlfn.IFS($C8="1",( 'Inputs-System'!$C$30*'Coincidence Factors'!$B$8*(1+'Inputs-System'!$C$18)*(1+'Inputs-System'!$C$41))*('Inputs-Proposals'!$C$17*'Inputs-Proposals'!$C$19*('Inputs-Proposals'!$C$20))*(VLOOKUP(CP$3,DRIPE!$A$54:$I$82,5,FALSE)+VLOOKUP(CP$3,DRIPE!$A$54:$I$82,9,FALSE))+ ('Inputs-System'!$C$26*'Coincidence Factors'!$B$8*(1+'Inputs-System'!$C$18)*(1+'Inputs-System'!$C$42))*'Inputs-Proposals'!$C$16*VLOOKUP(CP$3,DRIPE!$A$54:$I$82,8,FALSE), $C8 = "2",( 'Inputs-System'!$C$30*'Coincidence Factors'!$B$8*(1+'Inputs-System'!$C$18)*(1+'Inputs-System'!$C$41))*('Inputs-Proposals'!$C$23*'Inputs-Proposals'!$C$25*('Inputs-Proposals'!$C$26))*(VLOOKUP(CP$3,DRIPE!$A$54:$I$82,5,FALSE)+VLOOKUP(CP$3,DRIPE!$A$54:$I$82,9,FALSE))+  ('Inputs-System'!$C$26*'Coincidence Factors'!$B$8*(1+'Inputs-System'!$C$18)*(1+'Inputs-System'!$C$42))*'Inputs-Proposals'!$C$22*VLOOKUP(CP$3,DRIPE!$A$54:$I$82,8,FALSE), $C8= "3", ( 'Inputs-System'!$C$30*'Coincidence Factors'!$B$8*(1+'Inputs-System'!$C$18)*(1+'Inputs-System'!$C$41))*('Inputs-Proposals'!$C$29*'Inputs-Proposals'!$C$31*('Inputs-Proposals'!$C$32))*(VLOOKUP(CP$3,DRIPE!$A$54:$I$82,5,FALSE)+VLOOKUP(CP$3,DRIPE!$A$54:$I$82,9,FALSE))+  ('Inputs-System'!$C$26*'Coincidence Factors'!$B$8*(1+'Inputs-System'!$C$18)*(1+'Inputs-System'!$C$42))*'Inputs-Proposals'!$C$28*VLOOKUP(CP$3,DRIPE!$A$54:$I$82,8,FALSE), $C8 = "0", 0), 0)</f>
        <v>0</v>
      </c>
      <c r="CS8" s="45">
        <f>IFERROR(_xlfn.IFS($C8="1",('Inputs-System'!$C$30*'Coincidence Factors'!$B$8*(1+'Inputs-System'!$C$18))*'Inputs-Proposals'!$C$16*(VLOOKUP(CP$3,Capacity!$A$53:$E$85,4,FALSE)*(1+'Inputs-System'!$C$42)+VLOOKUP(CP$3,Capacity!$A$53:$E$85,5,FALSE)*'Inputs-System'!$C$29*(1+'Inputs-System'!$C$43)), $C8 = "2", ('Inputs-System'!$C$30*'Coincidence Factors'!$B$8*(1+'Inputs-System'!$C$18))*'Inputs-Proposals'!$C$22*(VLOOKUP(CP$3,Capacity!$A$53:$E$85,4,FALSE)*(1+'Inputs-System'!$C$42)+VLOOKUP(CP$3,Capacity!$A$53:$E$85,5,FALSE)*'Inputs-System'!$C$29*(1+'Inputs-System'!$C$43)), $C8 = "3",('Inputs-System'!$C$30*'Coincidence Factors'!$B$8*(1+'Inputs-System'!$C$18))*'Inputs-Proposals'!$C$28*(VLOOKUP(CP$3,Capacity!$A$53:$E$85,4,FALSE)*(1+'Inputs-System'!$C$42)+VLOOKUP(CP$3,Capacity!$A$53:$E$85,5,FALSE)*'Inputs-System'!$C$29*(1+'Inputs-System'!$C$43)), $C8 = "0", 0), 0)</f>
        <v>0</v>
      </c>
      <c r="CT8" s="44">
        <v>0</v>
      </c>
      <c r="CU8" s="342">
        <f>IFERROR(_xlfn.IFS($C8="1", 'Inputs-System'!$C$30*'Coincidence Factors'!$B$8*'Inputs-Proposals'!$C$17*'Inputs-Proposals'!$C$19*(VLOOKUP(CP$3,'Non-Embedded Emissions'!$A$56:$D$90,2,FALSE)+VLOOKUP(CP$3,'Non-Embedded Emissions'!$A$143:$D$174,2,FALSE)+VLOOKUP(CP$3,'Non-Embedded Emissions'!$A$230:$D$259,2,FALSE)), $C8 = "2", 'Inputs-System'!$C$30*'Coincidence Factors'!$B$8*'Inputs-Proposals'!$C$23*'Inputs-Proposals'!$C$25*(VLOOKUP(CP$3,'Non-Embedded Emissions'!$A$56:$D$90,2,FALSE)+VLOOKUP(CP$3,'Non-Embedded Emissions'!$A$143:$D$174,2,FALSE)+VLOOKUP(CP$3,'Non-Embedded Emissions'!$A$230:$D$259,2,FALSE)), $C8 = "3", 'Inputs-System'!$C$30*'Coincidence Factors'!$B$8*'Inputs-Proposals'!$C$29*'Inputs-Proposals'!$C$31*(VLOOKUP(CP$3,'Non-Embedded Emissions'!$A$56:$D$90,2,FALSE)+VLOOKUP(CP$3,'Non-Embedded Emissions'!$A$143:$D$174,2,FALSE)+VLOOKUP(CP$3,'Non-Embedded Emissions'!$A$230:$D$259,2,FALSE)), $C8 = "0", 0), 0)</f>
        <v>0</v>
      </c>
      <c r="CV8" s="45">
        <f>IFERROR(_xlfn.IFS($C8="1",('Inputs-System'!$C$30*'Coincidence Factors'!$B$8*(1+'Inputs-System'!$C$18)*(1+'Inputs-System'!$C$41)*('Inputs-Proposals'!$C$17*'Inputs-Proposals'!$C$19*('Inputs-Proposals'!$C$20))*(VLOOKUP(CV$3,Energy!$A$51:$K$83,5,FALSE))), $C8 = "2",('Inputs-System'!$C$30*'Coincidence Factors'!$B$8)*(1+'Inputs-System'!$C$18)*(1+'Inputs-System'!$C$41)*('Inputs-Proposals'!$C$23*'Inputs-Proposals'!$C$25*('Inputs-Proposals'!$C$26))*(VLOOKUP(CV$3,Energy!$A$51:$K$83,5,FALSE)), $C8= "3", ('Inputs-System'!$C$30*'Coincidence Factors'!$B$8*(1+'Inputs-System'!$C$18)*(1+'Inputs-System'!$C$41)*('Inputs-Proposals'!$C$29*'Inputs-Proposals'!$C$31*('Inputs-Proposals'!$C$32))*(VLOOKUP(CV$3,Energy!$A$51:$K$83,5,FALSE))), $C8= "0", 0), 0)</f>
        <v>0</v>
      </c>
      <c r="CW8" s="44">
        <f>IFERROR(_xlfn.IFS($C8="1",'Inputs-System'!$C$30*'Coincidence Factors'!$B$8*(1+'Inputs-System'!$C$18)*(1+'Inputs-System'!$C$41)*'Inputs-Proposals'!$C$17*'Inputs-Proposals'!$C$19*('Inputs-Proposals'!$C$20)*(VLOOKUP(CV$3,'Embedded Emissions'!$A$47:$B$78,2,FALSE)+VLOOKUP(CV$3,'Embedded Emissions'!$A$129:$B$158,2,FALSE)), $C8 = "2", 'Inputs-System'!$C$30*'Coincidence Factors'!$B$8*(1+'Inputs-System'!$C$18)*(1+'Inputs-System'!$C$41)*'Inputs-Proposals'!$C$23*'Inputs-Proposals'!$C$25*('Inputs-Proposals'!$C$20)*(VLOOKUP(CV$3,'Embedded Emissions'!$A$47:$B$78,2,FALSE)+VLOOKUP(CV$3,'Embedded Emissions'!$A$129:$B$158,2,FALSE)), $C8 = "3",'Inputs-System'!$C$30*'Coincidence Factors'!$B$8*(1+'Inputs-System'!$C$18)*(1+'Inputs-System'!$C$41)*'Inputs-Proposals'!$C$29*'Inputs-Proposals'!$C$31*('Inputs-Proposals'!$C$20)*(VLOOKUP(CV$3,'Embedded Emissions'!$A$47:$B$78,2,FALSE)+VLOOKUP(CV$3,'Embedded Emissions'!$A$129:$B$158,2,FALSE)), $C8 = "0", 0), 0)</f>
        <v>0</v>
      </c>
      <c r="CX8" s="44">
        <f>IFERROR(_xlfn.IFS($C8="1",( 'Inputs-System'!$C$30*'Coincidence Factors'!$B$8*(1+'Inputs-System'!$C$18)*(1+'Inputs-System'!$C$41))*('Inputs-Proposals'!$C$17*'Inputs-Proposals'!$C$19*('Inputs-Proposals'!$C$20))*(VLOOKUP(CV$3,DRIPE!$A$54:$I$82,5,FALSE)+VLOOKUP(CV$3,DRIPE!$A$54:$I$82,9,FALSE))+ ('Inputs-System'!$C$26*'Coincidence Factors'!$B$8*(1+'Inputs-System'!$C$18)*(1+'Inputs-System'!$C$42))*'Inputs-Proposals'!$C$16*VLOOKUP(CV$3,DRIPE!$A$54:$I$82,8,FALSE), $C8 = "2",( 'Inputs-System'!$C$30*'Coincidence Factors'!$B$8*(1+'Inputs-System'!$C$18)*(1+'Inputs-System'!$C$41))*('Inputs-Proposals'!$C$23*'Inputs-Proposals'!$C$25*('Inputs-Proposals'!$C$26))*(VLOOKUP(CV$3,DRIPE!$A$54:$I$82,5,FALSE)+VLOOKUP(CV$3,DRIPE!$A$54:$I$82,9,FALSE))+  ('Inputs-System'!$C$26*'Coincidence Factors'!$B$8*(1+'Inputs-System'!$C$18)*(1+'Inputs-System'!$C$42))*'Inputs-Proposals'!$C$22*VLOOKUP(CV$3,DRIPE!$A$54:$I$82,8,FALSE), $C8= "3", ( 'Inputs-System'!$C$30*'Coincidence Factors'!$B$8*(1+'Inputs-System'!$C$18)*(1+'Inputs-System'!$C$41))*('Inputs-Proposals'!$C$29*'Inputs-Proposals'!$C$31*('Inputs-Proposals'!$C$32))*(VLOOKUP(CV$3,DRIPE!$A$54:$I$82,5,FALSE)+VLOOKUP(CV$3,DRIPE!$A$54:$I$82,9,FALSE))+  ('Inputs-System'!$C$26*'Coincidence Factors'!$B$8*(1+'Inputs-System'!$C$18)*(1+'Inputs-System'!$C$42))*'Inputs-Proposals'!$C$28*VLOOKUP(CV$3,DRIPE!$A$54:$I$82,8,FALSE), $C8 = "0", 0), 0)</f>
        <v>0</v>
      </c>
      <c r="CY8" s="45">
        <f>IFERROR(_xlfn.IFS($C8="1",('Inputs-System'!$C$30*'Coincidence Factors'!$B$8*(1+'Inputs-System'!$C$18))*'Inputs-Proposals'!$C$16*(VLOOKUP(CV$3,Capacity!$A$53:$E$85,4,FALSE)*(1+'Inputs-System'!$C$42)+VLOOKUP(CV$3,Capacity!$A$53:$E$85,5,FALSE)*'Inputs-System'!$C$29*(1+'Inputs-System'!$C$43)), $C8 = "2", ('Inputs-System'!$C$30*'Coincidence Factors'!$B$8*(1+'Inputs-System'!$C$18))*'Inputs-Proposals'!$C$22*(VLOOKUP(CV$3,Capacity!$A$53:$E$85,4,FALSE)*(1+'Inputs-System'!$C$42)+VLOOKUP(CV$3,Capacity!$A$53:$E$85,5,FALSE)*'Inputs-System'!$C$29*(1+'Inputs-System'!$C$43)), $C8 = "3",('Inputs-System'!$C$30*'Coincidence Factors'!$B$8*(1+'Inputs-System'!$C$18))*'Inputs-Proposals'!$C$28*(VLOOKUP(CV$3,Capacity!$A$53:$E$85,4,FALSE)*(1+'Inputs-System'!$C$42)+VLOOKUP(CV$3,Capacity!$A$53:$E$85,5,FALSE)*'Inputs-System'!$C$29*(1+'Inputs-System'!$C$43)), $C8 = "0", 0), 0)</f>
        <v>0</v>
      </c>
      <c r="CZ8" s="44">
        <v>0</v>
      </c>
      <c r="DA8" s="342">
        <f>IFERROR(_xlfn.IFS($C8="1", 'Inputs-System'!$C$30*'Coincidence Factors'!$B$8*'Inputs-Proposals'!$C$17*'Inputs-Proposals'!$C$19*(VLOOKUP(CV$3,'Non-Embedded Emissions'!$A$56:$D$90,2,FALSE)+VLOOKUP(CV$3,'Non-Embedded Emissions'!$A$143:$D$174,2,FALSE)+VLOOKUP(CV$3,'Non-Embedded Emissions'!$A$230:$D$259,2,FALSE)), $C8 = "2", 'Inputs-System'!$C$30*'Coincidence Factors'!$B$8*'Inputs-Proposals'!$C$23*'Inputs-Proposals'!$C$25*(VLOOKUP(CV$3,'Non-Embedded Emissions'!$A$56:$D$90,2,FALSE)+VLOOKUP(CV$3,'Non-Embedded Emissions'!$A$143:$D$174,2,FALSE)+VLOOKUP(CV$3,'Non-Embedded Emissions'!$A$230:$D$259,2,FALSE)), $C8 = "3", 'Inputs-System'!$C$30*'Coincidence Factors'!$B$8*'Inputs-Proposals'!$C$29*'Inputs-Proposals'!$C$31*(VLOOKUP(CV$3,'Non-Embedded Emissions'!$A$56:$D$90,2,FALSE)+VLOOKUP(CV$3,'Non-Embedded Emissions'!$A$143:$D$174,2,FALSE)+VLOOKUP(CV$3,'Non-Embedded Emissions'!$A$230:$D$259,2,FALSE)), $C8 = "0", 0), 0)</f>
        <v>0</v>
      </c>
      <c r="DB8" s="45">
        <f>IFERROR(_xlfn.IFS($C8="1",('Inputs-System'!$C$30*'Coincidence Factors'!$B$8*(1+'Inputs-System'!$C$18)*(1+'Inputs-System'!$C$41)*('Inputs-Proposals'!$C$17*'Inputs-Proposals'!$C$19*('Inputs-Proposals'!$C$20))*(VLOOKUP(DB$3,Energy!$A$51:$K$83,5,FALSE))), $C8 = "2",('Inputs-System'!$C$30*'Coincidence Factors'!$B$8)*(1+'Inputs-System'!$C$18)*(1+'Inputs-System'!$C$41)*('Inputs-Proposals'!$C$23*'Inputs-Proposals'!$C$25*('Inputs-Proposals'!$C$26))*(VLOOKUP(DB$3,Energy!$A$51:$K$83,5,FALSE)), $C8= "3", ('Inputs-System'!$C$30*'Coincidence Factors'!$B$8*(1+'Inputs-System'!$C$18)*(1+'Inputs-System'!$C$41)*('Inputs-Proposals'!$C$29*'Inputs-Proposals'!$C$31*('Inputs-Proposals'!$C$32))*(VLOOKUP(DB$3,Energy!$A$51:$K$83,5,FALSE))), $C8= "0", 0), 0)</f>
        <v>0</v>
      </c>
      <c r="DC8" s="44">
        <f>IFERROR(_xlfn.IFS($C8="1",'Inputs-System'!$C$30*'Coincidence Factors'!$B$8*(1+'Inputs-System'!$C$18)*(1+'Inputs-System'!$C$41)*'Inputs-Proposals'!$C$17*'Inputs-Proposals'!$C$19*('Inputs-Proposals'!$C$20)*(VLOOKUP(DB$3,'Embedded Emissions'!$A$47:$B$78,2,FALSE)+VLOOKUP(DB$3,'Embedded Emissions'!$A$129:$B$158,2,FALSE)), $C8 = "2", 'Inputs-System'!$C$30*'Coincidence Factors'!$B$8*(1+'Inputs-System'!$C$18)*(1+'Inputs-System'!$C$41)*'Inputs-Proposals'!$C$23*'Inputs-Proposals'!$C$25*('Inputs-Proposals'!$C$20)*(VLOOKUP(DB$3,'Embedded Emissions'!$A$47:$B$78,2,FALSE)+VLOOKUP(DB$3,'Embedded Emissions'!$A$129:$B$158,2,FALSE)), $C8 = "3",'Inputs-System'!$C$30*'Coincidence Factors'!$B$8*(1+'Inputs-System'!$C$18)*(1+'Inputs-System'!$C$41)*'Inputs-Proposals'!$C$29*'Inputs-Proposals'!$C$31*('Inputs-Proposals'!$C$20)*(VLOOKUP(DB$3,'Embedded Emissions'!$A$47:$B$78,2,FALSE)+VLOOKUP(DB$3,'Embedded Emissions'!$A$129:$B$158,2,FALSE)), $C8 = "0", 0), 0)</f>
        <v>0</v>
      </c>
      <c r="DD8" s="44">
        <f>IFERROR(_xlfn.IFS($C8="1",( 'Inputs-System'!$C$30*'Coincidence Factors'!$B$8*(1+'Inputs-System'!$C$18)*(1+'Inputs-System'!$C$41))*('Inputs-Proposals'!$C$17*'Inputs-Proposals'!$C$19*('Inputs-Proposals'!$C$20))*(VLOOKUP(DB$3,DRIPE!$A$54:$I$82,5,FALSE)+VLOOKUP(DB$3,DRIPE!$A$54:$I$82,9,FALSE))+ ('Inputs-System'!$C$26*'Coincidence Factors'!$B$8*(1+'Inputs-System'!$C$18)*(1+'Inputs-System'!$C$42))*'Inputs-Proposals'!$C$16*VLOOKUP(DB$3,DRIPE!$A$54:$I$82,8,FALSE), $C8 = "2",( 'Inputs-System'!$C$30*'Coincidence Factors'!$B$8*(1+'Inputs-System'!$C$18)*(1+'Inputs-System'!$C$41))*('Inputs-Proposals'!$C$23*'Inputs-Proposals'!$C$25*('Inputs-Proposals'!$C$26))*(VLOOKUP(DB$3,DRIPE!$A$54:$I$82,5,FALSE)+VLOOKUP(DB$3,DRIPE!$A$54:$I$82,9,FALSE))+  ('Inputs-System'!$C$26*'Coincidence Factors'!$B$8*(1+'Inputs-System'!$C$18)*(1+'Inputs-System'!$C$42))*'Inputs-Proposals'!$C$22*VLOOKUP(DB$3,DRIPE!$A$54:$I$82,8,FALSE), $C8= "3", ( 'Inputs-System'!$C$30*'Coincidence Factors'!$B$8*(1+'Inputs-System'!$C$18)*(1+'Inputs-System'!$C$41))*('Inputs-Proposals'!$C$29*'Inputs-Proposals'!$C$31*('Inputs-Proposals'!$C$32))*(VLOOKUP(DB$3,DRIPE!$A$54:$I$82,5,FALSE)+VLOOKUP(DB$3,DRIPE!$A$54:$I$82,9,FALSE))+  ('Inputs-System'!$C$26*'Coincidence Factors'!$B$8*(1+'Inputs-System'!$C$18)*(1+'Inputs-System'!$C$42))*'Inputs-Proposals'!$C$28*VLOOKUP(DB$3,DRIPE!$A$54:$I$82,8,FALSE), $C8 = "0", 0), 0)</f>
        <v>0</v>
      </c>
      <c r="DE8" s="45">
        <f>IFERROR(_xlfn.IFS($C8="1",('Inputs-System'!$C$30*'Coincidence Factors'!$B$8*(1+'Inputs-System'!$C$18))*'Inputs-Proposals'!$C$16*(VLOOKUP(DB$3,Capacity!$A$53:$E$85,4,FALSE)*(1+'Inputs-System'!$C$42)+VLOOKUP(DB$3,Capacity!$A$53:$E$85,5,FALSE)*'Inputs-System'!$C$29*(1+'Inputs-System'!$C$43)), $C8 = "2", ('Inputs-System'!$C$30*'Coincidence Factors'!$B$8*(1+'Inputs-System'!$C$18))*'Inputs-Proposals'!$C$22*(VLOOKUP(DB$3,Capacity!$A$53:$E$85,4,FALSE)*(1+'Inputs-System'!$C$42)+VLOOKUP(DB$3,Capacity!$A$53:$E$85,5,FALSE)*'Inputs-System'!$C$29*(1+'Inputs-System'!$C$43)), $C8 = "3",('Inputs-System'!$C$30*'Coincidence Factors'!$B$8*(1+'Inputs-System'!$C$18))*'Inputs-Proposals'!$C$28*(VLOOKUP(DB$3,Capacity!$A$53:$E$85,4,FALSE)*(1+'Inputs-System'!$C$42)+VLOOKUP(DB$3,Capacity!$A$53:$E$85,5,FALSE)*'Inputs-System'!$C$29*(1+'Inputs-System'!$C$43)), $C8 = "0", 0), 0)</f>
        <v>0</v>
      </c>
      <c r="DF8" s="44">
        <v>0</v>
      </c>
      <c r="DG8" s="342">
        <f>IFERROR(_xlfn.IFS($C8="1", 'Inputs-System'!$C$30*'Coincidence Factors'!$B$8*'Inputs-Proposals'!$C$17*'Inputs-Proposals'!$C$19*(VLOOKUP(DB$3,'Non-Embedded Emissions'!$A$56:$D$90,2,FALSE)+VLOOKUP(DB$3,'Non-Embedded Emissions'!$A$143:$D$174,2,FALSE)+VLOOKUP(DB$3,'Non-Embedded Emissions'!$A$230:$D$259,2,FALSE)), $C8 = "2", 'Inputs-System'!$C$30*'Coincidence Factors'!$B$8*'Inputs-Proposals'!$C$23*'Inputs-Proposals'!$C$25*(VLOOKUP(DB$3,'Non-Embedded Emissions'!$A$56:$D$90,2,FALSE)+VLOOKUP(DB$3,'Non-Embedded Emissions'!$A$143:$D$174,2,FALSE)+VLOOKUP(DB$3,'Non-Embedded Emissions'!$A$230:$D$259,2,FALSE)), $C8 = "3", 'Inputs-System'!$C$30*'Coincidence Factors'!$B$8*'Inputs-Proposals'!$C$29*'Inputs-Proposals'!$C$31*(VLOOKUP(DB$3,'Non-Embedded Emissions'!$A$56:$D$90,2,FALSE)+VLOOKUP(DB$3,'Non-Embedded Emissions'!$A$143:$D$174,2,FALSE)+VLOOKUP(DB$3,'Non-Embedded Emissions'!$A$230:$D$259,2,FALSE)), $C8 = "0", 0), 0)</f>
        <v>0</v>
      </c>
      <c r="DH8" s="45">
        <f>IFERROR(_xlfn.IFS($C8="1",('Inputs-System'!$C$30*'Coincidence Factors'!$B$8*(1+'Inputs-System'!$C$18)*(1+'Inputs-System'!$C$41)*('Inputs-Proposals'!$C$17*'Inputs-Proposals'!$C$19*('Inputs-Proposals'!$C$20))*(VLOOKUP(DH$3,Energy!$A$51:$K$83,5,FALSE))), $C8 = "2",('Inputs-System'!$C$30*'Coincidence Factors'!$B$8)*(1+'Inputs-System'!$C$18)*(1+'Inputs-System'!$C$41)*('Inputs-Proposals'!$C$23*'Inputs-Proposals'!$C$25*('Inputs-Proposals'!$C$26))*(VLOOKUP(DH$3,Energy!$A$51:$K$83,5,FALSE)), $C8= "3", ('Inputs-System'!$C$30*'Coincidence Factors'!$B$8*(1+'Inputs-System'!$C$18)*(1+'Inputs-System'!$C$41)*('Inputs-Proposals'!$C$29*'Inputs-Proposals'!$C$31*('Inputs-Proposals'!$C$32))*(VLOOKUP(DH$3,Energy!$A$51:$K$83,5,FALSE))), $C8= "0", 0), 0)</f>
        <v>0</v>
      </c>
      <c r="DI8" s="44">
        <f>IFERROR(_xlfn.IFS($C8="1",'Inputs-System'!$C$30*'Coincidence Factors'!$B$8*(1+'Inputs-System'!$C$18)*(1+'Inputs-System'!$C$41)*'Inputs-Proposals'!$C$17*'Inputs-Proposals'!$C$19*('Inputs-Proposals'!$C$20)*(VLOOKUP(DH$3,'Embedded Emissions'!$A$47:$B$78,2,FALSE)+VLOOKUP(DH$3,'Embedded Emissions'!$A$129:$B$158,2,FALSE)), $C8 = "2", 'Inputs-System'!$C$30*'Coincidence Factors'!$B$8*(1+'Inputs-System'!$C$18)*(1+'Inputs-System'!$C$41)*'Inputs-Proposals'!$C$23*'Inputs-Proposals'!$C$25*('Inputs-Proposals'!$C$20)*(VLOOKUP(DH$3,'Embedded Emissions'!$A$47:$B$78,2,FALSE)+VLOOKUP(DH$3,'Embedded Emissions'!$A$129:$B$158,2,FALSE)), $C8 = "3",'Inputs-System'!$C$30*'Coincidence Factors'!$B$8*(1+'Inputs-System'!$C$18)*(1+'Inputs-System'!$C$41)*'Inputs-Proposals'!$C$29*'Inputs-Proposals'!$C$31*('Inputs-Proposals'!$C$20)*(VLOOKUP(DH$3,'Embedded Emissions'!$A$47:$B$78,2,FALSE)+VLOOKUP(DH$3,'Embedded Emissions'!$A$129:$B$158,2,FALSE)), $C8 = "0", 0), 0)</f>
        <v>0</v>
      </c>
      <c r="DJ8" s="44">
        <f>IFERROR(_xlfn.IFS($C8="1",( 'Inputs-System'!$C$30*'Coincidence Factors'!$B$8*(1+'Inputs-System'!$C$18)*(1+'Inputs-System'!$C$41))*('Inputs-Proposals'!$C$17*'Inputs-Proposals'!$C$19*('Inputs-Proposals'!$C$20))*(VLOOKUP(DH$3,DRIPE!$A$54:$I$82,5,FALSE)+VLOOKUP(DH$3,DRIPE!$A$54:$I$82,9,FALSE))+ ('Inputs-System'!$C$26*'Coincidence Factors'!$B$8*(1+'Inputs-System'!$C$18)*(1+'Inputs-System'!$C$42))*'Inputs-Proposals'!$C$16*VLOOKUP(DH$3,DRIPE!$A$54:$I$82,8,FALSE), $C8 = "2",( 'Inputs-System'!$C$30*'Coincidence Factors'!$B$8*(1+'Inputs-System'!$C$18)*(1+'Inputs-System'!$C$41))*('Inputs-Proposals'!$C$23*'Inputs-Proposals'!$C$25*('Inputs-Proposals'!$C$26))*(VLOOKUP(DH$3,DRIPE!$A$54:$I$82,5,FALSE)+VLOOKUP(DH$3,DRIPE!$A$54:$I$82,9,FALSE))+  ('Inputs-System'!$C$26*'Coincidence Factors'!$B$8*(1+'Inputs-System'!$C$18)*(1+'Inputs-System'!$C$42))*'Inputs-Proposals'!$C$22*VLOOKUP(DH$3,DRIPE!$A$54:$I$82,8,FALSE), $C8= "3", ( 'Inputs-System'!$C$30*'Coincidence Factors'!$B$8*(1+'Inputs-System'!$C$18)*(1+'Inputs-System'!$C$41))*('Inputs-Proposals'!$C$29*'Inputs-Proposals'!$C$31*('Inputs-Proposals'!$C$32))*(VLOOKUP(DH$3,DRIPE!$A$54:$I$82,5,FALSE)+VLOOKUP(DH$3,DRIPE!$A$54:$I$82,9,FALSE))+  ('Inputs-System'!$C$26*'Coincidence Factors'!$B$8*(1+'Inputs-System'!$C$18)*(1+'Inputs-System'!$C$42))*'Inputs-Proposals'!$C$28*VLOOKUP(DH$3,DRIPE!$A$54:$I$82,8,FALSE), $C8 = "0", 0), 0)</f>
        <v>0</v>
      </c>
      <c r="DK8" s="45">
        <f>IFERROR(_xlfn.IFS($C8="1",('Inputs-System'!$C$30*'Coincidence Factors'!$B$8*(1+'Inputs-System'!$C$18))*'Inputs-Proposals'!$C$16*(VLOOKUP(DH$3,Capacity!$A$53:$E$85,4,FALSE)*(1+'Inputs-System'!$C$42)+VLOOKUP(DH$3,Capacity!$A$53:$E$85,5,FALSE)*'Inputs-System'!$C$29*(1+'Inputs-System'!$C$43)), $C8 = "2", ('Inputs-System'!$C$30*'Coincidence Factors'!$B$8*(1+'Inputs-System'!$C$18))*'Inputs-Proposals'!$C$22*(VLOOKUP(DH$3,Capacity!$A$53:$E$85,4,FALSE)*(1+'Inputs-System'!$C$42)+VLOOKUP(DH$3,Capacity!$A$53:$E$85,5,FALSE)*'Inputs-System'!$C$29*(1+'Inputs-System'!$C$43)), $C8 = "3",('Inputs-System'!$C$30*'Coincidence Factors'!$B$8*(1+'Inputs-System'!$C$18))*'Inputs-Proposals'!$C$28*(VLOOKUP(DH$3,Capacity!$A$53:$E$85,4,FALSE)*(1+'Inputs-System'!$C$42)+VLOOKUP(DH$3,Capacity!$A$53:$E$85,5,FALSE)*'Inputs-System'!$C$29*(1+'Inputs-System'!$C$43)), $C8 = "0", 0), 0)</f>
        <v>0</v>
      </c>
      <c r="DL8" s="44">
        <v>0</v>
      </c>
      <c r="DM8" s="342">
        <f>IFERROR(_xlfn.IFS($C8="1", 'Inputs-System'!$C$30*'Coincidence Factors'!$B$8*'Inputs-Proposals'!$C$17*'Inputs-Proposals'!$C$19*(VLOOKUP(DH$3,'Non-Embedded Emissions'!$A$56:$D$90,2,FALSE)+VLOOKUP(DH$3,'Non-Embedded Emissions'!$A$143:$D$174,2,FALSE)+VLOOKUP(DH$3,'Non-Embedded Emissions'!$A$230:$D$259,2,FALSE)), $C8 = "2", 'Inputs-System'!$C$30*'Coincidence Factors'!$B$8*'Inputs-Proposals'!$C$23*'Inputs-Proposals'!$C$25*(VLOOKUP(DH$3,'Non-Embedded Emissions'!$A$56:$D$90,2,FALSE)+VLOOKUP(DH$3,'Non-Embedded Emissions'!$A$143:$D$174,2,FALSE)+VLOOKUP(DH$3,'Non-Embedded Emissions'!$A$230:$D$259,2,FALSE)), $C8 = "3", 'Inputs-System'!$C$30*'Coincidence Factors'!$B$8*'Inputs-Proposals'!$C$29*'Inputs-Proposals'!$C$31*(VLOOKUP(DH$3,'Non-Embedded Emissions'!$A$56:$D$90,2,FALSE)+VLOOKUP(DH$3,'Non-Embedded Emissions'!$A$143:$D$174,2,FALSE)+VLOOKUP(DH$3,'Non-Embedded Emissions'!$A$230:$D$259,2,FALSE)), $C8 = "0", 0), 0)</f>
        <v>0</v>
      </c>
      <c r="DN8" s="45">
        <f>IFERROR(_xlfn.IFS($C8="1",('Inputs-System'!$C$30*'Coincidence Factors'!$B$8*(1+'Inputs-System'!$C$18)*(1+'Inputs-System'!$C$41)*('Inputs-Proposals'!$C$17*'Inputs-Proposals'!$C$19*('Inputs-Proposals'!$C$20))*(VLOOKUP(DN$3,Energy!$A$51:$K$83,5,FALSE))), $C8 = "2",('Inputs-System'!$C$30*'Coincidence Factors'!$B$8)*(1+'Inputs-System'!$C$18)*(1+'Inputs-System'!$C$41)*('Inputs-Proposals'!$C$23*'Inputs-Proposals'!$C$25*('Inputs-Proposals'!$C$26))*(VLOOKUP(DN$3,Energy!$A$51:$K$83,5,FALSE)), $C8= "3", ('Inputs-System'!$C$30*'Coincidence Factors'!$B$8*(1+'Inputs-System'!$C$18)*(1+'Inputs-System'!$C$41)*('Inputs-Proposals'!$C$29*'Inputs-Proposals'!$C$31*('Inputs-Proposals'!$C$32))*(VLOOKUP(DN$3,Energy!$A$51:$K$83,5,FALSE))), $C8= "0", 0), 0)</f>
        <v>0</v>
      </c>
      <c r="DO8" s="44">
        <f>IFERROR(_xlfn.IFS($C8="1",'Inputs-System'!$C$30*'Coincidence Factors'!$B$8*(1+'Inputs-System'!$C$18)*(1+'Inputs-System'!$C$41)*'Inputs-Proposals'!$C$17*'Inputs-Proposals'!$C$19*('Inputs-Proposals'!$C$20)*(VLOOKUP(DN$3,'Embedded Emissions'!$A$47:$B$78,2,FALSE)+VLOOKUP(DN$3,'Embedded Emissions'!$A$129:$B$158,2,FALSE)), $C8 = "2", 'Inputs-System'!$C$30*'Coincidence Factors'!$B$8*(1+'Inputs-System'!$C$18)*(1+'Inputs-System'!$C$41)*'Inputs-Proposals'!$C$23*'Inputs-Proposals'!$C$25*('Inputs-Proposals'!$C$20)*(VLOOKUP(DN$3,'Embedded Emissions'!$A$47:$B$78,2,FALSE)+VLOOKUP(DN$3,'Embedded Emissions'!$A$129:$B$158,2,FALSE)), $C8 = "3",'Inputs-System'!$C$30*'Coincidence Factors'!$B$8*(1+'Inputs-System'!$C$18)*(1+'Inputs-System'!$C$41)*'Inputs-Proposals'!$C$29*'Inputs-Proposals'!$C$31*('Inputs-Proposals'!$C$20)*(VLOOKUP(DN$3,'Embedded Emissions'!$A$47:$B$78,2,FALSE)+VLOOKUP(DN$3,'Embedded Emissions'!$A$129:$B$158,2,FALSE)), $C8 = "0", 0), 0)</f>
        <v>0</v>
      </c>
      <c r="DP8" s="44">
        <f>IFERROR(_xlfn.IFS($C8="1",( 'Inputs-System'!$C$30*'Coincidence Factors'!$B$8*(1+'Inputs-System'!$C$18)*(1+'Inputs-System'!$C$41))*('Inputs-Proposals'!$C$17*'Inputs-Proposals'!$C$19*('Inputs-Proposals'!$C$20))*(VLOOKUP(DN$3,DRIPE!$A$54:$I$82,5,FALSE)+VLOOKUP(DN$3,DRIPE!$A$54:$I$82,9,FALSE))+ ('Inputs-System'!$C$26*'Coincidence Factors'!$B$8*(1+'Inputs-System'!$C$18)*(1+'Inputs-System'!$C$42))*'Inputs-Proposals'!$C$16*VLOOKUP(DN$3,DRIPE!$A$54:$I$82,8,FALSE), $C8 = "2",( 'Inputs-System'!$C$30*'Coincidence Factors'!$B$8*(1+'Inputs-System'!$C$18)*(1+'Inputs-System'!$C$41))*('Inputs-Proposals'!$C$23*'Inputs-Proposals'!$C$25*('Inputs-Proposals'!$C$26))*(VLOOKUP(DN$3,DRIPE!$A$54:$I$82,5,FALSE)+VLOOKUP(DN$3,DRIPE!$A$54:$I$82,9,FALSE))+  ('Inputs-System'!$C$26*'Coincidence Factors'!$B$8*(1+'Inputs-System'!$C$18)*(1+'Inputs-System'!$C$42))*'Inputs-Proposals'!$C$22*VLOOKUP(DN$3,DRIPE!$A$54:$I$82,8,FALSE), $C8= "3", ( 'Inputs-System'!$C$30*'Coincidence Factors'!$B$8*(1+'Inputs-System'!$C$18)*(1+'Inputs-System'!$C$41))*('Inputs-Proposals'!$C$29*'Inputs-Proposals'!$C$31*('Inputs-Proposals'!$C$32))*(VLOOKUP(DN$3,DRIPE!$A$54:$I$82,5,FALSE)+VLOOKUP(DN$3,DRIPE!$A$54:$I$82,9,FALSE))+  ('Inputs-System'!$C$26*'Coincidence Factors'!$B$8*(1+'Inputs-System'!$C$18)*(1+'Inputs-System'!$C$42))*'Inputs-Proposals'!$C$28*VLOOKUP(DN$3,DRIPE!$A$54:$I$82,8,FALSE), $C8 = "0", 0), 0)</f>
        <v>0</v>
      </c>
      <c r="DQ8" s="45">
        <f>IFERROR(_xlfn.IFS($C8="1",('Inputs-System'!$C$30*'Coincidence Factors'!$B$8*(1+'Inputs-System'!$C$18))*'Inputs-Proposals'!$C$16*(VLOOKUP(DN$3,Capacity!$A$53:$E$85,4,FALSE)*(1+'Inputs-System'!$C$42)+VLOOKUP(DN$3,Capacity!$A$53:$E$85,5,FALSE)*'Inputs-System'!$C$29*(1+'Inputs-System'!$C$43)), $C8 = "2", ('Inputs-System'!$C$30*'Coincidence Factors'!$B$8*(1+'Inputs-System'!$C$18))*'Inputs-Proposals'!$C$22*(VLOOKUP(DN$3,Capacity!$A$53:$E$85,4,FALSE)*(1+'Inputs-System'!$C$42)+VLOOKUP(DN$3,Capacity!$A$53:$E$85,5,FALSE)*'Inputs-System'!$C$29*(1+'Inputs-System'!$C$43)), $C8 = "3",('Inputs-System'!$C$30*'Coincidence Factors'!$B$8*(1+'Inputs-System'!$C$18))*'Inputs-Proposals'!$C$28*(VLOOKUP(DN$3,Capacity!$A$53:$E$85,4,FALSE)*(1+'Inputs-System'!$C$42)+VLOOKUP(DN$3,Capacity!$A$53:$E$85,5,FALSE)*'Inputs-System'!$C$29*(1+'Inputs-System'!$C$43)), $C8 = "0", 0), 0)</f>
        <v>0</v>
      </c>
      <c r="DR8" s="44">
        <v>0</v>
      </c>
      <c r="DS8" s="342">
        <f>IFERROR(_xlfn.IFS($C8="1", 'Inputs-System'!$C$30*'Coincidence Factors'!$B$8*'Inputs-Proposals'!$C$17*'Inputs-Proposals'!$C$19*(VLOOKUP(DN$3,'Non-Embedded Emissions'!$A$56:$D$90,2,FALSE)+VLOOKUP(DN$3,'Non-Embedded Emissions'!$A$143:$D$174,2,FALSE)+VLOOKUP(DN$3,'Non-Embedded Emissions'!$A$230:$D$259,2,FALSE)), $C8 = "2", 'Inputs-System'!$C$30*'Coincidence Factors'!$B$8*'Inputs-Proposals'!$C$23*'Inputs-Proposals'!$C$25*(VLOOKUP(DN$3,'Non-Embedded Emissions'!$A$56:$D$90,2,FALSE)+VLOOKUP(DN$3,'Non-Embedded Emissions'!$A$143:$D$174,2,FALSE)+VLOOKUP(DN$3,'Non-Embedded Emissions'!$A$230:$D$259,2,FALSE)), $C8 = "3", 'Inputs-System'!$C$30*'Coincidence Factors'!$B$8*'Inputs-Proposals'!$C$29*'Inputs-Proposals'!$C$31*(VLOOKUP(DN$3,'Non-Embedded Emissions'!$A$56:$D$90,2,FALSE)+VLOOKUP(DN$3,'Non-Embedded Emissions'!$A$143:$D$174,2,FALSE)+VLOOKUP(DN$3,'Non-Embedded Emissions'!$A$230:$D$259,2,FALSE)), $C8 = "0", 0), 0)</f>
        <v>0</v>
      </c>
      <c r="DT8" s="45">
        <f>IFERROR(_xlfn.IFS($C8="1",('Inputs-System'!$C$30*'Coincidence Factors'!$B$8*(1+'Inputs-System'!$C$18)*(1+'Inputs-System'!$C$41)*('Inputs-Proposals'!$C$17*'Inputs-Proposals'!$C$19*('Inputs-Proposals'!$C$20))*(VLOOKUP(DT$3,Energy!$A$51:$K$83,5,FALSE))), $C8 = "2",('Inputs-System'!$C$30*'Coincidence Factors'!$B$8)*(1+'Inputs-System'!$C$18)*(1+'Inputs-System'!$C$41)*('Inputs-Proposals'!$C$23*'Inputs-Proposals'!$C$25*('Inputs-Proposals'!$C$26))*(VLOOKUP(DT$3,Energy!$A$51:$K$83,5,FALSE)), $C8= "3", ('Inputs-System'!$C$30*'Coincidence Factors'!$B$8*(1+'Inputs-System'!$C$18)*(1+'Inputs-System'!$C$41)*('Inputs-Proposals'!$C$29*'Inputs-Proposals'!$C$31*('Inputs-Proposals'!$C$32))*(VLOOKUP(DT$3,Energy!$A$51:$K$83,5,FALSE))), $C8= "0", 0), 0)</f>
        <v>0</v>
      </c>
      <c r="DU8" s="44">
        <f>IFERROR(_xlfn.IFS($C8="1",'Inputs-System'!$C$30*'Coincidence Factors'!$B$8*(1+'Inputs-System'!$C$18)*(1+'Inputs-System'!$C$41)*'Inputs-Proposals'!$C$17*'Inputs-Proposals'!$C$19*('Inputs-Proposals'!$C$20)*(VLOOKUP(DT$3,'Embedded Emissions'!$A$47:$B$78,2,FALSE)+VLOOKUP(DT$3,'Embedded Emissions'!$A$129:$B$158,2,FALSE)), $C8 = "2", 'Inputs-System'!$C$30*'Coincidence Factors'!$B$8*(1+'Inputs-System'!$C$18)*(1+'Inputs-System'!$C$41)*'Inputs-Proposals'!$C$23*'Inputs-Proposals'!$C$25*('Inputs-Proposals'!$C$20)*(VLOOKUP(DT$3,'Embedded Emissions'!$A$47:$B$78,2,FALSE)+VLOOKUP(DT$3,'Embedded Emissions'!$A$129:$B$158,2,FALSE)), $C8 = "3",'Inputs-System'!$C$30*'Coincidence Factors'!$B$8*(1+'Inputs-System'!$C$18)*(1+'Inputs-System'!$C$41)*'Inputs-Proposals'!$C$29*'Inputs-Proposals'!$C$31*('Inputs-Proposals'!$C$20)*(VLOOKUP(DT$3,'Embedded Emissions'!$A$47:$B$78,2,FALSE)+VLOOKUP(DT$3,'Embedded Emissions'!$A$129:$B$158,2,FALSE)), $C8 = "0", 0), 0)</f>
        <v>0</v>
      </c>
      <c r="DV8" s="44">
        <f>IFERROR(_xlfn.IFS($C8="1",( 'Inputs-System'!$C$30*'Coincidence Factors'!$B$8*(1+'Inputs-System'!$C$18)*(1+'Inputs-System'!$C$41))*('Inputs-Proposals'!$C$17*'Inputs-Proposals'!$C$19*('Inputs-Proposals'!$C$20))*(VLOOKUP(DT$3,DRIPE!$A$54:$I$82,5,FALSE)+VLOOKUP(DT$3,DRIPE!$A$54:$I$82,9,FALSE))+ ('Inputs-System'!$C$26*'Coincidence Factors'!$B$8*(1+'Inputs-System'!$C$18)*(1+'Inputs-System'!$C$42))*'Inputs-Proposals'!$C$16*VLOOKUP(DT$3,DRIPE!$A$54:$I$82,8,FALSE), $C8 = "2",( 'Inputs-System'!$C$30*'Coincidence Factors'!$B$8*(1+'Inputs-System'!$C$18)*(1+'Inputs-System'!$C$41))*('Inputs-Proposals'!$C$23*'Inputs-Proposals'!$C$25*('Inputs-Proposals'!$C$26))*(VLOOKUP(DT$3,DRIPE!$A$54:$I$82,5,FALSE)+VLOOKUP(DT$3,DRIPE!$A$54:$I$82,9,FALSE))+  ('Inputs-System'!$C$26*'Coincidence Factors'!$B$8*(1+'Inputs-System'!$C$18)*(1+'Inputs-System'!$C$42))*'Inputs-Proposals'!$C$22*VLOOKUP(DT$3,DRIPE!$A$54:$I$82,8,FALSE), $C8= "3", ( 'Inputs-System'!$C$30*'Coincidence Factors'!$B$8*(1+'Inputs-System'!$C$18)*(1+'Inputs-System'!$C$41))*('Inputs-Proposals'!$C$29*'Inputs-Proposals'!$C$31*('Inputs-Proposals'!$C$32))*(VLOOKUP(DT$3,DRIPE!$A$54:$I$82,5,FALSE)+VLOOKUP(DT$3,DRIPE!$A$54:$I$82,9,FALSE))+  ('Inputs-System'!$C$26*'Coincidence Factors'!$B$8*(1+'Inputs-System'!$C$18)*(1+'Inputs-System'!$C$42))*'Inputs-Proposals'!$C$28*VLOOKUP(DT$3,DRIPE!$A$54:$I$82,8,FALSE), $C8 = "0", 0), 0)</f>
        <v>0</v>
      </c>
      <c r="DW8" s="45">
        <f>IFERROR(_xlfn.IFS($C8="1",('Inputs-System'!$C$30*'Coincidence Factors'!$B$8*(1+'Inputs-System'!$C$18))*'Inputs-Proposals'!$C$16*(VLOOKUP(DT$3,Capacity!$A$53:$E$85,4,FALSE)*(1+'Inputs-System'!$C$42)+VLOOKUP(DT$3,Capacity!$A$53:$E$85,5,FALSE)*'Inputs-System'!$C$29*(1+'Inputs-System'!$C$43)), $C8 = "2", ('Inputs-System'!$C$30*'Coincidence Factors'!$B$8*(1+'Inputs-System'!$C$18))*'Inputs-Proposals'!$C$22*(VLOOKUP(DT$3,Capacity!$A$53:$E$85,4,FALSE)*(1+'Inputs-System'!$C$42)+VLOOKUP(DT$3,Capacity!$A$53:$E$85,5,FALSE)*'Inputs-System'!$C$29*(1+'Inputs-System'!$C$43)), $C8 = "3",('Inputs-System'!$C$30*'Coincidence Factors'!$B$8*(1+'Inputs-System'!$C$18))*'Inputs-Proposals'!$C$28*(VLOOKUP(DT$3,Capacity!$A$53:$E$85,4,FALSE)*(1+'Inputs-System'!$C$42)+VLOOKUP(DT$3,Capacity!$A$53:$E$85,5,FALSE)*'Inputs-System'!$C$29*(1+'Inputs-System'!$C$43)), $C8 = "0", 0), 0)</f>
        <v>0</v>
      </c>
      <c r="DX8" s="44">
        <v>0</v>
      </c>
      <c r="DY8" s="342">
        <f>IFERROR(_xlfn.IFS($C8="1", 'Inputs-System'!$C$30*'Coincidence Factors'!$B$8*'Inputs-Proposals'!$C$17*'Inputs-Proposals'!$C$19*(VLOOKUP(DT$3,'Non-Embedded Emissions'!$A$56:$D$90,2,FALSE)+VLOOKUP(DT$3,'Non-Embedded Emissions'!$A$143:$D$174,2,FALSE)+VLOOKUP(DT$3,'Non-Embedded Emissions'!$A$230:$D$259,2,FALSE)), $C8 = "2", 'Inputs-System'!$C$30*'Coincidence Factors'!$B$8*'Inputs-Proposals'!$C$23*'Inputs-Proposals'!$C$25*(VLOOKUP(DT$3,'Non-Embedded Emissions'!$A$56:$D$90,2,FALSE)+VLOOKUP(DT$3,'Non-Embedded Emissions'!$A$143:$D$174,2,FALSE)+VLOOKUP(DT$3,'Non-Embedded Emissions'!$A$230:$D$259,2,FALSE)), $C8 = "3", 'Inputs-System'!$C$30*'Coincidence Factors'!$B$8*'Inputs-Proposals'!$C$29*'Inputs-Proposals'!$C$31*(VLOOKUP(DT$3,'Non-Embedded Emissions'!$A$56:$D$90,2,FALSE)+VLOOKUP(DT$3,'Non-Embedded Emissions'!$A$143:$D$174,2,FALSE)+VLOOKUP(DT$3,'Non-Embedded Emissions'!$A$230:$D$259,2,FALSE)), $C8 = "0", 0), 0)</f>
        <v>0</v>
      </c>
      <c r="DZ8" s="45">
        <f>IFERROR(_xlfn.IFS($C8="1",('Inputs-System'!$C$30*'Coincidence Factors'!$B$8*(1+'Inputs-System'!$C$18)*(1+'Inputs-System'!$C$41)*('Inputs-Proposals'!$C$17*'Inputs-Proposals'!$C$19*('Inputs-Proposals'!$C$20))*(VLOOKUP(DZ$3,Energy!$A$51:$K$83,5,FALSE))), $C8 = "2",('Inputs-System'!$C$30*'Coincidence Factors'!$B$8)*(1+'Inputs-System'!$C$18)*(1+'Inputs-System'!$C$41)*('Inputs-Proposals'!$C$23*'Inputs-Proposals'!$C$25*('Inputs-Proposals'!$C$26))*(VLOOKUP(DZ$3,Energy!$A$51:$K$83,5,FALSE)), $C8= "3", ('Inputs-System'!$C$30*'Coincidence Factors'!$B$8*(1+'Inputs-System'!$C$18)*(1+'Inputs-System'!$C$41)*('Inputs-Proposals'!$C$29*'Inputs-Proposals'!$C$31*('Inputs-Proposals'!$C$32))*(VLOOKUP(DZ$3,Energy!$A$51:$K$83,5,FALSE))), $C8= "0", 0), 0)</f>
        <v>0</v>
      </c>
      <c r="EA8" s="44">
        <f>IFERROR(_xlfn.IFS($C8="1",'Inputs-System'!$C$30*'Coincidence Factors'!$B$8*(1+'Inputs-System'!$C$18)*(1+'Inputs-System'!$C$41)*'Inputs-Proposals'!$C$17*'Inputs-Proposals'!$C$19*('Inputs-Proposals'!$C$20)*(VLOOKUP(DZ$3,'Embedded Emissions'!$A$47:$B$78,2,FALSE)+VLOOKUP(DZ$3,'Embedded Emissions'!$A$129:$B$158,2,FALSE)), $C8 = "2", 'Inputs-System'!$C$30*'Coincidence Factors'!$B$8*(1+'Inputs-System'!$C$18)*(1+'Inputs-System'!$C$41)*'Inputs-Proposals'!$C$23*'Inputs-Proposals'!$C$25*('Inputs-Proposals'!$C$20)*(VLOOKUP(DZ$3,'Embedded Emissions'!$A$47:$B$78,2,FALSE)+VLOOKUP(DZ$3,'Embedded Emissions'!$A$129:$B$158,2,FALSE)), $C8 = "3",'Inputs-System'!$C$30*'Coincidence Factors'!$B$8*(1+'Inputs-System'!$C$18)*(1+'Inputs-System'!$C$41)*'Inputs-Proposals'!$C$29*'Inputs-Proposals'!$C$31*('Inputs-Proposals'!$C$20)*(VLOOKUP(DZ$3,'Embedded Emissions'!$A$47:$B$78,2,FALSE)+VLOOKUP(DZ$3,'Embedded Emissions'!$A$129:$B$158,2,FALSE)), $C8 = "0", 0), 0)</f>
        <v>0</v>
      </c>
      <c r="EB8" s="44">
        <f>IFERROR(_xlfn.IFS($C8="1",( 'Inputs-System'!$C$30*'Coincidence Factors'!$B$8*(1+'Inputs-System'!$C$18)*(1+'Inputs-System'!$C$41))*('Inputs-Proposals'!$C$17*'Inputs-Proposals'!$C$19*('Inputs-Proposals'!$C$20))*(VLOOKUP(DZ$3,DRIPE!$A$54:$I$82,5,FALSE)+VLOOKUP(DZ$3,DRIPE!$A$54:$I$82,9,FALSE))+ ('Inputs-System'!$C$26*'Coincidence Factors'!$B$8*(1+'Inputs-System'!$C$18)*(1+'Inputs-System'!$C$42))*'Inputs-Proposals'!$C$16*VLOOKUP(DZ$3,DRIPE!$A$54:$I$82,8,FALSE), $C8 = "2",( 'Inputs-System'!$C$30*'Coincidence Factors'!$B$8*(1+'Inputs-System'!$C$18)*(1+'Inputs-System'!$C$41))*('Inputs-Proposals'!$C$23*'Inputs-Proposals'!$C$25*('Inputs-Proposals'!$C$26))*(VLOOKUP(DZ$3,DRIPE!$A$54:$I$82,5,FALSE)+VLOOKUP(DZ$3,DRIPE!$A$54:$I$82,9,FALSE))+  ('Inputs-System'!$C$26*'Coincidence Factors'!$B$8*(1+'Inputs-System'!$C$18)*(1+'Inputs-System'!$C$42))*'Inputs-Proposals'!$C$22*VLOOKUP(DZ$3,DRIPE!$A$54:$I$82,8,FALSE), $C8= "3", ( 'Inputs-System'!$C$30*'Coincidence Factors'!$B$8*(1+'Inputs-System'!$C$18)*(1+'Inputs-System'!$C$41))*('Inputs-Proposals'!$C$29*'Inputs-Proposals'!$C$31*('Inputs-Proposals'!$C$32))*(VLOOKUP(DZ$3,DRIPE!$A$54:$I$82,5,FALSE)+VLOOKUP(DZ$3,DRIPE!$A$54:$I$82,9,FALSE))+  ('Inputs-System'!$C$26*'Coincidence Factors'!$B$8*(1+'Inputs-System'!$C$18)*(1+'Inputs-System'!$C$42))*'Inputs-Proposals'!$C$28*VLOOKUP(DZ$3,DRIPE!$A$54:$I$82,8,FALSE), $C8 = "0", 0), 0)</f>
        <v>0</v>
      </c>
      <c r="EC8" s="45">
        <f>IFERROR(_xlfn.IFS($C8="1",('Inputs-System'!$C$30*'Coincidence Factors'!$B$8*(1+'Inputs-System'!$C$18))*'Inputs-Proposals'!$C$16*(VLOOKUP(DZ$3,Capacity!$A$53:$E$85,4,FALSE)*(1+'Inputs-System'!$C$42)+VLOOKUP(DZ$3,Capacity!$A$53:$E$85,5,FALSE)*'Inputs-System'!$C$29*(1+'Inputs-System'!$C$43)), $C8 = "2", ('Inputs-System'!$C$30*'Coincidence Factors'!$B$8*(1+'Inputs-System'!$C$18))*'Inputs-Proposals'!$C$22*(VLOOKUP(DZ$3,Capacity!$A$53:$E$85,4,FALSE)*(1+'Inputs-System'!$C$42)+VLOOKUP(DZ$3,Capacity!$A$53:$E$85,5,FALSE)*'Inputs-System'!$C$29*(1+'Inputs-System'!$C$43)), $C8 = "3",('Inputs-System'!$C$30*'Coincidence Factors'!$B$8*(1+'Inputs-System'!$C$18))*'Inputs-Proposals'!$C$28*(VLOOKUP(DZ$3,Capacity!$A$53:$E$85,4,FALSE)*(1+'Inputs-System'!$C$42)+VLOOKUP(DZ$3,Capacity!$A$53:$E$85,5,FALSE)*'Inputs-System'!$C$29*(1+'Inputs-System'!$C$43)), $C8 = "0", 0), 0)</f>
        <v>0</v>
      </c>
      <c r="ED8" s="44">
        <v>0</v>
      </c>
      <c r="EE8" s="342">
        <f>IFERROR(_xlfn.IFS($C8="1", 'Inputs-System'!$C$30*'Coincidence Factors'!$B$8*'Inputs-Proposals'!$C$17*'Inputs-Proposals'!$C$19*(VLOOKUP(DZ$3,'Non-Embedded Emissions'!$A$56:$D$90,2,FALSE)+VLOOKUP(DZ$3,'Non-Embedded Emissions'!$A$143:$D$174,2,FALSE)+VLOOKUP(DZ$3,'Non-Embedded Emissions'!$A$230:$D$259,2,FALSE)), $C8 = "2", 'Inputs-System'!$C$30*'Coincidence Factors'!$B$8*'Inputs-Proposals'!$C$23*'Inputs-Proposals'!$C$25*(VLOOKUP(DZ$3,'Non-Embedded Emissions'!$A$56:$D$90,2,FALSE)+VLOOKUP(DZ$3,'Non-Embedded Emissions'!$A$143:$D$174,2,FALSE)+VLOOKUP(DZ$3,'Non-Embedded Emissions'!$A$230:$D$259,2,FALSE)), $C8 = "3", 'Inputs-System'!$C$30*'Coincidence Factors'!$B$8*'Inputs-Proposals'!$C$29*'Inputs-Proposals'!$C$31*(VLOOKUP(DZ$3,'Non-Embedded Emissions'!$A$56:$D$90,2,FALSE)+VLOOKUP(DZ$3,'Non-Embedded Emissions'!$A$143:$D$174,2,FALSE)+VLOOKUP(DZ$3,'Non-Embedded Emissions'!$A$230:$D$259,2,FALSE)), $C8 = "0", 0), 0)</f>
        <v>0</v>
      </c>
    </row>
    <row r="9" spans="1:135" x14ac:dyDescent="0.35">
      <c r="A9" s="708"/>
      <c r="B9" s="3" t="str">
        <f>Lists!F8</f>
        <v>Diesel GenSet</v>
      </c>
      <c r="C9" s="118" t="str">
        <f>IFERROR(_xlfn.IFS('Benefits Calc'!B9='Inputs-Proposals'!$C$15, "1", 'Benefits Calc'!B9='Inputs-Proposals'!$C$21, "2", 'Benefits Calc'!B9='Inputs-Proposals'!$C$27, "3"), "0")</f>
        <v>0</v>
      </c>
      <c r="D9" s="44">
        <f t="shared" ref="D9:D10" si="6">P9+V9+AB9+AH9+AN9+AT9+AZ9+BF9+BL9+BR9+BX9+CD9+CJ9+CP9+CV9+DB9+DH9+DN9+DT9+DZ9</f>
        <v>0</v>
      </c>
      <c r="E9" s="44">
        <f t="shared" ref="E9:E10" si="7">Q9+W9+AC9+AI9+AO9+AU9+BA9+BG9+BM9+BS9+BY9+CE9+CK9+CQ9+CW9+DC9+DI9+DO9+DU9+EA9</f>
        <v>0</v>
      </c>
      <c r="F9" s="44">
        <f t="shared" ref="F9:F10" si="8">R9+X9+AD9+AJ9+AP9+AV9+BB9+BH9+BN9+BT9+BZ9+CF9+CL9+CR9+CX9+DD9+DJ9+DP9+DV9+EB9</f>
        <v>0</v>
      </c>
      <c r="G9" s="44">
        <f t="shared" ref="G9:G10" si="9">S9+Y9+AE9+AK9+AQ9+AW9+BC9+BI9+BO9+BU9+CA9+CG9+CM9+CS9+CY9+DE9+DK9+DQ9+DW9+EC9</f>
        <v>0</v>
      </c>
      <c r="H9" s="44">
        <f t="shared" ref="H9:H10" si="10">T9+Z9+AF9+AL9+AR9+AX9+BD9+BJ9+BP9+BV9+CB9+CH9+CN9+CT9+CZ9+DF9+DL9+DR9+DX9+ED9</f>
        <v>0</v>
      </c>
      <c r="I9" s="44">
        <f t="shared" ref="I9:I10" si="11">U9+AA9+AG9+AM9+AS9+AY9+BE9+BK9+BQ9+BW9+CC9+CI9+CO9+CU9+DA9+DG9+DM9+DS9+DY9+EE9</f>
        <v>0</v>
      </c>
      <c r="J9" s="323">
        <f>NPV('Inputs-System'!$C$20,P9+V9+AB9+AH9+AN9+AT9+AZ9+BF9+BL9+BR9+BX9+CD9+CJ9+CP9+CV9+DB9+DH9+DN9+DT9+DZ9)</f>
        <v>0</v>
      </c>
      <c r="K9" s="44">
        <f>NPV('Inputs-System'!$C$20,Q9+W9+AC9+AI9+AO9+AU9+BA9+BG9+BM9+BS9+BY9+CE9+CK9+CQ9+CW9+DC9+DI9+DO9+DU9+EA9)</f>
        <v>0</v>
      </c>
      <c r="L9" s="44">
        <f>NPV('Inputs-System'!$C$20,R9+X9+AD9+AJ9+AP9+AV9+BB9+BH9+BN9+BT9+BZ9+CF9+CL9+CR9+CX9+DD9+DJ9+DP9+DV9+EB9)</f>
        <v>0</v>
      </c>
      <c r="M9" s="44">
        <f>NPV('Inputs-System'!$C$20,S9+Y9+AE9+AK9+AQ9+AW9+BC9+BI9+BO9+BU9+CA9+CG9+CM9+CS9+CY9+DE9+DK9+DQ9+DW9+EC9)</f>
        <v>0</v>
      </c>
      <c r="N9" s="44">
        <f>NPV('Inputs-System'!$C$20,T9+Z9+AF9+AL9+AR9+AX9+BD9+BJ9+BP9+BV9+CB9+CH9+CN9+CT9+CZ9+DF9+DL9+DR9+DX9+ED9)</f>
        <v>0</v>
      </c>
      <c r="O9" s="44">
        <f>NPV('Inputs-System'!$C$20,U9+AA9+AG9+AM9+AS9+AY9+BE9+BK9+BQ9+BW9+CC9+CI9+CO9+CU9+DA9+DG9+DM9+DS9+DY9+EE9)</f>
        <v>0</v>
      </c>
      <c r="P9" s="347">
        <f>IFERROR(_xlfn.IFS($C9="1",('Inputs-System'!$C$30*'Coincidence Factors'!$B$9*(1+'Inputs-System'!$C$18)*(1+'Inputs-System'!$C$41)*('Inputs-Proposals'!$C$17*'Inputs-Proposals'!$C$19*(1-'Inputs-Proposals'!$C$20^(P$3-'Inputs-System'!$C$7+1)))*(VLOOKUP(P$3,Energy!$A$51:$K$83,5,FALSE))), $C9 = "2",('Inputs-System'!$C$30*'Coincidence Factors'!$B$9)*(1+'Inputs-System'!$C$18)*(1+'Inputs-System'!$C$41)*('Inputs-Proposals'!$C$23*'Inputs-Proposals'!$C$25*(1-'Inputs-Proposals'!$C$26^(P$3-'Inputs-System'!$C$7+1)))*(VLOOKUP(P$3,Energy!$A$51:$K$83,5,FALSE)), $C9= "3", ('Inputs-System'!$C$30*'Coincidence Factors'!$B$9*(1+'Inputs-System'!$C$18)*(1+'Inputs-System'!$C$41)*('Inputs-Proposals'!$C$29*'Inputs-Proposals'!$C$31*(1-'Inputs-Proposals'!$C$32^(P$3-'Inputs-System'!$C$7+1)))*(VLOOKUP(P$3,Energy!$A$51:$K$83,5,FALSE))), $C9= "0", 0), 0)</f>
        <v>0</v>
      </c>
      <c r="Q9" s="44">
        <f>IFERROR(_xlfn.IFS($C9="1",('Inputs-System'!$C$30*'Coincidence Factors'!$B$9*(1+'Inputs-System'!$C$18)*(1+'Inputs-System'!$C$41))*'Inputs-Proposals'!$C$17*'Inputs-Proposals'!$C$19*(1-'Inputs-Proposals'!$C$20^(P$3-'Inputs-System'!$C$7+1))*(VLOOKUP(P$3,'Embedded Emissions'!$A$47:$B$78,2,FALSE)+VLOOKUP(P$3,'Embedded Emissions'!$A$129:$B$158,2,FALSE)), $C9 = "2",('Inputs-System'!$C$30*'Coincidence Factors'!$B$9*(1+'Inputs-System'!$C$18)*(1+'Inputs-System'!$C$41))*'Inputs-Proposals'!$C$23*'Inputs-Proposals'!$C$25*(1-'Inputs-Proposals'!$C$20^(P$3-'Inputs-System'!$C$7+1))*(VLOOKUP(P$3,'Embedded Emissions'!$A$47:$B$78,2,FALSE)+VLOOKUP(P$3,'Embedded Emissions'!$A$129:$B$158,2,FALSE)), $C9 = "3", ('Inputs-System'!$C$30*'Coincidence Factors'!$B$9*(1+'Inputs-System'!$C$18)*(1+'Inputs-System'!$C$41))*'Inputs-Proposals'!$C$29*'Inputs-Proposals'!$C$31*(1-'Inputs-Proposals'!$C$20^(P$3-'Inputs-System'!$C$7+1))*(VLOOKUP(P$3,'Embedded Emissions'!$A$47:$B$78,2,FALSE)+VLOOKUP(P$3,'Embedded Emissions'!$A$129:$B$158,2,FALSE)), $C9 = "0", 0), 0)</f>
        <v>0</v>
      </c>
      <c r="R9" s="44">
        <f>IFERROR(_xlfn.IFS($C9="1",( 'Inputs-System'!$C$30*'Coincidence Factors'!$B$9*(1+'Inputs-System'!$C$18)*(1+'Inputs-System'!$C$41))*('Inputs-Proposals'!$C$17*'Inputs-Proposals'!$C$19*(1-'Inputs-Proposals'!$C$20)^(P$3-'Inputs-System'!$C$7))*(VLOOKUP(P$3,DRIPE!$A$54:$I$82,5,FALSE)+VLOOKUP(P$3,DRIPE!$A$54:$I$82,9,FALSE))+ ('Inputs-System'!$C$26*'Coincidence Factors'!$B$6*(1+'Inputs-System'!$C$18)*(1+'Inputs-System'!$C$42))*'Inputs-Proposals'!$C$16*VLOOKUP(P$3,DRIPE!$A$54:$I$82,8,FALSE), $C9 = "2",( 'Inputs-System'!$C$30*'Coincidence Factors'!$B$9*(1+'Inputs-System'!$C$18)*(1+'Inputs-System'!$C$41))*('Inputs-Proposals'!$C$23*'Inputs-Proposals'!$C$25*(1-'Inputs-Proposals'!$C$26)^(P$3-'Inputs-System'!$C$7))*(VLOOKUP(P$3,DRIPE!$A$54:$I$82,5,FALSE)+VLOOKUP(P$3,DRIPE!$A$54:$I$82,9,FALSE))+ ('Inputs-System'!$C$26*'Coincidence Factors'!$B$6*(1+'Inputs-System'!$C$18)*(1+'Inputs-System'!$C$42))*'Inputs-Proposals'!$C$22*VLOOKUP(P$3,DRIPE!$A$54:$I$82,8,FALSE), $C9= "3", ( 'Inputs-System'!$C$30*'Coincidence Factors'!$B$9*(1+'Inputs-System'!$C$18)*(1+'Inputs-System'!$C$41))*('Inputs-Proposals'!$C$29*'Inputs-Proposals'!$C$31*(1-'Inputs-Proposals'!$C$32)^(P$3-'Inputs-System'!$C$7))*(VLOOKUP(P$3,DRIPE!$A$54:$I$82,5,FALSE)+VLOOKUP(P$3,DRIPE!$A$54:$I$82,9,FALSE))+ ('Inputs-System'!$C$26*'Coincidence Factors'!$B$6*(1+'Inputs-System'!$C$18)*(1+'Inputs-System'!$C$42))*'Inputs-Proposals'!$C$28*VLOOKUP(P$3,DRIPE!$A$54:$I$82,8,FALSE), $C9 = "0", 0), 0)</f>
        <v>0</v>
      </c>
      <c r="S9" s="45">
        <f>IFERROR(_xlfn.IFS($C9="1",('Inputs-System'!$C$26*'Coincidence Factors'!$B$9*(1+'Inputs-System'!$C$18)*(1+'Inputs-System'!$C$42))*'Inputs-Proposals'!$D$16*(VLOOKUP(P$3,Capacity!$A$53:$E$85,4,FALSE)*(1+'Inputs-System'!$C$42)+VLOOKUP(P$3,Capacity!$A$53:$E$85,5,FALSE)*(1+'Inputs-System'!$C$43)*'Inputs-System'!$C$29), $C9 = "2", ('Inputs-System'!$C$26*'Coincidence Factors'!$B$9*(1+'Inputs-System'!$C$18))*'Inputs-Proposals'!$D$22*(VLOOKUP(P$3,Capacity!$A$53:$E$85,4,FALSE)*(1+'Inputs-System'!$C$42)+VLOOKUP(P$3,Capacity!$A$53:$E$85,5,FALSE)*'Inputs-System'!$C$29*(1+'Inputs-System'!$C$43)), $C9 = "3", ('Inputs-System'!$C$26*'Coincidence Factors'!$B$9*(1+'Inputs-System'!$C$18))*'Inputs-Proposals'!$D$28*(VLOOKUP(P$3,Capacity!$A$53:$E$85,4,FALSE)*(1+'Inputs-System'!$C$42)+VLOOKUP(P$3,Capacity!$A$53:$E$85,5,FALSE)*'Inputs-System'!$C$29*(1+'Inputs-System'!$C$43)), $C9 = "0", 0), 0)</f>
        <v>0</v>
      </c>
      <c r="T9" s="44">
        <v>0</v>
      </c>
      <c r="U9" s="342">
        <f>IFERROR(_xlfn.IFS($C9="1", 'Inputs-System'!$C$30*'Coincidence Factors'!$B$9*'Inputs-Proposals'!$C$17*'Inputs-Proposals'!$C$19*(VLOOKUP(P$3,'Non-Embedded Emissions'!$A$56:$D$90,2,FALSE)-VLOOKUP(P$3,'Non-Embedded Emissions'!$F$57:$H$88,2,FALSE)+VLOOKUP(P$3,'Non-Embedded Emissions'!$A$143:$D$174,2,FALSE)-VLOOKUP(P$3,'Non-Embedded Emissions'!$F$143:$H$174,2,FALSE)+VLOOKUP(P$3,'Non-Embedded Emissions'!$A$230:$D$259,2,FALSE)), $C9 = "2", 'Inputs-System'!$C$30*'Coincidence Factors'!$B$9*'Inputs-Proposals'!$C$23*'Inputs-Proposals'!$C$25*(VLOOKUP(P$3,'Non-Embedded Emissions'!$A$56:$D$90,2,FALSE)-VLOOKUP(P$3,'Non-Embedded Emissions'!$F$57:$H$88,2,FALSE)+VLOOKUP(P$3,'Non-Embedded Emissions'!$A$143:$D$174,2,FALSE)-VLOOKUP(P$3,'Non-Embedded Emissions'!$F$143:$H$174,2,FALSE)+VLOOKUP(P$3,'Non-Embedded Emissions'!$A$230:$D$259,2,FALSE)), $C9 = "3", 'Inputs-System'!$C$30*'Coincidence Factors'!$B$9*'Inputs-Proposals'!$C$29*'Inputs-Proposals'!$C$31*(VLOOKUP(P$3,'Non-Embedded Emissions'!$A$56:$D$90,2,FALSE)-VLOOKUP(P$3,'Non-Embedded Emissions'!$F$57:$H$88,2,FALSE)+VLOOKUP(P$3,'Non-Embedded Emissions'!$A$143:$D$174,2,FALSE)-VLOOKUP(P$3,'Non-Embedded Emissions'!$F$143:$H$174,2,FALSE)+VLOOKUP(P$3,'Non-Embedded Emissions'!$A$230:$D$259,2,FALSE)), $C9 = "0", 0), 0)</f>
        <v>0</v>
      </c>
      <c r="V9" s="45">
        <f>IFERROR(_xlfn.IFS($C9="1",('Inputs-System'!$C$30*'Coincidence Factors'!$B$9*(1+'Inputs-System'!$C$18)*(1+'Inputs-System'!$C$41)*('Inputs-Proposals'!$C$17*'Inputs-Proposals'!$C$19*(1-'Inputs-Proposals'!$C$20^(V$3-'Inputs-System'!$C$7)))*(VLOOKUP(V$3,Energy!$A$51:$K$83,5,FALSE))), $C9 = "2",('Inputs-System'!$C$30*'Coincidence Factors'!$B$9)*(1+'Inputs-System'!$C$18)*(1+'Inputs-System'!$C$41)*('Inputs-Proposals'!$C$23*'Inputs-Proposals'!$C$25*(1-'Inputs-Proposals'!$C$26^(V$3-'Inputs-System'!$C$7)))*(VLOOKUP(V$3,Energy!$A$51:$K$83,5,FALSE)), $C9= "3", ('Inputs-System'!$C$30*'Coincidence Factors'!$B$9*(1+'Inputs-System'!$C$18)*(1+'Inputs-System'!$C$41)*('Inputs-Proposals'!$C$29*'Inputs-Proposals'!$C$31*(1-'Inputs-Proposals'!$C$32^(V$3-'Inputs-System'!$C$7)))*(VLOOKUP(V$3,Energy!$A$51:$K$83,5,FALSE))), $C9= "0", 0), 0)</f>
        <v>0</v>
      </c>
      <c r="W9" s="44">
        <f>IFERROR(_xlfn.IFS($C9="1",('Inputs-System'!$C$30*'Coincidence Factors'!$B$9*(1+'Inputs-System'!$C$18)*(1+'Inputs-System'!$C$41))*'Inputs-Proposals'!$C$17*'Inputs-Proposals'!$C$19*(1-'Inputs-Proposals'!$C$20^(V$3-'Inputs-System'!$C$7))*(VLOOKUP(V$3,'Embedded Emissions'!$A$47:$B$78,2,FALSE)+VLOOKUP(V$3,'Embedded Emissions'!$A$129:$B$158,2,FALSE)), $C9 = "2",('Inputs-System'!$C$30*'Coincidence Factors'!$B$9*(1+'Inputs-System'!$C$18)*(1+'Inputs-System'!$C$41))*'Inputs-Proposals'!$C$23*'Inputs-Proposals'!$C$25*(1-'Inputs-Proposals'!$C$20^(V$3-'Inputs-System'!$C$7))*(VLOOKUP(V$3,'Embedded Emissions'!$A$47:$B$78,2,FALSE)+VLOOKUP(V$3,'Embedded Emissions'!$A$129:$B$158,2,FALSE)), $C9 = "3", ('Inputs-System'!$C$30*'Coincidence Factors'!$B$9*(1+'Inputs-System'!$C$18)*(1+'Inputs-System'!$C$41))*'Inputs-Proposals'!$C$29*'Inputs-Proposals'!$C$31*(1-'Inputs-Proposals'!$C$20^(V$3-'Inputs-System'!$C$7))*(VLOOKUP(V$3,'Embedded Emissions'!$A$47:$B$78,2,FALSE)+VLOOKUP(V$3,'Embedded Emissions'!$A$129:$B$158,2,FALSE)), $C9 = "0", 0), 0)</f>
        <v>0</v>
      </c>
      <c r="X9" s="44">
        <f>IFERROR(_xlfn.IFS($C9="1",( 'Inputs-System'!$C$30*'Coincidence Factors'!$B$9*(1+'Inputs-System'!$C$18)*(1+'Inputs-System'!$C$41))*('Inputs-Proposals'!$C$17*'Inputs-Proposals'!$C$19*(1-'Inputs-Proposals'!$C$20)^(V$3-'Inputs-System'!$C$7))*(VLOOKUP(V$3,DRIPE!$A$54:$I$82,5,FALSE)+VLOOKUP(V$3,DRIPE!$A$54:$I$82,9,FALSE))+ ('Inputs-System'!$C$26*'Coincidence Factors'!$B$6*(1+'Inputs-System'!$C$18)*(1+'Inputs-System'!$C$42))*'Inputs-Proposals'!$C$16*VLOOKUP(V$3,DRIPE!$A$54:$I$82,8,FALSE), $C9 = "2",( 'Inputs-System'!$C$30*'Coincidence Factors'!$B$9*(1+'Inputs-System'!$C$18)*(1+'Inputs-System'!$C$41))*('Inputs-Proposals'!$C$23*'Inputs-Proposals'!$C$25*(1-'Inputs-Proposals'!$C$26)^(V$3-'Inputs-System'!$C$7))*(VLOOKUP(V$3,DRIPE!$A$54:$I$82,5,FALSE)+VLOOKUP(V$3,DRIPE!$A$54:$I$82,9,FALSE))+ ('Inputs-System'!$C$26*'Coincidence Factors'!$B$6*(1+'Inputs-System'!$C$18)*(1+'Inputs-System'!$C$42))*'Inputs-Proposals'!$C$22*VLOOKUP(V$3,DRIPE!$A$54:$I$82,8,FALSE), $C9= "3", ( 'Inputs-System'!$C$30*'Coincidence Factors'!$B$9*(1+'Inputs-System'!$C$18)*(1+'Inputs-System'!$C$41))*('Inputs-Proposals'!$C$29*'Inputs-Proposals'!$C$31*(1-'Inputs-Proposals'!$C$32)^(V$3-'Inputs-System'!$C$7))*(VLOOKUP(V$3,DRIPE!$A$54:$I$82,5,FALSE)+VLOOKUP(V$3,DRIPE!$A$54:$I$82,9,FALSE))+ ('Inputs-System'!$C$26*'Coincidence Factors'!$B$6*(1+'Inputs-System'!$C$18)*(1+'Inputs-System'!$C$42))*'Inputs-Proposals'!$C$28*VLOOKUP(V$3,DRIPE!$A$54:$I$82,8,FALSE), $C9 = "0", 0), 0)</f>
        <v>0</v>
      </c>
      <c r="Y9" s="45">
        <f>IFERROR(_xlfn.IFS($C9="1",('Inputs-System'!$C$26*'Coincidence Factors'!$B$9*(1+'Inputs-System'!$C$18)*(1+'Inputs-System'!$C$42))*'Inputs-Proposals'!$D$16*(VLOOKUP(V$3,Capacity!$A$53:$E$85,4,FALSE)*(1+'Inputs-System'!$C$42)+VLOOKUP(V$3,Capacity!$A$53:$E$85,5,FALSE)*(1+'Inputs-System'!$C$43)*'Inputs-System'!$C$29), $C9 = "2", ('Inputs-System'!$C$26*'Coincidence Factors'!$B$9*(1+'Inputs-System'!$C$18))*'Inputs-Proposals'!$D$22*(VLOOKUP(V$3,Capacity!$A$53:$E$85,4,FALSE)*(1+'Inputs-System'!$C$42)+VLOOKUP(V$3,Capacity!$A$53:$E$85,5,FALSE)*'Inputs-System'!$C$29*(1+'Inputs-System'!$C$43)), $C9 = "3", ('Inputs-System'!$C$26*'Coincidence Factors'!$B$9*(1+'Inputs-System'!$C$18))*'Inputs-Proposals'!$D$28*(VLOOKUP(V$3,Capacity!$A$53:$E$85,4,FALSE)*(1+'Inputs-System'!$C$42)+VLOOKUP(V$3,Capacity!$A$53:$E$85,5,FALSE)*'Inputs-System'!$C$29*(1+'Inputs-System'!$C$43)), $C9 = "0", 0), 0)</f>
        <v>0</v>
      </c>
      <c r="Z9" s="44">
        <v>0</v>
      </c>
      <c r="AA9" s="342">
        <f>IFERROR(_xlfn.IFS($C9="1", 'Inputs-System'!$C$30*'Coincidence Factors'!$B$9*'Inputs-Proposals'!$C$17*'Inputs-Proposals'!$C$19*(VLOOKUP(V$3,'Non-Embedded Emissions'!$A$56:$D$90,2,FALSE)-VLOOKUP(V$3,'Non-Embedded Emissions'!$F$57:$H$88,2,FALSE)+VLOOKUP(V$3,'Non-Embedded Emissions'!$A$143:$D$174,2,FALSE)-VLOOKUP(V$3,'Non-Embedded Emissions'!$F$143:$H$174,2,FALSE)+VLOOKUP(V$3,'Non-Embedded Emissions'!$A$230:$D$259,2,FALSE)), $C9 = "2", 'Inputs-System'!$C$30*'Coincidence Factors'!$B$9*'Inputs-Proposals'!$C$23*'Inputs-Proposals'!$C$25*(VLOOKUP(V$3,'Non-Embedded Emissions'!$A$56:$D$90,2,FALSE)-VLOOKUP(V$3,'Non-Embedded Emissions'!$F$57:$H$88,2,FALSE)+VLOOKUP(V$3,'Non-Embedded Emissions'!$A$143:$D$174,2,FALSE)-VLOOKUP(V$3,'Non-Embedded Emissions'!$F$143:$H$174,2,FALSE)+VLOOKUP(V$3,'Non-Embedded Emissions'!$A$230:$D$259,2,FALSE)), $C9 = "3", 'Inputs-System'!$C$30*'Coincidence Factors'!$B$9*'Inputs-Proposals'!$C$29*'Inputs-Proposals'!$C$31*(VLOOKUP(V$3,'Non-Embedded Emissions'!$A$56:$D$90,2,FALSE)-VLOOKUP(V$3,'Non-Embedded Emissions'!$F$57:$H$88,2,FALSE)+VLOOKUP(V$3,'Non-Embedded Emissions'!$A$143:$D$174,2,FALSE)-VLOOKUP(V$3,'Non-Embedded Emissions'!$F$143:$H$174,2,FALSE)+VLOOKUP(V$3,'Non-Embedded Emissions'!$A$230:$D$259,2,FALSE)), $C9 = "0", 0), 0)</f>
        <v>0</v>
      </c>
      <c r="AB9" s="45">
        <f>IFERROR(_xlfn.IFS($C9="1",('Inputs-System'!$C$30*'Coincidence Factors'!$B$9*(1+'Inputs-System'!$C$18)*(1+'Inputs-System'!$C$41)*('Inputs-Proposals'!$C$17*'Inputs-Proposals'!$C$19*(1-'Inputs-Proposals'!$C$20^(AB$3-'Inputs-System'!$C$7)))*(VLOOKUP(AB$3,Energy!$A$51:$K$83,5,FALSE))), $C9 = "2",('Inputs-System'!$C$30*'Coincidence Factors'!$B$9)*(1+'Inputs-System'!$C$18)*(1+'Inputs-System'!$C$41)*('Inputs-Proposals'!$C$23*'Inputs-Proposals'!$C$25*(1-'Inputs-Proposals'!$C$26^(AB$3-'Inputs-System'!$C$7)))*(VLOOKUP(AB$3,Energy!$A$51:$K$83,5,FALSE)), $C9= "3", ('Inputs-System'!$C$30*'Coincidence Factors'!$B$9*(1+'Inputs-System'!$C$18)*(1+'Inputs-System'!$C$41)*('Inputs-Proposals'!$C$29*'Inputs-Proposals'!$C$31*(1-'Inputs-Proposals'!$C$32^(AB$3-'Inputs-System'!$C$7)))*(VLOOKUP(AB$3,Energy!$A$51:$K$83,5,FALSE))), $C9= "0", 0), 0)</f>
        <v>0</v>
      </c>
      <c r="AC9" s="44">
        <f>IFERROR(_xlfn.IFS($C9="1",('Inputs-System'!$C$30*'Coincidence Factors'!$B$9*(1+'Inputs-System'!$C$18)*(1+'Inputs-System'!$C$41))*'Inputs-Proposals'!$C$17*'Inputs-Proposals'!$C$19*(1-'Inputs-Proposals'!$C$20^(AB$3-'Inputs-System'!$C$7))*(VLOOKUP(AB$3,'Embedded Emissions'!$A$47:$B$78,2,FALSE)+VLOOKUP(AB$3,'Embedded Emissions'!$A$129:$B$158,2,FALSE)), $C9 = "2",('Inputs-System'!$C$30*'Coincidence Factors'!$B$9*(1+'Inputs-System'!$C$18)*(1+'Inputs-System'!$C$41))*'Inputs-Proposals'!$C$23*'Inputs-Proposals'!$C$25*(1-'Inputs-Proposals'!$C$20^(AB$3-'Inputs-System'!$C$7))*(VLOOKUP(AB$3,'Embedded Emissions'!$A$47:$B$78,2,FALSE)+VLOOKUP(AB$3,'Embedded Emissions'!$A$129:$B$158,2,FALSE)), $C9 = "3", ('Inputs-System'!$C$30*'Coincidence Factors'!$B$9*(1+'Inputs-System'!$C$18)*(1+'Inputs-System'!$C$41))*'Inputs-Proposals'!$C$29*'Inputs-Proposals'!$C$31*(1-'Inputs-Proposals'!$C$20^(AB$3-'Inputs-System'!$C$7))*(VLOOKUP(AB$3,'Embedded Emissions'!$A$47:$B$78,2,FALSE)+VLOOKUP(AB$3,'Embedded Emissions'!$A$129:$B$158,2,FALSE)), $C9 = "0", 0), 0)</f>
        <v>0</v>
      </c>
      <c r="AD9" s="44">
        <f>IFERROR(_xlfn.IFS($C9="1",( 'Inputs-System'!$C$30*'Coincidence Factors'!$B$9*(1+'Inputs-System'!$C$18)*(1+'Inputs-System'!$C$41))*('Inputs-Proposals'!$C$17*'Inputs-Proposals'!$C$19*(1-'Inputs-Proposals'!$C$20)^(AB$3-'Inputs-System'!$C$7))*(VLOOKUP(AB$3,DRIPE!$A$54:$I$82,5,FALSE)+VLOOKUP(AB$3,DRIPE!$A$54:$I$82,9,FALSE))+ ('Inputs-System'!$C$26*'Coincidence Factors'!$B$6*(1+'Inputs-System'!$C$18)*(1+'Inputs-System'!$C$42))*'Inputs-Proposals'!$C$16*VLOOKUP(AB$3,DRIPE!$A$54:$I$82,8,FALSE), $C9 = "2",( 'Inputs-System'!$C$30*'Coincidence Factors'!$B$9*(1+'Inputs-System'!$C$18)*(1+'Inputs-System'!$C$41))*('Inputs-Proposals'!$C$23*'Inputs-Proposals'!$C$25*(1-'Inputs-Proposals'!$C$26)^(AB$3-'Inputs-System'!$C$7))*(VLOOKUP(AB$3,DRIPE!$A$54:$I$82,5,FALSE)+VLOOKUP(AB$3,DRIPE!$A$54:$I$82,9,FALSE))+ ('Inputs-System'!$C$26*'Coincidence Factors'!$B$6*(1+'Inputs-System'!$C$18)*(1+'Inputs-System'!$C$42))*'Inputs-Proposals'!$C$22*VLOOKUP(AB$3,DRIPE!$A$54:$I$82,8,FALSE), $C9= "3", ( 'Inputs-System'!$C$30*'Coincidence Factors'!$B$9*(1+'Inputs-System'!$C$18)*(1+'Inputs-System'!$C$41))*('Inputs-Proposals'!$C$29*'Inputs-Proposals'!$C$31*(1-'Inputs-Proposals'!$C$32)^(AB$3-'Inputs-System'!$C$7))*(VLOOKUP(AB$3,DRIPE!$A$54:$I$82,5,FALSE)+VLOOKUP(AB$3,DRIPE!$A$54:$I$82,9,FALSE))+ ('Inputs-System'!$C$26*'Coincidence Factors'!$B$6*(1+'Inputs-System'!$C$18)*(1+'Inputs-System'!$C$42))*'Inputs-Proposals'!$C$28*VLOOKUP(AB$3,DRIPE!$A$54:$I$82,8,FALSE), $C9 = "0", 0), 0)</f>
        <v>0</v>
      </c>
      <c r="AE9" s="45">
        <f>IFERROR(_xlfn.IFS($C9="1",('Inputs-System'!$C$26*'Coincidence Factors'!$B$9*(1+'Inputs-System'!$C$18)*(1+'Inputs-System'!$C$42))*'Inputs-Proposals'!$D$16*(VLOOKUP(AB$3,Capacity!$A$53:$E$85,4,FALSE)*(1+'Inputs-System'!$C$42)+VLOOKUP(AB$3,Capacity!$A$53:$E$85,5,FALSE)*(1+'Inputs-System'!$C$43)*'Inputs-System'!$C$29), $C9 = "2", ('Inputs-System'!$C$26*'Coincidence Factors'!$B$9*(1+'Inputs-System'!$C$18))*'Inputs-Proposals'!$D$22*(VLOOKUP(AB$3,Capacity!$A$53:$E$85,4,FALSE)*(1+'Inputs-System'!$C$42)+VLOOKUP(AB$3,Capacity!$A$53:$E$85,5,FALSE)*'Inputs-System'!$C$29*(1+'Inputs-System'!$C$43)), $C9 = "3", ('Inputs-System'!$C$26*'Coincidence Factors'!$B$9*(1+'Inputs-System'!$C$18))*'Inputs-Proposals'!$D$28*(VLOOKUP(AB$3,Capacity!$A$53:$E$85,4,FALSE)*(1+'Inputs-System'!$C$42)+VLOOKUP(AB$3,Capacity!$A$53:$E$85,5,FALSE)*'Inputs-System'!$C$29*(1+'Inputs-System'!$C$43)), $C9 = "0", 0), 0)</f>
        <v>0</v>
      </c>
      <c r="AF9" s="44">
        <v>0</v>
      </c>
      <c r="AG9" s="342">
        <f>IFERROR(_xlfn.IFS($C9="1", 'Inputs-System'!$C$30*'Coincidence Factors'!$B$9*'Inputs-Proposals'!$C$17*'Inputs-Proposals'!$C$19*(VLOOKUP(AB$3,'Non-Embedded Emissions'!$A$56:$D$90,2,FALSE)-VLOOKUP(AB$3,'Non-Embedded Emissions'!$F$57:$H$88,2,FALSE)+VLOOKUP(AB$3,'Non-Embedded Emissions'!$A$143:$D$174,2,FALSE)-VLOOKUP(AB$3,'Non-Embedded Emissions'!$F$143:$H$174,2,FALSE)+VLOOKUP(AB$3,'Non-Embedded Emissions'!$A$230:$D$259,2,FALSE)), $C9 = "2", 'Inputs-System'!$C$30*'Coincidence Factors'!$B$9*'Inputs-Proposals'!$C$23*'Inputs-Proposals'!$C$25*(VLOOKUP(AB$3,'Non-Embedded Emissions'!$A$56:$D$90,2,FALSE)-VLOOKUP(AB$3,'Non-Embedded Emissions'!$F$57:$H$88,2,FALSE)+VLOOKUP(AB$3,'Non-Embedded Emissions'!$A$143:$D$174,2,FALSE)-VLOOKUP(AB$3,'Non-Embedded Emissions'!$F$143:$H$174,2,FALSE)+VLOOKUP(AB$3,'Non-Embedded Emissions'!$A$230:$D$259,2,FALSE)), $C9 = "3", 'Inputs-System'!$C$30*'Coincidence Factors'!$B$9*'Inputs-Proposals'!$C$29*'Inputs-Proposals'!$C$31*(VLOOKUP(AB$3,'Non-Embedded Emissions'!$A$56:$D$90,2,FALSE)-VLOOKUP(AB$3,'Non-Embedded Emissions'!$F$57:$H$88,2,FALSE)+VLOOKUP(AB$3,'Non-Embedded Emissions'!$A$143:$D$174,2,FALSE)-VLOOKUP(AB$3,'Non-Embedded Emissions'!$F$143:$H$174,2,FALSE)+VLOOKUP(AB$3,'Non-Embedded Emissions'!$A$230:$D$259,2,FALSE)), $C9 = "0", 0), 0)</f>
        <v>0</v>
      </c>
      <c r="AH9" s="45">
        <f>IFERROR(_xlfn.IFS($C9="1",('Inputs-System'!$C$30*'Coincidence Factors'!$B$9*(1+'Inputs-System'!$C$18)*(1+'Inputs-System'!$C$41)*('Inputs-Proposals'!$C$17*'Inputs-Proposals'!$C$19*(1-'Inputs-Proposals'!$C$20^(AH$3-'Inputs-System'!$C$7)))*(VLOOKUP(AH$3,Energy!$A$51:$K$83,5,FALSE))), $C9 = "2",('Inputs-System'!$C$30*'Coincidence Factors'!$B$9)*(1+'Inputs-System'!$C$18)*(1+'Inputs-System'!$C$41)*('Inputs-Proposals'!$C$23*'Inputs-Proposals'!$C$25*(1-'Inputs-Proposals'!$C$26^(AH$3-'Inputs-System'!$C$7)))*(VLOOKUP(AH$3,Energy!$A$51:$K$83,5,FALSE)), $C9= "3", ('Inputs-System'!$C$30*'Coincidence Factors'!$B$9*(1+'Inputs-System'!$C$18)*(1+'Inputs-System'!$C$41)*('Inputs-Proposals'!$C$29*'Inputs-Proposals'!$C$31*(1-'Inputs-Proposals'!$C$32^(AH$3-'Inputs-System'!$C$7)))*(VLOOKUP(AH$3,Energy!$A$51:$K$83,5,FALSE))), $C9= "0", 0), 0)</f>
        <v>0</v>
      </c>
      <c r="AI9" s="44">
        <f>IFERROR(_xlfn.IFS($C9="1",('Inputs-System'!$C$30*'Coincidence Factors'!$B$9*(1+'Inputs-System'!$C$18)*(1+'Inputs-System'!$C$41))*'Inputs-Proposals'!$C$17*'Inputs-Proposals'!$C$19*(1-'Inputs-Proposals'!$C$20^(AH$3-'Inputs-System'!$C$7))*(VLOOKUP(AH$3,'Embedded Emissions'!$A$47:$B$78,2,FALSE)+VLOOKUP(AH$3,'Embedded Emissions'!$A$129:$B$158,2,FALSE)), $C9 = "2",('Inputs-System'!$C$30*'Coincidence Factors'!$B$9*(1+'Inputs-System'!$C$18)*(1+'Inputs-System'!$C$41))*'Inputs-Proposals'!$C$23*'Inputs-Proposals'!$C$25*(1-'Inputs-Proposals'!$C$20^(AH$3-'Inputs-System'!$C$7))*(VLOOKUP(AH$3,'Embedded Emissions'!$A$47:$B$78,2,FALSE)+VLOOKUP(AH$3,'Embedded Emissions'!$A$129:$B$158,2,FALSE)), $C9 = "3", ('Inputs-System'!$C$30*'Coincidence Factors'!$B$9*(1+'Inputs-System'!$C$18)*(1+'Inputs-System'!$C$41))*'Inputs-Proposals'!$C$29*'Inputs-Proposals'!$C$31*(1-'Inputs-Proposals'!$C$20^(AH$3-'Inputs-System'!$C$7))*(VLOOKUP(AH$3,'Embedded Emissions'!$A$47:$B$78,2,FALSE)+VLOOKUP(AH$3,'Embedded Emissions'!$A$129:$B$158,2,FALSE)), $C9 = "0", 0), 0)</f>
        <v>0</v>
      </c>
      <c r="AJ9" s="44">
        <f>IFERROR(_xlfn.IFS($C9="1",( 'Inputs-System'!$C$30*'Coincidence Factors'!$B$9*(1+'Inputs-System'!$C$18)*(1+'Inputs-System'!$C$41))*('Inputs-Proposals'!$C$17*'Inputs-Proposals'!$C$19*(1-'Inputs-Proposals'!$C$20)^(AH$3-'Inputs-System'!$C$7))*(VLOOKUP(AH$3,DRIPE!$A$54:$I$82,5,FALSE)+VLOOKUP(AH$3,DRIPE!$A$54:$I$82,9,FALSE))+ ('Inputs-System'!$C$26*'Coincidence Factors'!$B$6*(1+'Inputs-System'!$C$18)*(1+'Inputs-System'!$C$42))*'Inputs-Proposals'!$C$16*VLOOKUP(AH$3,DRIPE!$A$54:$I$82,8,FALSE), $C9 = "2",( 'Inputs-System'!$C$30*'Coincidence Factors'!$B$9*(1+'Inputs-System'!$C$18)*(1+'Inputs-System'!$C$41))*('Inputs-Proposals'!$C$23*'Inputs-Proposals'!$C$25*(1-'Inputs-Proposals'!$C$26)^(AH$3-'Inputs-System'!$C$7))*(VLOOKUP(AH$3,DRIPE!$A$54:$I$82,5,FALSE)+VLOOKUP(AH$3,DRIPE!$A$54:$I$82,9,FALSE))+ ('Inputs-System'!$C$26*'Coincidence Factors'!$B$6*(1+'Inputs-System'!$C$18)*(1+'Inputs-System'!$C$42))*'Inputs-Proposals'!$C$22*VLOOKUP(AH$3,DRIPE!$A$54:$I$82,8,FALSE), $C9= "3", ( 'Inputs-System'!$C$30*'Coincidence Factors'!$B$9*(1+'Inputs-System'!$C$18)*(1+'Inputs-System'!$C$41))*('Inputs-Proposals'!$C$29*'Inputs-Proposals'!$C$31*(1-'Inputs-Proposals'!$C$32)^(AH$3-'Inputs-System'!$C$7))*(VLOOKUP(AH$3,DRIPE!$A$54:$I$82,5,FALSE)+VLOOKUP(AH$3,DRIPE!$A$54:$I$82,9,FALSE))+ ('Inputs-System'!$C$26*'Coincidence Factors'!$B$6*(1+'Inputs-System'!$C$18)*(1+'Inputs-System'!$C$42))*'Inputs-Proposals'!$C$28*VLOOKUP(AH$3,DRIPE!$A$54:$I$82,8,FALSE), $C9 = "0", 0), 0)</f>
        <v>0</v>
      </c>
      <c r="AK9" s="45">
        <f>IFERROR(_xlfn.IFS($C9="1",('Inputs-System'!$C$26*'Coincidence Factors'!$B$9*(1+'Inputs-System'!$C$18)*(1+'Inputs-System'!$C$42))*'Inputs-Proposals'!$D$16*(VLOOKUP(AH$3,Capacity!$A$53:$E$85,4,FALSE)*(1+'Inputs-System'!$C$42)+VLOOKUP(AH$3,Capacity!$A$53:$E$85,5,FALSE)*(1+'Inputs-System'!$C$43)*'Inputs-System'!$C$29), $C9 = "2", ('Inputs-System'!$C$26*'Coincidence Factors'!$B$9*(1+'Inputs-System'!$C$18))*'Inputs-Proposals'!$D$22*(VLOOKUP(AH$3,Capacity!$A$53:$E$85,4,FALSE)*(1+'Inputs-System'!$C$42)+VLOOKUP(AH$3,Capacity!$A$53:$E$85,5,FALSE)*'Inputs-System'!$C$29*(1+'Inputs-System'!$C$43)), $C9 = "3", ('Inputs-System'!$C$26*'Coincidence Factors'!$B$9*(1+'Inputs-System'!$C$18))*'Inputs-Proposals'!$D$28*(VLOOKUP(AH$3,Capacity!$A$53:$E$85,4,FALSE)*(1+'Inputs-System'!$C$42)+VLOOKUP(AH$3,Capacity!$A$53:$E$85,5,FALSE)*'Inputs-System'!$C$29*(1+'Inputs-System'!$C$43)), $C9 = "0", 0), 0)</f>
        <v>0</v>
      </c>
      <c r="AL9" s="44">
        <v>0</v>
      </c>
      <c r="AM9" s="342">
        <f>IFERROR(_xlfn.IFS($C9="1", 'Inputs-System'!$C$30*'Coincidence Factors'!$B$9*'Inputs-Proposals'!$C$17*'Inputs-Proposals'!$C$19*(VLOOKUP(AH$3,'Non-Embedded Emissions'!$A$56:$D$90,2,FALSE)-VLOOKUP(AH$3,'Non-Embedded Emissions'!$F$57:$H$88,2,FALSE)+VLOOKUP(AH$3,'Non-Embedded Emissions'!$A$143:$D$174,2,FALSE)-VLOOKUP(AH$3,'Non-Embedded Emissions'!$F$143:$H$174,2,FALSE)+VLOOKUP(AH$3,'Non-Embedded Emissions'!$A$230:$D$259,2,FALSE)), $C9 = "2", 'Inputs-System'!$C$30*'Coincidence Factors'!$B$9*'Inputs-Proposals'!$C$23*'Inputs-Proposals'!$C$25*(VLOOKUP(AH$3,'Non-Embedded Emissions'!$A$56:$D$90,2,FALSE)-VLOOKUP(AH$3,'Non-Embedded Emissions'!$F$57:$H$88,2,FALSE)+VLOOKUP(AH$3,'Non-Embedded Emissions'!$A$143:$D$174,2,FALSE)-VLOOKUP(AH$3,'Non-Embedded Emissions'!$F$143:$H$174,2,FALSE)+VLOOKUP(AH$3,'Non-Embedded Emissions'!$A$230:$D$259,2,FALSE)), $C9 = "3", 'Inputs-System'!$C$30*'Coincidence Factors'!$B$9*'Inputs-Proposals'!$C$29*'Inputs-Proposals'!$C$31*(VLOOKUP(AH$3,'Non-Embedded Emissions'!$A$56:$D$90,2,FALSE)-VLOOKUP(AH$3,'Non-Embedded Emissions'!$F$57:$H$88,2,FALSE)+VLOOKUP(AH$3,'Non-Embedded Emissions'!$A$143:$D$174,2,FALSE)-VLOOKUP(AH$3,'Non-Embedded Emissions'!$F$143:$H$174,2,FALSE)+VLOOKUP(AH$3,'Non-Embedded Emissions'!$A$230:$D$259,2,FALSE)), $C9 = "0", 0), 0)</f>
        <v>0</v>
      </c>
      <c r="AN9" s="45">
        <f>IFERROR(_xlfn.IFS($C9="1",('Inputs-System'!$C$30*'Coincidence Factors'!$B$9*(1+'Inputs-System'!$C$18)*(1+'Inputs-System'!$C$41)*('Inputs-Proposals'!$C$17*'Inputs-Proposals'!$C$19*(1-'Inputs-Proposals'!$C$20^(AN$3-'Inputs-System'!$C$7)))*(VLOOKUP(AN$3,Energy!$A$51:$K$83,5,FALSE))), $C9 = "2",('Inputs-System'!$C$30*'Coincidence Factors'!$B$9)*(1+'Inputs-System'!$C$18)*(1+'Inputs-System'!$C$41)*('Inputs-Proposals'!$C$23*'Inputs-Proposals'!$C$25*(1-'Inputs-Proposals'!$C$26^(AN$3-'Inputs-System'!$C$7)))*(VLOOKUP(AN$3,Energy!$A$51:$K$83,5,FALSE)), $C9= "3", ('Inputs-System'!$C$30*'Coincidence Factors'!$B$9*(1+'Inputs-System'!$C$18)*(1+'Inputs-System'!$C$41)*('Inputs-Proposals'!$C$29*'Inputs-Proposals'!$C$31*(1-'Inputs-Proposals'!$C$32^(AN$3-'Inputs-System'!$C$7)))*(VLOOKUP(AN$3,Energy!$A$51:$K$83,5,FALSE))), $C9= "0", 0), 0)</f>
        <v>0</v>
      </c>
      <c r="AO9" s="44">
        <f>IFERROR(_xlfn.IFS($C9="1",('Inputs-System'!$C$30*'Coincidence Factors'!$B$9*(1+'Inputs-System'!$C$18)*(1+'Inputs-System'!$C$41))*'Inputs-Proposals'!$C$17*'Inputs-Proposals'!$C$19*(1-'Inputs-Proposals'!$C$20^(AN$3-'Inputs-System'!$C$7))*(VLOOKUP(AN$3,'Embedded Emissions'!$A$47:$B$78,2,FALSE)+VLOOKUP(AN$3,'Embedded Emissions'!$A$129:$B$158,2,FALSE)), $C9 = "2",('Inputs-System'!$C$30*'Coincidence Factors'!$B$9*(1+'Inputs-System'!$C$18)*(1+'Inputs-System'!$C$41))*'Inputs-Proposals'!$C$23*'Inputs-Proposals'!$C$25*(1-'Inputs-Proposals'!$C$20^(AN$3-'Inputs-System'!$C$7))*(VLOOKUP(AN$3,'Embedded Emissions'!$A$47:$B$78,2,FALSE)+VLOOKUP(AN$3,'Embedded Emissions'!$A$129:$B$158,2,FALSE)), $C9 = "3", ('Inputs-System'!$C$30*'Coincidence Factors'!$B$9*(1+'Inputs-System'!$C$18)*(1+'Inputs-System'!$C$41))*'Inputs-Proposals'!$C$29*'Inputs-Proposals'!$C$31*(1-'Inputs-Proposals'!$C$20^(AN$3-'Inputs-System'!$C$7))*(VLOOKUP(AN$3,'Embedded Emissions'!$A$47:$B$78,2,FALSE)+VLOOKUP(AN$3,'Embedded Emissions'!$A$129:$B$158,2,FALSE)), $C9 = "0", 0), 0)</f>
        <v>0</v>
      </c>
      <c r="AP9" s="44">
        <f>IFERROR(_xlfn.IFS($C9="1",( 'Inputs-System'!$C$30*'Coincidence Factors'!$B$9*(1+'Inputs-System'!$C$18)*(1+'Inputs-System'!$C$41))*('Inputs-Proposals'!$C$17*'Inputs-Proposals'!$C$19*(1-'Inputs-Proposals'!$C$20)^(AN$3-'Inputs-System'!$C$7))*(VLOOKUP(AN$3,DRIPE!$A$54:$I$82,5,FALSE)+VLOOKUP(AN$3,DRIPE!$A$54:$I$82,9,FALSE))+ ('Inputs-System'!$C$26*'Coincidence Factors'!$B$6*(1+'Inputs-System'!$C$18)*(1+'Inputs-System'!$C$42))*'Inputs-Proposals'!$C$16*VLOOKUP(AN$3,DRIPE!$A$54:$I$82,8,FALSE), $C9 = "2",( 'Inputs-System'!$C$30*'Coincidence Factors'!$B$9*(1+'Inputs-System'!$C$18)*(1+'Inputs-System'!$C$41))*('Inputs-Proposals'!$C$23*'Inputs-Proposals'!$C$25*(1-'Inputs-Proposals'!$C$26)^(AN$3-'Inputs-System'!$C$7))*(VLOOKUP(AN$3,DRIPE!$A$54:$I$82,5,FALSE)+VLOOKUP(AN$3,DRIPE!$A$54:$I$82,9,FALSE))+ ('Inputs-System'!$C$26*'Coincidence Factors'!$B$6*(1+'Inputs-System'!$C$18)*(1+'Inputs-System'!$C$42))*'Inputs-Proposals'!$C$22*VLOOKUP(AN$3,DRIPE!$A$54:$I$82,8,FALSE), $C9= "3", ( 'Inputs-System'!$C$30*'Coincidence Factors'!$B$9*(1+'Inputs-System'!$C$18)*(1+'Inputs-System'!$C$41))*('Inputs-Proposals'!$C$29*'Inputs-Proposals'!$C$31*(1-'Inputs-Proposals'!$C$32)^(AN$3-'Inputs-System'!$C$7))*(VLOOKUP(AN$3,DRIPE!$A$54:$I$82,5,FALSE)+VLOOKUP(AN$3,DRIPE!$A$54:$I$82,9,FALSE))+ ('Inputs-System'!$C$26*'Coincidence Factors'!$B$6*(1+'Inputs-System'!$C$18)*(1+'Inputs-System'!$C$42))*'Inputs-Proposals'!$C$28*VLOOKUP(AN$3,DRIPE!$A$54:$I$82,8,FALSE), $C9 = "0", 0), 0)</f>
        <v>0</v>
      </c>
      <c r="AQ9" s="45">
        <f>IFERROR(_xlfn.IFS($C9="1",('Inputs-System'!$C$26*'Coincidence Factors'!$B$9*(1+'Inputs-System'!$C$18)*(1+'Inputs-System'!$C$42))*'Inputs-Proposals'!$D$16*(VLOOKUP(AN$3,Capacity!$A$53:$E$85,4,FALSE)*(1+'Inputs-System'!$C$42)+VLOOKUP(AN$3,Capacity!$A$53:$E$85,5,FALSE)*(1+'Inputs-System'!$C$43)*'Inputs-System'!$C$29), $C9 = "2", ('Inputs-System'!$C$26*'Coincidence Factors'!$B$9*(1+'Inputs-System'!$C$18))*'Inputs-Proposals'!$D$22*(VLOOKUP(AN$3,Capacity!$A$53:$E$85,4,FALSE)*(1+'Inputs-System'!$C$42)+VLOOKUP(AN$3,Capacity!$A$53:$E$85,5,FALSE)*'Inputs-System'!$C$29*(1+'Inputs-System'!$C$43)), $C9 = "3", ('Inputs-System'!$C$26*'Coincidence Factors'!$B$9*(1+'Inputs-System'!$C$18))*'Inputs-Proposals'!$D$28*(VLOOKUP(AN$3,Capacity!$A$53:$E$85,4,FALSE)*(1+'Inputs-System'!$C$42)+VLOOKUP(AN$3,Capacity!$A$53:$E$85,5,FALSE)*'Inputs-System'!$C$29*(1+'Inputs-System'!$C$43)), $C9 = "0", 0), 0)</f>
        <v>0</v>
      </c>
      <c r="AR9" s="44">
        <v>0</v>
      </c>
      <c r="AS9" s="342">
        <f>IFERROR(_xlfn.IFS($C9="1", 'Inputs-System'!$C$30*'Coincidence Factors'!$B$9*'Inputs-Proposals'!$C$17*'Inputs-Proposals'!$C$19*(VLOOKUP(AN$3,'Non-Embedded Emissions'!$A$56:$D$90,2,FALSE)-VLOOKUP(AN$3,'Non-Embedded Emissions'!$F$57:$H$88,2,FALSE)+VLOOKUP(AN$3,'Non-Embedded Emissions'!$A$143:$D$174,2,FALSE)-VLOOKUP(AN$3,'Non-Embedded Emissions'!$F$143:$H$174,2,FALSE)+VLOOKUP(AN$3,'Non-Embedded Emissions'!$A$230:$D$259,2,FALSE)), $C9 = "2", 'Inputs-System'!$C$30*'Coincidence Factors'!$B$9*'Inputs-Proposals'!$C$23*'Inputs-Proposals'!$C$25*(VLOOKUP(AN$3,'Non-Embedded Emissions'!$A$56:$D$90,2,FALSE)-VLOOKUP(AN$3,'Non-Embedded Emissions'!$F$57:$H$88,2,FALSE)+VLOOKUP(AN$3,'Non-Embedded Emissions'!$A$143:$D$174,2,FALSE)-VLOOKUP(AN$3,'Non-Embedded Emissions'!$F$143:$H$174,2,FALSE)+VLOOKUP(AN$3,'Non-Embedded Emissions'!$A$230:$D$259,2,FALSE)), $C9 = "3", 'Inputs-System'!$C$30*'Coincidence Factors'!$B$9*'Inputs-Proposals'!$C$29*'Inputs-Proposals'!$C$31*(VLOOKUP(AN$3,'Non-Embedded Emissions'!$A$56:$D$90,2,FALSE)-VLOOKUP(AN$3,'Non-Embedded Emissions'!$F$57:$H$88,2,FALSE)+VLOOKUP(AN$3,'Non-Embedded Emissions'!$A$143:$D$174,2,FALSE)-VLOOKUP(AN$3,'Non-Embedded Emissions'!$F$143:$H$174,2,FALSE)+VLOOKUP(AN$3,'Non-Embedded Emissions'!$A$230:$D$259,2,FALSE)), $C9 = "0", 0), 0)</f>
        <v>0</v>
      </c>
      <c r="AT9" s="45">
        <f>IFERROR(_xlfn.IFS($C9="1",('Inputs-System'!$C$30*'Coincidence Factors'!$B$9*(1+'Inputs-System'!$C$18)*(1+'Inputs-System'!$C$41)*('Inputs-Proposals'!$C$17*'Inputs-Proposals'!$C$19*(1-'Inputs-Proposals'!$C$20^(AT$3-'Inputs-System'!$C$7)))*(VLOOKUP(AT$3,Energy!$A$51:$K$83,5,FALSE))), $C9 = "2",('Inputs-System'!$C$30*'Coincidence Factors'!$B$9)*(1+'Inputs-System'!$C$18)*(1+'Inputs-System'!$C$41)*('Inputs-Proposals'!$C$23*'Inputs-Proposals'!$C$25*(1-'Inputs-Proposals'!$C$26^(AT$3-'Inputs-System'!$C$7)))*(VLOOKUP(AT$3,Energy!$A$51:$K$83,5,FALSE)), $C9= "3", ('Inputs-System'!$C$30*'Coincidence Factors'!$B$9*(1+'Inputs-System'!$C$18)*(1+'Inputs-System'!$C$41)*('Inputs-Proposals'!$C$29*'Inputs-Proposals'!$C$31*(1-'Inputs-Proposals'!$C$32^(AT$3-'Inputs-System'!$C$7)))*(VLOOKUP(AT$3,Energy!$A$51:$K$83,5,FALSE))), $C9= "0", 0), 0)</f>
        <v>0</v>
      </c>
      <c r="AU9" s="44">
        <f>IFERROR(_xlfn.IFS($C9="1",('Inputs-System'!$C$30*'Coincidence Factors'!$B$9*(1+'Inputs-System'!$C$18)*(1+'Inputs-System'!$C$41))*'Inputs-Proposals'!$C$17*'Inputs-Proposals'!$C$19*(1-'Inputs-Proposals'!$C$20^(AT$3-'Inputs-System'!$C$7))*(VLOOKUP(AT$3,'Embedded Emissions'!$A$47:$B$78,2,FALSE)+VLOOKUP(AT$3,'Embedded Emissions'!$A$129:$B$158,2,FALSE)), $C9 = "2",('Inputs-System'!$C$30*'Coincidence Factors'!$B$9*(1+'Inputs-System'!$C$18)*(1+'Inputs-System'!$C$41))*'Inputs-Proposals'!$C$23*'Inputs-Proposals'!$C$25*(1-'Inputs-Proposals'!$C$20^(AT$3-'Inputs-System'!$C$7))*(VLOOKUP(AT$3,'Embedded Emissions'!$A$47:$B$78,2,FALSE)+VLOOKUP(AT$3,'Embedded Emissions'!$A$129:$B$158,2,FALSE)), $C9 = "3", ('Inputs-System'!$C$30*'Coincidence Factors'!$B$9*(1+'Inputs-System'!$C$18)*(1+'Inputs-System'!$C$41))*'Inputs-Proposals'!$C$29*'Inputs-Proposals'!$C$31*(1-'Inputs-Proposals'!$C$20^(AT$3-'Inputs-System'!$C$7))*(VLOOKUP(AT$3,'Embedded Emissions'!$A$47:$B$78,2,FALSE)+VLOOKUP(AT$3,'Embedded Emissions'!$A$129:$B$158,2,FALSE)), $C9 = "0", 0), 0)</f>
        <v>0</v>
      </c>
      <c r="AV9" s="44">
        <f>IFERROR(_xlfn.IFS($C9="1",( 'Inputs-System'!$C$30*'Coincidence Factors'!$B$9*(1+'Inputs-System'!$C$18)*(1+'Inputs-System'!$C$41))*('Inputs-Proposals'!$C$17*'Inputs-Proposals'!$C$19*(1-'Inputs-Proposals'!$C$20)^(AT$3-'Inputs-System'!$C$7))*(VLOOKUP(AT$3,DRIPE!$A$54:$I$82,5,FALSE)+VLOOKUP(AT$3,DRIPE!$A$54:$I$82,9,FALSE))+ ('Inputs-System'!$C$26*'Coincidence Factors'!$B$6*(1+'Inputs-System'!$C$18)*(1+'Inputs-System'!$C$42))*'Inputs-Proposals'!$C$16*VLOOKUP(AT$3,DRIPE!$A$54:$I$82,8,FALSE), $C9 = "2",( 'Inputs-System'!$C$30*'Coincidence Factors'!$B$9*(1+'Inputs-System'!$C$18)*(1+'Inputs-System'!$C$41))*('Inputs-Proposals'!$C$23*'Inputs-Proposals'!$C$25*(1-'Inputs-Proposals'!$C$26)^(AT$3-'Inputs-System'!$C$7))*(VLOOKUP(AT$3,DRIPE!$A$54:$I$82,5,FALSE)+VLOOKUP(AT$3,DRIPE!$A$54:$I$82,9,FALSE))+ ('Inputs-System'!$C$26*'Coincidence Factors'!$B$6*(1+'Inputs-System'!$C$18)*(1+'Inputs-System'!$C$42))*'Inputs-Proposals'!$C$22*VLOOKUP(AT$3,DRIPE!$A$54:$I$82,8,FALSE), $C9= "3", ( 'Inputs-System'!$C$30*'Coincidence Factors'!$B$9*(1+'Inputs-System'!$C$18)*(1+'Inputs-System'!$C$41))*('Inputs-Proposals'!$C$29*'Inputs-Proposals'!$C$31*(1-'Inputs-Proposals'!$C$32)^(AT$3-'Inputs-System'!$C$7))*(VLOOKUP(AT$3,DRIPE!$A$54:$I$82,5,FALSE)+VLOOKUP(AT$3,DRIPE!$A$54:$I$82,9,FALSE))+ ('Inputs-System'!$C$26*'Coincidence Factors'!$B$6*(1+'Inputs-System'!$C$18)*(1+'Inputs-System'!$C$42))*'Inputs-Proposals'!$C$28*VLOOKUP(AT$3,DRIPE!$A$54:$I$82,8,FALSE), $C9 = "0", 0), 0)</f>
        <v>0</v>
      </c>
      <c r="AW9" s="45">
        <f>IFERROR(_xlfn.IFS($C9="1",('Inputs-System'!$C$26*'Coincidence Factors'!$B$9*(1+'Inputs-System'!$C$18)*(1+'Inputs-System'!$C$42))*'Inputs-Proposals'!$D$16*(VLOOKUP(AT$3,Capacity!$A$53:$E$85,4,FALSE)*(1+'Inputs-System'!$C$42)+VLOOKUP(AT$3,Capacity!$A$53:$E$85,5,FALSE)*(1+'Inputs-System'!$C$43)*'Inputs-System'!$C$29), $C9 = "2", ('Inputs-System'!$C$26*'Coincidence Factors'!$B$9*(1+'Inputs-System'!$C$18))*'Inputs-Proposals'!$D$22*(VLOOKUP(AT$3,Capacity!$A$53:$E$85,4,FALSE)*(1+'Inputs-System'!$C$42)+VLOOKUP(AT$3,Capacity!$A$53:$E$85,5,FALSE)*'Inputs-System'!$C$29*(1+'Inputs-System'!$C$43)), $C9 = "3", ('Inputs-System'!$C$26*'Coincidence Factors'!$B$9*(1+'Inputs-System'!$C$18))*'Inputs-Proposals'!$D$28*(VLOOKUP(AT$3,Capacity!$A$53:$E$85,4,FALSE)*(1+'Inputs-System'!$C$42)+VLOOKUP(AT$3,Capacity!$A$53:$E$85,5,FALSE)*'Inputs-System'!$C$29*(1+'Inputs-System'!$C$43)), $C9 = "0", 0), 0)</f>
        <v>0</v>
      </c>
      <c r="AX9" s="44">
        <v>0</v>
      </c>
      <c r="AY9" s="342">
        <f>IFERROR(_xlfn.IFS($C9="1", 'Inputs-System'!$C$30*'Coincidence Factors'!$B$9*'Inputs-Proposals'!$C$17*'Inputs-Proposals'!$C$19*(VLOOKUP(AT$3,'Non-Embedded Emissions'!$A$56:$D$90,2,FALSE)-VLOOKUP(AT$3,'Non-Embedded Emissions'!$F$57:$H$88,2,FALSE)+VLOOKUP(AT$3,'Non-Embedded Emissions'!$A$143:$D$174,2,FALSE)-VLOOKUP(AT$3,'Non-Embedded Emissions'!$F$143:$H$174,2,FALSE)+VLOOKUP(AT$3,'Non-Embedded Emissions'!$A$230:$D$259,2,FALSE)), $C9 = "2", 'Inputs-System'!$C$30*'Coincidence Factors'!$B$9*'Inputs-Proposals'!$C$23*'Inputs-Proposals'!$C$25*(VLOOKUP(AT$3,'Non-Embedded Emissions'!$A$56:$D$90,2,FALSE)-VLOOKUP(AT$3,'Non-Embedded Emissions'!$F$57:$H$88,2,FALSE)+VLOOKUP(AT$3,'Non-Embedded Emissions'!$A$143:$D$174,2,FALSE)-VLOOKUP(AT$3,'Non-Embedded Emissions'!$F$143:$H$174,2,FALSE)+VLOOKUP(AT$3,'Non-Embedded Emissions'!$A$230:$D$259,2,FALSE)), $C9 = "3", 'Inputs-System'!$C$30*'Coincidence Factors'!$B$9*'Inputs-Proposals'!$C$29*'Inputs-Proposals'!$C$31*(VLOOKUP(AT$3,'Non-Embedded Emissions'!$A$56:$D$90,2,FALSE)-VLOOKUP(AT$3,'Non-Embedded Emissions'!$F$57:$H$88,2,FALSE)+VLOOKUP(AT$3,'Non-Embedded Emissions'!$A$143:$D$174,2,FALSE)-VLOOKUP(AT$3,'Non-Embedded Emissions'!$F$143:$H$174,2,FALSE)+VLOOKUP(AT$3,'Non-Embedded Emissions'!$A$230:$D$259,2,FALSE)), $C9 = "0", 0), 0)</f>
        <v>0</v>
      </c>
      <c r="AZ9" s="45">
        <f>IFERROR(_xlfn.IFS($C9="1",('Inputs-System'!$C$30*'Coincidence Factors'!$B$9*(1+'Inputs-System'!$C$18)*(1+'Inputs-System'!$C$41)*('Inputs-Proposals'!$C$17*'Inputs-Proposals'!$C$19*(1-'Inputs-Proposals'!$C$20^(AZ$3-'Inputs-System'!$C$7)))*(VLOOKUP(AZ$3,Energy!$A$51:$K$83,5,FALSE))), $C9 = "2",('Inputs-System'!$C$30*'Coincidence Factors'!$B$9)*(1+'Inputs-System'!$C$18)*(1+'Inputs-System'!$C$41)*('Inputs-Proposals'!$C$23*'Inputs-Proposals'!$C$25*(1-'Inputs-Proposals'!$C$26^(AZ$3-'Inputs-System'!$C$7)))*(VLOOKUP(AZ$3,Energy!$A$51:$K$83,5,FALSE)), $C9= "3", ('Inputs-System'!$C$30*'Coincidence Factors'!$B$9*(1+'Inputs-System'!$C$18)*(1+'Inputs-System'!$C$41)*('Inputs-Proposals'!$C$29*'Inputs-Proposals'!$C$31*(1-'Inputs-Proposals'!$C$32^(AZ$3-'Inputs-System'!$C$7)))*(VLOOKUP(AZ$3,Energy!$A$51:$K$83,5,FALSE))), $C9= "0", 0), 0)</f>
        <v>0</v>
      </c>
      <c r="BA9" s="44">
        <f>IFERROR(_xlfn.IFS($C9="1",('Inputs-System'!$C$30*'Coincidence Factors'!$B$9*(1+'Inputs-System'!$C$18)*(1+'Inputs-System'!$C$41))*'Inputs-Proposals'!$C$17*'Inputs-Proposals'!$C$19*(1-'Inputs-Proposals'!$C$20^(AZ$3-'Inputs-System'!$C$7))*(VLOOKUP(AZ$3,'Embedded Emissions'!$A$47:$B$78,2,FALSE)+VLOOKUP(AZ$3,'Embedded Emissions'!$A$129:$B$158,2,FALSE)), $C9 = "2",('Inputs-System'!$C$30*'Coincidence Factors'!$B$9*(1+'Inputs-System'!$C$18)*(1+'Inputs-System'!$C$41))*'Inputs-Proposals'!$C$23*'Inputs-Proposals'!$C$25*(1-'Inputs-Proposals'!$C$20^(AZ$3-'Inputs-System'!$C$7))*(VLOOKUP(AZ$3,'Embedded Emissions'!$A$47:$B$78,2,FALSE)+VLOOKUP(AZ$3,'Embedded Emissions'!$A$129:$B$158,2,FALSE)), $C9 = "3", ('Inputs-System'!$C$30*'Coincidence Factors'!$B$9*(1+'Inputs-System'!$C$18)*(1+'Inputs-System'!$C$41))*'Inputs-Proposals'!$C$29*'Inputs-Proposals'!$C$31*(1-'Inputs-Proposals'!$C$20^(AZ$3-'Inputs-System'!$C$7))*(VLOOKUP(AZ$3,'Embedded Emissions'!$A$47:$B$78,2,FALSE)+VLOOKUP(AZ$3,'Embedded Emissions'!$A$129:$B$158,2,FALSE)), $C9 = "0", 0), 0)</f>
        <v>0</v>
      </c>
      <c r="BB9" s="44">
        <f>IFERROR(_xlfn.IFS($C9="1",( 'Inputs-System'!$C$30*'Coincidence Factors'!$B$9*(1+'Inputs-System'!$C$18)*(1+'Inputs-System'!$C$41))*('Inputs-Proposals'!$C$17*'Inputs-Proposals'!$C$19*(1-'Inputs-Proposals'!$C$20)^(AZ$3-'Inputs-System'!$C$7))*(VLOOKUP(AZ$3,DRIPE!$A$54:$I$82,5,FALSE)+VLOOKUP(AZ$3,DRIPE!$A$54:$I$82,9,FALSE))+ ('Inputs-System'!$C$26*'Coincidence Factors'!$B$6*(1+'Inputs-System'!$C$18)*(1+'Inputs-System'!$C$42))*'Inputs-Proposals'!$C$16*VLOOKUP(AZ$3,DRIPE!$A$54:$I$82,8,FALSE), $C9 = "2",( 'Inputs-System'!$C$30*'Coincidence Factors'!$B$9*(1+'Inputs-System'!$C$18)*(1+'Inputs-System'!$C$41))*('Inputs-Proposals'!$C$23*'Inputs-Proposals'!$C$25*(1-'Inputs-Proposals'!$C$26)^(AZ$3-'Inputs-System'!$C$7))*(VLOOKUP(AZ$3,DRIPE!$A$54:$I$82,5,FALSE)+VLOOKUP(AZ$3,DRIPE!$A$54:$I$82,9,FALSE))+ ('Inputs-System'!$C$26*'Coincidence Factors'!$B$6*(1+'Inputs-System'!$C$18)*(1+'Inputs-System'!$C$42))*'Inputs-Proposals'!$C$22*VLOOKUP(AZ$3,DRIPE!$A$54:$I$82,8,FALSE), $C9= "3", ( 'Inputs-System'!$C$30*'Coincidence Factors'!$B$9*(1+'Inputs-System'!$C$18)*(1+'Inputs-System'!$C$41))*('Inputs-Proposals'!$C$29*'Inputs-Proposals'!$C$31*(1-'Inputs-Proposals'!$C$32)^(AZ$3-'Inputs-System'!$C$7))*(VLOOKUP(AZ$3,DRIPE!$A$54:$I$82,5,FALSE)+VLOOKUP(AZ$3,DRIPE!$A$54:$I$82,9,FALSE))+ ('Inputs-System'!$C$26*'Coincidence Factors'!$B$6*(1+'Inputs-System'!$C$18)*(1+'Inputs-System'!$C$42))*'Inputs-Proposals'!$C$28*VLOOKUP(AZ$3,DRIPE!$A$54:$I$82,8,FALSE), $C9 = "0", 0), 0)</f>
        <v>0</v>
      </c>
      <c r="BC9" s="45">
        <f>IFERROR(_xlfn.IFS($C9="1",('Inputs-System'!$C$26*'Coincidence Factors'!$B$9*(1+'Inputs-System'!$C$18)*(1+'Inputs-System'!$C$42))*'Inputs-Proposals'!$D$16*(VLOOKUP(AZ$3,Capacity!$A$53:$E$85,4,FALSE)*(1+'Inputs-System'!$C$42)+VLOOKUP(AZ$3,Capacity!$A$53:$E$85,5,FALSE)*(1+'Inputs-System'!$C$43)*'Inputs-System'!$C$29), $C9 = "2", ('Inputs-System'!$C$26*'Coincidence Factors'!$B$9*(1+'Inputs-System'!$C$18))*'Inputs-Proposals'!$D$22*(VLOOKUP(AZ$3,Capacity!$A$53:$E$85,4,FALSE)*(1+'Inputs-System'!$C$42)+VLOOKUP(AZ$3,Capacity!$A$53:$E$85,5,FALSE)*'Inputs-System'!$C$29*(1+'Inputs-System'!$C$43)), $C9 = "3", ('Inputs-System'!$C$26*'Coincidence Factors'!$B$9*(1+'Inputs-System'!$C$18))*'Inputs-Proposals'!$D$28*(VLOOKUP(AZ$3,Capacity!$A$53:$E$85,4,FALSE)*(1+'Inputs-System'!$C$42)+VLOOKUP(AZ$3,Capacity!$A$53:$E$85,5,FALSE)*'Inputs-System'!$C$29*(1+'Inputs-System'!$C$43)), $C9 = "0", 0), 0)</f>
        <v>0</v>
      </c>
      <c r="BD9" s="44">
        <v>0</v>
      </c>
      <c r="BE9" s="342">
        <f>IFERROR(_xlfn.IFS($C9="1", 'Inputs-System'!$C$30*'Coincidence Factors'!$B$9*'Inputs-Proposals'!$C$17*'Inputs-Proposals'!$C$19*(VLOOKUP(AZ$3,'Non-Embedded Emissions'!$A$56:$D$90,2,FALSE)-VLOOKUP(AZ$3,'Non-Embedded Emissions'!$F$57:$H$88,2,FALSE)+VLOOKUP(AZ$3,'Non-Embedded Emissions'!$A$143:$D$174,2,FALSE)-VLOOKUP(AZ$3,'Non-Embedded Emissions'!$F$143:$H$174,2,FALSE)+VLOOKUP(AZ$3,'Non-Embedded Emissions'!$A$230:$D$259,2,FALSE)), $C9 = "2", 'Inputs-System'!$C$30*'Coincidence Factors'!$B$9*'Inputs-Proposals'!$C$23*'Inputs-Proposals'!$C$25*(VLOOKUP(AZ$3,'Non-Embedded Emissions'!$A$56:$D$90,2,FALSE)-VLOOKUP(AZ$3,'Non-Embedded Emissions'!$F$57:$H$88,2,FALSE)+VLOOKUP(AZ$3,'Non-Embedded Emissions'!$A$143:$D$174,2,FALSE)-VLOOKUP(AZ$3,'Non-Embedded Emissions'!$F$143:$H$174,2,FALSE)+VLOOKUP(AZ$3,'Non-Embedded Emissions'!$A$230:$D$259,2,FALSE)), $C9 = "3", 'Inputs-System'!$C$30*'Coincidence Factors'!$B$9*'Inputs-Proposals'!$C$29*'Inputs-Proposals'!$C$31*(VLOOKUP(AZ$3,'Non-Embedded Emissions'!$A$56:$D$90,2,FALSE)-VLOOKUP(AZ$3,'Non-Embedded Emissions'!$F$57:$H$88,2,FALSE)+VLOOKUP(AZ$3,'Non-Embedded Emissions'!$A$143:$D$174,2,FALSE)-VLOOKUP(AZ$3,'Non-Embedded Emissions'!$F$143:$H$174,2,FALSE)+VLOOKUP(AZ$3,'Non-Embedded Emissions'!$A$230:$D$259,2,FALSE)), $C9 = "0", 0), 0)</f>
        <v>0</v>
      </c>
      <c r="BF9" s="45">
        <f>IFERROR(_xlfn.IFS($C9="1",('Inputs-System'!$C$30*'Coincidence Factors'!$B$9*(1+'Inputs-System'!$C$18)*(1+'Inputs-System'!$C$41)*('Inputs-Proposals'!$C$17*'Inputs-Proposals'!$C$19*(1-'Inputs-Proposals'!$C$20^(BF$3-'Inputs-System'!$C$7)))*(VLOOKUP(BF$3,Energy!$A$51:$K$83,5,FALSE))), $C9 = "2",('Inputs-System'!$C$30*'Coincidence Factors'!$B$9)*(1+'Inputs-System'!$C$18)*(1+'Inputs-System'!$C$41)*('Inputs-Proposals'!$C$23*'Inputs-Proposals'!$C$25*(1-'Inputs-Proposals'!$C$26^(BF$3-'Inputs-System'!$C$7)))*(VLOOKUP(BF$3,Energy!$A$51:$K$83,5,FALSE)), $C9= "3", ('Inputs-System'!$C$30*'Coincidence Factors'!$B$9*(1+'Inputs-System'!$C$18)*(1+'Inputs-System'!$C$41)*('Inputs-Proposals'!$C$29*'Inputs-Proposals'!$C$31*(1-'Inputs-Proposals'!$C$32^(BF$3-'Inputs-System'!$C$7)))*(VLOOKUP(BF$3,Energy!$A$51:$K$83,5,FALSE))), $C9= "0", 0), 0)</f>
        <v>0</v>
      </c>
      <c r="BG9" s="44">
        <f>IFERROR(_xlfn.IFS($C9="1",('Inputs-System'!$C$30*'Coincidence Factors'!$B$9*(1+'Inputs-System'!$C$18)*(1+'Inputs-System'!$C$41))*'Inputs-Proposals'!$C$17*'Inputs-Proposals'!$C$19*(1-'Inputs-Proposals'!$C$20^(BF$3-'Inputs-System'!$C$7))*(VLOOKUP(BF$3,'Embedded Emissions'!$A$47:$B$78,2,FALSE)+VLOOKUP(BF$3,'Embedded Emissions'!$A$129:$B$158,2,FALSE)), $C9 = "2",('Inputs-System'!$C$30*'Coincidence Factors'!$B$9*(1+'Inputs-System'!$C$18)*(1+'Inputs-System'!$C$41))*'Inputs-Proposals'!$C$23*'Inputs-Proposals'!$C$25*(1-'Inputs-Proposals'!$C$20^(BF$3-'Inputs-System'!$C$7))*(VLOOKUP(BF$3,'Embedded Emissions'!$A$47:$B$78,2,FALSE)+VLOOKUP(BF$3,'Embedded Emissions'!$A$129:$B$158,2,FALSE)), $C9 = "3", ('Inputs-System'!$C$30*'Coincidence Factors'!$B$9*(1+'Inputs-System'!$C$18)*(1+'Inputs-System'!$C$41))*'Inputs-Proposals'!$C$29*'Inputs-Proposals'!$C$31*(1-'Inputs-Proposals'!$C$20^(BF$3-'Inputs-System'!$C$7))*(VLOOKUP(BF$3,'Embedded Emissions'!$A$47:$B$78,2,FALSE)+VLOOKUP(BF$3,'Embedded Emissions'!$A$129:$B$158,2,FALSE)), $C9 = "0", 0), 0)</f>
        <v>0</v>
      </c>
      <c r="BH9" s="44">
        <f>IFERROR(_xlfn.IFS($C9="1",( 'Inputs-System'!$C$30*'Coincidence Factors'!$B$9*(1+'Inputs-System'!$C$18)*(1+'Inputs-System'!$C$41))*('Inputs-Proposals'!$C$17*'Inputs-Proposals'!$C$19*(1-'Inputs-Proposals'!$C$20)^(BF$3-'Inputs-System'!$C$7))*(VLOOKUP(BF$3,DRIPE!$A$54:$I$82,5,FALSE)+VLOOKUP(BF$3,DRIPE!$A$54:$I$82,9,FALSE))+ ('Inputs-System'!$C$26*'Coincidence Factors'!$B$6*(1+'Inputs-System'!$C$18)*(1+'Inputs-System'!$C$42))*'Inputs-Proposals'!$C$16*VLOOKUP(BF$3,DRIPE!$A$54:$I$82,8,FALSE), $C9 = "2",( 'Inputs-System'!$C$30*'Coincidence Factors'!$B$9*(1+'Inputs-System'!$C$18)*(1+'Inputs-System'!$C$41))*('Inputs-Proposals'!$C$23*'Inputs-Proposals'!$C$25*(1-'Inputs-Proposals'!$C$26)^(BF$3-'Inputs-System'!$C$7))*(VLOOKUP(BF$3,DRIPE!$A$54:$I$82,5,FALSE)+VLOOKUP(BF$3,DRIPE!$A$54:$I$82,9,FALSE))+ ('Inputs-System'!$C$26*'Coincidence Factors'!$B$6*(1+'Inputs-System'!$C$18)*(1+'Inputs-System'!$C$42))*'Inputs-Proposals'!$C$22*VLOOKUP(BF$3,DRIPE!$A$54:$I$82,8,FALSE), $C9= "3", ( 'Inputs-System'!$C$30*'Coincidence Factors'!$B$9*(1+'Inputs-System'!$C$18)*(1+'Inputs-System'!$C$41))*('Inputs-Proposals'!$C$29*'Inputs-Proposals'!$C$31*(1-'Inputs-Proposals'!$C$32)^(BF$3-'Inputs-System'!$C$7))*(VLOOKUP(BF$3,DRIPE!$A$54:$I$82,5,FALSE)+VLOOKUP(BF$3,DRIPE!$A$54:$I$82,9,FALSE))+ ('Inputs-System'!$C$26*'Coincidence Factors'!$B$6*(1+'Inputs-System'!$C$18)*(1+'Inputs-System'!$C$42))*'Inputs-Proposals'!$C$28*VLOOKUP(BF$3,DRIPE!$A$54:$I$82,8,FALSE), $C9 = "0", 0), 0)</f>
        <v>0</v>
      </c>
      <c r="BI9" s="45">
        <f>IFERROR(_xlfn.IFS($C9="1",('Inputs-System'!$C$26*'Coincidence Factors'!$B$9*(1+'Inputs-System'!$C$18)*(1+'Inputs-System'!$C$42))*'Inputs-Proposals'!$D$16*(VLOOKUP(BF$3,Capacity!$A$53:$E$85,4,FALSE)*(1+'Inputs-System'!$C$42)+VLOOKUP(BF$3,Capacity!$A$53:$E$85,5,FALSE)*(1+'Inputs-System'!$C$43)*'Inputs-System'!$C$29), $C9 = "2", ('Inputs-System'!$C$26*'Coincidence Factors'!$B$9*(1+'Inputs-System'!$C$18))*'Inputs-Proposals'!$D$22*(VLOOKUP(BF$3,Capacity!$A$53:$E$85,4,FALSE)*(1+'Inputs-System'!$C$42)+VLOOKUP(BF$3,Capacity!$A$53:$E$85,5,FALSE)*'Inputs-System'!$C$29*(1+'Inputs-System'!$C$43)), $C9 = "3", ('Inputs-System'!$C$26*'Coincidence Factors'!$B$9*(1+'Inputs-System'!$C$18))*'Inputs-Proposals'!$D$28*(VLOOKUP(BF$3,Capacity!$A$53:$E$85,4,FALSE)*(1+'Inputs-System'!$C$42)+VLOOKUP(BF$3,Capacity!$A$53:$E$85,5,FALSE)*'Inputs-System'!$C$29*(1+'Inputs-System'!$C$43)), $C9 = "0", 0), 0)</f>
        <v>0</v>
      </c>
      <c r="BJ9" s="44">
        <v>0</v>
      </c>
      <c r="BK9" s="342">
        <f>IFERROR(_xlfn.IFS($C9="1", 'Inputs-System'!$C$30*'Coincidence Factors'!$B$9*'Inputs-Proposals'!$C$17*'Inputs-Proposals'!$C$19*(VLOOKUP(BF$3,'Non-Embedded Emissions'!$A$56:$D$90,2,FALSE)-VLOOKUP(BF$3,'Non-Embedded Emissions'!$F$57:$H$88,2,FALSE)+VLOOKUP(BF$3,'Non-Embedded Emissions'!$A$143:$D$174,2,FALSE)-VLOOKUP(BF$3,'Non-Embedded Emissions'!$F$143:$H$174,2,FALSE)+VLOOKUP(BF$3,'Non-Embedded Emissions'!$A$230:$D$259,2,FALSE)), $C9 = "2", 'Inputs-System'!$C$30*'Coincidence Factors'!$B$9*'Inputs-Proposals'!$C$23*'Inputs-Proposals'!$C$25*(VLOOKUP(BF$3,'Non-Embedded Emissions'!$A$56:$D$90,2,FALSE)-VLOOKUP(BF$3,'Non-Embedded Emissions'!$F$57:$H$88,2,FALSE)+VLOOKUP(BF$3,'Non-Embedded Emissions'!$A$143:$D$174,2,FALSE)-VLOOKUP(BF$3,'Non-Embedded Emissions'!$F$143:$H$174,2,FALSE)+VLOOKUP(BF$3,'Non-Embedded Emissions'!$A$230:$D$259,2,FALSE)), $C9 = "3", 'Inputs-System'!$C$30*'Coincidence Factors'!$B$9*'Inputs-Proposals'!$C$29*'Inputs-Proposals'!$C$31*(VLOOKUP(BF$3,'Non-Embedded Emissions'!$A$56:$D$90,2,FALSE)-VLOOKUP(BF$3,'Non-Embedded Emissions'!$F$57:$H$88,2,FALSE)+VLOOKUP(BF$3,'Non-Embedded Emissions'!$A$143:$D$174,2,FALSE)-VLOOKUP(BF$3,'Non-Embedded Emissions'!$F$143:$H$174,2,FALSE)+VLOOKUP(BF$3,'Non-Embedded Emissions'!$A$230:$D$259,2,FALSE)), $C9 = "0", 0), 0)</f>
        <v>0</v>
      </c>
      <c r="BL9" s="45">
        <f>IFERROR(_xlfn.IFS($C9="1",('Inputs-System'!$C$30*'Coincidence Factors'!$B$9*(1+'Inputs-System'!$C$18)*(1+'Inputs-System'!$C$41)*('Inputs-Proposals'!$C$17*'Inputs-Proposals'!$C$19*(1-'Inputs-Proposals'!$C$20^(BL$3-'Inputs-System'!$C$7)))*(VLOOKUP(BL$3,Energy!$A$51:$K$83,5,FALSE))), $C9 = "2",('Inputs-System'!$C$30*'Coincidence Factors'!$B$9)*(1+'Inputs-System'!$C$18)*(1+'Inputs-System'!$C$41)*('Inputs-Proposals'!$C$23*'Inputs-Proposals'!$C$25*(1-'Inputs-Proposals'!$C$26^(BL$3-'Inputs-System'!$C$7)))*(VLOOKUP(BL$3,Energy!$A$51:$K$83,5,FALSE)), $C9= "3", ('Inputs-System'!$C$30*'Coincidence Factors'!$B$9*(1+'Inputs-System'!$C$18)*(1+'Inputs-System'!$C$41)*('Inputs-Proposals'!$C$29*'Inputs-Proposals'!$C$31*(1-'Inputs-Proposals'!$C$32^(BL$3-'Inputs-System'!$C$7)))*(VLOOKUP(BL$3,Energy!$A$51:$K$83,5,FALSE))), $C9= "0", 0), 0)</f>
        <v>0</v>
      </c>
      <c r="BM9" s="44">
        <f>IFERROR(_xlfn.IFS($C9="1",('Inputs-System'!$C$30*'Coincidence Factors'!$B$9*(1+'Inputs-System'!$C$18)*(1+'Inputs-System'!$C$41))*'Inputs-Proposals'!$C$17*'Inputs-Proposals'!$C$19*(1-'Inputs-Proposals'!$C$20^(BL$3-'Inputs-System'!$C$7))*(VLOOKUP(BL$3,'Embedded Emissions'!$A$47:$B$78,2,FALSE)+VLOOKUP(BL$3,'Embedded Emissions'!$A$129:$B$158,2,FALSE)), $C9 = "2",('Inputs-System'!$C$30*'Coincidence Factors'!$B$9*(1+'Inputs-System'!$C$18)*(1+'Inputs-System'!$C$41))*'Inputs-Proposals'!$C$23*'Inputs-Proposals'!$C$25*(1-'Inputs-Proposals'!$C$20^(BL$3-'Inputs-System'!$C$7))*(VLOOKUP(BL$3,'Embedded Emissions'!$A$47:$B$78,2,FALSE)+VLOOKUP(BL$3,'Embedded Emissions'!$A$129:$B$158,2,FALSE)), $C9 = "3", ('Inputs-System'!$C$30*'Coincidence Factors'!$B$9*(1+'Inputs-System'!$C$18)*(1+'Inputs-System'!$C$41))*'Inputs-Proposals'!$C$29*'Inputs-Proposals'!$C$31*(1-'Inputs-Proposals'!$C$20^(BL$3-'Inputs-System'!$C$7))*(VLOOKUP(BL$3,'Embedded Emissions'!$A$47:$B$78,2,FALSE)+VLOOKUP(BL$3,'Embedded Emissions'!$A$129:$B$158,2,FALSE)), $C9 = "0", 0), 0)</f>
        <v>0</v>
      </c>
      <c r="BN9" s="44">
        <f>IFERROR(_xlfn.IFS($C9="1",( 'Inputs-System'!$C$30*'Coincidence Factors'!$B$9*(1+'Inputs-System'!$C$18)*(1+'Inputs-System'!$C$41))*('Inputs-Proposals'!$C$17*'Inputs-Proposals'!$C$19*(1-'Inputs-Proposals'!$C$20)^(BL$3-'Inputs-System'!$C$7))*(VLOOKUP(BL$3,DRIPE!$A$54:$I$82,5,FALSE)+VLOOKUP(BL$3,DRIPE!$A$54:$I$82,9,FALSE))+ ('Inputs-System'!$C$26*'Coincidence Factors'!$B$6*(1+'Inputs-System'!$C$18)*(1+'Inputs-System'!$C$42))*'Inputs-Proposals'!$C$16*VLOOKUP(BL$3,DRIPE!$A$54:$I$82,8,FALSE), $C9 = "2",( 'Inputs-System'!$C$30*'Coincidence Factors'!$B$9*(1+'Inputs-System'!$C$18)*(1+'Inputs-System'!$C$41))*('Inputs-Proposals'!$C$23*'Inputs-Proposals'!$C$25*(1-'Inputs-Proposals'!$C$26)^(BL$3-'Inputs-System'!$C$7))*(VLOOKUP(BL$3,DRIPE!$A$54:$I$82,5,FALSE)+VLOOKUP(BL$3,DRIPE!$A$54:$I$82,9,FALSE))+ ('Inputs-System'!$C$26*'Coincidence Factors'!$B$6*(1+'Inputs-System'!$C$18)*(1+'Inputs-System'!$C$42))*'Inputs-Proposals'!$C$22*VLOOKUP(BL$3,DRIPE!$A$54:$I$82,8,FALSE), $C9= "3", ( 'Inputs-System'!$C$30*'Coincidence Factors'!$B$9*(1+'Inputs-System'!$C$18)*(1+'Inputs-System'!$C$41))*('Inputs-Proposals'!$C$29*'Inputs-Proposals'!$C$31*(1-'Inputs-Proposals'!$C$32)^(BL$3-'Inputs-System'!$C$7))*(VLOOKUP(BL$3,DRIPE!$A$54:$I$82,5,FALSE)+VLOOKUP(BL$3,DRIPE!$A$54:$I$82,9,FALSE))+ ('Inputs-System'!$C$26*'Coincidence Factors'!$B$6*(1+'Inputs-System'!$C$18)*(1+'Inputs-System'!$C$42))*'Inputs-Proposals'!$C$28*VLOOKUP(BL$3,DRIPE!$A$54:$I$82,8,FALSE), $C9 = "0", 0), 0)</f>
        <v>0</v>
      </c>
      <c r="BO9" s="45">
        <f>IFERROR(_xlfn.IFS($C9="1",('Inputs-System'!$C$26*'Coincidence Factors'!$B$9*(1+'Inputs-System'!$C$18)*(1+'Inputs-System'!$C$42))*'Inputs-Proposals'!$D$16*(VLOOKUP(BL$3,Capacity!$A$53:$E$85,4,FALSE)*(1+'Inputs-System'!$C$42)+VLOOKUP(BL$3,Capacity!$A$53:$E$85,5,FALSE)*(1+'Inputs-System'!$C$43)*'Inputs-System'!$C$29), $C9 = "2", ('Inputs-System'!$C$26*'Coincidence Factors'!$B$9*(1+'Inputs-System'!$C$18))*'Inputs-Proposals'!$D$22*(VLOOKUP(BL$3,Capacity!$A$53:$E$85,4,FALSE)*(1+'Inputs-System'!$C$42)+VLOOKUP(BL$3,Capacity!$A$53:$E$85,5,FALSE)*'Inputs-System'!$C$29*(1+'Inputs-System'!$C$43)), $C9 = "3", ('Inputs-System'!$C$26*'Coincidence Factors'!$B$9*(1+'Inputs-System'!$C$18))*'Inputs-Proposals'!$D$28*(VLOOKUP(BL$3,Capacity!$A$53:$E$85,4,FALSE)*(1+'Inputs-System'!$C$42)+VLOOKUP(BL$3,Capacity!$A$53:$E$85,5,FALSE)*'Inputs-System'!$C$29*(1+'Inputs-System'!$C$43)), $C9 = "0", 0), 0)</f>
        <v>0</v>
      </c>
      <c r="BP9" s="44">
        <v>0</v>
      </c>
      <c r="BQ9" s="342">
        <f>IFERROR(_xlfn.IFS($C9="1", 'Inputs-System'!$C$30*'Coincidence Factors'!$B$9*'Inputs-Proposals'!$C$17*'Inputs-Proposals'!$C$19*(VLOOKUP(BL$3,'Non-Embedded Emissions'!$A$56:$D$90,2,FALSE)-VLOOKUP(BL$3,'Non-Embedded Emissions'!$F$57:$H$88,2,FALSE)+VLOOKUP(BL$3,'Non-Embedded Emissions'!$A$143:$D$174,2,FALSE)-VLOOKUP(BL$3,'Non-Embedded Emissions'!$F$143:$H$174,2,FALSE)+VLOOKUP(BL$3,'Non-Embedded Emissions'!$A$230:$D$259,2,FALSE)), $C9 = "2", 'Inputs-System'!$C$30*'Coincidence Factors'!$B$9*'Inputs-Proposals'!$C$23*'Inputs-Proposals'!$C$25*(VLOOKUP(BL$3,'Non-Embedded Emissions'!$A$56:$D$90,2,FALSE)-VLOOKUP(BL$3,'Non-Embedded Emissions'!$F$57:$H$88,2,FALSE)+VLOOKUP(BL$3,'Non-Embedded Emissions'!$A$143:$D$174,2,FALSE)-VLOOKUP(BL$3,'Non-Embedded Emissions'!$F$143:$H$174,2,FALSE)+VLOOKUP(BL$3,'Non-Embedded Emissions'!$A$230:$D$259,2,FALSE)), $C9 = "3", 'Inputs-System'!$C$30*'Coincidence Factors'!$B$9*'Inputs-Proposals'!$C$29*'Inputs-Proposals'!$C$31*(VLOOKUP(BL$3,'Non-Embedded Emissions'!$A$56:$D$90,2,FALSE)-VLOOKUP(BL$3,'Non-Embedded Emissions'!$F$57:$H$88,2,FALSE)+VLOOKUP(BL$3,'Non-Embedded Emissions'!$A$143:$D$174,2,FALSE)-VLOOKUP(BL$3,'Non-Embedded Emissions'!$F$143:$H$174,2,FALSE)+VLOOKUP(BL$3,'Non-Embedded Emissions'!$A$230:$D$259,2,FALSE)), $C9 = "0", 0), 0)</f>
        <v>0</v>
      </c>
      <c r="BR9" s="45">
        <f>IFERROR(_xlfn.IFS($C9="1",('Inputs-System'!$C$30*'Coincidence Factors'!$B$9*(1+'Inputs-System'!$C$18)*(1+'Inputs-System'!$C$41)*('Inputs-Proposals'!$C$17*'Inputs-Proposals'!$C$19*(1-'Inputs-Proposals'!$C$20^(BR$3-'Inputs-System'!$C$7)))*(VLOOKUP(BR$3,Energy!$A$51:$K$83,5,FALSE))), $C9 = "2",('Inputs-System'!$C$30*'Coincidence Factors'!$B$9)*(1+'Inputs-System'!$C$18)*(1+'Inputs-System'!$C$41)*('Inputs-Proposals'!$C$23*'Inputs-Proposals'!$C$25*(1-'Inputs-Proposals'!$C$26^(BR$3-'Inputs-System'!$C$7)))*(VLOOKUP(BR$3,Energy!$A$51:$K$83,5,FALSE)), $C9= "3", ('Inputs-System'!$C$30*'Coincidence Factors'!$B$9*(1+'Inputs-System'!$C$18)*(1+'Inputs-System'!$C$41)*('Inputs-Proposals'!$C$29*'Inputs-Proposals'!$C$31*(1-'Inputs-Proposals'!$C$32^(BR$3-'Inputs-System'!$C$7)))*(VLOOKUP(BR$3,Energy!$A$51:$K$83,5,FALSE))), $C9= "0", 0), 0)</f>
        <v>0</v>
      </c>
      <c r="BS9" s="44">
        <f>IFERROR(_xlfn.IFS($C9="1",('Inputs-System'!$C$30*'Coincidence Factors'!$B$9*(1+'Inputs-System'!$C$18)*(1+'Inputs-System'!$C$41))*'Inputs-Proposals'!$C$17*'Inputs-Proposals'!$C$19*(1-'Inputs-Proposals'!$C$20^(BR$3-'Inputs-System'!$C$7))*(VLOOKUP(BR$3,'Embedded Emissions'!$A$47:$B$78,2,FALSE)+VLOOKUP(BR$3,'Embedded Emissions'!$A$129:$B$158,2,FALSE)), $C9 = "2",('Inputs-System'!$C$30*'Coincidence Factors'!$B$9*(1+'Inputs-System'!$C$18)*(1+'Inputs-System'!$C$41))*'Inputs-Proposals'!$C$23*'Inputs-Proposals'!$C$25*(1-'Inputs-Proposals'!$C$20^(BR$3-'Inputs-System'!$C$7))*(VLOOKUP(BR$3,'Embedded Emissions'!$A$47:$B$78,2,FALSE)+VLOOKUP(BR$3,'Embedded Emissions'!$A$129:$B$158,2,FALSE)), $C9 = "3", ('Inputs-System'!$C$30*'Coincidence Factors'!$B$9*(1+'Inputs-System'!$C$18)*(1+'Inputs-System'!$C$41))*'Inputs-Proposals'!$C$29*'Inputs-Proposals'!$C$31*(1-'Inputs-Proposals'!$C$20^(BR$3-'Inputs-System'!$C$7))*(VLOOKUP(BR$3,'Embedded Emissions'!$A$47:$B$78,2,FALSE)+VLOOKUP(BR$3,'Embedded Emissions'!$A$129:$B$158,2,FALSE)), $C9 = "0", 0), 0)</f>
        <v>0</v>
      </c>
      <c r="BT9" s="44">
        <f>IFERROR(_xlfn.IFS($C9="1",( 'Inputs-System'!$C$30*'Coincidence Factors'!$B$9*(1+'Inputs-System'!$C$18)*(1+'Inputs-System'!$C$41))*('Inputs-Proposals'!$C$17*'Inputs-Proposals'!$C$19*(1-'Inputs-Proposals'!$C$20)^(BR$3-'Inputs-System'!$C$7))*(VLOOKUP(BR$3,DRIPE!$A$54:$I$82,5,FALSE)+VLOOKUP(BR$3,DRIPE!$A$54:$I$82,9,FALSE))+ ('Inputs-System'!$C$26*'Coincidence Factors'!$B$6*(1+'Inputs-System'!$C$18)*(1+'Inputs-System'!$C$42))*'Inputs-Proposals'!$C$16*VLOOKUP(BR$3,DRIPE!$A$54:$I$82,8,FALSE), $C9 = "2",( 'Inputs-System'!$C$30*'Coincidence Factors'!$B$9*(1+'Inputs-System'!$C$18)*(1+'Inputs-System'!$C$41))*('Inputs-Proposals'!$C$23*'Inputs-Proposals'!$C$25*(1-'Inputs-Proposals'!$C$26)^(BR$3-'Inputs-System'!$C$7))*(VLOOKUP(BR$3,DRIPE!$A$54:$I$82,5,FALSE)+VLOOKUP(BR$3,DRIPE!$A$54:$I$82,9,FALSE))+ ('Inputs-System'!$C$26*'Coincidence Factors'!$B$6*(1+'Inputs-System'!$C$18)*(1+'Inputs-System'!$C$42))*'Inputs-Proposals'!$C$22*VLOOKUP(BR$3,DRIPE!$A$54:$I$82,8,FALSE), $C9= "3", ( 'Inputs-System'!$C$30*'Coincidence Factors'!$B$9*(1+'Inputs-System'!$C$18)*(1+'Inputs-System'!$C$41))*('Inputs-Proposals'!$C$29*'Inputs-Proposals'!$C$31*(1-'Inputs-Proposals'!$C$32)^(BR$3-'Inputs-System'!$C$7))*(VLOOKUP(BR$3,DRIPE!$A$54:$I$82,5,FALSE)+VLOOKUP(BR$3,DRIPE!$A$54:$I$82,9,FALSE))+ ('Inputs-System'!$C$26*'Coincidence Factors'!$B$6*(1+'Inputs-System'!$C$18)*(1+'Inputs-System'!$C$42))*'Inputs-Proposals'!$C$28*VLOOKUP(BR$3,DRIPE!$A$54:$I$82,8,FALSE), $C9 = "0", 0), 0)</f>
        <v>0</v>
      </c>
      <c r="BU9" s="45">
        <f>IFERROR(_xlfn.IFS($C9="1",('Inputs-System'!$C$26*'Coincidence Factors'!$B$9*(1+'Inputs-System'!$C$18)*(1+'Inputs-System'!$C$42))*'Inputs-Proposals'!$D$16*(VLOOKUP(BR$3,Capacity!$A$53:$E$85,4,FALSE)*(1+'Inputs-System'!$C$42)+VLOOKUP(BR$3,Capacity!$A$53:$E$85,5,FALSE)*(1+'Inputs-System'!$C$43)*'Inputs-System'!$C$29), $C9 = "2", ('Inputs-System'!$C$26*'Coincidence Factors'!$B$9*(1+'Inputs-System'!$C$18))*'Inputs-Proposals'!$D$22*(VLOOKUP(BR$3,Capacity!$A$53:$E$85,4,FALSE)*(1+'Inputs-System'!$C$42)+VLOOKUP(BR$3,Capacity!$A$53:$E$85,5,FALSE)*'Inputs-System'!$C$29*(1+'Inputs-System'!$C$43)), $C9 = "3", ('Inputs-System'!$C$26*'Coincidence Factors'!$B$9*(1+'Inputs-System'!$C$18))*'Inputs-Proposals'!$D$28*(VLOOKUP(BR$3,Capacity!$A$53:$E$85,4,FALSE)*(1+'Inputs-System'!$C$42)+VLOOKUP(BR$3,Capacity!$A$53:$E$85,5,FALSE)*'Inputs-System'!$C$29*(1+'Inputs-System'!$C$43)), $C9 = "0", 0), 0)</f>
        <v>0</v>
      </c>
      <c r="BV9" s="44">
        <v>0</v>
      </c>
      <c r="BW9" s="342">
        <f>IFERROR(_xlfn.IFS($C9="1", 'Inputs-System'!$C$30*'Coincidence Factors'!$B$9*'Inputs-Proposals'!$C$17*'Inputs-Proposals'!$C$19*(VLOOKUP(BR$3,'Non-Embedded Emissions'!$A$56:$D$90,2,FALSE)-VLOOKUP(BR$3,'Non-Embedded Emissions'!$F$57:$H$88,2,FALSE)+VLOOKUP(BR$3,'Non-Embedded Emissions'!$A$143:$D$174,2,FALSE)-VLOOKUP(BR$3,'Non-Embedded Emissions'!$F$143:$H$174,2,FALSE)+VLOOKUP(BR$3,'Non-Embedded Emissions'!$A$230:$D$259,2,FALSE)), $C9 = "2", 'Inputs-System'!$C$30*'Coincidence Factors'!$B$9*'Inputs-Proposals'!$C$23*'Inputs-Proposals'!$C$25*(VLOOKUP(BR$3,'Non-Embedded Emissions'!$A$56:$D$90,2,FALSE)-VLOOKUP(BR$3,'Non-Embedded Emissions'!$F$57:$H$88,2,FALSE)+VLOOKUP(BR$3,'Non-Embedded Emissions'!$A$143:$D$174,2,FALSE)-VLOOKUP(BR$3,'Non-Embedded Emissions'!$F$143:$H$174,2,FALSE)+VLOOKUP(BR$3,'Non-Embedded Emissions'!$A$230:$D$259,2,FALSE)), $C9 = "3", 'Inputs-System'!$C$30*'Coincidence Factors'!$B$9*'Inputs-Proposals'!$C$29*'Inputs-Proposals'!$C$31*(VLOOKUP(BR$3,'Non-Embedded Emissions'!$A$56:$D$90,2,FALSE)-VLOOKUP(BR$3,'Non-Embedded Emissions'!$F$57:$H$88,2,FALSE)+VLOOKUP(BR$3,'Non-Embedded Emissions'!$A$143:$D$174,2,FALSE)-VLOOKUP(BR$3,'Non-Embedded Emissions'!$F$143:$H$174,2,FALSE)+VLOOKUP(BR$3,'Non-Embedded Emissions'!$A$230:$D$259,2,FALSE)), $C9 = "0", 0), 0)</f>
        <v>0</v>
      </c>
      <c r="BX9" s="45">
        <f>IFERROR(_xlfn.IFS($C9="1",('Inputs-System'!$C$30*'Coincidence Factors'!$B$9*(1+'Inputs-System'!$C$18)*(1+'Inputs-System'!$C$41)*('Inputs-Proposals'!$C$17*'Inputs-Proposals'!$C$19*(1-'Inputs-Proposals'!$C$20^(BX$3-'Inputs-System'!$C$7)))*(VLOOKUP(BX$3,Energy!$A$51:$K$83,5,FALSE))), $C9 = "2",('Inputs-System'!$C$30*'Coincidence Factors'!$B$9)*(1+'Inputs-System'!$C$18)*(1+'Inputs-System'!$C$41)*('Inputs-Proposals'!$C$23*'Inputs-Proposals'!$C$25*(1-'Inputs-Proposals'!$C$26^(BX$3-'Inputs-System'!$C$7)))*(VLOOKUP(BX$3,Energy!$A$51:$K$83,5,FALSE)), $C9= "3", ('Inputs-System'!$C$30*'Coincidence Factors'!$B$9*(1+'Inputs-System'!$C$18)*(1+'Inputs-System'!$C$41)*('Inputs-Proposals'!$C$29*'Inputs-Proposals'!$C$31*(1-'Inputs-Proposals'!$C$32^(BX$3-'Inputs-System'!$C$7)))*(VLOOKUP(BX$3,Energy!$A$51:$K$83,5,FALSE))), $C9= "0", 0), 0)</f>
        <v>0</v>
      </c>
      <c r="BY9" s="44">
        <f>IFERROR(_xlfn.IFS($C9="1",('Inputs-System'!$C$30*'Coincidence Factors'!$B$9*(1+'Inputs-System'!$C$18)*(1+'Inputs-System'!$C$41))*'Inputs-Proposals'!$C$17*'Inputs-Proposals'!$C$19*(1-'Inputs-Proposals'!$C$20^(BX$3-'Inputs-System'!$C$7))*(VLOOKUP(BX$3,'Embedded Emissions'!$A$47:$B$78,2,FALSE)+VLOOKUP(BX$3,'Embedded Emissions'!$A$129:$B$158,2,FALSE)), $C9 = "2",('Inputs-System'!$C$30*'Coincidence Factors'!$B$9*(1+'Inputs-System'!$C$18)*(1+'Inputs-System'!$C$41))*'Inputs-Proposals'!$C$23*'Inputs-Proposals'!$C$25*(1-'Inputs-Proposals'!$C$20^(BX$3-'Inputs-System'!$C$7))*(VLOOKUP(BX$3,'Embedded Emissions'!$A$47:$B$78,2,FALSE)+VLOOKUP(BX$3,'Embedded Emissions'!$A$129:$B$158,2,FALSE)), $C9 = "3", ('Inputs-System'!$C$30*'Coincidence Factors'!$B$9*(1+'Inputs-System'!$C$18)*(1+'Inputs-System'!$C$41))*'Inputs-Proposals'!$C$29*'Inputs-Proposals'!$C$31*(1-'Inputs-Proposals'!$C$20^(BX$3-'Inputs-System'!$C$7))*(VLOOKUP(BX$3,'Embedded Emissions'!$A$47:$B$78,2,FALSE)+VLOOKUP(BX$3,'Embedded Emissions'!$A$129:$B$158,2,FALSE)), $C9 = "0", 0), 0)</f>
        <v>0</v>
      </c>
      <c r="BZ9" s="44">
        <f>IFERROR(_xlfn.IFS($C9="1",( 'Inputs-System'!$C$30*'Coincidence Factors'!$B$9*(1+'Inputs-System'!$C$18)*(1+'Inputs-System'!$C$41))*('Inputs-Proposals'!$C$17*'Inputs-Proposals'!$C$19*(1-'Inputs-Proposals'!$C$20)^(BX$3-'Inputs-System'!$C$7))*(VLOOKUP(BX$3,DRIPE!$A$54:$I$82,5,FALSE)+VLOOKUP(BX$3,DRIPE!$A$54:$I$82,9,FALSE))+ ('Inputs-System'!$C$26*'Coincidence Factors'!$B$6*(1+'Inputs-System'!$C$18)*(1+'Inputs-System'!$C$42))*'Inputs-Proposals'!$C$16*VLOOKUP(BX$3,DRIPE!$A$54:$I$82,8,FALSE), $C9 = "2",( 'Inputs-System'!$C$30*'Coincidence Factors'!$B$9*(1+'Inputs-System'!$C$18)*(1+'Inputs-System'!$C$41))*('Inputs-Proposals'!$C$23*'Inputs-Proposals'!$C$25*(1-'Inputs-Proposals'!$C$26)^(BX$3-'Inputs-System'!$C$7))*(VLOOKUP(BX$3,DRIPE!$A$54:$I$82,5,FALSE)+VLOOKUP(BX$3,DRIPE!$A$54:$I$82,9,FALSE))+ ('Inputs-System'!$C$26*'Coincidence Factors'!$B$6*(1+'Inputs-System'!$C$18)*(1+'Inputs-System'!$C$42))*'Inputs-Proposals'!$C$22*VLOOKUP(BX$3,DRIPE!$A$54:$I$82,8,FALSE), $C9= "3", ( 'Inputs-System'!$C$30*'Coincidence Factors'!$B$9*(1+'Inputs-System'!$C$18)*(1+'Inputs-System'!$C$41))*('Inputs-Proposals'!$C$29*'Inputs-Proposals'!$C$31*(1-'Inputs-Proposals'!$C$32)^(BX$3-'Inputs-System'!$C$7))*(VLOOKUP(BX$3,DRIPE!$A$54:$I$82,5,FALSE)+VLOOKUP(BX$3,DRIPE!$A$54:$I$82,9,FALSE))+ ('Inputs-System'!$C$26*'Coincidence Factors'!$B$6*(1+'Inputs-System'!$C$18)*(1+'Inputs-System'!$C$42))*'Inputs-Proposals'!$C$28*VLOOKUP(BX$3,DRIPE!$A$54:$I$82,8,FALSE), $C9 = "0", 0), 0)</f>
        <v>0</v>
      </c>
      <c r="CA9" s="45">
        <f>IFERROR(_xlfn.IFS($C9="1",('Inputs-System'!$C$26*'Coincidence Factors'!$B$9*(1+'Inputs-System'!$C$18)*(1+'Inputs-System'!$C$42))*'Inputs-Proposals'!$D$16*(VLOOKUP(BX$3,Capacity!$A$53:$E$85,4,FALSE)*(1+'Inputs-System'!$C$42)+VLOOKUP(BX$3,Capacity!$A$53:$E$85,5,FALSE)*(1+'Inputs-System'!$C$43)*'Inputs-System'!$C$29), $C9 = "2", ('Inputs-System'!$C$26*'Coincidence Factors'!$B$9*(1+'Inputs-System'!$C$18))*'Inputs-Proposals'!$D$22*(VLOOKUP(BX$3,Capacity!$A$53:$E$85,4,FALSE)*(1+'Inputs-System'!$C$42)+VLOOKUP(BX$3,Capacity!$A$53:$E$85,5,FALSE)*'Inputs-System'!$C$29*(1+'Inputs-System'!$C$43)), $C9 = "3", ('Inputs-System'!$C$26*'Coincidence Factors'!$B$9*(1+'Inputs-System'!$C$18))*'Inputs-Proposals'!$D$28*(VLOOKUP(BX$3,Capacity!$A$53:$E$85,4,FALSE)*(1+'Inputs-System'!$C$42)+VLOOKUP(BX$3,Capacity!$A$53:$E$85,5,FALSE)*'Inputs-System'!$C$29*(1+'Inputs-System'!$C$43)), $C9 = "0", 0), 0)</f>
        <v>0</v>
      </c>
      <c r="CB9" s="44">
        <v>0</v>
      </c>
      <c r="CC9" s="342">
        <f>IFERROR(_xlfn.IFS($C9="1", 'Inputs-System'!$C$30*'Coincidence Factors'!$B$9*'Inputs-Proposals'!$C$17*'Inputs-Proposals'!$C$19*(VLOOKUP(BX$3,'Non-Embedded Emissions'!$A$56:$D$90,2,FALSE)-VLOOKUP(BX$3,'Non-Embedded Emissions'!$F$57:$H$88,2,FALSE)+VLOOKUP(BX$3,'Non-Embedded Emissions'!$A$143:$D$174,2,FALSE)-VLOOKUP(BX$3,'Non-Embedded Emissions'!$F$143:$H$174,2,FALSE)+VLOOKUP(BX$3,'Non-Embedded Emissions'!$A$230:$D$259,2,FALSE)), $C9 = "2", 'Inputs-System'!$C$30*'Coincidence Factors'!$B$9*'Inputs-Proposals'!$C$23*'Inputs-Proposals'!$C$25*(VLOOKUP(BX$3,'Non-Embedded Emissions'!$A$56:$D$90,2,FALSE)-VLOOKUP(BX$3,'Non-Embedded Emissions'!$F$57:$H$88,2,FALSE)+VLOOKUP(BX$3,'Non-Embedded Emissions'!$A$143:$D$174,2,FALSE)-VLOOKUP(BX$3,'Non-Embedded Emissions'!$F$143:$H$174,2,FALSE)+VLOOKUP(BX$3,'Non-Embedded Emissions'!$A$230:$D$259,2,FALSE)), $C9 = "3", 'Inputs-System'!$C$30*'Coincidence Factors'!$B$9*'Inputs-Proposals'!$C$29*'Inputs-Proposals'!$C$31*(VLOOKUP(BX$3,'Non-Embedded Emissions'!$A$56:$D$90,2,FALSE)-VLOOKUP(BX$3,'Non-Embedded Emissions'!$F$57:$H$88,2,FALSE)+VLOOKUP(BX$3,'Non-Embedded Emissions'!$A$143:$D$174,2,FALSE)-VLOOKUP(BX$3,'Non-Embedded Emissions'!$F$143:$H$174,2,FALSE)+VLOOKUP(BX$3,'Non-Embedded Emissions'!$A$230:$D$259,2,FALSE)), $C9 = "0", 0), 0)</f>
        <v>0</v>
      </c>
      <c r="CD9" s="45">
        <f>IFERROR(_xlfn.IFS($C9="1",('Inputs-System'!$C$30*'Coincidence Factors'!$B$9*(1+'Inputs-System'!$C$18)*(1+'Inputs-System'!$C$41)*('Inputs-Proposals'!$C$17*'Inputs-Proposals'!$C$19*(1-'Inputs-Proposals'!$C$20^(CD$3-'Inputs-System'!$C$7)))*(VLOOKUP(CD$3,Energy!$A$51:$K$83,5,FALSE))), $C9 = "2",('Inputs-System'!$C$30*'Coincidence Factors'!$B$9)*(1+'Inputs-System'!$C$18)*(1+'Inputs-System'!$C$41)*('Inputs-Proposals'!$C$23*'Inputs-Proposals'!$C$25*(1-'Inputs-Proposals'!$C$26^(CD$3-'Inputs-System'!$C$7)))*(VLOOKUP(CD$3,Energy!$A$51:$K$83,5,FALSE)), $C9= "3", ('Inputs-System'!$C$30*'Coincidence Factors'!$B$9*(1+'Inputs-System'!$C$18)*(1+'Inputs-System'!$C$41)*('Inputs-Proposals'!$C$29*'Inputs-Proposals'!$C$31*(1-'Inputs-Proposals'!$C$32^(CD$3-'Inputs-System'!$C$7)))*(VLOOKUP(CD$3,Energy!$A$51:$K$83,5,FALSE))), $C9= "0", 0), 0)</f>
        <v>0</v>
      </c>
      <c r="CE9" s="44">
        <f>IFERROR(_xlfn.IFS($C9="1",('Inputs-System'!$C$30*'Coincidence Factors'!$B$9*(1+'Inputs-System'!$C$18)*(1+'Inputs-System'!$C$41))*'Inputs-Proposals'!$C$17*'Inputs-Proposals'!$C$19*(1-'Inputs-Proposals'!$C$20^(CD$3-'Inputs-System'!$C$7))*(VLOOKUP(CD$3,'Embedded Emissions'!$A$47:$B$78,2,FALSE)+VLOOKUP(CD$3,'Embedded Emissions'!$A$129:$B$158,2,FALSE)), $C9 = "2",('Inputs-System'!$C$30*'Coincidence Factors'!$B$9*(1+'Inputs-System'!$C$18)*(1+'Inputs-System'!$C$41))*'Inputs-Proposals'!$C$23*'Inputs-Proposals'!$C$25*(1-'Inputs-Proposals'!$C$20^(CD$3-'Inputs-System'!$C$7))*(VLOOKUP(CD$3,'Embedded Emissions'!$A$47:$B$78,2,FALSE)+VLOOKUP(CD$3,'Embedded Emissions'!$A$129:$B$158,2,FALSE)), $C9 = "3", ('Inputs-System'!$C$30*'Coincidence Factors'!$B$9*(1+'Inputs-System'!$C$18)*(1+'Inputs-System'!$C$41))*'Inputs-Proposals'!$C$29*'Inputs-Proposals'!$C$31*(1-'Inputs-Proposals'!$C$20^(CD$3-'Inputs-System'!$C$7))*(VLOOKUP(CD$3,'Embedded Emissions'!$A$47:$B$78,2,FALSE)+VLOOKUP(CD$3,'Embedded Emissions'!$A$129:$B$158,2,FALSE)), $C9 = "0", 0), 0)</f>
        <v>0</v>
      </c>
      <c r="CF9" s="44">
        <f>IFERROR(_xlfn.IFS($C9="1",( 'Inputs-System'!$C$30*'Coincidence Factors'!$B$9*(1+'Inputs-System'!$C$18)*(1+'Inputs-System'!$C$41))*('Inputs-Proposals'!$C$17*'Inputs-Proposals'!$C$19*(1-'Inputs-Proposals'!$C$20)^(CD$3-'Inputs-System'!$C$7))*(VLOOKUP(CD$3,DRIPE!$A$54:$I$82,5,FALSE)+VLOOKUP(CD$3,DRIPE!$A$54:$I$82,9,FALSE))+ ('Inputs-System'!$C$26*'Coincidence Factors'!$B$6*(1+'Inputs-System'!$C$18)*(1+'Inputs-System'!$C$42))*'Inputs-Proposals'!$C$16*VLOOKUP(CD$3,DRIPE!$A$54:$I$82,8,FALSE), $C9 = "2",( 'Inputs-System'!$C$30*'Coincidence Factors'!$B$9*(1+'Inputs-System'!$C$18)*(1+'Inputs-System'!$C$41))*('Inputs-Proposals'!$C$23*'Inputs-Proposals'!$C$25*(1-'Inputs-Proposals'!$C$26)^(CD$3-'Inputs-System'!$C$7))*(VLOOKUP(CD$3,DRIPE!$A$54:$I$82,5,FALSE)+VLOOKUP(CD$3,DRIPE!$A$54:$I$82,9,FALSE))+ ('Inputs-System'!$C$26*'Coincidence Factors'!$B$6*(1+'Inputs-System'!$C$18)*(1+'Inputs-System'!$C$42))*'Inputs-Proposals'!$C$22*VLOOKUP(CD$3,DRIPE!$A$54:$I$82,8,FALSE), $C9= "3", ( 'Inputs-System'!$C$30*'Coincidence Factors'!$B$9*(1+'Inputs-System'!$C$18)*(1+'Inputs-System'!$C$41))*('Inputs-Proposals'!$C$29*'Inputs-Proposals'!$C$31*(1-'Inputs-Proposals'!$C$32)^(CD$3-'Inputs-System'!$C$7))*(VLOOKUP(CD$3,DRIPE!$A$54:$I$82,5,FALSE)+VLOOKUP(CD$3,DRIPE!$A$54:$I$82,9,FALSE))+ ('Inputs-System'!$C$26*'Coincidence Factors'!$B$6*(1+'Inputs-System'!$C$18)*(1+'Inputs-System'!$C$42))*'Inputs-Proposals'!$C$28*VLOOKUP(CD$3,DRIPE!$A$54:$I$82,8,FALSE), $C9 = "0", 0), 0)</f>
        <v>0</v>
      </c>
      <c r="CG9" s="45">
        <f>IFERROR(_xlfn.IFS($C9="1",('Inputs-System'!$C$26*'Coincidence Factors'!$B$9*(1+'Inputs-System'!$C$18)*(1+'Inputs-System'!$C$42))*'Inputs-Proposals'!$D$16*(VLOOKUP(CD$3,Capacity!$A$53:$E$85,4,FALSE)*(1+'Inputs-System'!$C$42)+VLOOKUP(CD$3,Capacity!$A$53:$E$85,5,FALSE)*(1+'Inputs-System'!$C$43)*'Inputs-System'!$C$29), $C9 = "2", ('Inputs-System'!$C$26*'Coincidence Factors'!$B$9*(1+'Inputs-System'!$C$18))*'Inputs-Proposals'!$D$22*(VLOOKUP(CD$3,Capacity!$A$53:$E$85,4,FALSE)*(1+'Inputs-System'!$C$42)+VLOOKUP(CD$3,Capacity!$A$53:$E$85,5,FALSE)*'Inputs-System'!$C$29*(1+'Inputs-System'!$C$43)), $C9 = "3", ('Inputs-System'!$C$26*'Coincidence Factors'!$B$9*(1+'Inputs-System'!$C$18))*'Inputs-Proposals'!$D$28*(VLOOKUP(CD$3,Capacity!$A$53:$E$85,4,FALSE)*(1+'Inputs-System'!$C$42)+VLOOKUP(CD$3,Capacity!$A$53:$E$85,5,FALSE)*'Inputs-System'!$C$29*(1+'Inputs-System'!$C$43)), $C9 = "0", 0), 0)</f>
        <v>0</v>
      </c>
      <c r="CH9" s="44">
        <v>0</v>
      </c>
      <c r="CI9" s="342">
        <f>IFERROR(_xlfn.IFS($C9="1", 'Inputs-System'!$C$30*'Coincidence Factors'!$B$9*'Inputs-Proposals'!$C$17*'Inputs-Proposals'!$C$19*(VLOOKUP(CD$3,'Non-Embedded Emissions'!$A$56:$D$90,2,FALSE)-VLOOKUP(CD$3,'Non-Embedded Emissions'!$F$57:$H$88,2,FALSE)+VLOOKUP(CD$3,'Non-Embedded Emissions'!$A$143:$D$174,2,FALSE)-VLOOKUP(CD$3,'Non-Embedded Emissions'!$F$143:$H$174,2,FALSE)+VLOOKUP(CD$3,'Non-Embedded Emissions'!$A$230:$D$259,2,FALSE)), $C9 = "2", 'Inputs-System'!$C$30*'Coincidence Factors'!$B$9*'Inputs-Proposals'!$C$23*'Inputs-Proposals'!$C$25*(VLOOKUP(CD$3,'Non-Embedded Emissions'!$A$56:$D$90,2,FALSE)-VLOOKUP(CD$3,'Non-Embedded Emissions'!$F$57:$H$88,2,FALSE)+VLOOKUP(CD$3,'Non-Embedded Emissions'!$A$143:$D$174,2,FALSE)-VLOOKUP(CD$3,'Non-Embedded Emissions'!$F$143:$H$174,2,FALSE)+VLOOKUP(CD$3,'Non-Embedded Emissions'!$A$230:$D$259,2,FALSE)), $C9 = "3", 'Inputs-System'!$C$30*'Coincidence Factors'!$B$9*'Inputs-Proposals'!$C$29*'Inputs-Proposals'!$C$31*(VLOOKUP(CD$3,'Non-Embedded Emissions'!$A$56:$D$90,2,FALSE)-VLOOKUP(CD$3,'Non-Embedded Emissions'!$F$57:$H$88,2,FALSE)+VLOOKUP(CD$3,'Non-Embedded Emissions'!$A$143:$D$174,2,FALSE)-VLOOKUP(CD$3,'Non-Embedded Emissions'!$F$143:$H$174,2,FALSE)+VLOOKUP(CD$3,'Non-Embedded Emissions'!$A$230:$D$259,2,FALSE)), $C9 = "0", 0), 0)</f>
        <v>0</v>
      </c>
      <c r="CJ9" s="45">
        <f>IFERROR(_xlfn.IFS($C9="1",('Inputs-System'!$C$30*'Coincidence Factors'!$B$9*(1+'Inputs-System'!$C$18)*(1+'Inputs-System'!$C$41)*('Inputs-Proposals'!$C$17*'Inputs-Proposals'!$C$19*(1-'Inputs-Proposals'!$C$20^(CJ$3-'Inputs-System'!$C$7)))*(VLOOKUP(CJ$3,Energy!$A$51:$K$83,5,FALSE))), $C9 = "2",('Inputs-System'!$C$30*'Coincidence Factors'!$B$9)*(1+'Inputs-System'!$C$18)*(1+'Inputs-System'!$C$41)*('Inputs-Proposals'!$C$23*'Inputs-Proposals'!$C$25*(1-'Inputs-Proposals'!$C$26^(CJ$3-'Inputs-System'!$C$7)))*(VLOOKUP(CJ$3,Energy!$A$51:$K$83,5,FALSE)), $C9= "3", ('Inputs-System'!$C$30*'Coincidence Factors'!$B$9*(1+'Inputs-System'!$C$18)*(1+'Inputs-System'!$C$41)*('Inputs-Proposals'!$C$29*'Inputs-Proposals'!$C$31*(1-'Inputs-Proposals'!$C$32^(CJ$3-'Inputs-System'!$C$7)))*(VLOOKUP(CJ$3,Energy!$A$51:$K$83,5,FALSE))), $C9= "0", 0), 0)</f>
        <v>0</v>
      </c>
      <c r="CK9" s="44">
        <f>IFERROR(_xlfn.IFS($C9="1",('Inputs-System'!$C$30*'Coincidence Factors'!$B$9*(1+'Inputs-System'!$C$18)*(1+'Inputs-System'!$C$41))*'Inputs-Proposals'!$C$17*'Inputs-Proposals'!$C$19*(1-'Inputs-Proposals'!$C$20^(CJ$3-'Inputs-System'!$C$7))*(VLOOKUP(CJ$3,'Embedded Emissions'!$A$47:$B$78,2,FALSE)+VLOOKUP(CJ$3,'Embedded Emissions'!$A$129:$B$158,2,FALSE)), $C9 = "2",('Inputs-System'!$C$30*'Coincidence Factors'!$B$9*(1+'Inputs-System'!$C$18)*(1+'Inputs-System'!$C$41))*'Inputs-Proposals'!$C$23*'Inputs-Proposals'!$C$25*(1-'Inputs-Proposals'!$C$20^(CJ$3-'Inputs-System'!$C$7))*(VLOOKUP(CJ$3,'Embedded Emissions'!$A$47:$B$78,2,FALSE)+VLOOKUP(CJ$3,'Embedded Emissions'!$A$129:$B$158,2,FALSE)), $C9 = "3", ('Inputs-System'!$C$30*'Coincidence Factors'!$B$9*(1+'Inputs-System'!$C$18)*(1+'Inputs-System'!$C$41))*'Inputs-Proposals'!$C$29*'Inputs-Proposals'!$C$31*(1-'Inputs-Proposals'!$C$20^(CJ$3-'Inputs-System'!$C$7))*(VLOOKUP(CJ$3,'Embedded Emissions'!$A$47:$B$78,2,FALSE)+VLOOKUP(CJ$3,'Embedded Emissions'!$A$129:$B$158,2,FALSE)), $C9 = "0", 0), 0)</f>
        <v>0</v>
      </c>
      <c r="CL9" s="44">
        <f>IFERROR(_xlfn.IFS($C9="1",( 'Inputs-System'!$C$30*'Coincidence Factors'!$B$9*(1+'Inputs-System'!$C$18)*(1+'Inputs-System'!$C$41))*('Inputs-Proposals'!$C$17*'Inputs-Proposals'!$C$19*(1-'Inputs-Proposals'!$C$20)^(CJ$3-'Inputs-System'!$C$7))*(VLOOKUP(CJ$3,DRIPE!$A$54:$I$82,5,FALSE)+VLOOKUP(CJ$3,DRIPE!$A$54:$I$82,9,FALSE))+ ('Inputs-System'!$C$26*'Coincidence Factors'!$B$6*(1+'Inputs-System'!$C$18)*(1+'Inputs-System'!$C$42))*'Inputs-Proposals'!$C$16*VLOOKUP(CJ$3,DRIPE!$A$54:$I$82,8,FALSE), $C9 = "2",( 'Inputs-System'!$C$30*'Coincidence Factors'!$B$9*(1+'Inputs-System'!$C$18)*(1+'Inputs-System'!$C$41))*('Inputs-Proposals'!$C$23*'Inputs-Proposals'!$C$25*(1-'Inputs-Proposals'!$C$26)^(CJ$3-'Inputs-System'!$C$7))*(VLOOKUP(CJ$3,DRIPE!$A$54:$I$82,5,FALSE)+VLOOKUP(CJ$3,DRIPE!$A$54:$I$82,9,FALSE))+ ('Inputs-System'!$C$26*'Coincidence Factors'!$B$6*(1+'Inputs-System'!$C$18)*(1+'Inputs-System'!$C$42))*'Inputs-Proposals'!$C$22*VLOOKUP(CJ$3,DRIPE!$A$54:$I$82,8,FALSE), $C9= "3", ( 'Inputs-System'!$C$30*'Coincidence Factors'!$B$9*(1+'Inputs-System'!$C$18)*(1+'Inputs-System'!$C$41))*('Inputs-Proposals'!$C$29*'Inputs-Proposals'!$C$31*(1-'Inputs-Proposals'!$C$32)^(CJ$3-'Inputs-System'!$C$7))*(VLOOKUP(CJ$3,DRIPE!$A$54:$I$82,5,FALSE)+VLOOKUP(CJ$3,DRIPE!$A$54:$I$82,9,FALSE))+ ('Inputs-System'!$C$26*'Coincidence Factors'!$B$6*(1+'Inputs-System'!$C$18)*(1+'Inputs-System'!$C$42))*'Inputs-Proposals'!$C$28*VLOOKUP(CJ$3,DRIPE!$A$54:$I$82,8,FALSE), $C9 = "0", 0), 0)</f>
        <v>0</v>
      </c>
      <c r="CM9" s="45">
        <f>IFERROR(_xlfn.IFS($C9="1",('Inputs-System'!$C$26*'Coincidence Factors'!$B$9*(1+'Inputs-System'!$C$18)*(1+'Inputs-System'!$C$42))*'Inputs-Proposals'!$D$16*(VLOOKUP(CJ$3,Capacity!$A$53:$E$85,4,FALSE)*(1+'Inputs-System'!$C$42)+VLOOKUP(CJ$3,Capacity!$A$53:$E$85,5,FALSE)*(1+'Inputs-System'!$C$43)*'Inputs-System'!$C$29), $C9 = "2", ('Inputs-System'!$C$26*'Coincidence Factors'!$B$9*(1+'Inputs-System'!$C$18))*'Inputs-Proposals'!$D$22*(VLOOKUP(CJ$3,Capacity!$A$53:$E$85,4,FALSE)*(1+'Inputs-System'!$C$42)+VLOOKUP(CJ$3,Capacity!$A$53:$E$85,5,FALSE)*'Inputs-System'!$C$29*(1+'Inputs-System'!$C$43)), $C9 = "3", ('Inputs-System'!$C$26*'Coincidence Factors'!$B$9*(1+'Inputs-System'!$C$18))*'Inputs-Proposals'!$D$28*(VLOOKUP(CJ$3,Capacity!$A$53:$E$85,4,FALSE)*(1+'Inputs-System'!$C$42)+VLOOKUP(CJ$3,Capacity!$A$53:$E$85,5,FALSE)*'Inputs-System'!$C$29*(1+'Inputs-System'!$C$43)), $C9 = "0", 0), 0)</f>
        <v>0</v>
      </c>
      <c r="CN9" s="44">
        <v>0</v>
      </c>
      <c r="CO9" s="342">
        <f>IFERROR(_xlfn.IFS($C9="1", 'Inputs-System'!$C$30*'Coincidence Factors'!$B$9*'Inputs-Proposals'!$C$17*'Inputs-Proposals'!$C$19*(VLOOKUP(CJ$3,'Non-Embedded Emissions'!$A$56:$D$90,2,FALSE)-VLOOKUP(CJ$3,'Non-Embedded Emissions'!$F$57:$H$88,2,FALSE)+VLOOKUP(CJ$3,'Non-Embedded Emissions'!$A$143:$D$174,2,FALSE)-VLOOKUP(CJ$3,'Non-Embedded Emissions'!$F$143:$H$174,2,FALSE)+VLOOKUP(CJ$3,'Non-Embedded Emissions'!$A$230:$D$259,2,FALSE)), $C9 = "2", 'Inputs-System'!$C$30*'Coincidence Factors'!$B$9*'Inputs-Proposals'!$C$23*'Inputs-Proposals'!$C$25*(VLOOKUP(CJ$3,'Non-Embedded Emissions'!$A$56:$D$90,2,FALSE)-VLOOKUP(CJ$3,'Non-Embedded Emissions'!$F$57:$H$88,2,FALSE)+VLOOKUP(CJ$3,'Non-Embedded Emissions'!$A$143:$D$174,2,FALSE)-VLOOKUP(CJ$3,'Non-Embedded Emissions'!$F$143:$H$174,2,FALSE)+VLOOKUP(CJ$3,'Non-Embedded Emissions'!$A$230:$D$259,2,FALSE)), $C9 = "3", 'Inputs-System'!$C$30*'Coincidence Factors'!$B$9*'Inputs-Proposals'!$C$29*'Inputs-Proposals'!$C$31*(VLOOKUP(CJ$3,'Non-Embedded Emissions'!$A$56:$D$90,2,FALSE)-VLOOKUP(CJ$3,'Non-Embedded Emissions'!$F$57:$H$88,2,FALSE)+VLOOKUP(CJ$3,'Non-Embedded Emissions'!$A$143:$D$174,2,FALSE)-VLOOKUP(CJ$3,'Non-Embedded Emissions'!$F$143:$H$174,2,FALSE)+VLOOKUP(CJ$3,'Non-Embedded Emissions'!$A$230:$D$259,2,FALSE)), $C9 = "0", 0), 0)</f>
        <v>0</v>
      </c>
      <c r="CP9" s="45">
        <f>IFERROR(_xlfn.IFS($C9="1",('Inputs-System'!$C$30*'Coincidence Factors'!$B$9*(1+'Inputs-System'!$C$18)*(1+'Inputs-System'!$C$41)*('Inputs-Proposals'!$C$17*'Inputs-Proposals'!$C$19*(1-'Inputs-Proposals'!$C$20^(CP$3-'Inputs-System'!$C$7)))*(VLOOKUP(CP$3,Energy!$A$51:$K$83,5,FALSE))), $C9 = "2",('Inputs-System'!$C$30*'Coincidence Factors'!$B$9)*(1+'Inputs-System'!$C$18)*(1+'Inputs-System'!$C$41)*('Inputs-Proposals'!$C$23*'Inputs-Proposals'!$C$25*(1-'Inputs-Proposals'!$C$26^(CP$3-'Inputs-System'!$C$7)))*(VLOOKUP(CP$3,Energy!$A$51:$K$83,5,FALSE)), $C9= "3", ('Inputs-System'!$C$30*'Coincidence Factors'!$B$9*(1+'Inputs-System'!$C$18)*(1+'Inputs-System'!$C$41)*('Inputs-Proposals'!$C$29*'Inputs-Proposals'!$C$31*(1-'Inputs-Proposals'!$C$32^(CP$3-'Inputs-System'!$C$7)))*(VLOOKUP(CP$3,Energy!$A$51:$K$83,5,FALSE))), $C9= "0", 0), 0)</f>
        <v>0</v>
      </c>
      <c r="CQ9" s="44">
        <f>IFERROR(_xlfn.IFS($C9="1",('Inputs-System'!$C$30*'Coincidence Factors'!$B$9*(1+'Inputs-System'!$C$18)*(1+'Inputs-System'!$C$41))*'Inputs-Proposals'!$C$17*'Inputs-Proposals'!$C$19*(1-'Inputs-Proposals'!$C$20^(CP$3-'Inputs-System'!$C$7))*(VLOOKUP(CP$3,'Embedded Emissions'!$A$47:$B$78,2,FALSE)+VLOOKUP(CP$3,'Embedded Emissions'!$A$129:$B$158,2,FALSE)), $C9 = "2",('Inputs-System'!$C$30*'Coincidence Factors'!$B$9*(1+'Inputs-System'!$C$18)*(1+'Inputs-System'!$C$41))*'Inputs-Proposals'!$C$23*'Inputs-Proposals'!$C$25*(1-'Inputs-Proposals'!$C$20^(CP$3-'Inputs-System'!$C$7))*(VLOOKUP(CP$3,'Embedded Emissions'!$A$47:$B$78,2,FALSE)+VLOOKUP(CP$3,'Embedded Emissions'!$A$129:$B$158,2,FALSE)), $C9 = "3", ('Inputs-System'!$C$30*'Coincidence Factors'!$B$9*(1+'Inputs-System'!$C$18)*(1+'Inputs-System'!$C$41))*'Inputs-Proposals'!$C$29*'Inputs-Proposals'!$C$31*(1-'Inputs-Proposals'!$C$20^(CP$3-'Inputs-System'!$C$7))*(VLOOKUP(CP$3,'Embedded Emissions'!$A$47:$B$78,2,FALSE)+VLOOKUP(CP$3,'Embedded Emissions'!$A$129:$B$158,2,FALSE)), $C9 = "0", 0), 0)</f>
        <v>0</v>
      </c>
      <c r="CR9" s="44">
        <f>IFERROR(_xlfn.IFS($C9="1",( 'Inputs-System'!$C$30*'Coincidence Factors'!$B$9*(1+'Inputs-System'!$C$18)*(1+'Inputs-System'!$C$41))*('Inputs-Proposals'!$C$17*'Inputs-Proposals'!$C$19*(1-'Inputs-Proposals'!$C$20)^(CP$3-'Inputs-System'!$C$7))*(VLOOKUP(CP$3,DRIPE!$A$54:$I$82,5,FALSE)+VLOOKUP(CP$3,DRIPE!$A$54:$I$82,9,FALSE))+ ('Inputs-System'!$C$26*'Coincidence Factors'!$B$6*(1+'Inputs-System'!$C$18)*(1+'Inputs-System'!$C$42))*'Inputs-Proposals'!$C$16*VLOOKUP(CP$3,DRIPE!$A$54:$I$82,8,FALSE), $C9 = "2",( 'Inputs-System'!$C$30*'Coincidence Factors'!$B$9*(1+'Inputs-System'!$C$18)*(1+'Inputs-System'!$C$41))*('Inputs-Proposals'!$C$23*'Inputs-Proposals'!$C$25*(1-'Inputs-Proposals'!$C$26)^(CP$3-'Inputs-System'!$C$7))*(VLOOKUP(CP$3,DRIPE!$A$54:$I$82,5,FALSE)+VLOOKUP(CP$3,DRIPE!$A$54:$I$82,9,FALSE))+ ('Inputs-System'!$C$26*'Coincidence Factors'!$B$6*(1+'Inputs-System'!$C$18)*(1+'Inputs-System'!$C$42))*'Inputs-Proposals'!$C$22*VLOOKUP(CP$3,DRIPE!$A$54:$I$82,8,FALSE), $C9= "3", ( 'Inputs-System'!$C$30*'Coincidence Factors'!$B$9*(1+'Inputs-System'!$C$18)*(1+'Inputs-System'!$C$41))*('Inputs-Proposals'!$C$29*'Inputs-Proposals'!$C$31*(1-'Inputs-Proposals'!$C$32)^(CP$3-'Inputs-System'!$C$7))*(VLOOKUP(CP$3,DRIPE!$A$54:$I$82,5,FALSE)+VLOOKUP(CP$3,DRIPE!$A$54:$I$82,9,FALSE))+ ('Inputs-System'!$C$26*'Coincidence Factors'!$B$6*(1+'Inputs-System'!$C$18)*(1+'Inputs-System'!$C$42))*'Inputs-Proposals'!$C$28*VLOOKUP(CP$3,DRIPE!$A$54:$I$82,8,FALSE), $C9 = "0", 0), 0)</f>
        <v>0</v>
      </c>
      <c r="CS9" s="45">
        <f>IFERROR(_xlfn.IFS($C9="1",('Inputs-System'!$C$26*'Coincidence Factors'!$B$9*(1+'Inputs-System'!$C$18)*(1+'Inputs-System'!$C$42))*'Inputs-Proposals'!$D$16*(VLOOKUP(CP$3,Capacity!$A$53:$E$85,4,FALSE)*(1+'Inputs-System'!$C$42)+VLOOKUP(CP$3,Capacity!$A$53:$E$85,5,FALSE)*(1+'Inputs-System'!$C$43)*'Inputs-System'!$C$29), $C9 = "2", ('Inputs-System'!$C$26*'Coincidence Factors'!$B$9*(1+'Inputs-System'!$C$18))*'Inputs-Proposals'!$D$22*(VLOOKUP(CP$3,Capacity!$A$53:$E$85,4,FALSE)*(1+'Inputs-System'!$C$42)+VLOOKUP(CP$3,Capacity!$A$53:$E$85,5,FALSE)*'Inputs-System'!$C$29*(1+'Inputs-System'!$C$43)), $C9 = "3", ('Inputs-System'!$C$26*'Coincidence Factors'!$B$9*(1+'Inputs-System'!$C$18))*'Inputs-Proposals'!$D$28*(VLOOKUP(CP$3,Capacity!$A$53:$E$85,4,FALSE)*(1+'Inputs-System'!$C$42)+VLOOKUP(CP$3,Capacity!$A$53:$E$85,5,FALSE)*'Inputs-System'!$C$29*(1+'Inputs-System'!$C$43)), $C9 = "0", 0), 0)</f>
        <v>0</v>
      </c>
      <c r="CT9" s="44">
        <v>0</v>
      </c>
      <c r="CU9" s="342">
        <f>IFERROR(_xlfn.IFS($C9="1", 'Inputs-System'!$C$30*'Coincidence Factors'!$B$9*'Inputs-Proposals'!$C$17*'Inputs-Proposals'!$C$19*(VLOOKUP(CP$3,'Non-Embedded Emissions'!$A$56:$D$90,2,FALSE)-VLOOKUP(CP$3,'Non-Embedded Emissions'!$F$57:$H$88,2,FALSE)+VLOOKUP(CP$3,'Non-Embedded Emissions'!$A$143:$D$174,2,FALSE)-VLOOKUP(CP$3,'Non-Embedded Emissions'!$F$143:$H$174,2,FALSE)+VLOOKUP(CP$3,'Non-Embedded Emissions'!$A$230:$D$259,2,FALSE)), $C9 = "2", 'Inputs-System'!$C$30*'Coincidence Factors'!$B$9*'Inputs-Proposals'!$C$23*'Inputs-Proposals'!$C$25*(VLOOKUP(CP$3,'Non-Embedded Emissions'!$A$56:$D$90,2,FALSE)-VLOOKUP(CP$3,'Non-Embedded Emissions'!$F$57:$H$88,2,FALSE)+VLOOKUP(CP$3,'Non-Embedded Emissions'!$A$143:$D$174,2,FALSE)-VLOOKUP(CP$3,'Non-Embedded Emissions'!$F$143:$H$174,2,FALSE)+VLOOKUP(CP$3,'Non-Embedded Emissions'!$A$230:$D$259,2,FALSE)), $C9 = "3", 'Inputs-System'!$C$30*'Coincidence Factors'!$B$9*'Inputs-Proposals'!$C$29*'Inputs-Proposals'!$C$31*(VLOOKUP(CP$3,'Non-Embedded Emissions'!$A$56:$D$90,2,FALSE)-VLOOKUP(CP$3,'Non-Embedded Emissions'!$F$57:$H$88,2,FALSE)+VLOOKUP(CP$3,'Non-Embedded Emissions'!$A$143:$D$174,2,FALSE)-VLOOKUP(CP$3,'Non-Embedded Emissions'!$F$143:$H$174,2,FALSE)+VLOOKUP(CP$3,'Non-Embedded Emissions'!$A$230:$D$259,2,FALSE)), $C9 = "0", 0), 0)</f>
        <v>0</v>
      </c>
      <c r="CV9" s="45">
        <f>IFERROR(_xlfn.IFS($C9="1",('Inputs-System'!$C$30*'Coincidence Factors'!$B$9*(1+'Inputs-System'!$C$18)*(1+'Inputs-System'!$C$41)*('Inputs-Proposals'!$C$17*'Inputs-Proposals'!$C$19*(1-'Inputs-Proposals'!$C$20^(CV$3-'Inputs-System'!$C$7)))*(VLOOKUP(CV$3,Energy!$A$51:$K$83,5,FALSE))), $C9 = "2",('Inputs-System'!$C$30*'Coincidence Factors'!$B$9)*(1+'Inputs-System'!$C$18)*(1+'Inputs-System'!$C$41)*('Inputs-Proposals'!$C$23*'Inputs-Proposals'!$C$25*(1-'Inputs-Proposals'!$C$26^(CV$3-'Inputs-System'!$C$7)))*(VLOOKUP(CV$3,Energy!$A$51:$K$83,5,FALSE)), $C9= "3", ('Inputs-System'!$C$30*'Coincidence Factors'!$B$9*(1+'Inputs-System'!$C$18)*(1+'Inputs-System'!$C$41)*('Inputs-Proposals'!$C$29*'Inputs-Proposals'!$C$31*(1-'Inputs-Proposals'!$C$32^(CV$3-'Inputs-System'!$C$7)))*(VLOOKUP(CV$3,Energy!$A$51:$K$83,5,FALSE))), $C9= "0", 0), 0)</f>
        <v>0</v>
      </c>
      <c r="CW9" s="44">
        <f>IFERROR(_xlfn.IFS($C9="1",('Inputs-System'!$C$30*'Coincidence Factors'!$B$9*(1+'Inputs-System'!$C$18)*(1+'Inputs-System'!$C$41))*'Inputs-Proposals'!$C$17*'Inputs-Proposals'!$C$19*(1-'Inputs-Proposals'!$C$20^(CV$3-'Inputs-System'!$C$7))*(VLOOKUP(CV$3,'Embedded Emissions'!$A$47:$B$78,2,FALSE)+VLOOKUP(CV$3,'Embedded Emissions'!$A$129:$B$158,2,FALSE)), $C9 = "2",('Inputs-System'!$C$30*'Coincidence Factors'!$B$9*(1+'Inputs-System'!$C$18)*(1+'Inputs-System'!$C$41))*'Inputs-Proposals'!$C$23*'Inputs-Proposals'!$C$25*(1-'Inputs-Proposals'!$C$20^(CV$3-'Inputs-System'!$C$7))*(VLOOKUP(CV$3,'Embedded Emissions'!$A$47:$B$78,2,FALSE)+VLOOKUP(CV$3,'Embedded Emissions'!$A$129:$B$158,2,FALSE)), $C9 = "3", ('Inputs-System'!$C$30*'Coincidence Factors'!$B$9*(1+'Inputs-System'!$C$18)*(1+'Inputs-System'!$C$41))*'Inputs-Proposals'!$C$29*'Inputs-Proposals'!$C$31*(1-'Inputs-Proposals'!$C$20^(CV$3-'Inputs-System'!$C$7))*(VLOOKUP(CV$3,'Embedded Emissions'!$A$47:$B$78,2,FALSE)+VLOOKUP(CV$3,'Embedded Emissions'!$A$129:$B$158,2,FALSE)), $C9 = "0", 0), 0)</f>
        <v>0</v>
      </c>
      <c r="CX9" s="44">
        <f>IFERROR(_xlfn.IFS($C9="1",( 'Inputs-System'!$C$30*'Coincidence Factors'!$B$9*(1+'Inputs-System'!$C$18)*(1+'Inputs-System'!$C$41))*('Inputs-Proposals'!$C$17*'Inputs-Proposals'!$C$19*(1-'Inputs-Proposals'!$C$20)^(CV$3-'Inputs-System'!$C$7))*(VLOOKUP(CV$3,DRIPE!$A$54:$I$82,5,FALSE)+VLOOKUP(CV$3,DRIPE!$A$54:$I$82,9,FALSE))+ ('Inputs-System'!$C$26*'Coincidence Factors'!$B$6*(1+'Inputs-System'!$C$18)*(1+'Inputs-System'!$C$42))*'Inputs-Proposals'!$C$16*VLOOKUP(CV$3,DRIPE!$A$54:$I$82,8,FALSE), $C9 = "2",( 'Inputs-System'!$C$30*'Coincidence Factors'!$B$9*(1+'Inputs-System'!$C$18)*(1+'Inputs-System'!$C$41))*('Inputs-Proposals'!$C$23*'Inputs-Proposals'!$C$25*(1-'Inputs-Proposals'!$C$26)^(CV$3-'Inputs-System'!$C$7))*(VLOOKUP(CV$3,DRIPE!$A$54:$I$82,5,FALSE)+VLOOKUP(CV$3,DRIPE!$A$54:$I$82,9,FALSE))+ ('Inputs-System'!$C$26*'Coincidence Factors'!$B$6*(1+'Inputs-System'!$C$18)*(1+'Inputs-System'!$C$42))*'Inputs-Proposals'!$C$22*VLOOKUP(CV$3,DRIPE!$A$54:$I$82,8,FALSE), $C9= "3", ( 'Inputs-System'!$C$30*'Coincidence Factors'!$B$9*(1+'Inputs-System'!$C$18)*(1+'Inputs-System'!$C$41))*('Inputs-Proposals'!$C$29*'Inputs-Proposals'!$C$31*(1-'Inputs-Proposals'!$C$32)^(CV$3-'Inputs-System'!$C$7))*(VLOOKUP(CV$3,DRIPE!$A$54:$I$82,5,FALSE)+VLOOKUP(CV$3,DRIPE!$A$54:$I$82,9,FALSE))+ ('Inputs-System'!$C$26*'Coincidence Factors'!$B$6*(1+'Inputs-System'!$C$18)*(1+'Inputs-System'!$C$42))*'Inputs-Proposals'!$C$28*VLOOKUP(CV$3,DRIPE!$A$54:$I$82,8,FALSE), $C9 = "0", 0), 0)</f>
        <v>0</v>
      </c>
      <c r="CY9" s="45">
        <f>IFERROR(_xlfn.IFS($C9="1",('Inputs-System'!$C$26*'Coincidence Factors'!$B$9*(1+'Inputs-System'!$C$18)*(1+'Inputs-System'!$C$42))*'Inputs-Proposals'!$D$16*(VLOOKUP(CV$3,Capacity!$A$53:$E$85,4,FALSE)*(1+'Inputs-System'!$C$42)+VLOOKUP(CV$3,Capacity!$A$53:$E$85,5,FALSE)*(1+'Inputs-System'!$C$43)*'Inputs-System'!$C$29), $C9 = "2", ('Inputs-System'!$C$26*'Coincidence Factors'!$B$9*(1+'Inputs-System'!$C$18))*'Inputs-Proposals'!$D$22*(VLOOKUP(CV$3,Capacity!$A$53:$E$85,4,FALSE)*(1+'Inputs-System'!$C$42)+VLOOKUP(CV$3,Capacity!$A$53:$E$85,5,FALSE)*'Inputs-System'!$C$29*(1+'Inputs-System'!$C$43)), $C9 = "3", ('Inputs-System'!$C$26*'Coincidence Factors'!$B$9*(1+'Inputs-System'!$C$18))*'Inputs-Proposals'!$D$28*(VLOOKUP(CV$3,Capacity!$A$53:$E$85,4,FALSE)*(1+'Inputs-System'!$C$42)+VLOOKUP(CV$3,Capacity!$A$53:$E$85,5,FALSE)*'Inputs-System'!$C$29*(1+'Inputs-System'!$C$43)), $C9 = "0", 0), 0)</f>
        <v>0</v>
      </c>
      <c r="CZ9" s="44">
        <v>0</v>
      </c>
      <c r="DA9" s="342">
        <f>IFERROR(_xlfn.IFS($C9="1", 'Inputs-System'!$C$30*'Coincidence Factors'!$B$9*'Inputs-Proposals'!$C$17*'Inputs-Proposals'!$C$19*(VLOOKUP(CV$3,'Non-Embedded Emissions'!$A$56:$D$90,2,FALSE)-VLOOKUP(CV$3,'Non-Embedded Emissions'!$F$57:$H$88,2,FALSE)+VLOOKUP(CV$3,'Non-Embedded Emissions'!$A$143:$D$174,2,FALSE)-VLOOKUP(CV$3,'Non-Embedded Emissions'!$F$143:$H$174,2,FALSE)+VLOOKUP(CV$3,'Non-Embedded Emissions'!$A$230:$D$259,2,FALSE)), $C9 = "2", 'Inputs-System'!$C$30*'Coincidence Factors'!$B$9*'Inputs-Proposals'!$C$23*'Inputs-Proposals'!$C$25*(VLOOKUP(CV$3,'Non-Embedded Emissions'!$A$56:$D$90,2,FALSE)-VLOOKUP(CV$3,'Non-Embedded Emissions'!$F$57:$H$88,2,FALSE)+VLOOKUP(CV$3,'Non-Embedded Emissions'!$A$143:$D$174,2,FALSE)-VLOOKUP(CV$3,'Non-Embedded Emissions'!$F$143:$H$174,2,FALSE)+VLOOKUP(CV$3,'Non-Embedded Emissions'!$A$230:$D$259,2,FALSE)), $C9 = "3", 'Inputs-System'!$C$30*'Coincidence Factors'!$B$9*'Inputs-Proposals'!$C$29*'Inputs-Proposals'!$C$31*(VLOOKUP(CV$3,'Non-Embedded Emissions'!$A$56:$D$90,2,FALSE)-VLOOKUP(CV$3,'Non-Embedded Emissions'!$F$57:$H$88,2,FALSE)+VLOOKUP(CV$3,'Non-Embedded Emissions'!$A$143:$D$174,2,FALSE)-VLOOKUP(CV$3,'Non-Embedded Emissions'!$F$143:$H$174,2,FALSE)+VLOOKUP(CV$3,'Non-Embedded Emissions'!$A$230:$D$259,2,FALSE)), $C9 = "0", 0), 0)</f>
        <v>0</v>
      </c>
      <c r="DB9" s="45">
        <f>IFERROR(_xlfn.IFS($C9="1",('Inputs-System'!$C$30*'Coincidence Factors'!$B$9*(1+'Inputs-System'!$C$18)*(1+'Inputs-System'!$C$41)*('Inputs-Proposals'!$C$17*'Inputs-Proposals'!$C$19*(1-'Inputs-Proposals'!$C$20^(DB$3-'Inputs-System'!$C$7)))*(VLOOKUP(DB$3,Energy!$A$51:$K$83,5,FALSE))), $C9 = "2",('Inputs-System'!$C$30*'Coincidence Factors'!$B$9)*(1+'Inputs-System'!$C$18)*(1+'Inputs-System'!$C$41)*('Inputs-Proposals'!$C$23*'Inputs-Proposals'!$C$25*(1-'Inputs-Proposals'!$C$26^(DB$3-'Inputs-System'!$C$7)))*(VLOOKUP(DB$3,Energy!$A$51:$K$83,5,FALSE)), $C9= "3", ('Inputs-System'!$C$30*'Coincidence Factors'!$B$9*(1+'Inputs-System'!$C$18)*(1+'Inputs-System'!$C$41)*('Inputs-Proposals'!$C$29*'Inputs-Proposals'!$C$31*(1-'Inputs-Proposals'!$C$32^(DB$3-'Inputs-System'!$C$7)))*(VLOOKUP(DB$3,Energy!$A$51:$K$83,5,FALSE))), $C9= "0", 0), 0)</f>
        <v>0</v>
      </c>
      <c r="DC9" s="44">
        <f>IFERROR(_xlfn.IFS($C9="1",('Inputs-System'!$C$30*'Coincidence Factors'!$B$9*(1+'Inputs-System'!$C$18)*(1+'Inputs-System'!$C$41))*'Inputs-Proposals'!$C$17*'Inputs-Proposals'!$C$19*(1-'Inputs-Proposals'!$C$20^(DB$3-'Inputs-System'!$C$7))*(VLOOKUP(DB$3,'Embedded Emissions'!$A$47:$B$78,2,FALSE)+VLOOKUP(DB$3,'Embedded Emissions'!$A$129:$B$158,2,FALSE)), $C9 = "2",('Inputs-System'!$C$30*'Coincidence Factors'!$B$9*(1+'Inputs-System'!$C$18)*(1+'Inputs-System'!$C$41))*'Inputs-Proposals'!$C$23*'Inputs-Proposals'!$C$25*(1-'Inputs-Proposals'!$C$20^(DB$3-'Inputs-System'!$C$7))*(VLOOKUP(DB$3,'Embedded Emissions'!$A$47:$B$78,2,FALSE)+VLOOKUP(DB$3,'Embedded Emissions'!$A$129:$B$158,2,FALSE)), $C9 = "3", ('Inputs-System'!$C$30*'Coincidence Factors'!$B$9*(1+'Inputs-System'!$C$18)*(1+'Inputs-System'!$C$41))*'Inputs-Proposals'!$C$29*'Inputs-Proposals'!$C$31*(1-'Inputs-Proposals'!$C$20^(DB$3-'Inputs-System'!$C$7))*(VLOOKUP(DB$3,'Embedded Emissions'!$A$47:$B$78,2,FALSE)+VLOOKUP(DB$3,'Embedded Emissions'!$A$129:$B$158,2,FALSE)), $C9 = "0", 0), 0)</f>
        <v>0</v>
      </c>
      <c r="DD9" s="44">
        <f>IFERROR(_xlfn.IFS($C9="1",( 'Inputs-System'!$C$30*'Coincidence Factors'!$B$9*(1+'Inputs-System'!$C$18)*(1+'Inputs-System'!$C$41))*('Inputs-Proposals'!$C$17*'Inputs-Proposals'!$C$19*(1-'Inputs-Proposals'!$C$20)^(DB$3-'Inputs-System'!$C$7))*(VLOOKUP(DB$3,DRIPE!$A$54:$I$82,5,FALSE)+VLOOKUP(DB$3,DRIPE!$A$54:$I$82,9,FALSE))+ ('Inputs-System'!$C$26*'Coincidence Factors'!$B$6*(1+'Inputs-System'!$C$18)*(1+'Inputs-System'!$C$42))*'Inputs-Proposals'!$C$16*VLOOKUP(DB$3,DRIPE!$A$54:$I$82,8,FALSE), $C9 = "2",( 'Inputs-System'!$C$30*'Coincidence Factors'!$B$9*(1+'Inputs-System'!$C$18)*(1+'Inputs-System'!$C$41))*('Inputs-Proposals'!$C$23*'Inputs-Proposals'!$C$25*(1-'Inputs-Proposals'!$C$26)^(DB$3-'Inputs-System'!$C$7))*(VLOOKUP(DB$3,DRIPE!$A$54:$I$82,5,FALSE)+VLOOKUP(DB$3,DRIPE!$A$54:$I$82,9,FALSE))+ ('Inputs-System'!$C$26*'Coincidence Factors'!$B$6*(1+'Inputs-System'!$C$18)*(1+'Inputs-System'!$C$42))*'Inputs-Proposals'!$C$22*VLOOKUP(DB$3,DRIPE!$A$54:$I$82,8,FALSE), $C9= "3", ( 'Inputs-System'!$C$30*'Coincidence Factors'!$B$9*(1+'Inputs-System'!$C$18)*(1+'Inputs-System'!$C$41))*('Inputs-Proposals'!$C$29*'Inputs-Proposals'!$C$31*(1-'Inputs-Proposals'!$C$32)^(DB$3-'Inputs-System'!$C$7))*(VLOOKUP(DB$3,DRIPE!$A$54:$I$82,5,FALSE)+VLOOKUP(DB$3,DRIPE!$A$54:$I$82,9,FALSE))+ ('Inputs-System'!$C$26*'Coincidence Factors'!$B$6*(1+'Inputs-System'!$C$18)*(1+'Inputs-System'!$C$42))*'Inputs-Proposals'!$C$28*VLOOKUP(DB$3,DRIPE!$A$54:$I$82,8,FALSE), $C9 = "0", 0), 0)</f>
        <v>0</v>
      </c>
      <c r="DE9" s="45">
        <f>IFERROR(_xlfn.IFS($C9="1",('Inputs-System'!$C$26*'Coincidence Factors'!$B$9*(1+'Inputs-System'!$C$18)*(1+'Inputs-System'!$C$42))*'Inputs-Proposals'!$D$16*(VLOOKUP(DB$3,Capacity!$A$53:$E$85,4,FALSE)*(1+'Inputs-System'!$C$42)+VLOOKUP(DB$3,Capacity!$A$53:$E$85,5,FALSE)*(1+'Inputs-System'!$C$43)*'Inputs-System'!$C$29), $C9 = "2", ('Inputs-System'!$C$26*'Coincidence Factors'!$B$9*(1+'Inputs-System'!$C$18))*'Inputs-Proposals'!$D$22*(VLOOKUP(DB$3,Capacity!$A$53:$E$85,4,FALSE)*(1+'Inputs-System'!$C$42)+VLOOKUP(DB$3,Capacity!$A$53:$E$85,5,FALSE)*'Inputs-System'!$C$29*(1+'Inputs-System'!$C$43)), $C9 = "3", ('Inputs-System'!$C$26*'Coincidence Factors'!$B$9*(1+'Inputs-System'!$C$18))*'Inputs-Proposals'!$D$28*(VLOOKUP(DB$3,Capacity!$A$53:$E$85,4,FALSE)*(1+'Inputs-System'!$C$42)+VLOOKUP(DB$3,Capacity!$A$53:$E$85,5,FALSE)*'Inputs-System'!$C$29*(1+'Inputs-System'!$C$43)), $C9 = "0", 0), 0)</f>
        <v>0</v>
      </c>
      <c r="DF9" s="44">
        <v>0</v>
      </c>
      <c r="DG9" s="342">
        <f>IFERROR(_xlfn.IFS($C9="1", 'Inputs-System'!$C$30*'Coincidence Factors'!$B$9*'Inputs-Proposals'!$C$17*'Inputs-Proposals'!$C$19*(VLOOKUP(DB$3,'Non-Embedded Emissions'!$A$56:$D$90,2,FALSE)-VLOOKUP(DB$3,'Non-Embedded Emissions'!$F$57:$H$88,2,FALSE)+VLOOKUP(DB$3,'Non-Embedded Emissions'!$A$143:$D$174,2,FALSE)-VLOOKUP(DB$3,'Non-Embedded Emissions'!$F$143:$H$174,2,FALSE)+VLOOKUP(DB$3,'Non-Embedded Emissions'!$A$230:$D$259,2,FALSE)), $C9 = "2", 'Inputs-System'!$C$30*'Coincidence Factors'!$B$9*'Inputs-Proposals'!$C$23*'Inputs-Proposals'!$C$25*(VLOOKUP(DB$3,'Non-Embedded Emissions'!$A$56:$D$90,2,FALSE)-VLOOKUP(DB$3,'Non-Embedded Emissions'!$F$57:$H$88,2,FALSE)+VLOOKUP(DB$3,'Non-Embedded Emissions'!$A$143:$D$174,2,FALSE)-VLOOKUP(DB$3,'Non-Embedded Emissions'!$F$143:$H$174,2,FALSE)+VLOOKUP(DB$3,'Non-Embedded Emissions'!$A$230:$D$259,2,FALSE)), $C9 = "3", 'Inputs-System'!$C$30*'Coincidence Factors'!$B$9*'Inputs-Proposals'!$C$29*'Inputs-Proposals'!$C$31*(VLOOKUP(DB$3,'Non-Embedded Emissions'!$A$56:$D$90,2,FALSE)-VLOOKUP(DB$3,'Non-Embedded Emissions'!$F$57:$H$88,2,FALSE)+VLOOKUP(DB$3,'Non-Embedded Emissions'!$A$143:$D$174,2,FALSE)-VLOOKUP(DB$3,'Non-Embedded Emissions'!$F$143:$H$174,2,FALSE)+VLOOKUP(DB$3,'Non-Embedded Emissions'!$A$230:$D$259,2,FALSE)), $C9 = "0", 0), 0)</f>
        <v>0</v>
      </c>
      <c r="DH9" s="45">
        <f>IFERROR(_xlfn.IFS($C9="1",('Inputs-System'!$C$30*'Coincidence Factors'!$B$9*(1+'Inputs-System'!$C$18)*(1+'Inputs-System'!$C$41)*('Inputs-Proposals'!$C$17*'Inputs-Proposals'!$C$19*(1-'Inputs-Proposals'!$C$20^(DH$3-'Inputs-System'!$C$7)))*(VLOOKUP(DH$3,Energy!$A$51:$K$83,5,FALSE))), $C9 = "2",('Inputs-System'!$C$30*'Coincidence Factors'!$B$9)*(1+'Inputs-System'!$C$18)*(1+'Inputs-System'!$C$41)*('Inputs-Proposals'!$C$23*'Inputs-Proposals'!$C$25*(1-'Inputs-Proposals'!$C$26^(DH$3-'Inputs-System'!$C$7)))*(VLOOKUP(DH$3,Energy!$A$51:$K$83,5,FALSE)), $C9= "3", ('Inputs-System'!$C$30*'Coincidence Factors'!$B$9*(1+'Inputs-System'!$C$18)*(1+'Inputs-System'!$C$41)*('Inputs-Proposals'!$C$29*'Inputs-Proposals'!$C$31*(1-'Inputs-Proposals'!$C$32^(DH$3-'Inputs-System'!$C$7)))*(VLOOKUP(DH$3,Energy!$A$51:$K$83,5,FALSE))), $C9= "0", 0), 0)</f>
        <v>0</v>
      </c>
      <c r="DI9" s="44">
        <f>IFERROR(_xlfn.IFS($C9="1",('Inputs-System'!$C$30*'Coincidence Factors'!$B$9*(1+'Inputs-System'!$C$18)*(1+'Inputs-System'!$C$41))*'Inputs-Proposals'!$C$17*'Inputs-Proposals'!$C$19*(1-'Inputs-Proposals'!$C$20^(DH$3-'Inputs-System'!$C$7))*(VLOOKUP(DH$3,'Embedded Emissions'!$A$47:$B$78,2,FALSE)+VLOOKUP(DH$3,'Embedded Emissions'!$A$129:$B$158,2,FALSE)), $C9 = "2",('Inputs-System'!$C$30*'Coincidence Factors'!$B$9*(1+'Inputs-System'!$C$18)*(1+'Inputs-System'!$C$41))*'Inputs-Proposals'!$C$23*'Inputs-Proposals'!$C$25*(1-'Inputs-Proposals'!$C$20^(DH$3-'Inputs-System'!$C$7))*(VLOOKUP(DH$3,'Embedded Emissions'!$A$47:$B$78,2,FALSE)+VLOOKUP(DH$3,'Embedded Emissions'!$A$129:$B$158,2,FALSE)), $C9 = "3", ('Inputs-System'!$C$30*'Coincidence Factors'!$B$9*(1+'Inputs-System'!$C$18)*(1+'Inputs-System'!$C$41))*'Inputs-Proposals'!$C$29*'Inputs-Proposals'!$C$31*(1-'Inputs-Proposals'!$C$20^(DH$3-'Inputs-System'!$C$7))*(VLOOKUP(DH$3,'Embedded Emissions'!$A$47:$B$78,2,FALSE)+VLOOKUP(DH$3,'Embedded Emissions'!$A$129:$B$158,2,FALSE)), $C9 = "0", 0), 0)</f>
        <v>0</v>
      </c>
      <c r="DJ9" s="44">
        <f>IFERROR(_xlfn.IFS($C9="1",( 'Inputs-System'!$C$30*'Coincidence Factors'!$B$9*(1+'Inputs-System'!$C$18)*(1+'Inputs-System'!$C$41))*('Inputs-Proposals'!$C$17*'Inputs-Proposals'!$C$19*(1-'Inputs-Proposals'!$C$20)^(DH$3-'Inputs-System'!$C$7))*(VLOOKUP(DH$3,DRIPE!$A$54:$I$82,5,FALSE)+VLOOKUP(DH$3,DRIPE!$A$54:$I$82,9,FALSE))+ ('Inputs-System'!$C$26*'Coincidence Factors'!$B$6*(1+'Inputs-System'!$C$18)*(1+'Inputs-System'!$C$42))*'Inputs-Proposals'!$C$16*VLOOKUP(DH$3,DRIPE!$A$54:$I$82,8,FALSE), $C9 = "2",( 'Inputs-System'!$C$30*'Coincidence Factors'!$B$9*(1+'Inputs-System'!$C$18)*(1+'Inputs-System'!$C$41))*('Inputs-Proposals'!$C$23*'Inputs-Proposals'!$C$25*(1-'Inputs-Proposals'!$C$26)^(DH$3-'Inputs-System'!$C$7))*(VLOOKUP(DH$3,DRIPE!$A$54:$I$82,5,FALSE)+VLOOKUP(DH$3,DRIPE!$A$54:$I$82,9,FALSE))+ ('Inputs-System'!$C$26*'Coincidence Factors'!$B$6*(1+'Inputs-System'!$C$18)*(1+'Inputs-System'!$C$42))*'Inputs-Proposals'!$C$22*VLOOKUP(DH$3,DRIPE!$A$54:$I$82,8,FALSE), $C9= "3", ( 'Inputs-System'!$C$30*'Coincidence Factors'!$B$9*(1+'Inputs-System'!$C$18)*(1+'Inputs-System'!$C$41))*('Inputs-Proposals'!$C$29*'Inputs-Proposals'!$C$31*(1-'Inputs-Proposals'!$C$32)^(DH$3-'Inputs-System'!$C$7))*(VLOOKUP(DH$3,DRIPE!$A$54:$I$82,5,FALSE)+VLOOKUP(DH$3,DRIPE!$A$54:$I$82,9,FALSE))+ ('Inputs-System'!$C$26*'Coincidence Factors'!$B$6*(1+'Inputs-System'!$C$18)*(1+'Inputs-System'!$C$42))*'Inputs-Proposals'!$C$28*VLOOKUP(DH$3,DRIPE!$A$54:$I$82,8,FALSE), $C9 = "0", 0), 0)</f>
        <v>0</v>
      </c>
      <c r="DK9" s="45">
        <f>IFERROR(_xlfn.IFS($C9="1",('Inputs-System'!$C$26*'Coincidence Factors'!$B$9*(1+'Inputs-System'!$C$18)*(1+'Inputs-System'!$C$42))*'Inputs-Proposals'!$D$16*(VLOOKUP(DH$3,Capacity!$A$53:$E$85,4,FALSE)*(1+'Inputs-System'!$C$42)+VLOOKUP(DH$3,Capacity!$A$53:$E$85,5,FALSE)*(1+'Inputs-System'!$C$43)*'Inputs-System'!$C$29), $C9 = "2", ('Inputs-System'!$C$26*'Coincidence Factors'!$B$9*(1+'Inputs-System'!$C$18))*'Inputs-Proposals'!$D$22*(VLOOKUP(DH$3,Capacity!$A$53:$E$85,4,FALSE)*(1+'Inputs-System'!$C$42)+VLOOKUP(DH$3,Capacity!$A$53:$E$85,5,FALSE)*'Inputs-System'!$C$29*(1+'Inputs-System'!$C$43)), $C9 = "3", ('Inputs-System'!$C$26*'Coincidence Factors'!$B$9*(1+'Inputs-System'!$C$18))*'Inputs-Proposals'!$D$28*(VLOOKUP(DH$3,Capacity!$A$53:$E$85,4,FALSE)*(1+'Inputs-System'!$C$42)+VLOOKUP(DH$3,Capacity!$A$53:$E$85,5,FALSE)*'Inputs-System'!$C$29*(1+'Inputs-System'!$C$43)), $C9 = "0", 0), 0)</f>
        <v>0</v>
      </c>
      <c r="DL9" s="44">
        <v>0</v>
      </c>
      <c r="DM9" s="342">
        <f>IFERROR(_xlfn.IFS($C9="1", 'Inputs-System'!$C$30*'Coincidence Factors'!$B$9*'Inputs-Proposals'!$C$17*'Inputs-Proposals'!$C$19*(VLOOKUP(DH$3,'Non-Embedded Emissions'!$A$56:$D$90,2,FALSE)-VLOOKUP(DH$3,'Non-Embedded Emissions'!$F$57:$H$88,2,FALSE)+VLOOKUP(DH$3,'Non-Embedded Emissions'!$A$143:$D$174,2,FALSE)-VLOOKUP(DH$3,'Non-Embedded Emissions'!$F$143:$H$174,2,FALSE)+VLOOKUP(DH$3,'Non-Embedded Emissions'!$A$230:$D$259,2,FALSE)), $C9 = "2", 'Inputs-System'!$C$30*'Coincidence Factors'!$B$9*'Inputs-Proposals'!$C$23*'Inputs-Proposals'!$C$25*(VLOOKUP(DH$3,'Non-Embedded Emissions'!$A$56:$D$90,2,FALSE)-VLOOKUP(DH$3,'Non-Embedded Emissions'!$F$57:$H$88,2,FALSE)+VLOOKUP(DH$3,'Non-Embedded Emissions'!$A$143:$D$174,2,FALSE)-VLOOKUP(DH$3,'Non-Embedded Emissions'!$F$143:$H$174,2,FALSE)+VLOOKUP(DH$3,'Non-Embedded Emissions'!$A$230:$D$259,2,FALSE)), $C9 = "3", 'Inputs-System'!$C$30*'Coincidence Factors'!$B$9*'Inputs-Proposals'!$C$29*'Inputs-Proposals'!$C$31*(VLOOKUP(DH$3,'Non-Embedded Emissions'!$A$56:$D$90,2,FALSE)-VLOOKUP(DH$3,'Non-Embedded Emissions'!$F$57:$H$88,2,FALSE)+VLOOKUP(DH$3,'Non-Embedded Emissions'!$A$143:$D$174,2,FALSE)-VLOOKUP(DH$3,'Non-Embedded Emissions'!$F$143:$H$174,2,FALSE)+VLOOKUP(DH$3,'Non-Embedded Emissions'!$A$230:$D$259,2,FALSE)), $C9 = "0", 0), 0)</f>
        <v>0</v>
      </c>
      <c r="DN9" s="45">
        <f>IFERROR(_xlfn.IFS($C9="1",('Inputs-System'!$C$30*'Coincidence Factors'!$B$9*(1+'Inputs-System'!$C$18)*(1+'Inputs-System'!$C$41)*('Inputs-Proposals'!$C$17*'Inputs-Proposals'!$C$19*(1-'Inputs-Proposals'!$C$20^(DN$3-'Inputs-System'!$C$7)))*(VLOOKUP(DN$3,Energy!$A$51:$K$83,5,FALSE))), $C9 = "2",('Inputs-System'!$C$30*'Coincidence Factors'!$B$9)*(1+'Inputs-System'!$C$18)*(1+'Inputs-System'!$C$41)*('Inputs-Proposals'!$C$23*'Inputs-Proposals'!$C$25*(1-'Inputs-Proposals'!$C$26^(DN$3-'Inputs-System'!$C$7)))*(VLOOKUP(DN$3,Energy!$A$51:$K$83,5,FALSE)), $C9= "3", ('Inputs-System'!$C$30*'Coincidence Factors'!$B$9*(1+'Inputs-System'!$C$18)*(1+'Inputs-System'!$C$41)*('Inputs-Proposals'!$C$29*'Inputs-Proposals'!$C$31*(1-'Inputs-Proposals'!$C$32^(DN$3-'Inputs-System'!$C$7)))*(VLOOKUP(DN$3,Energy!$A$51:$K$83,5,FALSE))), $C9= "0", 0), 0)</f>
        <v>0</v>
      </c>
      <c r="DO9" s="44">
        <f>IFERROR(_xlfn.IFS($C9="1",('Inputs-System'!$C$30*'Coincidence Factors'!$B$9*(1+'Inputs-System'!$C$18)*(1+'Inputs-System'!$C$41))*'Inputs-Proposals'!$C$17*'Inputs-Proposals'!$C$19*(1-'Inputs-Proposals'!$C$20^(DN$3-'Inputs-System'!$C$7))*(VLOOKUP(DN$3,'Embedded Emissions'!$A$47:$B$78,2,FALSE)+VLOOKUP(DN$3,'Embedded Emissions'!$A$129:$B$158,2,FALSE)), $C9 = "2",('Inputs-System'!$C$30*'Coincidence Factors'!$B$9*(1+'Inputs-System'!$C$18)*(1+'Inputs-System'!$C$41))*'Inputs-Proposals'!$C$23*'Inputs-Proposals'!$C$25*(1-'Inputs-Proposals'!$C$20^(DN$3-'Inputs-System'!$C$7))*(VLOOKUP(DN$3,'Embedded Emissions'!$A$47:$B$78,2,FALSE)+VLOOKUP(DN$3,'Embedded Emissions'!$A$129:$B$158,2,FALSE)), $C9 = "3", ('Inputs-System'!$C$30*'Coincidence Factors'!$B$9*(1+'Inputs-System'!$C$18)*(1+'Inputs-System'!$C$41))*'Inputs-Proposals'!$C$29*'Inputs-Proposals'!$C$31*(1-'Inputs-Proposals'!$C$20^(DN$3-'Inputs-System'!$C$7))*(VLOOKUP(DN$3,'Embedded Emissions'!$A$47:$B$78,2,FALSE)+VLOOKUP(DN$3,'Embedded Emissions'!$A$129:$B$158,2,FALSE)), $C9 = "0", 0), 0)</f>
        <v>0</v>
      </c>
      <c r="DP9" s="44">
        <f>IFERROR(_xlfn.IFS($C9="1",( 'Inputs-System'!$C$30*'Coincidence Factors'!$B$9*(1+'Inputs-System'!$C$18)*(1+'Inputs-System'!$C$41))*('Inputs-Proposals'!$C$17*'Inputs-Proposals'!$C$19*(1-'Inputs-Proposals'!$C$20)^(DN$3-'Inputs-System'!$C$7))*(VLOOKUP(DN$3,DRIPE!$A$54:$I$82,5,FALSE)+VLOOKUP(DN$3,DRIPE!$A$54:$I$82,9,FALSE))+ ('Inputs-System'!$C$26*'Coincidence Factors'!$B$6*(1+'Inputs-System'!$C$18)*(1+'Inputs-System'!$C$42))*'Inputs-Proposals'!$C$16*VLOOKUP(DN$3,DRIPE!$A$54:$I$82,8,FALSE), $C9 = "2",( 'Inputs-System'!$C$30*'Coincidence Factors'!$B$9*(1+'Inputs-System'!$C$18)*(1+'Inputs-System'!$C$41))*('Inputs-Proposals'!$C$23*'Inputs-Proposals'!$C$25*(1-'Inputs-Proposals'!$C$26)^(DN$3-'Inputs-System'!$C$7))*(VLOOKUP(DN$3,DRIPE!$A$54:$I$82,5,FALSE)+VLOOKUP(DN$3,DRIPE!$A$54:$I$82,9,FALSE))+ ('Inputs-System'!$C$26*'Coincidence Factors'!$B$6*(1+'Inputs-System'!$C$18)*(1+'Inputs-System'!$C$42))*'Inputs-Proposals'!$C$22*VLOOKUP(DN$3,DRIPE!$A$54:$I$82,8,FALSE), $C9= "3", ( 'Inputs-System'!$C$30*'Coincidence Factors'!$B$9*(1+'Inputs-System'!$C$18)*(1+'Inputs-System'!$C$41))*('Inputs-Proposals'!$C$29*'Inputs-Proposals'!$C$31*(1-'Inputs-Proposals'!$C$32)^(DN$3-'Inputs-System'!$C$7))*(VLOOKUP(DN$3,DRIPE!$A$54:$I$82,5,FALSE)+VLOOKUP(DN$3,DRIPE!$A$54:$I$82,9,FALSE))+ ('Inputs-System'!$C$26*'Coincidence Factors'!$B$6*(1+'Inputs-System'!$C$18)*(1+'Inputs-System'!$C$42))*'Inputs-Proposals'!$C$28*VLOOKUP(DN$3,DRIPE!$A$54:$I$82,8,FALSE), $C9 = "0", 0), 0)</f>
        <v>0</v>
      </c>
      <c r="DQ9" s="45">
        <f>IFERROR(_xlfn.IFS($C9="1",('Inputs-System'!$C$26*'Coincidence Factors'!$B$9*(1+'Inputs-System'!$C$18)*(1+'Inputs-System'!$C$42))*'Inputs-Proposals'!$D$16*(VLOOKUP(DN$3,Capacity!$A$53:$E$85,4,FALSE)*(1+'Inputs-System'!$C$42)+VLOOKUP(DN$3,Capacity!$A$53:$E$85,5,FALSE)*(1+'Inputs-System'!$C$43)*'Inputs-System'!$C$29), $C9 = "2", ('Inputs-System'!$C$26*'Coincidence Factors'!$B$9*(1+'Inputs-System'!$C$18))*'Inputs-Proposals'!$D$22*(VLOOKUP(DN$3,Capacity!$A$53:$E$85,4,FALSE)*(1+'Inputs-System'!$C$42)+VLOOKUP(DN$3,Capacity!$A$53:$E$85,5,FALSE)*'Inputs-System'!$C$29*(1+'Inputs-System'!$C$43)), $C9 = "3", ('Inputs-System'!$C$26*'Coincidence Factors'!$B$9*(1+'Inputs-System'!$C$18))*'Inputs-Proposals'!$D$28*(VLOOKUP(DN$3,Capacity!$A$53:$E$85,4,FALSE)*(1+'Inputs-System'!$C$42)+VLOOKUP(DN$3,Capacity!$A$53:$E$85,5,FALSE)*'Inputs-System'!$C$29*(1+'Inputs-System'!$C$43)), $C9 = "0", 0), 0)</f>
        <v>0</v>
      </c>
      <c r="DR9" s="44">
        <v>0</v>
      </c>
      <c r="DS9" s="342">
        <f>IFERROR(_xlfn.IFS($C9="1", 'Inputs-System'!$C$30*'Coincidence Factors'!$B$9*'Inputs-Proposals'!$C$17*'Inputs-Proposals'!$C$19*(VLOOKUP(DN$3,'Non-Embedded Emissions'!$A$56:$D$90,2,FALSE)-VLOOKUP(DN$3,'Non-Embedded Emissions'!$F$57:$H$88,2,FALSE)+VLOOKUP(DN$3,'Non-Embedded Emissions'!$A$143:$D$174,2,FALSE)-VLOOKUP(DN$3,'Non-Embedded Emissions'!$F$143:$H$174,2,FALSE)+VLOOKUP(DN$3,'Non-Embedded Emissions'!$A$230:$D$259,2,FALSE)), $C9 = "2", 'Inputs-System'!$C$30*'Coincidence Factors'!$B$9*'Inputs-Proposals'!$C$23*'Inputs-Proposals'!$C$25*(VLOOKUP(DN$3,'Non-Embedded Emissions'!$A$56:$D$90,2,FALSE)-VLOOKUP(DN$3,'Non-Embedded Emissions'!$F$57:$H$88,2,FALSE)+VLOOKUP(DN$3,'Non-Embedded Emissions'!$A$143:$D$174,2,FALSE)-VLOOKUP(DN$3,'Non-Embedded Emissions'!$F$143:$H$174,2,FALSE)+VLOOKUP(DN$3,'Non-Embedded Emissions'!$A$230:$D$259,2,FALSE)), $C9 = "3", 'Inputs-System'!$C$30*'Coincidence Factors'!$B$9*'Inputs-Proposals'!$C$29*'Inputs-Proposals'!$C$31*(VLOOKUP(DN$3,'Non-Embedded Emissions'!$A$56:$D$90,2,FALSE)-VLOOKUP(DN$3,'Non-Embedded Emissions'!$F$57:$H$88,2,FALSE)+VLOOKUP(DN$3,'Non-Embedded Emissions'!$A$143:$D$174,2,FALSE)-VLOOKUP(DN$3,'Non-Embedded Emissions'!$F$143:$H$174,2,FALSE)+VLOOKUP(DN$3,'Non-Embedded Emissions'!$A$230:$D$259,2,FALSE)), $C9 = "0", 0), 0)</f>
        <v>0</v>
      </c>
      <c r="DT9" s="45">
        <f>IFERROR(_xlfn.IFS($C9="1",('Inputs-System'!$C$30*'Coincidence Factors'!$B$9*(1+'Inputs-System'!$C$18)*(1+'Inputs-System'!$C$41)*('Inputs-Proposals'!$C$17*'Inputs-Proposals'!$C$19*(1-'Inputs-Proposals'!$C$20^(DT$3-'Inputs-System'!$C$7)))*(VLOOKUP(DT$3,Energy!$A$51:$K$83,5,FALSE))), $C9 = "2",('Inputs-System'!$C$30*'Coincidence Factors'!$B$9)*(1+'Inputs-System'!$C$18)*(1+'Inputs-System'!$C$41)*('Inputs-Proposals'!$C$23*'Inputs-Proposals'!$C$25*(1-'Inputs-Proposals'!$C$26^(DT$3-'Inputs-System'!$C$7)))*(VLOOKUP(DT$3,Energy!$A$51:$K$83,5,FALSE)), $C9= "3", ('Inputs-System'!$C$30*'Coincidence Factors'!$B$9*(1+'Inputs-System'!$C$18)*(1+'Inputs-System'!$C$41)*('Inputs-Proposals'!$C$29*'Inputs-Proposals'!$C$31*(1-'Inputs-Proposals'!$C$32^(DT$3-'Inputs-System'!$C$7)))*(VLOOKUP(DT$3,Energy!$A$51:$K$83,5,FALSE))), $C9= "0", 0), 0)</f>
        <v>0</v>
      </c>
      <c r="DU9" s="44">
        <f>IFERROR(_xlfn.IFS($C9="1",('Inputs-System'!$C$30*'Coincidence Factors'!$B$9*(1+'Inputs-System'!$C$18)*(1+'Inputs-System'!$C$41))*'Inputs-Proposals'!$C$17*'Inputs-Proposals'!$C$19*(1-'Inputs-Proposals'!$C$20^(DT$3-'Inputs-System'!$C$7))*(VLOOKUP(DT$3,'Embedded Emissions'!$A$47:$B$78,2,FALSE)+VLOOKUP(DT$3,'Embedded Emissions'!$A$129:$B$158,2,FALSE)), $C9 = "2",('Inputs-System'!$C$30*'Coincidence Factors'!$B$9*(1+'Inputs-System'!$C$18)*(1+'Inputs-System'!$C$41))*'Inputs-Proposals'!$C$23*'Inputs-Proposals'!$C$25*(1-'Inputs-Proposals'!$C$20^(DT$3-'Inputs-System'!$C$7))*(VLOOKUP(DT$3,'Embedded Emissions'!$A$47:$B$78,2,FALSE)+VLOOKUP(DT$3,'Embedded Emissions'!$A$129:$B$158,2,FALSE)), $C9 = "3", ('Inputs-System'!$C$30*'Coincidence Factors'!$B$9*(1+'Inputs-System'!$C$18)*(1+'Inputs-System'!$C$41))*'Inputs-Proposals'!$C$29*'Inputs-Proposals'!$C$31*(1-'Inputs-Proposals'!$C$20^(DT$3-'Inputs-System'!$C$7))*(VLOOKUP(DT$3,'Embedded Emissions'!$A$47:$B$78,2,FALSE)+VLOOKUP(DT$3,'Embedded Emissions'!$A$129:$B$158,2,FALSE)), $C9 = "0", 0), 0)</f>
        <v>0</v>
      </c>
      <c r="DV9" s="44">
        <f>IFERROR(_xlfn.IFS($C9="1",( 'Inputs-System'!$C$30*'Coincidence Factors'!$B$9*(1+'Inputs-System'!$C$18)*(1+'Inputs-System'!$C$41))*('Inputs-Proposals'!$C$17*'Inputs-Proposals'!$C$19*(1-'Inputs-Proposals'!$C$20)^(DT$3-'Inputs-System'!$C$7))*(VLOOKUP(DT$3,DRIPE!$A$54:$I$82,5,FALSE)+VLOOKUP(DT$3,DRIPE!$A$54:$I$82,9,FALSE))+ ('Inputs-System'!$C$26*'Coincidence Factors'!$B$6*(1+'Inputs-System'!$C$18)*(1+'Inputs-System'!$C$42))*'Inputs-Proposals'!$C$16*VLOOKUP(DT$3,DRIPE!$A$54:$I$82,8,FALSE), $C9 = "2",( 'Inputs-System'!$C$30*'Coincidence Factors'!$B$9*(1+'Inputs-System'!$C$18)*(1+'Inputs-System'!$C$41))*('Inputs-Proposals'!$C$23*'Inputs-Proposals'!$C$25*(1-'Inputs-Proposals'!$C$26)^(DT$3-'Inputs-System'!$C$7))*(VLOOKUP(DT$3,DRIPE!$A$54:$I$82,5,FALSE)+VLOOKUP(DT$3,DRIPE!$A$54:$I$82,9,FALSE))+ ('Inputs-System'!$C$26*'Coincidence Factors'!$B$6*(1+'Inputs-System'!$C$18)*(1+'Inputs-System'!$C$42))*'Inputs-Proposals'!$C$22*VLOOKUP(DT$3,DRIPE!$A$54:$I$82,8,FALSE), $C9= "3", ( 'Inputs-System'!$C$30*'Coincidence Factors'!$B$9*(1+'Inputs-System'!$C$18)*(1+'Inputs-System'!$C$41))*('Inputs-Proposals'!$C$29*'Inputs-Proposals'!$C$31*(1-'Inputs-Proposals'!$C$32)^(DT$3-'Inputs-System'!$C$7))*(VLOOKUP(DT$3,DRIPE!$A$54:$I$82,5,FALSE)+VLOOKUP(DT$3,DRIPE!$A$54:$I$82,9,FALSE))+ ('Inputs-System'!$C$26*'Coincidence Factors'!$B$6*(1+'Inputs-System'!$C$18)*(1+'Inputs-System'!$C$42))*'Inputs-Proposals'!$C$28*VLOOKUP(DT$3,DRIPE!$A$54:$I$82,8,FALSE), $C9 = "0", 0), 0)</f>
        <v>0</v>
      </c>
      <c r="DW9" s="45">
        <f>IFERROR(_xlfn.IFS($C9="1",('Inputs-System'!$C$26*'Coincidence Factors'!$B$9*(1+'Inputs-System'!$C$18)*(1+'Inputs-System'!$C$42))*'Inputs-Proposals'!$D$16*(VLOOKUP(DT$3,Capacity!$A$53:$E$85,4,FALSE)*(1+'Inputs-System'!$C$42)+VLOOKUP(DT$3,Capacity!$A$53:$E$85,5,FALSE)*(1+'Inputs-System'!$C$43)*'Inputs-System'!$C$29), $C9 = "2", ('Inputs-System'!$C$26*'Coincidence Factors'!$B$9*(1+'Inputs-System'!$C$18))*'Inputs-Proposals'!$D$22*(VLOOKUP(DT$3,Capacity!$A$53:$E$85,4,FALSE)*(1+'Inputs-System'!$C$42)+VLOOKUP(DT$3,Capacity!$A$53:$E$85,5,FALSE)*'Inputs-System'!$C$29*(1+'Inputs-System'!$C$43)), $C9 = "3", ('Inputs-System'!$C$26*'Coincidence Factors'!$B$9*(1+'Inputs-System'!$C$18))*'Inputs-Proposals'!$D$28*(VLOOKUP(DT$3,Capacity!$A$53:$E$85,4,FALSE)*(1+'Inputs-System'!$C$42)+VLOOKUP(DT$3,Capacity!$A$53:$E$85,5,FALSE)*'Inputs-System'!$C$29*(1+'Inputs-System'!$C$43)), $C9 = "0", 0), 0)</f>
        <v>0</v>
      </c>
      <c r="DX9" s="44">
        <v>0</v>
      </c>
      <c r="DY9" s="342">
        <f>IFERROR(_xlfn.IFS($C9="1", 'Inputs-System'!$C$30*'Coincidence Factors'!$B$9*'Inputs-Proposals'!$C$17*'Inputs-Proposals'!$C$19*(VLOOKUP(DT$3,'Non-Embedded Emissions'!$A$56:$D$90,2,FALSE)-VLOOKUP(DT$3,'Non-Embedded Emissions'!$F$57:$H$88,2,FALSE)+VLOOKUP(DT$3,'Non-Embedded Emissions'!$A$143:$D$174,2,FALSE)-VLOOKUP(DT$3,'Non-Embedded Emissions'!$F$143:$H$174,2,FALSE)+VLOOKUP(DT$3,'Non-Embedded Emissions'!$A$230:$D$259,2,FALSE)), $C9 = "2", 'Inputs-System'!$C$30*'Coincidence Factors'!$B$9*'Inputs-Proposals'!$C$23*'Inputs-Proposals'!$C$25*(VLOOKUP(DT$3,'Non-Embedded Emissions'!$A$56:$D$90,2,FALSE)-VLOOKUP(DT$3,'Non-Embedded Emissions'!$F$57:$H$88,2,FALSE)+VLOOKUP(DT$3,'Non-Embedded Emissions'!$A$143:$D$174,2,FALSE)-VLOOKUP(DT$3,'Non-Embedded Emissions'!$F$143:$H$174,2,FALSE)+VLOOKUP(DT$3,'Non-Embedded Emissions'!$A$230:$D$259,2,FALSE)), $C9 = "3", 'Inputs-System'!$C$30*'Coincidence Factors'!$B$9*'Inputs-Proposals'!$C$29*'Inputs-Proposals'!$C$31*(VLOOKUP(DT$3,'Non-Embedded Emissions'!$A$56:$D$90,2,FALSE)-VLOOKUP(DT$3,'Non-Embedded Emissions'!$F$57:$H$88,2,FALSE)+VLOOKUP(DT$3,'Non-Embedded Emissions'!$A$143:$D$174,2,FALSE)-VLOOKUP(DT$3,'Non-Embedded Emissions'!$F$143:$H$174,2,FALSE)+VLOOKUP(DT$3,'Non-Embedded Emissions'!$A$230:$D$259,2,FALSE)), $C9 = "0", 0), 0)</f>
        <v>0</v>
      </c>
      <c r="DZ9" s="45">
        <f>IFERROR(_xlfn.IFS($C9="1",('Inputs-System'!$C$30*'Coincidence Factors'!$B$9*(1+'Inputs-System'!$C$18)*(1+'Inputs-System'!$C$41)*('Inputs-Proposals'!$C$17*'Inputs-Proposals'!$C$19*(1-'Inputs-Proposals'!$C$20^(DZ$3-'Inputs-System'!$C$7)))*(VLOOKUP(DZ$3,Energy!$A$51:$K$83,5,FALSE))), $C9 = "2",('Inputs-System'!$C$30*'Coincidence Factors'!$B$9)*(1+'Inputs-System'!$C$18)*(1+'Inputs-System'!$C$41)*('Inputs-Proposals'!$C$23*'Inputs-Proposals'!$C$25*(1-'Inputs-Proposals'!$C$26^(DZ$3-'Inputs-System'!$C$7)))*(VLOOKUP(DZ$3,Energy!$A$51:$K$83,5,FALSE)), $C9= "3", ('Inputs-System'!$C$30*'Coincidence Factors'!$B$9*(1+'Inputs-System'!$C$18)*(1+'Inputs-System'!$C$41)*('Inputs-Proposals'!$C$29*'Inputs-Proposals'!$C$31*(1-'Inputs-Proposals'!$C$32^(DZ$3-'Inputs-System'!$C$7)))*(VLOOKUP(DZ$3,Energy!$A$51:$K$83,5,FALSE))), $C9= "0", 0), 0)</f>
        <v>0</v>
      </c>
      <c r="EA9" s="44">
        <f>IFERROR(_xlfn.IFS($C9="1",('Inputs-System'!$C$30*'Coincidence Factors'!$B$9*(1+'Inputs-System'!$C$18)*(1+'Inputs-System'!$C$41))*'Inputs-Proposals'!$C$17*'Inputs-Proposals'!$C$19*(1-'Inputs-Proposals'!$C$20^(DZ$3-'Inputs-System'!$C$7))*(VLOOKUP(DZ$3,'Embedded Emissions'!$A$47:$B$78,2,FALSE)+VLOOKUP(DZ$3,'Embedded Emissions'!$A$129:$B$158,2,FALSE)), $C9 = "2",('Inputs-System'!$C$30*'Coincidence Factors'!$B$9*(1+'Inputs-System'!$C$18)*(1+'Inputs-System'!$C$41))*'Inputs-Proposals'!$C$23*'Inputs-Proposals'!$C$25*(1-'Inputs-Proposals'!$C$20^(DZ$3-'Inputs-System'!$C$7))*(VLOOKUP(DZ$3,'Embedded Emissions'!$A$47:$B$78,2,FALSE)+VLOOKUP(DZ$3,'Embedded Emissions'!$A$129:$B$158,2,FALSE)), $C9 = "3", ('Inputs-System'!$C$30*'Coincidence Factors'!$B$9*(1+'Inputs-System'!$C$18)*(1+'Inputs-System'!$C$41))*'Inputs-Proposals'!$C$29*'Inputs-Proposals'!$C$31*(1-'Inputs-Proposals'!$C$20^(DZ$3-'Inputs-System'!$C$7))*(VLOOKUP(DZ$3,'Embedded Emissions'!$A$47:$B$78,2,FALSE)+VLOOKUP(DZ$3,'Embedded Emissions'!$A$129:$B$158,2,FALSE)), $C9 = "0", 0), 0)</f>
        <v>0</v>
      </c>
      <c r="EB9" s="44">
        <f>IFERROR(_xlfn.IFS($C9="1",( 'Inputs-System'!$C$30*'Coincidence Factors'!$B$9*(1+'Inputs-System'!$C$18)*(1+'Inputs-System'!$C$41))*('Inputs-Proposals'!$C$17*'Inputs-Proposals'!$C$19*(1-'Inputs-Proposals'!$C$20)^(DZ$3-'Inputs-System'!$C$7))*(VLOOKUP(DZ$3,DRIPE!$A$54:$I$82,5,FALSE)+VLOOKUP(DZ$3,DRIPE!$A$54:$I$82,9,FALSE))+ ('Inputs-System'!$C$26*'Coincidence Factors'!$B$6*(1+'Inputs-System'!$C$18)*(1+'Inputs-System'!$C$42))*'Inputs-Proposals'!$C$16*VLOOKUP(DZ$3,DRIPE!$A$54:$I$82,8,FALSE), $C9 = "2",( 'Inputs-System'!$C$30*'Coincidence Factors'!$B$9*(1+'Inputs-System'!$C$18)*(1+'Inputs-System'!$C$41))*('Inputs-Proposals'!$C$23*'Inputs-Proposals'!$C$25*(1-'Inputs-Proposals'!$C$26)^(DZ$3-'Inputs-System'!$C$7))*(VLOOKUP(DZ$3,DRIPE!$A$54:$I$82,5,FALSE)+VLOOKUP(DZ$3,DRIPE!$A$54:$I$82,9,FALSE))+ ('Inputs-System'!$C$26*'Coincidence Factors'!$B$6*(1+'Inputs-System'!$C$18)*(1+'Inputs-System'!$C$42))*'Inputs-Proposals'!$C$22*VLOOKUP(DZ$3,DRIPE!$A$54:$I$82,8,FALSE), $C9= "3", ( 'Inputs-System'!$C$30*'Coincidence Factors'!$B$9*(1+'Inputs-System'!$C$18)*(1+'Inputs-System'!$C$41))*('Inputs-Proposals'!$C$29*'Inputs-Proposals'!$C$31*(1-'Inputs-Proposals'!$C$32)^(DZ$3-'Inputs-System'!$C$7))*(VLOOKUP(DZ$3,DRIPE!$A$54:$I$82,5,FALSE)+VLOOKUP(DZ$3,DRIPE!$A$54:$I$82,9,FALSE))+ ('Inputs-System'!$C$26*'Coincidence Factors'!$B$6*(1+'Inputs-System'!$C$18)*(1+'Inputs-System'!$C$42))*'Inputs-Proposals'!$C$28*VLOOKUP(DZ$3,DRIPE!$A$54:$I$82,8,FALSE), $C9 = "0", 0), 0)</f>
        <v>0</v>
      </c>
      <c r="EC9" s="45">
        <f>IFERROR(_xlfn.IFS($C9="1",('Inputs-System'!$C$26*'Coincidence Factors'!$B$9*(1+'Inputs-System'!$C$18)*(1+'Inputs-System'!$C$42))*'Inputs-Proposals'!$D$16*(VLOOKUP(DZ$3,Capacity!$A$53:$E$85,4,FALSE)*(1+'Inputs-System'!$C$42)+VLOOKUP(DZ$3,Capacity!$A$53:$E$85,5,FALSE)*(1+'Inputs-System'!$C$43)*'Inputs-System'!$C$29), $C9 = "2", ('Inputs-System'!$C$26*'Coincidence Factors'!$B$9*(1+'Inputs-System'!$C$18))*'Inputs-Proposals'!$D$22*(VLOOKUP(DZ$3,Capacity!$A$53:$E$85,4,FALSE)*(1+'Inputs-System'!$C$42)+VLOOKUP(DZ$3,Capacity!$A$53:$E$85,5,FALSE)*'Inputs-System'!$C$29*(1+'Inputs-System'!$C$43)), $C9 = "3", ('Inputs-System'!$C$26*'Coincidence Factors'!$B$9*(1+'Inputs-System'!$C$18))*'Inputs-Proposals'!$D$28*(VLOOKUP(DZ$3,Capacity!$A$53:$E$85,4,FALSE)*(1+'Inputs-System'!$C$42)+VLOOKUP(DZ$3,Capacity!$A$53:$E$85,5,FALSE)*'Inputs-System'!$C$29*(1+'Inputs-System'!$C$43)), $C9 = "0", 0), 0)</f>
        <v>0</v>
      </c>
      <c r="ED9" s="44">
        <v>0</v>
      </c>
      <c r="EE9" s="342">
        <f>IFERROR(_xlfn.IFS($C9="1", 'Inputs-System'!$C$30*'Coincidence Factors'!$B$9*'Inputs-Proposals'!$C$17*'Inputs-Proposals'!$C$19*(VLOOKUP(DZ$3,'Non-Embedded Emissions'!$A$56:$D$90,2,FALSE)-VLOOKUP(DZ$3,'Non-Embedded Emissions'!$F$57:$H$88,2,FALSE)+VLOOKUP(DZ$3,'Non-Embedded Emissions'!$A$143:$D$174,2,FALSE)-VLOOKUP(DZ$3,'Non-Embedded Emissions'!$F$143:$H$174,2,FALSE)+VLOOKUP(DZ$3,'Non-Embedded Emissions'!$A$230:$D$259,2,FALSE)), $C9 = "2", 'Inputs-System'!$C$30*'Coincidence Factors'!$B$9*'Inputs-Proposals'!$C$23*'Inputs-Proposals'!$C$25*(VLOOKUP(DZ$3,'Non-Embedded Emissions'!$A$56:$D$90,2,FALSE)-VLOOKUP(DZ$3,'Non-Embedded Emissions'!$F$57:$H$88,2,FALSE)+VLOOKUP(DZ$3,'Non-Embedded Emissions'!$A$143:$D$174,2,FALSE)-VLOOKUP(DZ$3,'Non-Embedded Emissions'!$F$143:$H$174,2,FALSE)+VLOOKUP(DZ$3,'Non-Embedded Emissions'!$A$230:$D$259,2,FALSE)), $C9 = "3", 'Inputs-System'!$C$30*'Coincidence Factors'!$B$9*'Inputs-Proposals'!$C$29*'Inputs-Proposals'!$C$31*(VLOOKUP(DZ$3,'Non-Embedded Emissions'!$A$56:$D$90,2,FALSE)-VLOOKUP(DZ$3,'Non-Embedded Emissions'!$F$57:$H$88,2,FALSE)+VLOOKUP(DZ$3,'Non-Embedded Emissions'!$A$143:$D$174,2,FALSE)-VLOOKUP(DZ$3,'Non-Embedded Emissions'!$F$143:$H$174,2,FALSE)+VLOOKUP(DZ$3,'Non-Embedded Emissions'!$A$230:$D$259,2,FALSE)), $C9 = "0", 0), 0)</f>
        <v>0</v>
      </c>
    </row>
    <row r="10" spans="1:135" x14ac:dyDescent="0.35">
      <c r="A10" s="708"/>
      <c r="B10" s="3" t="str">
        <f>Lists!F9</f>
        <v>LNG GenSet</v>
      </c>
      <c r="C10" s="118" t="str">
        <f>IFERROR(_xlfn.IFS('Benefits Calc'!B10='Inputs-Proposals'!$C$15, "1", 'Benefits Calc'!B10='Inputs-Proposals'!$C$21, "2", 'Benefits Calc'!B10='Inputs-Proposals'!$C$27, "3"), "0")</f>
        <v>0</v>
      </c>
      <c r="D10" s="44">
        <f t="shared" si="6"/>
        <v>0</v>
      </c>
      <c r="E10" s="44">
        <f t="shared" si="7"/>
        <v>0</v>
      </c>
      <c r="F10" s="44">
        <f t="shared" si="8"/>
        <v>0</v>
      </c>
      <c r="G10" s="44">
        <f t="shared" si="9"/>
        <v>0</v>
      </c>
      <c r="H10" s="44">
        <f t="shared" si="10"/>
        <v>0</v>
      </c>
      <c r="I10" s="44">
        <f t="shared" si="11"/>
        <v>0</v>
      </c>
      <c r="J10" s="323">
        <f>NPV('Inputs-System'!$C$20,P10+V10+AB10+AH10+AN10+AT10+AZ10+BF10+BL10+BR10+BX10+CD10+CJ10+CP10+CV10+DB10+DH10+DN10+DT10+DZ10)</f>
        <v>0</v>
      </c>
      <c r="K10" s="44">
        <f>NPV('Inputs-System'!$C$20,Q10+W10+AC10+AI10+AO10+AU10+BA10+BG10+BM10+BS10+BY10+CE10+CK10+CQ10+CW10+DC10+DI10+DO10+DU10+EA10)</f>
        <v>0</v>
      </c>
      <c r="L10" s="44">
        <f>NPV('Inputs-System'!$C$20,R10+X10+AD10+AJ10+AP10+AV10+BB10+BH10+BN10+BT10+BZ10+CF10+CL10+CR10+CX10+DD10+DJ10+DP10+DV10+EB10)</f>
        <v>0</v>
      </c>
      <c r="M10" s="44">
        <f>NPV('Inputs-System'!$C$20,S10+Y10+AE10+AK10+AQ10+AW10+BC10+BI10+BO10+BU10+CA10+CG10+CM10+CS10+CY10+DE10+DK10+DQ10+DW10+EC10)</f>
        <v>0</v>
      </c>
      <c r="N10" s="44">
        <f>NPV('Inputs-System'!$C$20,T10+Z10+AF10+AL10+AR10+AX10+BD10+BJ10+BP10+BV10+CB10+CH10+CN10+CT10+CZ10+DF10+DL10+DR10+DX10+ED10)</f>
        <v>0</v>
      </c>
      <c r="O10" s="44">
        <f>NPV('Inputs-System'!$C$20,U10+AA10+AG10+AM10+AS10+AY10+BE10+BK10+BQ10+BW10+CC10+CI10+CO10+CU10+DA10+DG10+DM10+DS10+DY10+EE10)</f>
        <v>0</v>
      </c>
      <c r="P10" s="323">
        <f>IFERROR(_xlfn.IFS($C10="1",('Inputs-System'!$C$30*'Coincidence Factors'!$B$10*(1+'Inputs-System'!$C$18)*(1+'Inputs-System'!$C$41)*('Inputs-Proposals'!$C$17*'Inputs-Proposals'!$C$19*(1-'Inputs-Proposals'!$C$20^(P$3-'Inputs-System'!$C$7+1)))*(VLOOKUP(P$3,Energy!$A$51:$K$83,5,FALSE))), $C10 = "2",('Inputs-System'!$C$30*'Coincidence Factors'!$B$10)*(1+'Inputs-System'!$C$18)*(1+'Inputs-System'!$C$41)*('Inputs-Proposals'!$C$23*'Inputs-Proposals'!$C$25*(1-'Inputs-Proposals'!$C$26^(P$3-'Inputs-System'!$C$7+1)))*(VLOOKUP(P$3,Energy!$A$51:$K$83,5,FALSE)), $C10= "3", ('Inputs-System'!$C$30*'Coincidence Factors'!$B$10*(1+'Inputs-System'!$C$18)*(1+'Inputs-System'!$C$41)*('Inputs-Proposals'!$C$29*'Inputs-Proposals'!$C$31*(1-'Inputs-Proposals'!$C$32^(P$3-'Inputs-System'!$C$7+1)))*(VLOOKUP(P$3,Energy!$A$51:$K$83,5,FALSE))), $C10= "0", 0), 0)</f>
        <v>0</v>
      </c>
      <c r="Q10" s="44">
        <f>IFERROR(_xlfn.IFS($C10="1",('Inputs-System'!$C$30*'Coincidence Factors'!$B$10*(1+'Inputs-System'!$C$18)*(1+'Inputs-System'!$C$41))*'Inputs-Proposals'!$C$17*'Inputs-Proposals'!$C$19*(1-'Inputs-Proposals'!$C$20^(P$3-'Inputs-System'!$C$7+1))*(VLOOKUP(P$3,'Embedded Emissions'!$A$47:$B$78,2,FALSE)+VLOOKUP(P$3,'Embedded Emissions'!$A$129:$B$158,2,FALSE)), $C10 = "2",('Inputs-System'!$C$30*'Coincidence Factors'!$B$10*(1+'Inputs-System'!$C$18)*(1+'Inputs-System'!$C$41))*'Inputs-Proposals'!$C$23*'Inputs-Proposals'!$C$25*(1-'Inputs-Proposals'!$C$20^(P$3-'Inputs-System'!$C$7+1))*(VLOOKUP(P$3,'Embedded Emissions'!$A$47:$B$78,2,FALSE)+VLOOKUP(P$3,'Embedded Emissions'!$A$129:$B$158,2,FALSE)), $C10 = "3", ('Inputs-System'!$C$30*'Coincidence Factors'!$B$10*(1+'Inputs-System'!$C$18)*(1+'Inputs-System'!$C$41))*'Inputs-Proposals'!$C$29*'Inputs-Proposals'!$C$31*(1-'Inputs-Proposals'!$C$20^(P$3-'Inputs-System'!$C$7+1))*(VLOOKUP(P$3,'Embedded Emissions'!$A$47:$B$78,2,FALSE)+VLOOKUP(P$3,'Embedded Emissions'!$A$129:$B$158,2,FALSE)), $C10 = "0", 0), 0)</f>
        <v>0</v>
      </c>
      <c r="R10" s="44">
        <f>IFERROR(_xlfn.IFS($C10="1",( 'Inputs-System'!$C$30*'Coincidence Factors'!$B$10*(1+'Inputs-System'!$C$18)*(1+'Inputs-System'!$C$41))*('Inputs-Proposals'!$C$17*'Inputs-Proposals'!$C$19*(1-'Inputs-Proposals'!$C$20)^(P$3-'Inputs-System'!$C$7))*(VLOOKUP(P$3,DRIPE!$A$54:$I$82,5,FALSE)+VLOOKUP(P$3,DRIPE!$A$54:$I$82,9,FALSE))+ ('Inputs-System'!$C$26*'Coincidence Factors'!$B$6*(1+'Inputs-System'!$C$18)*(1+'Inputs-System'!$C$42))*'Inputs-Proposals'!$C$16*VLOOKUP(P$3,DRIPE!$A$54:$I$82,8,FALSE), $C10 = "2",( 'Inputs-System'!$C$30*'Coincidence Factors'!$B$10*(1+'Inputs-System'!$C$18)*(1+'Inputs-System'!$C$41))*('Inputs-Proposals'!$C$23*'Inputs-Proposals'!$C$25*(1-'Inputs-Proposals'!$C$26)^(P$3-'Inputs-System'!$C$7))*(VLOOKUP(P$3,DRIPE!$A$54:$I$82,5,FALSE)+VLOOKUP(P$3,DRIPE!$A$54:$I$82,9,FALSE))+ ('Inputs-System'!$C$26*'Coincidence Factors'!$B$6*(1+'Inputs-System'!$C$18)*(1+'Inputs-System'!$C$42))*'Inputs-Proposals'!$C$22*VLOOKUP(P$3,DRIPE!$A$54:$I$82,8,FALSE), $C10= "3", ( 'Inputs-System'!$C$30*'Coincidence Factors'!$B$10*(1+'Inputs-System'!$C$18)*(1+'Inputs-System'!$C$41))*('Inputs-Proposals'!$C$29*'Inputs-Proposals'!$C$31*(1-'Inputs-Proposals'!$C$32)^(P$3-'Inputs-System'!$C$7))*(VLOOKUP(P$3,DRIPE!$A$54:$I$82,5,FALSE)+VLOOKUP(P$3,DRIPE!$A$54:$I$82,9,FALSE))+ ('Inputs-System'!$C$26*'Coincidence Factors'!$B$6*(1+'Inputs-System'!$C$18)*(1+'Inputs-System'!$C$42))*'Inputs-Proposals'!$C$28*VLOOKUP(P$3,DRIPE!$A$54:$I$82,8,FALSE), $C10 = "0", 0), 0)</f>
        <v>0</v>
      </c>
      <c r="S10" s="45">
        <f>IFERROR(_xlfn.IFS($C10="1",('Inputs-System'!$C$26*'Coincidence Factors'!$B$10*(1+'Inputs-System'!$C$18)*(1+'Inputs-System'!$C$42))*'Inputs-Proposals'!$D$16*(VLOOKUP(P$3,Capacity!$A$53:$E$85,4,FALSE)*(1+'Inputs-System'!$C$42)+VLOOKUP(P$3,Capacity!$A$53:$E$85,5,FALSE)*(1+'Inputs-System'!$C$43)*'Inputs-System'!$C$29), $C10 = "2", ('Inputs-System'!$C$26*'Coincidence Factors'!$B$10*(1+'Inputs-System'!$C$18))*'Inputs-Proposals'!$D$22*(VLOOKUP(P$3,Capacity!$A$53:$E$85,4,FALSE)*(1+'Inputs-System'!$C$42)+VLOOKUP(P$3,Capacity!$A$53:$E$85,5,FALSE)*'Inputs-System'!$C$29*(1+'Inputs-System'!$C$43)), $C10 = "3", ('Inputs-System'!$C$26*'Coincidence Factors'!$B$10*(1+'Inputs-System'!$C$18))*'Inputs-Proposals'!$D$28*(VLOOKUP(P$3,Capacity!$A$53:$E$85,4,FALSE)*(1+'Inputs-System'!$C$42)+VLOOKUP(P$3,Capacity!$A$53:$E$85,5,FALSE)*'Inputs-System'!$C$29*(1+'Inputs-System'!$C$43)), $C10 = "0", 0), 0)</f>
        <v>0</v>
      </c>
      <c r="T10" s="44">
        <v>0</v>
      </c>
      <c r="U10" s="342">
        <f>IFERROR(_xlfn.IFS($C10="1", 'Inputs-System'!$C$30*'Coincidence Factors'!$B$10*'Inputs-Proposals'!$C$17*'Inputs-Proposals'!$C$19*(VLOOKUP(P$3,'Non-Embedded Emissions'!$A$56:$D$90,2,FALSE)-VLOOKUP(P$3,'Non-Embedded Emissions'!$F$57:$H$88,3,FALSE)+VLOOKUP(P$3,'Non-Embedded Emissions'!$A$143:$D$174,2,FALSE)-VLOOKUP(P$3,'Non-Embedded Emissions'!$F$143:$H$174,3,FALSE)+VLOOKUP(P$3,'Non-Embedded Emissions'!$A$230:$D$259,2,FALSE)), $C10 = "2", 'Inputs-System'!$C$30*'Coincidence Factors'!$B$10*'Inputs-Proposals'!$C$23*'Inputs-Proposals'!$C$25*(VLOOKUP(P$3,'Non-Embedded Emissions'!$A$56:$D$90,2,FALSE)-VLOOKUP(P$3,'Non-Embedded Emissions'!$F$57:$H$88,3,FALSE)+VLOOKUP(P$3,'Non-Embedded Emissions'!$A$143:$D$174,2,FALSE)-VLOOKUP(P$3,'Non-Embedded Emissions'!$F$143:$H$174,3,FALSE)+VLOOKUP(P$3,'Non-Embedded Emissions'!$A$230:$D$259,2,FALSE)), $C10 = "3", 'Inputs-System'!$C$30*'Coincidence Factors'!$B$10*'Inputs-Proposals'!$C$29*'Inputs-Proposals'!$C$31*(VLOOKUP(P$3,'Non-Embedded Emissions'!$A$56:$D$90,2,FALSE)-VLOOKUP(P$3,'Non-Embedded Emissions'!$F$57:$H$88,3,FALSE)+VLOOKUP(P$3,'Non-Embedded Emissions'!$A$143:$D$174,2,FALSE)-VLOOKUP(P$3,'Non-Embedded Emissions'!$F$143:$H$174,3,FALSE)+VLOOKUP(P$3,'Non-Embedded Emissions'!$A$230:$D$259,2,FALSE)), $C10 = "0", 0), 0)</f>
        <v>0</v>
      </c>
      <c r="V10" s="45">
        <f>IFERROR(_xlfn.IFS($C10="1",('Inputs-System'!$C$30*'Coincidence Factors'!$B$10*(1+'Inputs-System'!$C$18)*(1+'Inputs-System'!$C$41)*('Inputs-Proposals'!$C$17*'Inputs-Proposals'!$C$19*(1-'Inputs-Proposals'!$C$20^(V$3-'Inputs-System'!$C$7)))*(VLOOKUP(V$3,Energy!$A$51:$K$83,5,FALSE))), $C10 = "2",('Inputs-System'!$C$30*'Coincidence Factors'!$B$10)*(1+'Inputs-System'!$C$18)*(1+'Inputs-System'!$C$41)*('Inputs-Proposals'!$C$23*'Inputs-Proposals'!$C$25*(1-'Inputs-Proposals'!$C$26^(V$3-'Inputs-System'!$C$7)))*(VLOOKUP(V$3,Energy!$A$51:$K$83,5,FALSE)), $C10= "3", ('Inputs-System'!$C$30*'Coincidence Factors'!$B$10*(1+'Inputs-System'!$C$18)*(1+'Inputs-System'!$C$41)*('Inputs-Proposals'!$C$29*'Inputs-Proposals'!$C$31*(1-'Inputs-Proposals'!$C$32^(V$3-'Inputs-System'!$C$7)))*(VLOOKUP(V$3,Energy!$A$51:$K$83,5,FALSE))), $C10= "0", 0), 0)</f>
        <v>0</v>
      </c>
      <c r="W10" s="44">
        <f>IFERROR(_xlfn.IFS($C10="1",('Inputs-System'!$C$30*'Coincidence Factors'!$B$10*(1+'Inputs-System'!$C$18)*(1+'Inputs-System'!$C$41))*'Inputs-Proposals'!$C$17*'Inputs-Proposals'!$C$19*(1-'Inputs-Proposals'!$C$20^(V$3-'Inputs-System'!$C$7))*(VLOOKUP(V$3,'Embedded Emissions'!$A$47:$B$78,2,FALSE)+VLOOKUP(V$3,'Embedded Emissions'!$A$129:$B$158,2,FALSE)), $C10 = "2",('Inputs-System'!$C$30*'Coincidence Factors'!$B$10*(1+'Inputs-System'!$C$18)*(1+'Inputs-System'!$C$41))*'Inputs-Proposals'!$C$23*'Inputs-Proposals'!$C$25*(1-'Inputs-Proposals'!$C$20^(V$3-'Inputs-System'!$C$7))*(VLOOKUP(V$3,'Embedded Emissions'!$A$47:$B$78,2,FALSE)+VLOOKUP(V$3,'Embedded Emissions'!$A$129:$B$158,2,FALSE)), $C10 = "3", ('Inputs-System'!$C$30*'Coincidence Factors'!$B$10*(1+'Inputs-System'!$C$18)*(1+'Inputs-System'!$C$41))*'Inputs-Proposals'!$C$29*'Inputs-Proposals'!$C$31*(1-'Inputs-Proposals'!$C$20^(V$3-'Inputs-System'!$C$7))*(VLOOKUP(V$3,'Embedded Emissions'!$A$47:$B$78,2,FALSE)+VLOOKUP(V$3,'Embedded Emissions'!$A$129:$B$158,2,FALSE)), $C10 = "0", 0), 0)</f>
        <v>0</v>
      </c>
      <c r="X10" s="44">
        <f>IFERROR(_xlfn.IFS($C10="1",( 'Inputs-System'!$C$30*'Coincidence Factors'!$B$10*(1+'Inputs-System'!$C$18)*(1+'Inputs-System'!$C$41))*('Inputs-Proposals'!$C$17*'Inputs-Proposals'!$C$19*(1-'Inputs-Proposals'!$C$20)^(V$3-'Inputs-System'!$C$7))*(VLOOKUP(V$3,DRIPE!$A$54:$I$82,5,FALSE)+VLOOKUP(V$3,DRIPE!$A$54:$I$82,9,FALSE))+ ('Inputs-System'!$C$26*'Coincidence Factors'!$B$6*(1+'Inputs-System'!$C$18)*(1+'Inputs-System'!$C$42))*'Inputs-Proposals'!$C$16*VLOOKUP(V$3,DRIPE!$A$54:$I$82,8,FALSE), $C10 = "2",( 'Inputs-System'!$C$30*'Coincidence Factors'!$B$10*(1+'Inputs-System'!$C$18)*(1+'Inputs-System'!$C$41))*('Inputs-Proposals'!$C$23*'Inputs-Proposals'!$C$25*(1-'Inputs-Proposals'!$C$26)^(V$3-'Inputs-System'!$C$7))*(VLOOKUP(V$3,DRIPE!$A$54:$I$82,5,FALSE)+VLOOKUP(V$3,DRIPE!$A$54:$I$82,9,FALSE))+ ('Inputs-System'!$C$26*'Coincidence Factors'!$B$6*(1+'Inputs-System'!$C$18)*(1+'Inputs-System'!$C$42))*'Inputs-Proposals'!$C$22*VLOOKUP(V$3,DRIPE!$A$54:$I$82,8,FALSE), $C10= "3", ( 'Inputs-System'!$C$30*'Coincidence Factors'!$B$10*(1+'Inputs-System'!$C$18)*(1+'Inputs-System'!$C$41))*('Inputs-Proposals'!$C$29*'Inputs-Proposals'!$C$31*(1-'Inputs-Proposals'!$C$32)^(V$3-'Inputs-System'!$C$7))*(VLOOKUP(V$3,DRIPE!$A$54:$I$82,5,FALSE)+VLOOKUP(V$3,DRIPE!$A$54:$I$82,9,FALSE))+ ('Inputs-System'!$C$26*'Coincidence Factors'!$B$6*(1+'Inputs-System'!$C$18)*(1+'Inputs-System'!$C$42))*'Inputs-Proposals'!$C$28*VLOOKUP(V$3,DRIPE!$A$54:$I$82,8,FALSE), $C10 = "0", 0), 0)</f>
        <v>0</v>
      </c>
      <c r="Y10" s="45">
        <f>IFERROR(_xlfn.IFS($C10="1",('Inputs-System'!$C$26*'Coincidence Factors'!$B$10*(1+'Inputs-System'!$C$18)*(1+'Inputs-System'!$C$42))*'Inputs-Proposals'!$D$16*(VLOOKUP(V$3,Capacity!$A$53:$E$85,4,FALSE)*(1+'Inputs-System'!$C$42)+VLOOKUP(V$3,Capacity!$A$53:$E$85,5,FALSE)*(1+'Inputs-System'!$C$43)*'Inputs-System'!$C$29), $C10 = "2", ('Inputs-System'!$C$26*'Coincidence Factors'!$B$10*(1+'Inputs-System'!$C$18))*'Inputs-Proposals'!$D$22*(VLOOKUP(V$3,Capacity!$A$53:$E$85,4,FALSE)*(1+'Inputs-System'!$C$42)+VLOOKUP(V$3,Capacity!$A$53:$E$85,5,FALSE)*'Inputs-System'!$C$29*(1+'Inputs-System'!$C$43)), $C10 = "3", ('Inputs-System'!$C$26*'Coincidence Factors'!$B$10*(1+'Inputs-System'!$C$18))*'Inputs-Proposals'!$D$28*(VLOOKUP(V$3,Capacity!$A$53:$E$85,4,FALSE)*(1+'Inputs-System'!$C$42)+VLOOKUP(V$3,Capacity!$A$53:$E$85,5,FALSE)*'Inputs-System'!$C$29*(1+'Inputs-System'!$C$43)), $C10 = "0", 0), 0)</f>
        <v>0</v>
      </c>
      <c r="Z10" s="44">
        <v>0</v>
      </c>
      <c r="AA10" s="342">
        <f>IFERROR(_xlfn.IFS($C10="1", 'Inputs-System'!$C$30*'Coincidence Factors'!$B$10*'Inputs-Proposals'!$C$17*'Inputs-Proposals'!$C$19*(VLOOKUP(V$3,'Non-Embedded Emissions'!$A$56:$D$90,2,FALSE)-VLOOKUP(V$3,'Non-Embedded Emissions'!$F$57:$H$88,3,FALSE)+VLOOKUP(V$3,'Non-Embedded Emissions'!$A$143:$D$174,2,FALSE)-VLOOKUP(V$3,'Non-Embedded Emissions'!$F$143:$H$174,3,FALSE)+VLOOKUP(V$3,'Non-Embedded Emissions'!$A$230:$D$259,2,FALSE)), $C10 = "2", 'Inputs-System'!$C$30*'Coincidence Factors'!$B$10*'Inputs-Proposals'!$C$23*'Inputs-Proposals'!$C$25*(VLOOKUP(V$3,'Non-Embedded Emissions'!$A$56:$D$90,2,FALSE)-VLOOKUP(V$3,'Non-Embedded Emissions'!$F$57:$H$88,3,FALSE)+VLOOKUP(V$3,'Non-Embedded Emissions'!$A$143:$D$174,2,FALSE)-VLOOKUP(V$3,'Non-Embedded Emissions'!$F$143:$H$174,3,FALSE)+VLOOKUP(V$3,'Non-Embedded Emissions'!$A$230:$D$259,2,FALSE)), $C10 = "3", 'Inputs-System'!$C$30*'Coincidence Factors'!$B$10*'Inputs-Proposals'!$C$29*'Inputs-Proposals'!$C$31*(VLOOKUP(V$3,'Non-Embedded Emissions'!$A$56:$D$90,2,FALSE)-VLOOKUP(V$3,'Non-Embedded Emissions'!$F$57:$H$88,3,FALSE)+VLOOKUP(V$3,'Non-Embedded Emissions'!$A$143:$D$174,2,FALSE)-VLOOKUP(V$3,'Non-Embedded Emissions'!$F$143:$H$174,3,FALSE)+VLOOKUP(V$3,'Non-Embedded Emissions'!$A$230:$D$259,2,FALSE)), $C10 = "0", 0), 0)</f>
        <v>0</v>
      </c>
      <c r="AB10" s="45">
        <f>IFERROR(_xlfn.IFS($C10="1",('Inputs-System'!$C$30*'Coincidence Factors'!$B$10*(1+'Inputs-System'!$C$18)*(1+'Inputs-System'!$C$41)*('Inputs-Proposals'!$C$17*'Inputs-Proposals'!$C$19*(1-'Inputs-Proposals'!$C$20^(AB$3-'Inputs-System'!$C$7)))*(VLOOKUP(AB$3,Energy!$A$51:$K$83,5,FALSE))), $C10 = "2",('Inputs-System'!$C$30*'Coincidence Factors'!$B$10)*(1+'Inputs-System'!$C$18)*(1+'Inputs-System'!$C$41)*('Inputs-Proposals'!$C$23*'Inputs-Proposals'!$C$25*(1-'Inputs-Proposals'!$C$26^(AB$3-'Inputs-System'!$C$7)))*(VLOOKUP(AB$3,Energy!$A$51:$K$83,5,FALSE)), $C10= "3", ('Inputs-System'!$C$30*'Coincidence Factors'!$B$10*(1+'Inputs-System'!$C$18)*(1+'Inputs-System'!$C$41)*('Inputs-Proposals'!$C$29*'Inputs-Proposals'!$C$31*(1-'Inputs-Proposals'!$C$32^(AB$3-'Inputs-System'!$C$7)))*(VLOOKUP(AB$3,Energy!$A$51:$K$83,5,FALSE))), $C10= "0", 0), 0)</f>
        <v>0</v>
      </c>
      <c r="AC10" s="44">
        <f>IFERROR(_xlfn.IFS($C10="1",('Inputs-System'!$C$30*'Coincidence Factors'!$B$10*(1+'Inputs-System'!$C$18)*(1+'Inputs-System'!$C$41))*'Inputs-Proposals'!$C$17*'Inputs-Proposals'!$C$19*(1-'Inputs-Proposals'!$C$20^(AB$3-'Inputs-System'!$C$7))*(VLOOKUP(AB$3,'Embedded Emissions'!$A$47:$B$78,2,FALSE)+VLOOKUP(AB$3,'Embedded Emissions'!$A$129:$B$158,2,FALSE)), $C10 = "2",('Inputs-System'!$C$30*'Coincidence Factors'!$B$10*(1+'Inputs-System'!$C$18)*(1+'Inputs-System'!$C$41))*'Inputs-Proposals'!$C$23*'Inputs-Proposals'!$C$25*(1-'Inputs-Proposals'!$C$20^(AB$3-'Inputs-System'!$C$7))*(VLOOKUP(AB$3,'Embedded Emissions'!$A$47:$B$78,2,FALSE)+VLOOKUP(AB$3,'Embedded Emissions'!$A$129:$B$158,2,FALSE)), $C10 = "3", ('Inputs-System'!$C$30*'Coincidence Factors'!$B$10*(1+'Inputs-System'!$C$18)*(1+'Inputs-System'!$C$41))*'Inputs-Proposals'!$C$29*'Inputs-Proposals'!$C$31*(1-'Inputs-Proposals'!$C$20^(AB$3-'Inputs-System'!$C$7))*(VLOOKUP(AB$3,'Embedded Emissions'!$A$47:$B$78,2,FALSE)+VLOOKUP(AB$3,'Embedded Emissions'!$A$129:$B$158,2,FALSE)), $C10 = "0", 0), 0)</f>
        <v>0</v>
      </c>
      <c r="AD10" s="44">
        <f>IFERROR(_xlfn.IFS($C10="1",( 'Inputs-System'!$C$30*'Coincidence Factors'!$B$10*(1+'Inputs-System'!$C$18)*(1+'Inputs-System'!$C$41))*('Inputs-Proposals'!$C$17*'Inputs-Proposals'!$C$19*(1-'Inputs-Proposals'!$C$20)^(AB$3-'Inputs-System'!$C$7))*(VLOOKUP(AB$3,DRIPE!$A$54:$I$82,5,FALSE)+VLOOKUP(AB$3,DRIPE!$A$54:$I$82,9,FALSE))+ ('Inputs-System'!$C$26*'Coincidence Factors'!$B$6*(1+'Inputs-System'!$C$18)*(1+'Inputs-System'!$C$42))*'Inputs-Proposals'!$C$16*VLOOKUP(AB$3,DRIPE!$A$54:$I$82,8,FALSE), $C10 = "2",( 'Inputs-System'!$C$30*'Coincidence Factors'!$B$10*(1+'Inputs-System'!$C$18)*(1+'Inputs-System'!$C$41))*('Inputs-Proposals'!$C$23*'Inputs-Proposals'!$C$25*(1-'Inputs-Proposals'!$C$26)^(AB$3-'Inputs-System'!$C$7))*(VLOOKUP(AB$3,DRIPE!$A$54:$I$82,5,FALSE)+VLOOKUP(AB$3,DRIPE!$A$54:$I$82,9,FALSE))+ ('Inputs-System'!$C$26*'Coincidence Factors'!$B$6*(1+'Inputs-System'!$C$18)*(1+'Inputs-System'!$C$42))*'Inputs-Proposals'!$C$22*VLOOKUP(AB$3,DRIPE!$A$54:$I$82,8,FALSE), $C10= "3", ( 'Inputs-System'!$C$30*'Coincidence Factors'!$B$10*(1+'Inputs-System'!$C$18)*(1+'Inputs-System'!$C$41))*('Inputs-Proposals'!$C$29*'Inputs-Proposals'!$C$31*(1-'Inputs-Proposals'!$C$32)^(AB$3-'Inputs-System'!$C$7))*(VLOOKUP(AB$3,DRIPE!$A$54:$I$82,5,FALSE)+VLOOKUP(AB$3,DRIPE!$A$54:$I$82,9,FALSE))+ ('Inputs-System'!$C$26*'Coincidence Factors'!$B$6*(1+'Inputs-System'!$C$18)*(1+'Inputs-System'!$C$42))*'Inputs-Proposals'!$C$28*VLOOKUP(AB$3,DRIPE!$A$54:$I$82,8,FALSE), $C10 = "0", 0), 0)</f>
        <v>0</v>
      </c>
      <c r="AE10" s="45">
        <f>IFERROR(_xlfn.IFS($C10="1",('Inputs-System'!$C$26*'Coincidence Factors'!$B$10*(1+'Inputs-System'!$C$18)*(1+'Inputs-System'!$C$42))*'Inputs-Proposals'!$D$16*(VLOOKUP(AB$3,Capacity!$A$53:$E$85,4,FALSE)*(1+'Inputs-System'!$C$42)+VLOOKUP(AB$3,Capacity!$A$53:$E$85,5,FALSE)*(1+'Inputs-System'!$C$43)*'Inputs-System'!$C$29), $C10 = "2", ('Inputs-System'!$C$26*'Coincidence Factors'!$B$10*(1+'Inputs-System'!$C$18))*'Inputs-Proposals'!$D$22*(VLOOKUP(AB$3,Capacity!$A$53:$E$85,4,FALSE)*(1+'Inputs-System'!$C$42)+VLOOKUP(AB$3,Capacity!$A$53:$E$85,5,FALSE)*'Inputs-System'!$C$29*(1+'Inputs-System'!$C$43)), $C10 = "3", ('Inputs-System'!$C$26*'Coincidence Factors'!$B$10*(1+'Inputs-System'!$C$18))*'Inputs-Proposals'!$D$28*(VLOOKUP(AB$3,Capacity!$A$53:$E$85,4,FALSE)*(1+'Inputs-System'!$C$42)+VLOOKUP(AB$3,Capacity!$A$53:$E$85,5,FALSE)*'Inputs-System'!$C$29*(1+'Inputs-System'!$C$43)), $C10 = "0", 0), 0)</f>
        <v>0</v>
      </c>
      <c r="AF10" s="44">
        <v>0</v>
      </c>
      <c r="AG10" s="342">
        <f>IFERROR(_xlfn.IFS($C10="1", 'Inputs-System'!$C$30*'Coincidence Factors'!$B$10*'Inputs-Proposals'!$C$17*'Inputs-Proposals'!$C$19*(VLOOKUP(AB$3,'Non-Embedded Emissions'!$A$56:$D$90,2,FALSE)-VLOOKUP(AB$3,'Non-Embedded Emissions'!$F$57:$H$88,3,FALSE)+VLOOKUP(AB$3,'Non-Embedded Emissions'!$A$143:$D$174,2,FALSE)-VLOOKUP(AB$3,'Non-Embedded Emissions'!$F$143:$H$174,3,FALSE)+VLOOKUP(AB$3,'Non-Embedded Emissions'!$A$230:$D$259,2,FALSE)), $C10 = "2", 'Inputs-System'!$C$30*'Coincidence Factors'!$B$10*'Inputs-Proposals'!$C$23*'Inputs-Proposals'!$C$25*(VLOOKUP(AB$3,'Non-Embedded Emissions'!$A$56:$D$90,2,FALSE)-VLOOKUP(AB$3,'Non-Embedded Emissions'!$F$57:$H$88,3,FALSE)+VLOOKUP(AB$3,'Non-Embedded Emissions'!$A$143:$D$174,2,FALSE)-VLOOKUP(AB$3,'Non-Embedded Emissions'!$F$143:$H$174,3,FALSE)+VLOOKUP(AB$3,'Non-Embedded Emissions'!$A$230:$D$259,2,FALSE)), $C10 = "3", 'Inputs-System'!$C$30*'Coincidence Factors'!$B$10*'Inputs-Proposals'!$C$29*'Inputs-Proposals'!$C$31*(VLOOKUP(AB$3,'Non-Embedded Emissions'!$A$56:$D$90,2,FALSE)-VLOOKUP(AB$3,'Non-Embedded Emissions'!$F$57:$H$88,3,FALSE)+VLOOKUP(AB$3,'Non-Embedded Emissions'!$A$143:$D$174,2,FALSE)-VLOOKUP(AB$3,'Non-Embedded Emissions'!$F$143:$H$174,3,FALSE)+VLOOKUP(AB$3,'Non-Embedded Emissions'!$A$230:$D$259,2,FALSE)), $C10 = "0", 0), 0)</f>
        <v>0</v>
      </c>
      <c r="AH10" s="45">
        <f>IFERROR(_xlfn.IFS($C10="1",('Inputs-System'!$C$30*'Coincidence Factors'!$B$10*(1+'Inputs-System'!$C$18)*(1+'Inputs-System'!$C$41)*('Inputs-Proposals'!$C$17*'Inputs-Proposals'!$C$19*(1-'Inputs-Proposals'!$C$20^(AH$3-'Inputs-System'!$C$7)))*(VLOOKUP(AH$3,Energy!$A$51:$K$83,5,FALSE))), $C10 = "2",('Inputs-System'!$C$30*'Coincidence Factors'!$B$10)*(1+'Inputs-System'!$C$18)*(1+'Inputs-System'!$C$41)*('Inputs-Proposals'!$C$23*'Inputs-Proposals'!$C$25*(1-'Inputs-Proposals'!$C$26^(AH$3-'Inputs-System'!$C$7)))*(VLOOKUP(AH$3,Energy!$A$51:$K$83,5,FALSE)), $C10= "3", ('Inputs-System'!$C$30*'Coincidence Factors'!$B$10*(1+'Inputs-System'!$C$18)*(1+'Inputs-System'!$C$41)*('Inputs-Proposals'!$C$29*'Inputs-Proposals'!$C$31*(1-'Inputs-Proposals'!$C$32^(AH$3-'Inputs-System'!$C$7)))*(VLOOKUP(AH$3,Energy!$A$51:$K$83,5,FALSE))), $C10= "0", 0), 0)</f>
        <v>0</v>
      </c>
      <c r="AI10" s="44">
        <f>IFERROR(_xlfn.IFS($C10="1",('Inputs-System'!$C$30*'Coincidence Factors'!$B$10*(1+'Inputs-System'!$C$18)*(1+'Inputs-System'!$C$41))*'Inputs-Proposals'!$C$17*'Inputs-Proposals'!$C$19*(1-'Inputs-Proposals'!$C$20^(AH$3-'Inputs-System'!$C$7))*(VLOOKUP(AH$3,'Embedded Emissions'!$A$47:$B$78,2,FALSE)+VLOOKUP(AH$3,'Embedded Emissions'!$A$129:$B$158,2,FALSE)), $C10 = "2",('Inputs-System'!$C$30*'Coincidence Factors'!$B$10*(1+'Inputs-System'!$C$18)*(1+'Inputs-System'!$C$41))*'Inputs-Proposals'!$C$23*'Inputs-Proposals'!$C$25*(1-'Inputs-Proposals'!$C$20^(AH$3-'Inputs-System'!$C$7))*(VLOOKUP(AH$3,'Embedded Emissions'!$A$47:$B$78,2,FALSE)+VLOOKUP(AH$3,'Embedded Emissions'!$A$129:$B$158,2,FALSE)), $C10 = "3", ('Inputs-System'!$C$30*'Coincidence Factors'!$B$10*(1+'Inputs-System'!$C$18)*(1+'Inputs-System'!$C$41))*'Inputs-Proposals'!$C$29*'Inputs-Proposals'!$C$31*(1-'Inputs-Proposals'!$C$20^(AH$3-'Inputs-System'!$C$7))*(VLOOKUP(AH$3,'Embedded Emissions'!$A$47:$B$78,2,FALSE)+VLOOKUP(AH$3,'Embedded Emissions'!$A$129:$B$158,2,FALSE)), $C10 = "0", 0), 0)</f>
        <v>0</v>
      </c>
      <c r="AJ10" s="44">
        <f>IFERROR(_xlfn.IFS($C10="1",( 'Inputs-System'!$C$30*'Coincidence Factors'!$B$10*(1+'Inputs-System'!$C$18)*(1+'Inputs-System'!$C$41))*('Inputs-Proposals'!$C$17*'Inputs-Proposals'!$C$19*(1-'Inputs-Proposals'!$C$20)^(AH$3-'Inputs-System'!$C$7))*(VLOOKUP(AH$3,DRIPE!$A$54:$I$82,5,FALSE)+VLOOKUP(AH$3,DRIPE!$A$54:$I$82,9,FALSE))+ ('Inputs-System'!$C$26*'Coincidence Factors'!$B$6*(1+'Inputs-System'!$C$18)*(1+'Inputs-System'!$C$42))*'Inputs-Proposals'!$C$16*VLOOKUP(AH$3,DRIPE!$A$54:$I$82,8,FALSE), $C10 = "2",( 'Inputs-System'!$C$30*'Coincidence Factors'!$B$10*(1+'Inputs-System'!$C$18)*(1+'Inputs-System'!$C$41))*('Inputs-Proposals'!$C$23*'Inputs-Proposals'!$C$25*(1-'Inputs-Proposals'!$C$26)^(AH$3-'Inputs-System'!$C$7))*(VLOOKUP(AH$3,DRIPE!$A$54:$I$82,5,FALSE)+VLOOKUP(AH$3,DRIPE!$A$54:$I$82,9,FALSE))+ ('Inputs-System'!$C$26*'Coincidence Factors'!$B$6*(1+'Inputs-System'!$C$18)*(1+'Inputs-System'!$C$42))*'Inputs-Proposals'!$C$22*VLOOKUP(AH$3,DRIPE!$A$54:$I$82,8,FALSE), $C10= "3", ( 'Inputs-System'!$C$30*'Coincidence Factors'!$B$10*(1+'Inputs-System'!$C$18)*(1+'Inputs-System'!$C$41))*('Inputs-Proposals'!$C$29*'Inputs-Proposals'!$C$31*(1-'Inputs-Proposals'!$C$32)^(AH$3-'Inputs-System'!$C$7))*(VLOOKUP(AH$3,DRIPE!$A$54:$I$82,5,FALSE)+VLOOKUP(AH$3,DRIPE!$A$54:$I$82,9,FALSE))+ ('Inputs-System'!$C$26*'Coincidence Factors'!$B$6*(1+'Inputs-System'!$C$18)*(1+'Inputs-System'!$C$42))*'Inputs-Proposals'!$C$28*VLOOKUP(AH$3,DRIPE!$A$54:$I$82,8,FALSE), $C10 = "0", 0), 0)</f>
        <v>0</v>
      </c>
      <c r="AK10" s="45">
        <f>IFERROR(_xlfn.IFS($C10="1",('Inputs-System'!$C$26*'Coincidence Factors'!$B$10*(1+'Inputs-System'!$C$18)*(1+'Inputs-System'!$C$42))*'Inputs-Proposals'!$D$16*(VLOOKUP(AH$3,Capacity!$A$53:$E$85,4,FALSE)*(1+'Inputs-System'!$C$42)+VLOOKUP(AH$3,Capacity!$A$53:$E$85,5,FALSE)*(1+'Inputs-System'!$C$43)*'Inputs-System'!$C$29), $C10 = "2", ('Inputs-System'!$C$26*'Coincidence Factors'!$B$10*(1+'Inputs-System'!$C$18))*'Inputs-Proposals'!$D$22*(VLOOKUP(AH$3,Capacity!$A$53:$E$85,4,FALSE)*(1+'Inputs-System'!$C$42)+VLOOKUP(AH$3,Capacity!$A$53:$E$85,5,FALSE)*'Inputs-System'!$C$29*(1+'Inputs-System'!$C$43)), $C10 = "3", ('Inputs-System'!$C$26*'Coincidence Factors'!$B$10*(1+'Inputs-System'!$C$18))*'Inputs-Proposals'!$D$28*(VLOOKUP(AH$3,Capacity!$A$53:$E$85,4,FALSE)*(1+'Inputs-System'!$C$42)+VLOOKUP(AH$3,Capacity!$A$53:$E$85,5,FALSE)*'Inputs-System'!$C$29*(1+'Inputs-System'!$C$43)), $C10 = "0", 0), 0)</f>
        <v>0</v>
      </c>
      <c r="AL10" s="44">
        <v>0</v>
      </c>
      <c r="AM10" s="342">
        <f>IFERROR(_xlfn.IFS($C10="1", 'Inputs-System'!$C$30*'Coincidence Factors'!$B$10*'Inputs-Proposals'!$C$17*'Inputs-Proposals'!$C$19*(VLOOKUP(AH$3,'Non-Embedded Emissions'!$A$56:$D$90,2,FALSE)-VLOOKUP(AH$3,'Non-Embedded Emissions'!$F$57:$H$88,3,FALSE)+VLOOKUP(AH$3,'Non-Embedded Emissions'!$A$143:$D$174,2,FALSE)-VLOOKUP(AH$3,'Non-Embedded Emissions'!$F$143:$H$174,3,FALSE)+VLOOKUP(AH$3,'Non-Embedded Emissions'!$A$230:$D$259,2,FALSE)), $C10 = "2", 'Inputs-System'!$C$30*'Coincidence Factors'!$B$10*'Inputs-Proposals'!$C$23*'Inputs-Proposals'!$C$25*(VLOOKUP(AH$3,'Non-Embedded Emissions'!$A$56:$D$90,2,FALSE)-VLOOKUP(AH$3,'Non-Embedded Emissions'!$F$57:$H$88,3,FALSE)+VLOOKUP(AH$3,'Non-Embedded Emissions'!$A$143:$D$174,2,FALSE)-VLOOKUP(AH$3,'Non-Embedded Emissions'!$F$143:$H$174,3,FALSE)+VLOOKUP(AH$3,'Non-Embedded Emissions'!$A$230:$D$259,2,FALSE)), $C10 = "3", 'Inputs-System'!$C$30*'Coincidence Factors'!$B$10*'Inputs-Proposals'!$C$29*'Inputs-Proposals'!$C$31*(VLOOKUP(AH$3,'Non-Embedded Emissions'!$A$56:$D$90,2,FALSE)-VLOOKUP(AH$3,'Non-Embedded Emissions'!$F$57:$H$88,3,FALSE)+VLOOKUP(AH$3,'Non-Embedded Emissions'!$A$143:$D$174,2,FALSE)-VLOOKUP(AH$3,'Non-Embedded Emissions'!$F$143:$H$174,3,FALSE)+VLOOKUP(AH$3,'Non-Embedded Emissions'!$A$230:$D$259,2,FALSE)), $C10 = "0", 0), 0)</f>
        <v>0</v>
      </c>
      <c r="AN10" s="45">
        <f>IFERROR(_xlfn.IFS($C10="1",('Inputs-System'!$C$30*'Coincidence Factors'!$B$10*(1+'Inputs-System'!$C$18)*(1+'Inputs-System'!$C$41)*('Inputs-Proposals'!$C$17*'Inputs-Proposals'!$C$19*(1-'Inputs-Proposals'!$C$20^(AN$3-'Inputs-System'!$C$7)))*(VLOOKUP(AN$3,Energy!$A$51:$K$83,5,FALSE))), $C10 = "2",('Inputs-System'!$C$30*'Coincidence Factors'!$B$10)*(1+'Inputs-System'!$C$18)*(1+'Inputs-System'!$C$41)*('Inputs-Proposals'!$C$23*'Inputs-Proposals'!$C$25*(1-'Inputs-Proposals'!$C$26^(AN$3-'Inputs-System'!$C$7)))*(VLOOKUP(AN$3,Energy!$A$51:$K$83,5,FALSE)), $C10= "3", ('Inputs-System'!$C$30*'Coincidence Factors'!$B$10*(1+'Inputs-System'!$C$18)*(1+'Inputs-System'!$C$41)*('Inputs-Proposals'!$C$29*'Inputs-Proposals'!$C$31*(1-'Inputs-Proposals'!$C$32^(AN$3-'Inputs-System'!$C$7)))*(VLOOKUP(AN$3,Energy!$A$51:$K$83,5,FALSE))), $C10= "0", 0), 0)</f>
        <v>0</v>
      </c>
      <c r="AO10" s="44">
        <f>IFERROR(_xlfn.IFS($C10="1",('Inputs-System'!$C$30*'Coincidence Factors'!$B$10*(1+'Inputs-System'!$C$18)*(1+'Inputs-System'!$C$41))*'Inputs-Proposals'!$C$17*'Inputs-Proposals'!$C$19*(1-'Inputs-Proposals'!$C$20^(AN$3-'Inputs-System'!$C$7))*(VLOOKUP(AN$3,'Embedded Emissions'!$A$47:$B$78,2,FALSE)+VLOOKUP(AN$3,'Embedded Emissions'!$A$129:$B$158,2,FALSE)), $C10 = "2",('Inputs-System'!$C$30*'Coincidence Factors'!$B$10*(1+'Inputs-System'!$C$18)*(1+'Inputs-System'!$C$41))*'Inputs-Proposals'!$C$23*'Inputs-Proposals'!$C$25*(1-'Inputs-Proposals'!$C$20^(AN$3-'Inputs-System'!$C$7))*(VLOOKUP(AN$3,'Embedded Emissions'!$A$47:$B$78,2,FALSE)+VLOOKUP(AN$3,'Embedded Emissions'!$A$129:$B$158,2,FALSE)), $C10 = "3", ('Inputs-System'!$C$30*'Coincidence Factors'!$B$10*(1+'Inputs-System'!$C$18)*(1+'Inputs-System'!$C$41))*'Inputs-Proposals'!$C$29*'Inputs-Proposals'!$C$31*(1-'Inputs-Proposals'!$C$20^(AN$3-'Inputs-System'!$C$7))*(VLOOKUP(AN$3,'Embedded Emissions'!$A$47:$B$78,2,FALSE)+VLOOKUP(AN$3,'Embedded Emissions'!$A$129:$B$158,2,FALSE)), $C10 = "0", 0), 0)</f>
        <v>0</v>
      </c>
      <c r="AP10" s="44">
        <f>IFERROR(_xlfn.IFS($C10="1",( 'Inputs-System'!$C$30*'Coincidence Factors'!$B$10*(1+'Inputs-System'!$C$18)*(1+'Inputs-System'!$C$41))*('Inputs-Proposals'!$C$17*'Inputs-Proposals'!$C$19*(1-'Inputs-Proposals'!$C$20)^(AN$3-'Inputs-System'!$C$7))*(VLOOKUP(AN$3,DRIPE!$A$54:$I$82,5,FALSE)+VLOOKUP(AN$3,DRIPE!$A$54:$I$82,9,FALSE))+ ('Inputs-System'!$C$26*'Coincidence Factors'!$B$6*(1+'Inputs-System'!$C$18)*(1+'Inputs-System'!$C$42))*'Inputs-Proposals'!$C$16*VLOOKUP(AN$3,DRIPE!$A$54:$I$82,8,FALSE), $C10 = "2",( 'Inputs-System'!$C$30*'Coincidence Factors'!$B$10*(1+'Inputs-System'!$C$18)*(1+'Inputs-System'!$C$41))*('Inputs-Proposals'!$C$23*'Inputs-Proposals'!$C$25*(1-'Inputs-Proposals'!$C$26)^(AN$3-'Inputs-System'!$C$7))*(VLOOKUP(AN$3,DRIPE!$A$54:$I$82,5,FALSE)+VLOOKUP(AN$3,DRIPE!$A$54:$I$82,9,FALSE))+ ('Inputs-System'!$C$26*'Coincidence Factors'!$B$6*(1+'Inputs-System'!$C$18)*(1+'Inputs-System'!$C$42))*'Inputs-Proposals'!$C$22*VLOOKUP(AN$3,DRIPE!$A$54:$I$82,8,FALSE), $C10= "3", ( 'Inputs-System'!$C$30*'Coincidence Factors'!$B$10*(1+'Inputs-System'!$C$18)*(1+'Inputs-System'!$C$41))*('Inputs-Proposals'!$C$29*'Inputs-Proposals'!$C$31*(1-'Inputs-Proposals'!$C$32)^(AN$3-'Inputs-System'!$C$7))*(VLOOKUP(AN$3,DRIPE!$A$54:$I$82,5,FALSE)+VLOOKUP(AN$3,DRIPE!$A$54:$I$82,9,FALSE))+ ('Inputs-System'!$C$26*'Coincidence Factors'!$B$6*(1+'Inputs-System'!$C$18)*(1+'Inputs-System'!$C$42))*'Inputs-Proposals'!$C$28*VLOOKUP(AN$3,DRIPE!$A$54:$I$82,8,FALSE), $C10 = "0", 0), 0)</f>
        <v>0</v>
      </c>
      <c r="AQ10" s="45">
        <f>IFERROR(_xlfn.IFS($C10="1",('Inputs-System'!$C$26*'Coincidence Factors'!$B$10*(1+'Inputs-System'!$C$18)*(1+'Inputs-System'!$C$42))*'Inputs-Proposals'!$D$16*(VLOOKUP(AN$3,Capacity!$A$53:$E$85,4,FALSE)*(1+'Inputs-System'!$C$42)+VLOOKUP(AN$3,Capacity!$A$53:$E$85,5,FALSE)*(1+'Inputs-System'!$C$43)*'Inputs-System'!$C$29), $C10 = "2", ('Inputs-System'!$C$26*'Coincidence Factors'!$B$10*(1+'Inputs-System'!$C$18))*'Inputs-Proposals'!$D$22*(VLOOKUP(AN$3,Capacity!$A$53:$E$85,4,FALSE)*(1+'Inputs-System'!$C$42)+VLOOKUP(AN$3,Capacity!$A$53:$E$85,5,FALSE)*'Inputs-System'!$C$29*(1+'Inputs-System'!$C$43)), $C10 = "3", ('Inputs-System'!$C$26*'Coincidence Factors'!$B$10*(1+'Inputs-System'!$C$18))*'Inputs-Proposals'!$D$28*(VLOOKUP(AN$3,Capacity!$A$53:$E$85,4,FALSE)*(1+'Inputs-System'!$C$42)+VLOOKUP(AN$3,Capacity!$A$53:$E$85,5,FALSE)*'Inputs-System'!$C$29*(1+'Inputs-System'!$C$43)), $C10 = "0", 0), 0)</f>
        <v>0</v>
      </c>
      <c r="AR10" s="44">
        <v>0</v>
      </c>
      <c r="AS10" s="342">
        <f>IFERROR(_xlfn.IFS($C10="1", 'Inputs-System'!$C$30*'Coincidence Factors'!$B$10*'Inputs-Proposals'!$C$17*'Inputs-Proposals'!$C$19*(VLOOKUP(AN$3,'Non-Embedded Emissions'!$A$56:$D$90,2,FALSE)-VLOOKUP(AN$3,'Non-Embedded Emissions'!$F$57:$H$88,3,FALSE)+VLOOKUP(AN$3,'Non-Embedded Emissions'!$A$143:$D$174,2,FALSE)-VLOOKUP(AN$3,'Non-Embedded Emissions'!$F$143:$H$174,3,FALSE)+VLOOKUP(AN$3,'Non-Embedded Emissions'!$A$230:$D$259,2,FALSE)), $C10 = "2", 'Inputs-System'!$C$30*'Coincidence Factors'!$B$10*'Inputs-Proposals'!$C$23*'Inputs-Proposals'!$C$25*(VLOOKUP(AN$3,'Non-Embedded Emissions'!$A$56:$D$90,2,FALSE)-VLOOKUP(AN$3,'Non-Embedded Emissions'!$F$57:$H$88,3,FALSE)+VLOOKUP(AN$3,'Non-Embedded Emissions'!$A$143:$D$174,2,FALSE)-VLOOKUP(AN$3,'Non-Embedded Emissions'!$F$143:$H$174,3,FALSE)+VLOOKUP(AN$3,'Non-Embedded Emissions'!$A$230:$D$259,2,FALSE)), $C10 = "3", 'Inputs-System'!$C$30*'Coincidence Factors'!$B$10*'Inputs-Proposals'!$C$29*'Inputs-Proposals'!$C$31*(VLOOKUP(AN$3,'Non-Embedded Emissions'!$A$56:$D$90,2,FALSE)-VLOOKUP(AN$3,'Non-Embedded Emissions'!$F$57:$H$88,3,FALSE)+VLOOKUP(AN$3,'Non-Embedded Emissions'!$A$143:$D$174,2,FALSE)-VLOOKUP(AN$3,'Non-Embedded Emissions'!$F$143:$H$174,3,FALSE)+VLOOKUP(AN$3,'Non-Embedded Emissions'!$A$230:$D$259,2,FALSE)), $C10 = "0", 0), 0)</f>
        <v>0</v>
      </c>
      <c r="AT10" s="45">
        <f>IFERROR(_xlfn.IFS($C10="1",('Inputs-System'!$C$30*'Coincidence Factors'!$B$10*(1+'Inputs-System'!$C$18)*(1+'Inputs-System'!$C$41)*('Inputs-Proposals'!$C$17*'Inputs-Proposals'!$C$19*(1-'Inputs-Proposals'!$C$20^(AT$3-'Inputs-System'!$C$7)))*(VLOOKUP(AT$3,Energy!$A$51:$K$83,5,FALSE))), $C10 = "2",('Inputs-System'!$C$30*'Coincidence Factors'!$B$10)*(1+'Inputs-System'!$C$18)*(1+'Inputs-System'!$C$41)*('Inputs-Proposals'!$C$23*'Inputs-Proposals'!$C$25*(1-'Inputs-Proposals'!$C$26^(AT$3-'Inputs-System'!$C$7)))*(VLOOKUP(AT$3,Energy!$A$51:$K$83,5,FALSE)), $C10= "3", ('Inputs-System'!$C$30*'Coincidence Factors'!$B$10*(1+'Inputs-System'!$C$18)*(1+'Inputs-System'!$C$41)*('Inputs-Proposals'!$C$29*'Inputs-Proposals'!$C$31*(1-'Inputs-Proposals'!$C$32^(AT$3-'Inputs-System'!$C$7)))*(VLOOKUP(AT$3,Energy!$A$51:$K$83,5,FALSE))), $C10= "0", 0), 0)</f>
        <v>0</v>
      </c>
      <c r="AU10" s="44">
        <f>IFERROR(_xlfn.IFS($C10="1",('Inputs-System'!$C$30*'Coincidence Factors'!$B$10*(1+'Inputs-System'!$C$18)*(1+'Inputs-System'!$C$41))*'Inputs-Proposals'!$C$17*'Inputs-Proposals'!$C$19*(1-'Inputs-Proposals'!$C$20^(AT$3-'Inputs-System'!$C$7))*(VLOOKUP(AT$3,'Embedded Emissions'!$A$47:$B$78,2,FALSE)+VLOOKUP(AT$3,'Embedded Emissions'!$A$129:$B$158,2,FALSE)), $C10 = "2",('Inputs-System'!$C$30*'Coincidence Factors'!$B$10*(1+'Inputs-System'!$C$18)*(1+'Inputs-System'!$C$41))*'Inputs-Proposals'!$C$23*'Inputs-Proposals'!$C$25*(1-'Inputs-Proposals'!$C$20^(AT$3-'Inputs-System'!$C$7))*(VLOOKUP(AT$3,'Embedded Emissions'!$A$47:$B$78,2,FALSE)+VLOOKUP(AT$3,'Embedded Emissions'!$A$129:$B$158,2,FALSE)), $C10 = "3", ('Inputs-System'!$C$30*'Coincidence Factors'!$B$10*(1+'Inputs-System'!$C$18)*(1+'Inputs-System'!$C$41))*'Inputs-Proposals'!$C$29*'Inputs-Proposals'!$C$31*(1-'Inputs-Proposals'!$C$20^(AT$3-'Inputs-System'!$C$7))*(VLOOKUP(AT$3,'Embedded Emissions'!$A$47:$B$78,2,FALSE)+VLOOKUP(AT$3,'Embedded Emissions'!$A$129:$B$158,2,FALSE)), $C10 = "0", 0), 0)</f>
        <v>0</v>
      </c>
      <c r="AV10" s="44">
        <f>IFERROR(_xlfn.IFS($C10="1",( 'Inputs-System'!$C$30*'Coincidence Factors'!$B$10*(1+'Inputs-System'!$C$18)*(1+'Inputs-System'!$C$41))*('Inputs-Proposals'!$C$17*'Inputs-Proposals'!$C$19*(1-'Inputs-Proposals'!$C$20)^(AT$3-'Inputs-System'!$C$7))*(VLOOKUP(AT$3,DRIPE!$A$54:$I$82,5,FALSE)+VLOOKUP(AT$3,DRIPE!$A$54:$I$82,9,FALSE))+ ('Inputs-System'!$C$26*'Coincidence Factors'!$B$6*(1+'Inputs-System'!$C$18)*(1+'Inputs-System'!$C$42))*'Inputs-Proposals'!$C$16*VLOOKUP(AT$3,DRIPE!$A$54:$I$82,8,FALSE), $C10 = "2",( 'Inputs-System'!$C$30*'Coincidence Factors'!$B$10*(1+'Inputs-System'!$C$18)*(1+'Inputs-System'!$C$41))*('Inputs-Proposals'!$C$23*'Inputs-Proposals'!$C$25*(1-'Inputs-Proposals'!$C$26)^(AT$3-'Inputs-System'!$C$7))*(VLOOKUP(AT$3,DRIPE!$A$54:$I$82,5,FALSE)+VLOOKUP(AT$3,DRIPE!$A$54:$I$82,9,FALSE))+ ('Inputs-System'!$C$26*'Coincidence Factors'!$B$6*(1+'Inputs-System'!$C$18)*(1+'Inputs-System'!$C$42))*'Inputs-Proposals'!$C$22*VLOOKUP(AT$3,DRIPE!$A$54:$I$82,8,FALSE), $C10= "3", ( 'Inputs-System'!$C$30*'Coincidence Factors'!$B$10*(1+'Inputs-System'!$C$18)*(1+'Inputs-System'!$C$41))*('Inputs-Proposals'!$C$29*'Inputs-Proposals'!$C$31*(1-'Inputs-Proposals'!$C$32)^(AT$3-'Inputs-System'!$C$7))*(VLOOKUP(AT$3,DRIPE!$A$54:$I$82,5,FALSE)+VLOOKUP(AT$3,DRIPE!$A$54:$I$82,9,FALSE))+ ('Inputs-System'!$C$26*'Coincidence Factors'!$B$6*(1+'Inputs-System'!$C$18)*(1+'Inputs-System'!$C$42))*'Inputs-Proposals'!$C$28*VLOOKUP(AT$3,DRIPE!$A$54:$I$82,8,FALSE), $C10 = "0", 0), 0)</f>
        <v>0</v>
      </c>
      <c r="AW10" s="45">
        <f>IFERROR(_xlfn.IFS($C10="1",('Inputs-System'!$C$26*'Coincidence Factors'!$B$10*(1+'Inputs-System'!$C$18)*(1+'Inputs-System'!$C$42))*'Inputs-Proposals'!$D$16*(VLOOKUP(AT$3,Capacity!$A$53:$E$85,4,FALSE)*(1+'Inputs-System'!$C$42)+VLOOKUP(AT$3,Capacity!$A$53:$E$85,5,FALSE)*(1+'Inputs-System'!$C$43)*'Inputs-System'!$C$29), $C10 = "2", ('Inputs-System'!$C$26*'Coincidence Factors'!$B$10*(1+'Inputs-System'!$C$18))*'Inputs-Proposals'!$D$22*(VLOOKUP(AT$3,Capacity!$A$53:$E$85,4,FALSE)*(1+'Inputs-System'!$C$42)+VLOOKUP(AT$3,Capacity!$A$53:$E$85,5,FALSE)*'Inputs-System'!$C$29*(1+'Inputs-System'!$C$43)), $C10 = "3", ('Inputs-System'!$C$26*'Coincidence Factors'!$B$10*(1+'Inputs-System'!$C$18))*'Inputs-Proposals'!$D$28*(VLOOKUP(AT$3,Capacity!$A$53:$E$85,4,FALSE)*(1+'Inputs-System'!$C$42)+VLOOKUP(AT$3,Capacity!$A$53:$E$85,5,FALSE)*'Inputs-System'!$C$29*(1+'Inputs-System'!$C$43)), $C10 = "0", 0), 0)</f>
        <v>0</v>
      </c>
      <c r="AX10" s="44">
        <v>0</v>
      </c>
      <c r="AY10" s="342">
        <f>IFERROR(_xlfn.IFS($C10="1", 'Inputs-System'!$C$30*'Coincidence Factors'!$B$10*'Inputs-Proposals'!$C$17*'Inputs-Proposals'!$C$19*(VLOOKUP(AT$3,'Non-Embedded Emissions'!$A$56:$D$90,2,FALSE)-VLOOKUP(AT$3,'Non-Embedded Emissions'!$F$57:$H$88,3,FALSE)+VLOOKUP(AT$3,'Non-Embedded Emissions'!$A$143:$D$174,2,FALSE)-VLOOKUP(AT$3,'Non-Embedded Emissions'!$F$143:$H$174,3,FALSE)+VLOOKUP(AT$3,'Non-Embedded Emissions'!$A$230:$D$259,2,FALSE)), $C10 = "2", 'Inputs-System'!$C$30*'Coincidence Factors'!$B$10*'Inputs-Proposals'!$C$23*'Inputs-Proposals'!$C$25*(VLOOKUP(AT$3,'Non-Embedded Emissions'!$A$56:$D$90,2,FALSE)-VLOOKUP(AT$3,'Non-Embedded Emissions'!$F$57:$H$88,3,FALSE)+VLOOKUP(AT$3,'Non-Embedded Emissions'!$A$143:$D$174,2,FALSE)-VLOOKUP(AT$3,'Non-Embedded Emissions'!$F$143:$H$174,3,FALSE)+VLOOKUP(AT$3,'Non-Embedded Emissions'!$A$230:$D$259,2,FALSE)), $C10 = "3", 'Inputs-System'!$C$30*'Coincidence Factors'!$B$10*'Inputs-Proposals'!$C$29*'Inputs-Proposals'!$C$31*(VLOOKUP(AT$3,'Non-Embedded Emissions'!$A$56:$D$90,2,FALSE)-VLOOKUP(AT$3,'Non-Embedded Emissions'!$F$57:$H$88,3,FALSE)+VLOOKUP(AT$3,'Non-Embedded Emissions'!$A$143:$D$174,2,FALSE)-VLOOKUP(AT$3,'Non-Embedded Emissions'!$F$143:$H$174,3,FALSE)+VLOOKUP(AT$3,'Non-Embedded Emissions'!$A$230:$D$259,2,FALSE)), $C10 = "0", 0), 0)</f>
        <v>0</v>
      </c>
      <c r="AZ10" s="45">
        <f>IFERROR(_xlfn.IFS($C10="1",('Inputs-System'!$C$30*'Coincidence Factors'!$B$10*(1+'Inputs-System'!$C$18)*(1+'Inputs-System'!$C$41)*('Inputs-Proposals'!$C$17*'Inputs-Proposals'!$C$19*(1-'Inputs-Proposals'!$C$20^(AZ$3-'Inputs-System'!$C$7)))*(VLOOKUP(AZ$3,Energy!$A$51:$K$83,5,FALSE))), $C10 = "2",('Inputs-System'!$C$30*'Coincidence Factors'!$B$10)*(1+'Inputs-System'!$C$18)*(1+'Inputs-System'!$C$41)*('Inputs-Proposals'!$C$23*'Inputs-Proposals'!$C$25*(1-'Inputs-Proposals'!$C$26^(AZ$3-'Inputs-System'!$C$7)))*(VLOOKUP(AZ$3,Energy!$A$51:$K$83,5,FALSE)), $C10= "3", ('Inputs-System'!$C$30*'Coincidence Factors'!$B$10*(1+'Inputs-System'!$C$18)*(1+'Inputs-System'!$C$41)*('Inputs-Proposals'!$C$29*'Inputs-Proposals'!$C$31*(1-'Inputs-Proposals'!$C$32^(AZ$3-'Inputs-System'!$C$7)))*(VLOOKUP(AZ$3,Energy!$A$51:$K$83,5,FALSE))), $C10= "0", 0), 0)</f>
        <v>0</v>
      </c>
      <c r="BA10" s="44">
        <f>IFERROR(_xlfn.IFS($C10="1",('Inputs-System'!$C$30*'Coincidence Factors'!$B$10*(1+'Inputs-System'!$C$18)*(1+'Inputs-System'!$C$41))*'Inputs-Proposals'!$C$17*'Inputs-Proposals'!$C$19*(1-'Inputs-Proposals'!$C$20^(AZ$3-'Inputs-System'!$C$7))*(VLOOKUP(AZ$3,'Embedded Emissions'!$A$47:$B$78,2,FALSE)+VLOOKUP(AZ$3,'Embedded Emissions'!$A$129:$B$158,2,FALSE)), $C10 = "2",('Inputs-System'!$C$30*'Coincidence Factors'!$B$10*(1+'Inputs-System'!$C$18)*(1+'Inputs-System'!$C$41))*'Inputs-Proposals'!$C$23*'Inputs-Proposals'!$C$25*(1-'Inputs-Proposals'!$C$20^(AZ$3-'Inputs-System'!$C$7))*(VLOOKUP(AZ$3,'Embedded Emissions'!$A$47:$B$78,2,FALSE)+VLOOKUP(AZ$3,'Embedded Emissions'!$A$129:$B$158,2,FALSE)), $C10 = "3", ('Inputs-System'!$C$30*'Coincidence Factors'!$B$10*(1+'Inputs-System'!$C$18)*(1+'Inputs-System'!$C$41))*'Inputs-Proposals'!$C$29*'Inputs-Proposals'!$C$31*(1-'Inputs-Proposals'!$C$20^(AZ$3-'Inputs-System'!$C$7))*(VLOOKUP(AZ$3,'Embedded Emissions'!$A$47:$B$78,2,FALSE)+VLOOKUP(AZ$3,'Embedded Emissions'!$A$129:$B$158,2,FALSE)), $C10 = "0", 0), 0)</f>
        <v>0</v>
      </c>
      <c r="BB10" s="44">
        <f>IFERROR(_xlfn.IFS($C10="1",( 'Inputs-System'!$C$30*'Coincidence Factors'!$B$10*(1+'Inputs-System'!$C$18)*(1+'Inputs-System'!$C$41))*('Inputs-Proposals'!$C$17*'Inputs-Proposals'!$C$19*(1-'Inputs-Proposals'!$C$20)^(AZ$3-'Inputs-System'!$C$7))*(VLOOKUP(AZ$3,DRIPE!$A$54:$I$82,5,FALSE)+VLOOKUP(AZ$3,DRIPE!$A$54:$I$82,9,FALSE))+ ('Inputs-System'!$C$26*'Coincidence Factors'!$B$6*(1+'Inputs-System'!$C$18)*(1+'Inputs-System'!$C$42))*'Inputs-Proposals'!$C$16*VLOOKUP(AZ$3,DRIPE!$A$54:$I$82,8,FALSE), $C10 = "2",( 'Inputs-System'!$C$30*'Coincidence Factors'!$B$10*(1+'Inputs-System'!$C$18)*(1+'Inputs-System'!$C$41))*('Inputs-Proposals'!$C$23*'Inputs-Proposals'!$C$25*(1-'Inputs-Proposals'!$C$26)^(AZ$3-'Inputs-System'!$C$7))*(VLOOKUP(AZ$3,DRIPE!$A$54:$I$82,5,FALSE)+VLOOKUP(AZ$3,DRIPE!$A$54:$I$82,9,FALSE))+ ('Inputs-System'!$C$26*'Coincidence Factors'!$B$6*(1+'Inputs-System'!$C$18)*(1+'Inputs-System'!$C$42))*'Inputs-Proposals'!$C$22*VLOOKUP(AZ$3,DRIPE!$A$54:$I$82,8,FALSE), $C10= "3", ( 'Inputs-System'!$C$30*'Coincidence Factors'!$B$10*(1+'Inputs-System'!$C$18)*(1+'Inputs-System'!$C$41))*('Inputs-Proposals'!$C$29*'Inputs-Proposals'!$C$31*(1-'Inputs-Proposals'!$C$32)^(AZ$3-'Inputs-System'!$C$7))*(VLOOKUP(AZ$3,DRIPE!$A$54:$I$82,5,FALSE)+VLOOKUP(AZ$3,DRIPE!$A$54:$I$82,9,FALSE))+ ('Inputs-System'!$C$26*'Coincidence Factors'!$B$6*(1+'Inputs-System'!$C$18)*(1+'Inputs-System'!$C$42))*'Inputs-Proposals'!$C$28*VLOOKUP(AZ$3,DRIPE!$A$54:$I$82,8,FALSE), $C10 = "0", 0), 0)</f>
        <v>0</v>
      </c>
      <c r="BC10" s="45">
        <f>IFERROR(_xlfn.IFS($C10="1",('Inputs-System'!$C$26*'Coincidence Factors'!$B$10*(1+'Inputs-System'!$C$18)*(1+'Inputs-System'!$C$42))*'Inputs-Proposals'!$D$16*(VLOOKUP(AZ$3,Capacity!$A$53:$E$85,4,FALSE)*(1+'Inputs-System'!$C$42)+VLOOKUP(AZ$3,Capacity!$A$53:$E$85,5,FALSE)*(1+'Inputs-System'!$C$43)*'Inputs-System'!$C$29), $C10 = "2", ('Inputs-System'!$C$26*'Coincidence Factors'!$B$10*(1+'Inputs-System'!$C$18))*'Inputs-Proposals'!$D$22*(VLOOKUP(AZ$3,Capacity!$A$53:$E$85,4,FALSE)*(1+'Inputs-System'!$C$42)+VLOOKUP(AZ$3,Capacity!$A$53:$E$85,5,FALSE)*'Inputs-System'!$C$29*(1+'Inputs-System'!$C$43)), $C10 = "3", ('Inputs-System'!$C$26*'Coincidence Factors'!$B$10*(1+'Inputs-System'!$C$18))*'Inputs-Proposals'!$D$28*(VLOOKUP(AZ$3,Capacity!$A$53:$E$85,4,FALSE)*(1+'Inputs-System'!$C$42)+VLOOKUP(AZ$3,Capacity!$A$53:$E$85,5,FALSE)*'Inputs-System'!$C$29*(1+'Inputs-System'!$C$43)), $C10 = "0", 0), 0)</f>
        <v>0</v>
      </c>
      <c r="BD10" s="44">
        <v>0</v>
      </c>
      <c r="BE10" s="342">
        <f>IFERROR(_xlfn.IFS($C10="1", 'Inputs-System'!$C$30*'Coincidence Factors'!$B$10*'Inputs-Proposals'!$C$17*'Inputs-Proposals'!$C$19*(VLOOKUP(AZ$3,'Non-Embedded Emissions'!$A$56:$D$90,2,FALSE)-VLOOKUP(AZ$3,'Non-Embedded Emissions'!$F$57:$H$88,3,FALSE)+VLOOKUP(AZ$3,'Non-Embedded Emissions'!$A$143:$D$174,2,FALSE)-VLOOKUP(AZ$3,'Non-Embedded Emissions'!$F$143:$H$174,3,FALSE)+VLOOKUP(AZ$3,'Non-Embedded Emissions'!$A$230:$D$259,2,FALSE)), $C10 = "2", 'Inputs-System'!$C$30*'Coincidence Factors'!$B$10*'Inputs-Proposals'!$C$23*'Inputs-Proposals'!$C$25*(VLOOKUP(AZ$3,'Non-Embedded Emissions'!$A$56:$D$90,2,FALSE)-VLOOKUP(AZ$3,'Non-Embedded Emissions'!$F$57:$H$88,3,FALSE)+VLOOKUP(AZ$3,'Non-Embedded Emissions'!$A$143:$D$174,2,FALSE)-VLOOKUP(AZ$3,'Non-Embedded Emissions'!$F$143:$H$174,3,FALSE)+VLOOKUP(AZ$3,'Non-Embedded Emissions'!$A$230:$D$259,2,FALSE)), $C10 = "3", 'Inputs-System'!$C$30*'Coincidence Factors'!$B$10*'Inputs-Proposals'!$C$29*'Inputs-Proposals'!$C$31*(VLOOKUP(AZ$3,'Non-Embedded Emissions'!$A$56:$D$90,2,FALSE)-VLOOKUP(AZ$3,'Non-Embedded Emissions'!$F$57:$H$88,3,FALSE)+VLOOKUP(AZ$3,'Non-Embedded Emissions'!$A$143:$D$174,2,FALSE)-VLOOKUP(AZ$3,'Non-Embedded Emissions'!$F$143:$H$174,3,FALSE)+VLOOKUP(AZ$3,'Non-Embedded Emissions'!$A$230:$D$259,2,FALSE)), $C10 = "0", 0), 0)</f>
        <v>0</v>
      </c>
      <c r="BF10" s="45">
        <f>IFERROR(_xlfn.IFS($C10="1",('Inputs-System'!$C$30*'Coincidence Factors'!$B$10*(1+'Inputs-System'!$C$18)*(1+'Inputs-System'!$C$41)*('Inputs-Proposals'!$C$17*'Inputs-Proposals'!$C$19*(1-'Inputs-Proposals'!$C$20^(BF$3-'Inputs-System'!$C$7)))*(VLOOKUP(BF$3,Energy!$A$51:$K$83,5,FALSE))), $C10 = "2",('Inputs-System'!$C$30*'Coincidence Factors'!$B$10)*(1+'Inputs-System'!$C$18)*(1+'Inputs-System'!$C$41)*('Inputs-Proposals'!$C$23*'Inputs-Proposals'!$C$25*(1-'Inputs-Proposals'!$C$26^(BF$3-'Inputs-System'!$C$7)))*(VLOOKUP(BF$3,Energy!$A$51:$K$83,5,FALSE)), $C10= "3", ('Inputs-System'!$C$30*'Coincidence Factors'!$B$10*(1+'Inputs-System'!$C$18)*(1+'Inputs-System'!$C$41)*('Inputs-Proposals'!$C$29*'Inputs-Proposals'!$C$31*(1-'Inputs-Proposals'!$C$32^(BF$3-'Inputs-System'!$C$7)))*(VLOOKUP(BF$3,Energy!$A$51:$K$83,5,FALSE))), $C10= "0", 0), 0)</f>
        <v>0</v>
      </c>
      <c r="BG10" s="44">
        <f>IFERROR(_xlfn.IFS($C10="1",('Inputs-System'!$C$30*'Coincidence Factors'!$B$10*(1+'Inputs-System'!$C$18)*(1+'Inputs-System'!$C$41))*'Inputs-Proposals'!$C$17*'Inputs-Proposals'!$C$19*(1-'Inputs-Proposals'!$C$20^(BF$3-'Inputs-System'!$C$7))*(VLOOKUP(BF$3,'Embedded Emissions'!$A$47:$B$78,2,FALSE)+VLOOKUP(BF$3,'Embedded Emissions'!$A$129:$B$158,2,FALSE)), $C10 = "2",('Inputs-System'!$C$30*'Coincidence Factors'!$B$10*(1+'Inputs-System'!$C$18)*(1+'Inputs-System'!$C$41))*'Inputs-Proposals'!$C$23*'Inputs-Proposals'!$C$25*(1-'Inputs-Proposals'!$C$20^(BF$3-'Inputs-System'!$C$7))*(VLOOKUP(BF$3,'Embedded Emissions'!$A$47:$B$78,2,FALSE)+VLOOKUP(BF$3,'Embedded Emissions'!$A$129:$B$158,2,FALSE)), $C10 = "3", ('Inputs-System'!$C$30*'Coincidence Factors'!$B$10*(1+'Inputs-System'!$C$18)*(1+'Inputs-System'!$C$41))*'Inputs-Proposals'!$C$29*'Inputs-Proposals'!$C$31*(1-'Inputs-Proposals'!$C$20^(BF$3-'Inputs-System'!$C$7))*(VLOOKUP(BF$3,'Embedded Emissions'!$A$47:$B$78,2,FALSE)+VLOOKUP(BF$3,'Embedded Emissions'!$A$129:$B$158,2,FALSE)), $C10 = "0", 0), 0)</f>
        <v>0</v>
      </c>
      <c r="BH10" s="44">
        <f>IFERROR(_xlfn.IFS($C10="1",( 'Inputs-System'!$C$30*'Coincidence Factors'!$B$10*(1+'Inputs-System'!$C$18)*(1+'Inputs-System'!$C$41))*('Inputs-Proposals'!$C$17*'Inputs-Proposals'!$C$19*(1-'Inputs-Proposals'!$C$20)^(BF$3-'Inputs-System'!$C$7))*(VLOOKUP(BF$3,DRIPE!$A$54:$I$82,5,FALSE)+VLOOKUP(BF$3,DRIPE!$A$54:$I$82,9,FALSE))+ ('Inputs-System'!$C$26*'Coincidence Factors'!$B$6*(1+'Inputs-System'!$C$18)*(1+'Inputs-System'!$C$42))*'Inputs-Proposals'!$C$16*VLOOKUP(BF$3,DRIPE!$A$54:$I$82,8,FALSE), $C10 = "2",( 'Inputs-System'!$C$30*'Coincidence Factors'!$B$10*(1+'Inputs-System'!$C$18)*(1+'Inputs-System'!$C$41))*('Inputs-Proposals'!$C$23*'Inputs-Proposals'!$C$25*(1-'Inputs-Proposals'!$C$26)^(BF$3-'Inputs-System'!$C$7))*(VLOOKUP(BF$3,DRIPE!$A$54:$I$82,5,FALSE)+VLOOKUP(BF$3,DRIPE!$A$54:$I$82,9,FALSE))+ ('Inputs-System'!$C$26*'Coincidence Factors'!$B$6*(1+'Inputs-System'!$C$18)*(1+'Inputs-System'!$C$42))*'Inputs-Proposals'!$C$22*VLOOKUP(BF$3,DRIPE!$A$54:$I$82,8,FALSE), $C10= "3", ( 'Inputs-System'!$C$30*'Coincidence Factors'!$B$10*(1+'Inputs-System'!$C$18)*(1+'Inputs-System'!$C$41))*('Inputs-Proposals'!$C$29*'Inputs-Proposals'!$C$31*(1-'Inputs-Proposals'!$C$32)^(BF$3-'Inputs-System'!$C$7))*(VLOOKUP(BF$3,DRIPE!$A$54:$I$82,5,FALSE)+VLOOKUP(BF$3,DRIPE!$A$54:$I$82,9,FALSE))+ ('Inputs-System'!$C$26*'Coincidence Factors'!$B$6*(1+'Inputs-System'!$C$18)*(1+'Inputs-System'!$C$42))*'Inputs-Proposals'!$C$28*VLOOKUP(BF$3,DRIPE!$A$54:$I$82,8,FALSE), $C10 = "0", 0), 0)</f>
        <v>0</v>
      </c>
      <c r="BI10" s="45">
        <f>IFERROR(_xlfn.IFS($C10="1",('Inputs-System'!$C$26*'Coincidence Factors'!$B$10*(1+'Inputs-System'!$C$18)*(1+'Inputs-System'!$C$42))*'Inputs-Proposals'!$D$16*(VLOOKUP(BF$3,Capacity!$A$53:$E$85,4,FALSE)*(1+'Inputs-System'!$C$42)+VLOOKUP(BF$3,Capacity!$A$53:$E$85,5,FALSE)*(1+'Inputs-System'!$C$43)*'Inputs-System'!$C$29), $C10 = "2", ('Inputs-System'!$C$26*'Coincidence Factors'!$B$10*(1+'Inputs-System'!$C$18))*'Inputs-Proposals'!$D$22*(VLOOKUP(BF$3,Capacity!$A$53:$E$85,4,FALSE)*(1+'Inputs-System'!$C$42)+VLOOKUP(BF$3,Capacity!$A$53:$E$85,5,FALSE)*'Inputs-System'!$C$29*(1+'Inputs-System'!$C$43)), $C10 = "3", ('Inputs-System'!$C$26*'Coincidence Factors'!$B$10*(1+'Inputs-System'!$C$18))*'Inputs-Proposals'!$D$28*(VLOOKUP(BF$3,Capacity!$A$53:$E$85,4,FALSE)*(1+'Inputs-System'!$C$42)+VLOOKUP(BF$3,Capacity!$A$53:$E$85,5,FALSE)*'Inputs-System'!$C$29*(1+'Inputs-System'!$C$43)), $C10 = "0", 0), 0)</f>
        <v>0</v>
      </c>
      <c r="BJ10" s="44">
        <v>0</v>
      </c>
      <c r="BK10" s="342">
        <f>IFERROR(_xlfn.IFS($C10="1", 'Inputs-System'!$C$30*'Coincidence Factors'!$B$10*'Inputs-Proposals'!$C$17*'Inputs-Proposals'!$C$19*(VLOOKUP(BF$3,'Non-Embedded Emissions'!$A$56:$D$90,2,FALSE)-VLOOKUP(BF$3,'Non-Embedded Emissions'!$F$57:$H$88,3,FALSE)+VLOOKUP(BF$3,'Non-Embedded Emissions'!$A$143:$D$174,2,FALSE)-VLOOKUP(BF$3,'Non-Embedded Emissions'!$F$143:$H$174,3,FALSE)+VLOOKUP(BF$3,'Non-Embedded Emissions'!$A$230:$D$259,2,FALSE)), $C10 = "2", 'Inputs-System'!$C$30*'Coincidence Factors'!$B$10*'Inputs-Proposals'!$C$23*'Inputs-Proposals'!$C$25*(VLOOKUP(BF$3,'Non-Embedded Emissions'!$A$56:$D$90,2,FALSE)-VLOOKUP(BF$3,'Non-Embedded Emissions'!$F$57:$H$88,3,FALSE)+VLOOKUP(BF$3,'Non-Embedded Emissions'!$A$143:$D$174,2,FALSE)-VLOOKUP(BF$3,'Non-Embedded Emissions'!$F$143:$H$174,3,FALSE)+VLOOKUP(BF$3,'Non-Embedded Emissions'!$A$230:$D$259,2,FALSE)), $C10 = "3", 'Inputs-System'!$C$30*'Coincidence Factors'!$B$10*'Inputs-Proposals'!$C$29*'Inputs-Proposals'!$C$31*(VLOOKUP(BF$3,'Non-Embedded Emissions'!$A$56:$D$90,2,FALSE)-VLOOKUP(BF$3,'Non-Embedded Emissions'!$F$57:$H$88,3,FALSE)+VLOOKUP(BF$3,'Non-Embedded Emissions'!$A$143:$D$174,2,FALSE)-VLOOKUP(BF$3,'Non-Embedded Emissions'!$F$143:$H$174,3,FALSE)+VLOOKUP(BF$3,'Non-Embedded Emissions'!$A$230:$D$259,2,FALSE)), $C10 = "0", 0), 0)</f>
        <v>0</v>
      </c>
      <c r="BL10" s="45">
        <f>IFERROR(_xlfn.IFS($C10="1",('Inputs-System'!$C$30*'Coincidence Factors'!$B$10*(1+'Inputs-System'!$C$18)*(1+'Inputs-System'!$C$41)*('Inputs-Proposals'!$C$17*'Inputs-Proposals'!$C$19*(1-'Inputs-Proposals'!$C$20^(BL$3-'Inputs-System'!$C$7)))*(VLOOKUP(BL$3,Energy!$A$51:$K$83,5,FALSE))), $C10 = "2",('Inputs-System'!$C$30*'Coincidence Factors'!$B$10)*(1+'Inputs-System'!$C$18)*(1+'Inputs-System'!$C$41)*('Inputs-Proposals'!$C$23*'Inputs-Proposals'!$C$25*(1-'Inputs-Proposals'!$C$26^(BL$3-'Inputs-System'!$C$7)))*(VLOOKUP(BL$3,Energy!$A$51:$K$83,5,FALSE)), $C10= "3", ('Inputs-System'!$C$30*'Coincidence Factors'!$B$10*(1+'Inputs-System'!$C$18)*(1+'Inputs-System'!$C$41)*('Inputs-Proposals'!$C$29*'Inputs-Proposals'!$C$31*(1-'Inputs-Proposals'!$C$32^(BL$3-'Inputs-System'!$C$7)))*(VLOOKUP(BL$3,Energy!$A$51:$K$83,5,FALSE))), $C10= "0", 0), 0)</f>
        <v>0</v>
      </c>
      <c r="BM10" s="44">
        <f>IFERROR(_xlfn.IFS($C10="1",('Inputs-System'!$C$30*'Coincidence Factors'!$B$10*(1+'Inputs-System'!$C$18)*(1+'Inputs-System'!$C$41))*'Inputs-Proposals'!$C$17*'Inputs-Proposals'!$C$19*(1-'Inputs-Proposals'!$C$20^(BL$3-'Inputs-System'!$C$7))*(VLOOKUP(BL$3,'Embedded Emissions'!$A$47:$B$78,2,FALSE)+VLOOKUP(BL$3,'Embedded Emissions'!$A$129:$B$158,2,FALSE)), $C10 = "2",('Inputs-System'!$C$30*'Coincidence Factors'!$B$10*(1+'Inputs-System'!$C$18)*(1+'Inputs-System'!$C$41))*'Inputs-Proposals'!$C$23*'Inputs-Proposals'!$C$25*(1-'Inputs-Proposals'!$C$20^(BL$3-'Inputs-System'!$C$7))*(VLOOKUP(BL$3,'Embedded Emissions'!$A$47:$B$78,2,FALSE)+VLOOKUP(BL$3,'Embedded Emissions'!$A$129:$B$158,2,FALSE)), $C10 = "3", ('Inputs-System'!$C$30*'Coincidence Factors'!$B$10*(1+'Inputs-System'!$C$18)*(1+'Inputs-System'!$C$41))*'Inputs-Proposals'!$C$29*'Inputs-Proposals'!$C$31*(1-'Inputs-Proposals'!$C$20^(BL$3-'Inputs-System'!$C$7))*(VLOOKUP(BL$3,'Embedded Emissions'!$A$47:$B$78,2,FALSE)+VLOOKUP(BL$3,'Embedded Emissions'!$A$129:$B$158,2,FALSE)), $C10 = "0", 0), 0)</f>
        <v>0</v>
      </c>
      <c r="BN10" s="44">
        <f>IFERROR(_xlfn.IFS($C10="1",( 'Inputs-System'!$C$30*'Coincidence Factors'!$B$10*(1+'Inputs-System'!$C$18)*(1+'Inputs-System'!$C$41))*('Inputs-Proposals'!$C$17*'Inputs-Proposals'!$C$19*(1-'Inputs-Proposals'!$C$20)^(BL$3-'Inputs-System'!$C$7))*(VLOOKUP(BL$3,DRIPE!$A$54:$I$82,5,FALSE)+VLOOKUP(BL$3,DRIPE!$A$54:$I$82,9,FALSE))+ ('Inputs-System'!$C$26*'Coincidence Factors'!$B$6*(1+'Inputs-System'!$C$18)*(1+'Inputs-System'!$C$42))*'Inputs-Proposals'!$C$16*VLOOKUP(BL$3,DRIPE!$A$54:$I$82,8,FALSE), $C10 = "2",( 'Inputs-System'!$C$30*'Coincidence Factors'!$B$10*(1+'Inputs-System'!$C$18)*(1+'Inputs-System'!$C$41))*('Inputs-Proposals'!$C$23*'Inputs-Proposals'!$C$25*(1-'Inputs-Proposals'!$C$26)^(BL$3-'Inputs-System'!$C$7))*(VLOOKUP(BL$3,DRIPE!$A$54:$I$82,5,FALSE)+VLOOKUP(BL$3,DRIPE!$A$54:$I$82,9,FALSE))+ ('Inputs-System'!$C$26*'Coincidence Factors'!$B$6*(1+'Inputs-System'!$C$18)*(1+'Inputs-System'!$C$42))*'Inputs-Proposals'!$C$22*VLOOKUP(BL$3,DRIPE!$A$54:$I$82,8,FALSE), $C10= "3", ( 'Inputs-System'!$C$30*'Coincidence Factors'!$B$10*(1+'Inputs-System'!$C$18)*(1+'Inputs-System'!$C$41))*('Inputs-Proposals'!$C$29*'Inputs-Proposals'!$C$31*(1-'Inputs-Proposals'!$C$32)^(BL$3-'Inputs-System'!$C$7))*(VLOOKUP(BL$3,DRIPE!$A$54:$I$82,5,FALSE)+VLOOKUP(BL$3,DRIPE!$A$54:$I$82,9,FALSE))+ ('Inputs-System'!$C$26*'Coincidence Factors'!$B$6*(1+'Inputs-System'!$C$18)*(1+'Inputs-System'!$C$42))*'Inputs-Proposals'!$C$28*VLOOKUP(BL$3,DRIPE!$A$54:$I$82,8,FALSE), $C10 = "0", 0), 0)</f>
        <v>0</v>
      </c>
      <c r="BO10" s="45">
        <f>IFERROR(_xlfn.IFS($C10="1",('Inputs-System'!$C$26*'Coincidence Factors'!$B$10*(1+'Inputs-System'!$C$18)*(1+'Inputs-System'!$C$42))*'Inputs-Proposals'!$D$16*(VLOOKUP(BL$3,Capacity!$A$53:$E$85,4,FALSE)*(1+'Inputs-System'!$C$42)+VLOOKUP(BL$3,Capacity!$A$53:$E$85,5,FALSE)*(1+'Inputs-System'!$C$43)*'Inputs-System'!$C$29), $C10 = "2", ('Inputs-System'!$C$26*'Coincidence Factors'!$B$10*(1+'Inputs-System'!$C$18))*'Inputs-Proposals'!$D$22*(VLOOKUP(BL$3,Capacity!$A$53:$E$85,4,FALSE)*(1+'Inputs-System'!$C$42)+VLOOKUP(BL$3,Capacity!$A$53:$E$85,5,FALSE)*'Inputs-System'!$C$29*(1+'Inputs-System'!$C$43)), $C10 = "3", ('Inputs-System'!$C$26*'Coincidence Factors'!$B$10*(1+'Inputs-System'!$C$18))*'Inputs-Proposals'!$D$28*(VLOOKUP(BL$3,Capacity!$A$53:$E$85,4,FALSE)*(1+'Inputs-System'!$C$42)+VLOOKUP(BL$3,Capacity!$A$53:$E$85,5,FALSE)*'Inputs-System'!$C$29*(1+'Inputs-System'!$C$43)), $C10 = "0", 0), 0)</f>
        <v>0</v>
      </c>
      <c r="BP10" s="44">
        <v>0</v>
      </c>
      <c r="BQ10" s="342">
        <f>IFERROR(_xlfn.IFS($C10="1", 'Inputs-System'!$C$30*'Coincidence Factors'!$B$10*'Inputs-Proposals'!$C$17*'Inputs-Proposals'!$C$19*(VLOOKUP(BL$3,'Non-Embedded Emissions'!$A$56:$D$90,2,FALSE)-VLOOKUP(BL$3,'Non-Embedded Emissions'!$F$57:$H$88,3,FALSE)+VLOOKUP(BL$3,'Non-Embedded Emissions'!$A$143:$D$174,2,FALSE)-VLOOKUP(BL$3,'Non-Embedded Emissions'!$F$143:$H$174,3,FALSE)+VLOOKUP(BL$3,'Non-Embedded Emissions'!$A$230:$D$259,2,FALSE)), $C10 = "2", 'Inputs-System'!$C$30*'Coincidence Factors'!$B$10*'Inputs-Proposals'!$C$23*'Inputs-Proposals'!$C$25*(VLOOKUP(BL$3,'Non-Embedded Emissions'!$A$56:$D$90,2,FALSE)-VLOOKUP(BL$3,'Non-Embedded Emissions'!$F$57:$H$88,3,FALSE)+VLOOKUP(BL$3,'Non-Embedded Emissions'!$A$143:$D$174,2,FALSE)-VLOOKUP(BL$3,'Non-Embedded Emissions'!$F$143:$H$174,3,FALSE)+VLOOKUP(BL$3,'Non-Embedded Emissions'!$A$230:$D$259,2,FALSE)), $C10 = "3", 'Inputs-System'!$C$30*'Coincidence Factors'!$B$10*'Inputs-Proposals'!$C$29*'Inputs-Proposals'!$C$31*(VLOOKUP(BL$3,'Non-Embedded Emissions'!$A$56:$D$90,2,FALSE)-VLOOKUP(BL$3,'Non-Embedded Emissions'!$F$57:$H$88,3,FALSE)+VLOOKUP(BL$3,'Non-Embedded Emissions'!$A$143:$D$174,2,FALSE)-VLOOKUP(BL$3,'Non-Embedded Emissions'!$F$143:$H$174,3,FALSE)+VLOOKUP(BL$3,'Non-Embedded Emissions'!$A$230:$D$259,2,FALSE)), $C10 = "0", 0), 0)</f>
        <v>0</v>
      </c>
      <c r="BR10" s="45">
        <f>IFERROR(_xlfn.IFS($C10="1",('Inputs-System'!$C$30*'Coincidence Factors'!$B$10*(1+'Inputs-System'!$C$18)*(1+'Inputs-System'!$C$41)*('Inputs-Proposals'!$C$17*'Inputs-Proposals'!$C$19*(1-'Inputs-Proposals'!$C$20^(BR$3-'Inputs-System'!$C$7)))*(VLOOKUP(BR$3,Energy!$A$51:$K$83,5,FALSE))), $C10 = "2",('Inputs-System'!$C$30*'Coincidence Factors'!$B$10)*(1+'Inputs-System'!$C$18)*(1+'Inputs-System'!$C$41)*('Inputs-Proposals'!$C$23*'Inputs-Proposals'!$C$25*(1-'Inputs-Proposals'!$C$26^(BR$3-'Inputs-System'!$C$7)))*(VLOOKUP(BR$3,Energy!$A$51:$K$83,5,FALSE)), $C10= "3", ('Inputs-System'!$C$30*'Coincidence Factors'!$B$10*(1+'Inputs-System'!$C$18)*(1+'Inputs-System'!$C$41)*('Inputs-Proposals'!$C$29*'Inputs-Proposals'!$C$31*(1-'Inputs-Proposals'!$C$32^(BR$3-'Inputs-System'!$C$7)))*(VLOOKUP(BR$3,Energy!$A$51:$K$83,5,FALSE))), $C10= "0", 0), 0)</f>
        <v>0</v>
      </c>
      <c r="BS10" s="44">
        <f>IFERROR(_xlfn.IFS($C10="1",('Inputs-System'!$C$30*'Coincidence Factors'!$B$10*(1+'Inputs-System'!$C$18)*(1+'Inputs-System'!$C$41))*'Inputs-Proposals'!$C$17*'Inputs-Proposals'!$C$19*(1-'Inputs-Proposals'!$C$20^(BR$3-'Inputs-System'!$C$7))*(VLOOKUP(BR$3,'Embedded Emissions'!$A$47:$B$78,2,FALSE)+VLOOKUP(BR$3,'Embedded Emissions'!$A$129:$B$158,2,FALSE)), $C10 = "2",('Inputs-System'!$C$30*'Coincidence Factors'!$B$10*(1+'Inputs-System'!$C$18)*(1+'Inputs-System'!$C$41))*'Inputs-Proposals'!$C$23*'Inputs-Proposals'!$C$25*(1-'Inputs-Proposals'!$C$20^(BR$3-'Inputs-System'!$C$7))*(VLOOKUP(BR$3,'Embedded Emissions'!$A$47:$B$78,2,FALSE)+VLOOKUP(BR$3,'Embedded Emissions'!$A$129:$B$158,2,FALSE)), $C10 = "3", ('Inputs-System'!$C$30*'Coincidence Factors'!$B$10*(1+'Inputs-System'!$C$18)*(1+'Inputs-System'!$C$41))*'Inputs-Proposals'!$C$29*'Inputs-Proposals'!$C$31*(1-'Inputs-Proposals'!$C$20^(BR$3-'Inputs-System'!$C$7))*(VLOOKUP(BR$3,'Embedded Emissions'!$A$47:$B$78,2,FALSE)+VLOOKUP(BR$3,'Embedded Emissions'!$A$129:$B$158,2,FALSE)), $C10 = "0", 0), 0)</f>
        <v>0</v>
      </c>
      <c r="BT10" s="44">
        <f>IFERROR(_xlfn.IFS($C10="1",( 'Inputs-System'!$C$30*'Coincidence Factors'!$B$10*(1+'Inputs-System'!$C$18)*(1+'Inputs-System'!$C$41))*('Inputs-Proposals'!$C$17*'Inputs-Proposals'!$C$19*(1-'Inputs-Proposals'!$C$20)^(BR$3-'Inputs-System'!$C$7))*(VLOOKUP(BR$3,DRIPE!$A$54:$I$82,5,FALSE)+VLOOKUP(BR$3,DRIPE!$A$54:$I$82,9,FALSE))+ ('Inputs-System'!$C$26*'Coincidence Factors'!$B$6*(1+'Inputs-System'!$C$18)*(1+'Inputs-System'!$C$42))*'Inputs-Proposals'!$C$16*VLOOKUP(BR$3,DRIPE!$A$54:$I$82,8,FALSE), $C10 = "2",( 'Inputs-System'!$C$30*'Coincidence Factors'!$B$10*(1+'Inputs-System'!$C$18)*(1+'Inputs-System'!$C$41))*('Inputs-Proposals'!$C$23*'Inputs-Proposals'!$C$25*(1-'Inputs-Proposals'!$C$26)^(BR$3-'Inputs-System'!$C$7))*(VLOOKUP(BR$3,DRIPE!$A$54:$I$82,5,FALSE)+VLOOKUP(BR$3,DRIPE!$A$54:$I$82,9,FALSE))+ ('Inputs-System'!$C$26*'Coincidence Factors'!$B$6*(1+'Inputs-System'!$C$18)*(1+'Inputs-System'!$C$42))*'Inputs-Proposals'!$C$22*VLOOKUP(BR$3,DRIPE!$A$54:$I$82,8,FALSE), $C10= "3", ( 'Inputs-System'!$C$30*'Coincidence Factors'!$B$10*(1+'Inputs-System'!$C$18)*(1+'Inputs-System'!$C$41))*('Inputs-Proposals'!$C$29*'Inputs-Proposals'!$C$31*(1-'Inputs-Proposals'!$C$32)^(BR$3-'Inputs-System'!$C$7))*(VLOOKUP(BR$3,DRIPE!$A$54:$I$82,5,FALSE)+VLOOKUP(BR$3,DRIPE!$A$54:$I$82,9,FALSE))+ ('Inputs-System'!$C$26*'Coincidence Factors'!$B$6*(1+'Inputs-System'!$C$18)*(1+'Inputs-System'!$C$42))*'Inputs-Proposals'!$C$28*VLOOKUP(BR$3,DRIPE!$A$54:$I$82,8,FALSE), $C10 = "0", 0), 0)</f>
        <v>0</v>
      </c>
      <c r="BU10" s="45">
        <f>IFERROR(_xlfn.IFS($C10="1",('Inputs-System'!$C$26*'Coincidence Factors'!$B$10*(1+'Inputs-System'!$C$18)*(1+'Inputs-System'!$C$42))*'Inputs-Proposals'!$D$16*(VLOOKUP(BR$3,Capacity!$A$53:$E$85,4,FALSE)*(1+'Inputs-System'!$C$42)+VLOOKUP(BR$3,Capacity!$A$53:$E$85,5,FALSE)*(1+'Inputs-System'!$C$43)*'Inputs-System'!$C$29), $C10 = "2", ('Inputs-System'!$C$26*'Coincidence Factors'!$B$10*(1+'Inputs-System'!$C$18))*'Inputs-Proposals'!$D$22*(VLOOKUP(BR$3,Capacity!$A$53:$E$85,4,FALSE)*(1+'Inputs-System'!$C$42)+VLOOKUP(BR$3,Capacity!$A$53:$E$85,5,FALSE)*'Inputs-System'!$C$29*(1+'Inputs-System'!$C$43)), $C10 = "3", ('Inputs-System'!$C$26*'Coincidence Factors'!$B$10*(1+'Inputs-System'!$C$18))*'Inputs-Proposals'!$D$28*(VLOOKUP(BR$3,Capacity!$A$53:$E$85,4,FALSE)*(1+'Inputs-System'!$C$42)+VLOOKUP(BR$3,Capacity!$A$53:$E$85,5,FALSE)*'Inputs-System'!$C$29*(1+'Inputs-System'!$C$43)), $C10 = "0", 0), 0)</f>
        <v>0</v>
      </c>
      <c r="BV10" s="44">
        <v>0</v>
      </c>
      <c r="BW10" s="342">
        <f>IFERROR(_xlfn.IFS($C10="1", 'Inputs-System'!$C$30*'Coincidence Factors'!$B$10*'Inputs-Proposals'!$C$17*'Inputs-Proposals'!$C$19*(VLOOKUP(BR$3,'Non-Embedded Emissions'!$A$56:$D$90,2,FALSE)-VLOOKUP(BR$3,'Non-Embedded Emissions'!$F$57:$H$88,3,FALSE)+VLOOKUP(BR$3,'Non-Embedded Emissions'!$A$143:$D$174,2,FALSE)-VLOOKUP(BR$3,'Non-Embedded Emissions'!$F$143:$H$174,3,FALSE)+VLOOKUP(BR$3,'Non-Embedded Emissions'!$A$230:$D$259,2,FALSE)), $C10 = "2", 'Inputs-System'!$C$30*'Coincidence Factors'!$B$10*'Inputs-Proposals'!$C$23*'Inputs-Proposals'!$C$25*(VLOOKUP(BR$3,'Non-Embedded Emissions'!$A$56:$D$90,2,FALSE)-VLOOKUP(BR$3,'Non-Embedded Emissions'!$F$57:$H$88,3,FALSE)+VLOOKUP(BR$3,'Non-Embedded Emissions'!$A$143:$D$174,2,FALSE)-VLOOKUP(BR$3,'Non-Embedded Emissions'!$F$143:$H$174,3,FALSE)+VLOOKUP(BR$3,'Non-Embedded Emissions'!$A$230:$D$259,2,FALSE)), $C10 = "3", 'Inputs-System'!$C$30*'Coincidence Factors'!$B$10*'Inputs-Proposals'!$C$29*'Inputs-Proposals'!$C$31*(VLOOKUP(BR$3,'Non-Embedded Emissions'!$A$56:$D$90,2,FALSE)-VLOOKUP(BR$3,'Non-Embedded Emissions'!$F$57:$H$88,3,FALSE)+VLOOKUP(BR$3,'Non-Embedded Emissions'!$A$143:$D$174,2,FALSE)-VLOOKUP(BR$3,'Non-Embedded Emissions'!$F$143:$H$174,3,FALSE)+VLOOKUP(BR$3,'Non-Embedded Emissions'!$A$230:$D$259,2,FALSE)), $C10 = "0", 0), 0)</f>
        <v>0</v>
      </c>
      <c r="BX10" s="45">
        <f>IFERROR(_xlfn.IFS($C10="1",('Inputs-System'!$C$30*'Coincidence Factors'!$B$10*(1+'Inputs-System'!$C$18)*(1+'Inputs-System'!$C$41)*('Inputs-Proposals'!$C$17*'Inputs-Proposals'!$C$19*(1-'Inputs-Proposals'!$C$20^(BX$3-'Inputs-System'!$C$7)))*(VLOOKUP(BX$3,Energy!$A$51:$K$83,5,FALSE))), $C10 = "2",('Inputs-System'!$C$30*'Coincidence Factors'!$B$10)*(1+'Inputs-System'!$C$18)*(1+'Inputs-System'!$C$41)*('Inputs-Proposals'!$C$23*'Inputs-Proposals'!$C$25*(1-'Inputs-Proposals'!$C$26^(BX$3-'Inputs-System'!$C$7)))*(VLOOKUP(BX$3,Energy!$A$51:$K$83,5,FALSE)), $C10= "3", ('Inputs-System'!$C$30*'Coincidence Factors'!$B$10*(1+'Inputs-System'!$C$18)*(1+'Inputs-System'!$C$41)*('Inputs-Proposals'!$C$29*'Inputs-Proposals'!$C$31*(1-'Inputs-Proposals'!$C$32^(BX$3-'Inputs-System'!$C$7)))*(VLOOKUP(BX$3,Energy!$A$51:$K$83,5,FALSE))), $C10= "0", 0), 0)</f>
        <v>0</v>
      </c>
      <c r="BY10" s="44">
        <f>IFERROR(_xlfn.IFS($C10="1",('Inputs-System'!$C$30*'Coincidence Factors'!$B$10*(1+'Inputs-System'!$C$18)*(1+'Inputs-System'!$C$41))*'Inputs-Proposals'!$C$17*'Inputs-Proposals'!$C$19*(1-'Inputs-Proposals'!$C$20^(BX$3-'Inputs-System'!$C$7))*(VLOOKUP(BX$3,'Embedded Emissions'!$A$47:$B$78,2,FALSE)+VLOOKUP(BX$3,'Embedded Emissions'!$A$129:$B$158,2,FALSE)), $C10 = "2",('Inputs-System'!$C$30*'Coincidence Factors'!$B$10*(1+'Inputs-System'!$C$18)*(1+'Inputs-System'!$C$41))*'Inputs-Proposals'!$C$23*'Inputs-Proposals'!$C$25*(1-'Inputs-Proposals'!$C$20^(BX$3-'Inputs-System'!$C$7))*(VLOOKUP(BX$3,'Embedded Emissions'!$A$47:$B$78,2,FALSE)+VLOOKUP(BX$3,'Embedded Emissions'!$A$129:$B$158,2,FALSE)), $C10 = "3", ('Inputs-System'!$C$30*'Coincidence Factors'!$B$10*(1+'Inputs-System'!$C$18)*(1+'Inputs-System'!$C$41))*'Inputs-Proposals'!$C$29*'Inputs-Proposals'!$C$31*(1-'Inputs-Proposals'!$C$20^(BX$3-'Inputs-System'!$C$7))*(VLOOKUP(BX$3,'Embedded Emissions'!$A$47:$B$78,2,FALSE)+VLOOKUP(BX$3,'Embedded Emissions'!$A$129:$B$158,2,FALSE)), $C10 = "0", 0), 0)</f>
        <v>0</v>
      </c>
      <c r="BZ10" s="44">
        <f>IFERROR(_xlfn.IFS($C10="1",( 'Inputs-System'!$C$30*'Coincidence Factors'!$B$10*(1+'Inputs-System'!$C$18)*(1+'Inputs-System'!$C$41))*('Inputs-Proposals'!$C$17*'Inputs-Proposals'!$C$19*(1-'Inputs-Proposals'!$C$20)^(BX$3-'Inputs-System'!$C$7))*(VLOOKUP(BX$3,DRIPE!$A$54:$I$82,5,FALSE)+VLOOKUP(BX$3,DRIPE!$A$54:$I$82,9,FALSE))+ ('Inputs-System'!$C$26*'Coincidence Factors'!$B$6*(1+'Inputs-System'!$C$18)*(1+'Inputs-System'!$C$42))*'Inputs-Proposals'!$C$16*VLOOKUP(BX$3,DRIPE!$A$54:$I$82,8,FALSE), $C10 = "2",( 'Inputs-System'!$C$30*'Coincidence Factors'!$B$10*(1+'Inputs-System'!$C$18)*(1+'Inputs-System'!$C$41))*('Inputs-Proposals'!$C$23*'Inputs-Proposals'!$C$25*(1-'Inputs-Proposals'!$C$26)^(BX$3-'Inputs-System'!$C$7))*(VLOOKUP(BX$3,DRIPE!$A$54:$I$82,5,FALSE)+VLOOKUP(BX$3,DRIPE!$A$54:$I$82,9,FALSE))+ ('Inputs-System'!$C$26*'Coincidence Factors'!$B$6*(1+'Inputs-System'!$C$18)*(1+'Inputs-System'!$C$42))*'Inputs-Proposals'!$C$22*VLOOKUP(BX$3,DRIPE!$A$54:$I$82,8,FALSE), $C10= "3", ( 'Inputs-System'!$C$30*'Coincidence Factors'!$B$10*(1+'Inputs-System'!$C$18)*(1+'Inputs-System'!$C$41))*('Inputs-Proposals'!$C$29*'Inputs-Proposals'!$C$31*(1-'Inputs-Proposals'!$C$32)^(BX$3-'Inputs-System'!$C$7))*(VLOOKUP(BX$3,DRIPE!$A$54:$I$82,5,FALSE)+VLOOKUP(BX$3,DRIPE!$A$54:$I$82,9,FALSE))+ ('Inputs-System'!$C$26*'Coincidence Factors'!$B$6*(1+'Inputs-System'!$C$18)*(1+'Inputs-System'!$C$42))*'Inputs-Proposals'!$C$28*VLOOKUP(BX$3,DRIPE!$A$54:$I$82,8,FALSE), $C10 = "0", 0), 0)</f>
        <v>0</v>
      </c>
      <c r="CA10" s="45">
        <f>IFERROR(_xlfn.IFS($C10="1",('Inputs-System'!$C$26*'Coincidence Factors'!$B$10*(1+'Inputs-System'!$C$18)*(1+'Inputs-System'!$C$42))*'Inputs-Proposals'!$D$16*(VLOOKUP(BX$3,Capacity!$A$53:$E$85,4,FALSE)*(1+'Inputs-System'!$C$42)+VLOOKUP(BX$3,Capacity!$A$53:$E$85,5,FALSE)*(1+'Inputs-System'!$C$43)*'Inputs-System'!$C$29), $C10 = "2", ('Inputs-System'!$C$26*'Coincidence Factors'!$B$10*(1+'Inputs-System'!$C$18))*'Inputs-Proposals'!$D$22*(VLOOKUP(BX$3,Capacity!$A$53:$E$85,4,FALSE)*(1+'Inputs-System'!$C$42)+VLOOKUP(BX$3,Capacity!$A$53:$E$85,5,FALSE)*'Inputs-System'!$C$29*(1+'Inputs-System'!$C$43)), $C10 = "3", ('Inputs-System'!$C$26*'Coincidence Factors'!$B$10*(1+'Inputs-System'!$C$18))*'Inputs-Proposals'!$D$28*(VLOOKUP(BX$3,Capacity!$A$53:$E$85,4,FALSE)*(1+'Inputs-System'!$C$42)+VLOOKUP(BX$3,Capacity!$A$53:$E$85,5,FALSE)*'Inputs-System'!$C$29*(1+'Inputs-System'!$C$43)), $C10 = "0", 0), 0)</f>
        <v>0</v>
      </c>
      <c r="CB10" s="44">
        <v>0</v>
      </c>
      <c r="CC10" s="342">
        <f>IFERROR(_xlfn.IFS($C10="1", 'Inputs-System'!$C$30*'Coincidence Factors'!$B$10*'Inputs-Proposals'!$C$17*'Inputs-Proposals'!$C$19*(VLOOKUP(BX$3,'Non-Embedded Emissions'!$A$56:$D$90,2,FALSE)-VLOOKUP(BX$3,'Non-Embedded Emissions'!$F$57:$H$88,3,FALSE)+VLOOKUP(BX$3,'Non-Embedded Emissions'!$A$143:$D$174,2,FALSE)-VLOOKUP(BX$3,'Non-Embedded Emissions'!$F$143:$H$174,3,FALSE)+VLOOKUP(BX$3,'Non-Embedded Emissions'!$A$230:$D$259,2,FALSE)), $C10 = "2", 'Inputs-System'!$C$30*'Coincidence Factors'!$B$10*'Inputs-Proposals'!$C$23*'Inputs-Proposals'!$C$25*(VLOOKUP(BX$3,'Non-Embedded Emissions'!$A$56:$D$90,2,FALSE)-VLOOKUP(BX$3,'Non-Embedded Emissions'!$F$57:$H$88,3,FALSE)+VLOOKUP(BX$3,'Non-Embedded Emissions'!$A$143:$D$174,2,FALSE)-VLOOKUP(BX$3,'Non-Embedded Emissions'!$F$143:$H$174,3,FALSE)+VLOOKUP(BX$3,'Non-Embedded Emissions'!$A$230:$D$259,2,FALSE)), $C10 = "3", 'Inputs-System'!$C$30*'Coincidence Factors'!$B$10*'Inputs-Proposals'!$C$29*'Inputs-Proposals'!$C$31*(VLOOKUP(BX$3,'Non-Embedded Emissions'!$A$56:$D$90,2,FALSE)-VLOOKUP(BX$3,'Non-Embedded Emissions'!$F$57:$H$88,3,FALSE)+VLOOKUP(BX$3,'Non-Embedded Emissions'!$A$143:$D$174,2,FALSE)-VLOOKUP(BX$3,'Non-Embedded Emissions'!$F$143:$H$174,3,FALSE)+VLOOKUP(BX$3,'Non-Embedded Emissions'!$A$230:$D$259,2,FALSE)), $C10 = "0", 0), 0)</f>
        <v>0</v>
      </c>
      <c r="CD10" s="45">
        <f>IFERROR(_xlfn.IFS($C10="1",('Inputs-System'!$C$30*'Coincidence Factors'!$B$10*(1+'Inputs-System'!$C$18)*(1+'Inputs-System'!$C$41)*('Inputs-Proposals'!$C$17*'Inputs-Proposals'!$C$19*(1-'Inputs-Proposals'!$C$20^(CD$3-'Inputs-System'!$C$7)))*(VLOOKUP(CD$3,Energy!$A$51:$K$83,5,FALSE))), $C10 = "2",('Inputs-System'!$C$30*'Coincidence Factors'!$B$10)*(1+'Inputs-System'!$C$18)*(1+'Inputs-System'!$C$41)*('Inputs-Proposals'!$C$23*'Inputs-Proposals'!$C$25*(1-'Inputs-Proposals'!$C$26^(CD$3-'Inputs-System'!$C$7)))*(VLOOKUP(CD$3,Energy!$A$51:$K$83,5,FALSE)), $C10= "3", ('Inputs-System'!$C$30*'Coincidence Factors'!$B$10*(1+'Inputs-System'!$C$18)*(1+'Inputs-System'!$C$41)*('Inputs-Proposals'!$C$29*'Inputs-Proposals'!$C$31*(1-'Inputs-Proposals'!$C$32^(CD$3-'Inputs-System'!$C$7)))*(VLOOKUP(CD$3,Energy!$A$51:$K$83,5,FALSE))), $C10= "0", 0), 0)</f>
        <v>0</v>
      </c>
      <c r="CE10" s="44">
        <f>IFERROR(_xlfn.IFS($C10="1",('Inputs-System'!$C$30*'Coincidence Factors'!$B$10*(1+'Inputs-System'!$C$18)*(1+'Inputs-System'!$C$41))*'Inputs-Proposals'!$C$17*'Inputs-Proposals'!$C$19*(1-'Inputs-Proposals'!$C$20^(CD$3-'Inputs-System'!$C$7))*(VLOOKUP(CD$3,'Embedded Emissions'!$A$47:$B$78,2,FALSE)+VLOOKUP(CD$3,'Embedded Emissions'!$A$129:$B$158,2,FALSE)), $C10 = "2",('Inputs-System'!$C$30*'Coincidence Factors'!$B$10*(1+'Inputs-System'!$C$18)*(1+'Inputs-System'!$C$41))*'Inputs-Proposals'!$C$23*'Inputs-Proposals'!$C$25*(1-'Inputs-Proposals'!$C$20^(CD$3-'Inputs-System'!$C$7))*(VLOOKUP(CD$3,'Embedded Emissions'!$A$47:$B$78,2,FALSE)+VLOOKUP(CD$3,'Embedded Emissions'!$A$129:$B$158,2,FALSE)), $C10 = "3", ('Inputs-System'!$C$30*'Coincidence Factors'!$B$10*(1+'Inputs-System'!$C$18)*(1+'Inputs-System'!$C$41))*'Inputs-Proposals'!$C$29*'Inputs-Proposals'!$C$31*(1-'Inputs-Proposals'!$C$20^(CD$3-'Inputs-System'!$C$7))*(VLOOKUP(CD$3,'Embedded Emissions'!$A$47:$B$78,2,FALSE)+VLOOKUP(CD$3,'Embedded Emissions'!$A$129:$B$158,2,FALSE)), $C10 = "0", 0), 0)</f>
        <v>0</v>
      </c>
      <c r="CF10" s="44">
        <f>IFERROR(_xlfn.IFS($C10="1",( 'Inputs-System'!$C$30*'Coincidence Factors'!$B$10*(1+'Inputs-System'!$C$18)*(1+'Inputs-System'!$C$41))*('Inputs-Proposals'!$C$17*'Inputs-Proposals'!$C$19*(1-'Inputs-Proposals'!$C$20)^(CD$3-'Inputs-System'!$C$7))*(VLOOKUP(CD$3,DRIPE!$A$54:$I$82,5,FALSE)+VLOOKUP(CD$3,DRIPE!$A$54:$I$82,9,FALSE))+ ('Inputs-System'!$C$26*'Coincidence Factors'!$B$6*(1+'Inputs-System'!$C$18)*(1+'Inputs-System'!$C$42))*'Inputs-Proposals'!$C$16*VLOOKUP(CD$3,DRIPE!$A$54:$I$82,8,FALSE), $C10 = "2",( 'Inputs-System'!$C$30*'Coincidence Factors'!$B$10*(1+'Inputs-System'!$C$18)*(1+'Inputs-System'!$C$41))*('Inputs-Proposals'!$C$23*'Inputs-Proposals'!$C$25*(1-'Inputs-Proposals'!$C$26)^(CD$3-'Inputs-System'!$C$7))*(VLOOKUP(CD$3,DRIPE!$A$54:$I$82,5,FALSE)+VLOOKUP(CD$3,DRIPE!$A$54:$I$82,9,FALSE))+ ('Inputs-System'!$C$26*'Coincidence Factors'!$B$6*(1+'Inputs-System'!$C$18)*(1+'Inputs-System'!$C$42))*'Inputs-Proposals'!$C$22*VLOOKUP(CD$3,DRIPE!$A$54:$I$82,8,FALSE), $C10= "3", ( 'Inputs-System'!$C$30*'Coincidence Factors'!$B$10*(1+'Inputs-System'!$C$18)*(1+'Inputs-System'!$C$41))*('Inputs-Proposals'!$C$29*'Inputs-Proposals'!$C$31*(1-'Inputs-Proposals'!$C$32)^(CD$3-'Inputs-System'!$C$7))*(VLOOKUP(CD$3,DRIPE!$A$54:$I$82,5,FALSE)+VLOOKUP(CD$3,DRIPE!$A$54:$I$82,9,FALSE))+ ('Inputs-System'!$C$26*'Coincidence Factors'!$B$6*(1+'Inputs-System'!$C$18)*(1+'Inputs-System'!$C$42))*'Inputs-Proposals'!$C$28*VLOOKUP(CD$3,DRIPE!$A$54:$I$82,8,FALSE), $C10 = "0", 0), 0)</f>
        <v>0</v>
      </c>
      <c r="CG10" s="45">
        <f>IFERROR(_xlfn.IFS($C10="1",('Inputs-System'!$C$26*'Coincidence Factors'!$B$10*(1+'Inputs-System'!$C$18)*(1+'Inputs-System'!$C$42))*'Inputs-Proposals'!$D$16*(VLOOKUP(CD$3,Capacity!$A$53:$E$85,4,FALSE)*(1+'Inputs-System'!$C$42)+VLOOKUP(CD$3,Capacity!$A$53:$E$85,5,FALSE)*(1+'Inputs-System'!$C$43)*'Inputs-System'!$C$29), $C10 = "2", ('Inputs-System'!$C$26*'Coincidence Factors'!$B$10*(1+'Inputs-System'!$C$18))*'Inputs-Proposals'!$D$22*(VLOOKUP(CD$3,Capacity!$A$53:$E$85,4,FALSE)*(1+'Inputs-System'!$C$42)+VLOOKUP(CD$3,Capacity!$A$53:$E$85,5,FALSE)*'Inputs-System'!$C$29*(1+'Inputs-System'!$C$43)), $C10 = "3", ('Inputs-System'!$C$26*'Coincidence Factors'!$B$10*(1+'Inputs-System'!$C$18))*'Inputs-Proposals'!$D$28*(VLOOKUP(CD$3,Capacity!$A$53:$E$85,4,FALSE)*(1+'Inputs-System'!$C$42)+VLOOKUP(CD$3,Capacity!$A$53:$E$85,5,FALSE)*'Inputs-System'!$C$29*(1+'Inputs-System'!$C$43)), $C10 = "0", 0), 0)</f>
        <v>0</v>
      </c>
      <c r="CH10" s="44">
        <v>0</v>
      </c>
      <c r="CI10" s="342">
        <f>IFERROR(_xlfn.IFS($C10="1", 'Inputs-System'!$C$30*'Coincidence Factors'!$B$10*'Inputs-Proposals'!$C$17*'Inputs-Proposals'!$C$19*(VLOOKUP(CD$3,'Non-Embedded Emissions'!$A$56:$D$90,2,FALSE)-VLOOKUP(CD$3,'Non-Embedded Emissions'!$F$57:$H$88,3,FALSE)+VLOOKUP(CD$3,'Non-Embedded Emissions'!$A$143:$D$174,2,FALSE)-VLOOKUP(CD$3,'Non-Embedded Emissions'!$F$143:$H$174,3,FALSE)+VLOOKUP(CD$3,'Non-Embedded Emissions'!$A$230:$D$259,2,FALSE)), $C10 = "2", 'Inputs-System'!$C$30*'Coincidence Factors'!$B$10*'Inputs-Proposals'!$C$23*'Inputs-Proposals'!$C$25*(VLOOKUP(CD$3,'Non-Embedded Emissions'!$A$56:$D$90,2,FALSE)-VLOOKUP(CD$3,'Non-Embedded Emissions'!$F$57:$H$88,3,FALSE)+VLOOKUP(CD$3,'Non-Embedded Emissions'!$A$143:$D$174,2,FALSE)-VLOOKUP(CD$3,'Non-Embedded Emissions'!$F$143:$H$174,3,FALSE)+VLOOKUP(CD$3,'Non-Embedded Emissions'!$A$230:$D$259,2,FALSE)), $C10 = "3", 'Inputs-System'!$C$30*'Coincidence Factors'!$B$10*'Inputs-Proposals'!$C$29*'Inputs-Proposals'!$C$31*(VLOOKUP(CD$3,'Non-Embedded Emissions'!$A$56:$D$90,2,FALSE)-VLOOKUP(CD$3,'Non-Embedded Emissions'!$F$57:$H$88,3,FALSE)+VLOOKUP(CD$3,'Non-Embedded Emissions'!$A$143:$D$174,2,FALSE)-VLOOKUP(CD$3,'Non-Embedded Emissions'!$F$143:$H$174,3,FALSE)+VLOOKUP(CD$3,'Non-Embedded Emissions'!$A$230:$D$259,2,FALSE)), $C10 = "0", 0), 0)</f>
        <v>0</v>
      </c>
      <c r="CJ10" s="45">
        <f>IFERROR(_xlfn.IFS($C10="1",('Inputs-System'!$C$30*'Coincidence Factors'!$B$10*(1+'Inputs-System'!$C$18)*(1+'Inputs-System'!$C$41)*('Inputs-Proposals'!$C$17*'Inputs-Proposals'!$C$19*(1-'Inputs-Proposals'!$C$20^(CJ$3-'Inputs-System'!$C$7)))*(VLOOKUP(CJ$3,Energy!$A$51:$K$83,5,FALSE))), $C10 = "2",('Inputs-System'!$C$30*'Coincidence Factors'!$B$10)*(1+'Inputs-System'!$C$18)*(1+'Inputs-System'!$C$41)*('Inputs-Proposals'!$C$23*'Inputs-Proposals'!$C$25*(1-'Inputs-Proposals'!$C$26^(CJ$3-'Inputs-System'!$C$7)))*(VLOOKUP(CJ$3,Energy!$A$51:$K$83,5,FALSE)), $C10= "3", ('Inputs-System'!$C$30*'Coincidence Factors'!$B$10*(1+'Inputs-System'!$C$18)*(1+'Inputs-System'!$C$41)*('Inputs-Proposals'!$C$29*'Inputs-Proposals'!$C$31*(1-'Inputs-Proposals'!$C$32^(CJ$3-'Inputs-System'!$C$7)))*(VLOOKUP(CJ$3,Energy!$A$51:$K$83,5,FALSE))), $C10= "0", 0), 0)</f>
        <v>0</v>
      </c>
      <c r="CK10" s="44">
        <f>IFERROR(_xlfn.IFS($C10="1",('Inputs-System'!$C$30*'Coincidence Factors'!$B$10*(1+'Inputs-System'!$C$18)*(1+'Inputs-System'!$C$41))*'Inputs-Proposals'!$C$17*'Inputs-Proposals'!$C$19*(1-'Inputs-Proposals'!$C$20^(CJ$3-'Inputs-System'!$C$7))*(VLOOKUP(CJ$3,'Embedded Emissions'!$A$47:$B$78,2,FALSE)+VLOOKUP(CJ$3,'Embedded Emissions'!$A$129:$B$158,2,FALSE)), $C10 = "2",('Inputs-System'!$C$30*'Coincidence Factors'!$B$10*(1+'Inputs-System'!$C$18)*(1+'Inputs-System'!$C$41))*'Inputs-Proposals'!$C$23*'Inputs-Proposals'!$C$25*(1-'Inputs-Proposals'!$C$20^(CJ$3-'Inputs-System'!$C$7))*(VLOOKUP(CJ$3,'Embedded Emissions'!$A$47:$B$78,2,FALSE)+VLOOKUP(CJ$3,'Embedded Emissions'!$A$129:$B$158,2,FALSE)), $C10 = "3", ('Inputs-System'!$C$30*'Coincidence Factors'!$B$10*(1+'Inputs-System'!$C$18)*(1+'Inputs-System'!$C$41))*'Inputs-Proposals'!$C$29*'Inputs-Proposals'!$C$31*(1-'Inputs-Proposals'!$C$20^(CJ$3-'Inputs-System'!$C$7))*(VLOOKUP(CJ$3,'Embedded Emissions'!$A$47:$B$78,2,FALSE)+VLOOKUP(CJ$3,'Embedded Emissions'!$A$129:$B$158,2,FALSE)), $C10 = "0", 0), 0)</f>
        <v>0</v>
      </c>
      <c r="CL10" s="44">
        <f>IFERROR(_xlfn.IFS($C10="1",( 'Inputs-System'!$C$30*'Coincidence Factors'!$B$10*(1+'Inputs-System'!$C$18)*(1+'Inputs-System'!$C$41))*('Inputs-Proposals'!$C$17*'Inputs-Proposals'!$C$19*(1-'Inputs-Proposals'!$C$20)^(CJ$3-'Inputs-System'!$C$7))*(VLOOKUP(CJ$3,DRIPE!$A$54:$I$82,5,FALSE)+VLOOKUP(CJ$3,DRIPE!$A$54:$I$82,9,FALSE))+ ('Inputs-System'!$C$26*'Coincidence Factors'!$B$6*(1+'Inputs-System'!$C$18)*(1+'Inputs-System'!$C$42))*'Inputs-Proposals'!$C$16*VLOOKUP(CJ$3,DRIPE!$A$54:$I$82,8,FALSE), $C10 = "2",( 'Inputs-System'!$C$30*'Coincidence Factors'!$B$10*(1+'Inputs-System'!$C$18)*(1+'Inputs-System'!$C$41))*('Inputs-Proposals'!$C$23*'Inputs-Proposals'!$C$25*(1-'Inputs-Proposals'!$C$26)^(CJ$3-'Inputs-System'!$C$7))*(VLOOKUP(CJ$3,DRIPE!$A$54:$I$82,5,FALSE)+VLOOKUP(CJ$3,DRIPE!$A$54:$I$82,9,FALSE))+ ('Inputs-System'!$C$26*'Coincidence Factors'!$B$6*(1+'Inputs-System'!$C$18)*(1+'Inputs-System'!$C$42))*'Inputs-Proposals'!$C$22*VLOOKUP(CJ$3,DRIPE!$A$54:$I$82,8,FALSE), $C10= "3", ( 'Inputs-System'!$C$30*'Coincidence Factors'!$B$10*(1+'Inputs-System'!$C$18)*(1+'Inputs-System'!$C$41))*('Inputs-Proposals'!$C$29*'Inputs-Proposals'!$C$31*(1-'Inputs-Proposals'!$C$32)^(CJ$3-'Inputs-System'!$C$7))*(VLOOKUP(CJ$3,DRIPE!$A$54:$I$82,5,FALSE)+VLOOKUP(CJ$3,DRIPE!$A$54:$I$82,9,FALSE))+ ('Inputs-System'!$C$26*'Coincidence Factors'!$B$6*(1+'Inputs-System'!$C$18)*(1+'Inputs-System'!$C$42))*'Inputs-Proposals'!$C$28*VLOOKUP(CJ$3,DRIPE!$A$54:$I$82,8,FALSE), $C10 = "0", 0), 0)</f>
        <v>0</v>
      </c>
      <c r="CM10" s="45">
        <f>IFERROR(_xlfn.IFS($C10="1",('Inputs-System'!$C$26*'Coincidence Factors'!$B$10*(1+'Inputs-System'!$C$18)*(1+'Inputs-System'!$C$42))*'Inputs-Proposals'!$D$16*(VLOOKUP(CJ$3,Capacity!$A$53:$E$85,4,FALSE)*(1+'Inputs-System'!$C$42)+VLOOKUP(CJ$3,Capacity!$A$53:$E$85,5,FALSE)*(1+'Inputs-System'!$C$43)*'Inputs-System'!$C$29), $C10 = "2", ('Inputs-System'!$C$26*'Coincidence Factors'!$B$10*(1+'Inputs-System'!$C$18))*'Inputs-Proposals'!$D$22*(VLOOKUP(CJ$3,Capacity!$A$53:$E$85,4,FALSE)*(1+'Inputs-System'!$C$42)+VLOOKUP(CJ$3,Capacity!$A$53:$E$85,5,FALSE)*'Inputs-System'!$C$29*(1+'Inputs-System'!$C$43)), $C10 = "3", ('Inputs-System'!$C$26*'Coincidence Factors'!$B$10*(1+'Inputs-System'!$C$18))*'Inputs-Proposals'!$D$28*(VLOOKUP(CJ$3,Capacity!$A$53:$E$85,4,FALSE)*(1+'Inputs-System'!$C$42)+VLOOKUP(CJ$3,Capacity!$A$53:$E$85,5,FALSE)*'Inputs-System'!$C$29*(1+'Inputs-System'!$C$43)), $C10 = "0", 0), 0)</f>
        <v>0</v>
      </c>
      <c r="CN10" s="44">
        <v>0</v>
      </c>
      <c r="CO10" s="342">
        <f>IFERROR(_xlfn.IFS($C10="1", 'Inputs-System'!$C$30*'Coincidence Factors'!$B$10*'Inputs-Proposals'!$C$17*'Inputs-Proposals'!$C$19*(VLOOKUP(CJ$3,'Non-Embedded Emissions'!$A$56:$D$90,2,FALSE)-VLOOKUP(CJ$3,'Non-Embedded Emissions'!$F$57:$H$88,3,FALSE)+VLOOKUP(CJ$3,'Non-Embedded Emissions'!$A$143:$D$174,2,FALSE)-VLOOKUP(CJ$3,'Non-Embedded Emissions'!$F$143:$H$174,3,FALSE)+VLOOKUP(CJ$3,'Non-Embedded Emissions'!$A$230:$D$259,2,FALSE)), $C10 = "2", 'Inputs-System'!$C$30*'Coincidence Factors'!$B$10*'Inputs-Proposals'!$C$23*'Inputs-Proposals'!$C$25*(VLOOKUP(CJ$3,'Non-Embedded Emissions'!$A$56:$D$90,2,FALSE)-VLOOKUP(CJ$3,'Non-Embedded Emissions'!$F$57:$H$88,3,FALSE)+VLOOKUP(CJ$3,'Non-Embedded Emissions'!$A$143:$D$174,2,FALSE)-VLOOKUP(CJ$3,'Non-Embedded Emissions'!$F$143:$H$174,3,FALSE)+VLOOKUP(CJ$3,'Non-Embedded Emissions'!$A$230:$D$259,2,FALSE)), $C10 = "3", 'Inputs-System'!$C$30*'Coincidence Factors'!$B$10*'Inputs-Proposals'!$C$29*'Inputs-Proposals'!$C$31*(VLOOKUP(CJ$3,'Non-Embedded Emissions'!$A$56:$D$90,2,FALSE)-VLOOKUP(CJ$3,'Non-Embedded Emissions'!$F$57:$H$88,3,FALSE)+VLOOKUP(CJ$3,'Non-Embedded Emissions'!$A$143:$D$174,2,FALSE)-VLOOKUP(CJ$3,'Non-Embedded Emissions'!$F$143:$H$174,3,FALSE)+VLOOKUP(CJ$3,'Non-Embedded Emissions'!$A$230:$D$259,2,FALSE)), $C10 = "0", 0), 0)</f>
        <v>0</v>
      </c>
      <c r="CP10" s="45">
        <f>IFERROR(_xlfn.IFS($C10="1",('Inputs-System'!$C$30*'Coincidence Factors'!$B$10*(1+'Inputs-System'!$C$18)*(1+'Inputs-System'!$C$41)*('Inputs-Proposals'!$C$17*'Inputs-Proposals'!$C$19*(1-'Inputs-Proposals'!$C$20^(CP$3-'Inputs-System'!$C$7)))*(VLOOKUP(CP$3,Energy!$A$51:$K$83,5,FALSE))), $C10 = "2",('Inputs-System'!$C$30*'Coincidence Factors'!$B$10)*(1+'Inputs-System'!$C$18)*(1+'Inputs-System'!$C$41)*('Inputs-Proposals'!$C$23*'Inputs-Proposals'!$C$25*(1-'Inputs-Proposals'!$C$26^(CP$3-'Inputs-System'!$C$7)))*(VLOOKUP(CP$3,Energy!$A$51:$K$83,5,FALSE)), $C10= "3", ('Inputs-System'!$C$30*'Coincidence Factors'!$B$10*(1+'Inputs-System'!$C$18)*(1+'Inputs-System'!$C$41)*('Inputs-Proposals'!$C$29*'Inputs-Proposals'!$C$31*(1-'Inputs-Proposals'!$C$32^(CP$3-'Inputs-System'!$C$7)))*(VLOOKUP(CP$3,Energy!$A$51:$K$83,5,FALSE))), $C10= "0", 0), 0)</f>
        <v>0</v>
      </c>
      <c r="CQ10" s="44">
        <f>IFERROR(_xlfn.IFS($C10="1",('Inputs-System'!$C$30*'Coincidence Factors'!$B$10*(1+'Inputs-System'!$C$18)*(1+'Inputs-System'!$C$41))*'Inputs-Proposals'!$C$17*'Inputs-Proposals'!$C$19*(1-'Inputs-Proposals'!$C$20^(CP$3-'Inputs-System'!$C$7))*(VLOOKUP(CP$3,'Embedded Emissions'!$A$47:$B$78,2,FALSE)+VLOOKUP(CP$3,'Embedded Emissions'!$A$129:$B$158,2,FALSE)), $C10 = "2",('Inputs-System'!$C$30*'Coincidence Factors'!$B$10*(1+'Inputs-System'!$C$18)*(1+'Inputs-System'!$C$41))*'Inputs-Proposals'!$C$23*'Inputs-Proposals'!$C$25*(1-'Inputs-Proposals'!$C$20^(CP$3-'Inputs-System'!$C$7))*(VLOOKUP(CP$3,'Embedded Emissions'!$A$47:$B$78,2,FALSE)+VLOOKUP(CP$3,'Embedded Emissions'!$A$129:$B$158,2,FALSE)), $C10 = "3", ('Inputs-System'!$C$30*'Coincidence Factors'!$B$10*(1+'Inputs-System'!$C$18)*(1+'Inputs-System'!$C$41))*'Inputs-Proposals'!$C$29*'Inputs-Proposals'!$C$31*(1-'Inputs-Proposals'!$C$20^(CP$3-'Inputs-System'!$C$7))*(VLOOKUP(CP$3,'Embedded Emissions'!$A$47:$B$78,2,FALSE)+VLOOKUP(CP$3,'Embedded Emissions'!$A$129:$B$158,2,FALSE)), $C10 = "0", 0), 0)</f>
        <v>0</v>
      </c>
      <c r="CR10" s="44">
        <f>IFERROR(_xlfn.IFS($C10="1",( 'Inputs-System'!$C$30*'Coincidence Factors'!$B$10*(1+'Inputs-System'!$C$18)*(1+'Inputs-System'!$C$41))*('Inputs-Proposals'!$C$17*'Inputs-Proposals'!$C$19*(1-'Inputs-Proposals'!$C$20)^(CP$3-'Inputs-System'!$C$7))*(VLOOKUP(CP$3,DRIPE!$A$54:$I$82,5,FALSE)+VLOOKUP(CP$3,DRIPE!$A$54:$I$82,9,FALSE))+ ('Inputs-System'!$C$26*'Coincidence Factors'!$B$6*(1+'Inputs-System'!$C$18)*(1+'Inputs-System'!$C$42))*'Inputs-Proposals'!$C$16*VLOOKUP(CP$3,DRIPE!$A$54:$I$82,8,FALSE), $C10 = "2",( 'Inputs-System'!$C$30*'Coincidence Factors'!$B$10*(1+'Inputs-System'!$C$18)*(1+'Inputs-System'!$C$41))*('Inputs-Proposals'!$C$23*'Inputs-Proposals'!$C$25*(1-'Inputs-Proposals'!$C$26)^(CP$3-'Inputs-System'!$C$7))*(VLOOKUP(CP$3,DRIPE!$A$54:$I$82,5,FALSE)+VLOOKUP(CP$3,DRIPE!$A$54:$I$82,9,FALSE))+ ('Inputs-System'!$C$26*'Coincidence Factors'!$B$6*(1+'Inputs-System'!$C$18)*(1+'Inputs-System'!$C$42))*'Inputs-Proposals'!$C$22*VLOOKUP(CP$3,DRIPE!$A$54:$I$82,8,FALSE), $C10= "3", ( 'Inputs-System'!$C$30*'Coincidence Factors'!$B$10*(1+'Inputs-System'!$C$18)*(1+'Inputs-System'!$C$41))*('Inputs-Proposals'!$C$29*'Inputs-Proposals'!$C$31*(1-'Inputs-Proposals'!$C$32)^(CP$3-'Inputs-System'!$C$7))*(VLOOKUP(CP$3,DRIPE!$A$54:$I$82,5,FALSE)+VLOOKUP(CP$3,DRIPE!$A$54:$I$82,9,FALSE))+ ('Inputs-System'!$C$26*'Coincidence Factors'!$B$6*(1+'Inputs-System'!$C$18)*(1+'Inputs-System'!$C$42))*'Inputs-Proposals'!$C$28*VLOOKUP(CP$3,DRIPE!$A$54:$I$82,8,FALSE), $C10 = "0", 0), 0)</f>
        <v>0</v>
      </c>
      <c r="CS10" s="45">
        <f>IFERROR(_xlfn.IFS($C10="1",('Inputs-System'!$C$26*'Coincidence Factors'!$B$10*(1+'Inputs-System'!$C$18)*(1+'Inputs-System'!$C$42))*'Inputs-Proposals'!$D$16*(VLOOKUP(CP$3,Capacity!$A$53:$E$85,4,FALSE)*(1+'Inputs-System'!$C$42)+VLOOKUP(CP$3,Capacity!$A$53:$E$85,5,FALSE)*(1+'Inputs-System'!$C$43)*'Inputs-System'!$C$29), $C10 = "2", ('Inputs-System'!$C$26*'Coincidence Factors'!$B$10*(1+'Inputs-System'!$C$18))*'Inputs-Proposals'!$D$22*(VLOOKUP(CP$3,Capacity!$A$53:$E$85,4,FALSE)*(1+'Inputs-System'!$C$42)+VLOOKUP(CP$3,Capacity!$A$53:$E$85,5,FALSE)*'Inputs-System'!$C$29*(1+'Inputs-System'!$C$43)), $C10 = "3", ('Inputs-System'!$C$26*'Coincidence Factors'!$B$10*(1+'Inputs-System'!$C$18))*'Inputs-Proposals'!$D$28*(VLOOKUP(CP$3,Capacity!$A$53:$E$85,4,FALSE)*(1+'Inputs-System'!$C$42)+VLOOKUP(CP$3,Capacity!$A$53:$E$85,5,FALSE)*'Inputs-System'!$C$29*(1+'Inputs-System'!$C$43)), $C10 = "0", 0), 0)</f>
        <v>0</v>
      </c>
      <c r="CT10" s="44">
        <v>0</v>
      </c>
      <c r="CU10" s="342">
        <f>IFERROR(_xlfn.IFS($C10="1", 'Inputs-System'!$C$30*'Coincidence Factors'!$B$10*'Inputs-Proposals'!$C$17*'Inputs-Proposals'!$C$19*(VLOOKUP(CP$3,'Non-Embedded Emissions'!$A$56:$D$90,2,FALSE)-VLOOKUP(CP$3,'Non-Embedded Emissions'!$F$57:$H$88,3,FALSE)+VLOOKUP(CP$3,'Non-Embedded Emissions'!$A$143:$D$174,2,FALSE)-VLOOKUP(CP$3,'Non-Embedded Emissions'!$F$143:$H$174,3,FALSE)+VLOOKUP(CP$3,'Non-Embedded Emissions'!$A$230:$D$259,2,FALSE)), $C10 = "2", 'Inputs-System'!$C$30*'Coincidence Factors'!$B$10*'Inputs-Proposals'!$C$23*'Inputs-Proposals'!$C$25*(VLOOKUP(CP$3,'Non-Embedded Emissions'!$A$56:$D$90,2,FALSE)-VLOOKUP(CP$3,'Non-Embedded Emissions'!$F$57:$H$88,3,FALSE)+VLOOKUP(CP$3,'Non-Embedded Emissions'!$A$143:$D$174,2,FALSE)-VLOOKUP(CP$3,'Non-Embedded Emissions'!$F$143:$H$174,3,FALSE)+VLOOKUP(CP$3,'Non-Embedded Emissions'!$A$230:$D$259,2,FALSE)), $C10 = "3", 'Inputs-System'!$C$30*'Coincidence Factors'!$B$10*'Inputs-Proposals'!$C$29*'Inputs-Proposals'!$C$31*(VLOOKUP(CP$3,'Non-Embedded Emissions'!$A$56:$D$90,2,FALSE)-VLOOKUP(CP$3,'Non-Embedded Emissions'!$F$57:$H$88,3,FALSE)+VLOOKUP(CP$3,'Non-Embedded Emissions'!$A$143:$D$174,2,FALSE)-VLOOKUP(CP$3,'Non-Embedded Emissions'!$F$143:$H$174,3,FALSE)+VLOOKUP(CP$3,'Non-Embedded Emissions'!$A$230:$D$259,2,FALSE)), $C10 = "0", 0), 0)</f>
        <v>0</v>
      </c>
      <c r="CV10" s="45">
        <f>IFERROR(_xlfn.IFS($C10="1",('Inputs-System'!$C$30*'Coincidence Factors'!$B$10*(1+'Inputs-System'!$C$18)*(1+'Inputs-System'!$C$41)*('Inputs-Proposals'!$C$17*'Inputs-Proposals'!$C$19*(1-'Inputs-Proposals'!$C$20^(CV$3-'Inputs-System'!$C$7)))*(VLOOKUP(CV$3,Energy!$A$51:$K$83,5,FALSE))), $C10 = "2",('Inputs-System'!$C$30*'Coincidence Factors'!$B$10)*(1+'Inputs-System'!$C$18)*(1+'Inputs-System'!$C$41)*('Inputs-Proposals'!$C$23*'Inputs-Proposals'!$C$25*(1-'Inputs-Proposals'!$C$26^(CV$3-'Inputs-System'!$C$7)))*(VLOOKUP(CV$3,Energy!$A$51:$K$83,5,FALSE)), $C10= "3", ('Inputs-System'!$C$30*'Coincidence Factors'!$B$10*(1+'Inputs-System'!$C$18)*(1+'Inputs-System'!$C$41)*('Inputs-Proposals'!$C$29*'Inputs-Proposals'!$C$31*(1-'Inputs-Proposals'!$C$32^(CV$3-'Inputs-System'!$C$7)))*(VLOOKUP(CV$3,Energy!$A$51:$K$83,5,FALSE))), $C10= "0", 0), 0)</f>
        <v>0</v>
      </c>
      <c r="CW10" s="44">
        <f>IFERROR(_xlfn.IFS($C10="1",('Inputs-System'!$C$30*'Coincidence Factors'!$B$10*(1+'Inputs-System'!$C$18)*(1+'Inputs-System'!$C$41))*'Inputs-Proposals'!$C$17*'Inputs-Proposals'!$C$19*(1-'Inputs-Proposals'!$C$20^(CV$3-'Inputs-System'!$C$7))*(VLOOKUP(CV$3,'Embedded Emissions'!$A$47:$B$78,2,FALSE)+VLOOKUP(CV$3,'Embedded Emissions'!$A$129:$B$158,2,FALSE)), $C10 = "2",('Inputs-System'!$C$30*'Coincidence Factors'!$B$10*(1+'Inputs-System'!$C$18)*(1+'Inputs-System'!$C$41))*'Inputs-Proposals'!$C$23*'Inputs-Proposals'!$C$25*(1-'Inputs-Proposals'!$C$20^(CV$3-'Inputs-System'!$C$7))*(VLOOKUP(CV$3,'Embedded Emissions'!$A$47:$B$78,2,FALSE)+VLOOKUP(CV$3,'Embedded Emissions'!$A$129:$B$158,2,FALSE)), $C10 = "3", ('Inputs-System'!$C$30*'Coincidence Factors'!$B$10*(1+'Inputs-System'!$C$18)*(1+'Inputs-System'!$C$41))*'Inputs-Proposals'!$C$29*'Inputs-Proposals'!$C$31*(1-'Inputs-Proposals'!$C$20^(CV$3-'Inputs-System'!$C$7))*(VLOOKUP(CV$3,'Embedded Emissions'!$A$47:$B$78,2,FALSE)+VLOOKUP(CV$3,'Embedded Emissions'!$A$129:$B$158,2,FALSE)), $C10 = "0", 0), 0)</f>
        <v>0</v>
      </c>
      <c r="CX10" s="44">
        <f>IFERROR(_xlfn.IFS($C10="1",( 'Inputs-System'!$C$30*'Coincidence Factors'!$B$10*(1+'Inputs-System'!$C$18)*(1+'Inputs-System'!$C$41))*('Inputs-Proposals'!$C$17*'Inputs-Proposals'!$C$19*(1-'Inputs-Proposals'!$C$20)^(CV$3-'Inputs-System'!$C$7))*(VLOOKUP(CV$3,DRIPE!$A$54:$I$82,5,FALSE)+VLOOKUP(CV$3,DRIPE!$A$54:$I$82,9,FALSE))+ ('Inputs-System'!$C$26*'Coincidence Factors'!$B$6*(1+'Inputs-System'!$C$18)*(1+'Inputs-System'!$C$42))*'Inputs-Proposals'!$C$16*VLOOKUP(CV$3,DRIPE!$A$54:$I$82,8,FALSE), $C10 = "2",( 'Inputs-System'!$C$30*'Coincidence Factors'!$B$10*(1+'Inputs-System'!$C$18)*(1+'Inputs-System'!$C$41))*('Inputs-Proposals'!$C$23*'Inputs-Proposals'!$C$25*(1-'Inputs-Proposals'!$C$26)^(CV$3-'Inputs-System'!$C$7))*(VLOOKUP(CV$3,DRIPE!$A$54:$I$82,5,FALSE)+VLOOKUP(CV$3,DRIPE!$A$54:$I$82,9,FALSE))+ ('Inputs-System'!$C$26*'Coincidence Factors'!$B$6*(1+'Inputs-System'!$C$18)*(1+'Inputs-System'!$C$42))*'Inputs-Proposals'!$C$22*VLOOKUP(CV$3,DRIPE!$A$54:$I$82,8,FALSE), $C10= "3", ( 'Inputs-System'!$C$30*'Coincidence Factors'!$B$10*(1+'Inputs-System'!$C$18)*(1+'Inputs-System'!$C$41))*('Inputs-Proposals'!$C$29*'Inputs-Proposals'!$C$31*(1-'Inputs-Proposals'!$C$32)^(CV$3-'Inputs-System'!$C$7))*(VLOOKUP(CV$3,DRIPE!$A$54:$I$82,5,FALSE)+VLOOKUP(CV$3,DRIPE!$A$54:$I$82,9,FALSE))+ ('Inputs-System'!$C$26*'Coincidence Factors'!$B$6*(1+'Inputs-System'!$C$18)*(1+'Inputs-System'!$C$42))*'Inputs-Proposals'!$C$28*VLOOKUP(CV$3,DRIPE!$A$54:$I$82,8,FALSE), $C10 = "0", 0), 0)</f>
        <v>0</v>
      </c>
      <c r="CY10" s="45">
        <f>IFERROR(_xlfn.IFS($C10="1",('Inputs-System'!$C$26*'Coincidence Factors'!$B$10*(1+'Inputs-System'!$C$18)*(1+'Inputs-System'!$C$42))*'Inputs-Proposals'!$D$16*(VLOOKUP(CV$3,Capacity!$A$53:$E$85,4,FALSE)*(1+'Inputs-System'!$C$42)+VLOOKUP(CV$3,Capacity!$A$53:$E$85,5,FALSE)*(1+'Inputs-System'!$C$43)*'Inputs-System'!$C$29), $C10 = "2", ('Inputs-System'!$C$26*'Coincidence Factors'!$B$10*(1+'Inputs-System'!$C$18))*'Inputs-Proposals'!$D$22*(VLOOKUP(CV$3,Capacity!$A$53:$E$85,4,FALSE)*(1+'Inputs-System'!$C$42)+VLOOKUP(CV$3,Capacity!$A$53:$E$85,5,FALSE)*'Inputs-System'!$C$29*(1+'Inputs-System'!$C$43)), $C10 = "3", ('Inputs-System'!$C$26*'Coincidence Factors'!$B$10*(1+'Inputs-System'!$C$18))*'Inputs-Proposals'!$D$28*(VLOOKUP(CV$3,Capacity!$A$53:$E$85,4,FALSE)*(1+'Inputs-System'!$C$42)+VLOOKUP(CV$3,Capacity!$A$53:$E$85,5,FALSE)*'Inputs-System'!$C$29*(1+'Inputs-System'!$C$43)), $C10 = "0", 0), 0)</f>
        <v>0</v>
      </c>
      <c r="CZ10" s="44">
        <v>0</v>
      </c>
      <c r="DA10" s="342">
        <f>IFERROR(_xlfn.IFS($C10="1", 'Inputs-System'!$C$30*'Coincidence Factors'!$B$10*'Inputs-Proposals'!$C$17*'Inputs-Proposals'!$C$19*(VLOOKUP(CV$3,'Non-Embedded Emissions'!$A$56:$D$90,2,FALSE)-VLOOKUP(CV$3,'Non-Embedded Emissions'!$F$57:$H$88,3,FALSE)+VLOOKUP(CV$3,'Non-Embedded Emissions'!$A$143:$D$174,2,FALSE)-VLOOKUP(CV$3,'Non-Embedded Emissions'!$F$143:$H$174,3,FALSE)+VLOOKUP(CV$3,'Non-Embedded Emissions'!$A$230:$D$259,2,FALSE)), $C10 = "2", 'Inputs-System'!$C$30*'Coincidence Factors'!$B$10*'Inputs-Proposals'!$C$23*'Inputs-Proposals'!$C$25*(VLOOKUP(CV$3,'Non-Embedded Emissions'!$A$56:$D$90,2,FALSE)-VLOOKUP(CV$3,'Non-Embedded Emissions'!$F$57:$H$88,3,FALSE)+VLOOKUP(CV$3,'Non-Embedded Emissions'!$A$143:$D$174,2,FALSE)-VLOOKUP(CV$3,'Non-Embedded Emissions'!$F$143:$H$174,3,FALSE)+VLOOKUP(CV$3,'Non-Embedded Emissions'!$A$230:$D$259,2,FALSE)), $C10 = "3", 'Inputs-System'!$C$30*'Coincidence Factors'!$B$10*'Inputs-Proposals'!$C$29*'Inputs-Proposals'!$C$31*(VLOOKUP(CV$3,'Non-Embedded Emissions'!$A$56:$D$90,2,FALSE)-VLOOKUP(CV$3,'Non-Embedded Emissions'!$F$57:$H$88,3,FALSE)+VLOOKUP(CV$3,'Non-Embedded Emissions'!$A$143:$D$174,2,FALSE)-VLOOKUP(CV$3,'Non-Embedded Emissions'!$F$143:$H$174,3,FALSE)+VLOOKUP(CV$3,'Non-Embedded Emissions'!$A$230:$D$259,2,FALSE)), $C10 = "0", 0), 0)</f>
        <v>0</v>
      </c>
      <c r="DB10" s="45">
        <f>IFERROR(_xlfn.IFS($C10="1",('Inputs-System'!$C$30*'Coincidence Factors'!$B$10*(1+'Inputs-System'!$C$18)*(1+'Inputs-System'!$C$41)*('Inputs-Proposals'!$C$17*'Inputs-Proposals'!$C$19*(1-'Inputs-Proposals'!$C$20^(DB$3-'Inputs-System'!$C$7)))*(VLOOKUP(DB$3,Energy!$A$51:$K$83,5,FALSE))), $C10 = "2",('Inputs-System'!$C$30*'Coincidence Factors'!$B$10)*(1+'Inputs-System'!$C$18)*(1+'Inputs-System'!$C$41)*('Inputs-Proposals'!$C$23*'Inputs-Proposals'!$C$25*(1-'Inputs-Proposals'!$C$26^(DB$3-'Inputs-System'!$C$7)))*(VLOOKUP(DB$3,Energy!$A$51:$K$83,5,FALSE)), $C10= "3", ('Inputs-System'!$C$30*'Coincidence Factors'!$B$10*(1+'Inputs-System'!$C$18)*(1+'Inputs-System'!$C$41)*('Inputs-Proposals'!$C$29*'Inputs-Proposals'!$C$31*(1-'Inputs-Proposals'!$C$32^(DB$3-'Inputs-System'!$C$7)))*(VLOOKUP(DB$3,Energy!$A$51:$K$83,5,FALSE))), $C10= "0", 0), 0)</f>
        <v>0</v>
      </c>
      <c r="DC10" s="44">
        <f>IFERROR(_xlfn.IFS($C10="1",('Inputs-System'!$C$30*'Coincidence Factors'!$B$10*(1+'Inputs-System'!$C$18)*(1+'Inputs-System'!$C$41))*'Inputs-Proposals'!$C$17*'Inputs-Proposals'!$C$19*(1-'Inputs-Proposals'!$C$20^(DB$3-'Inputs-System'!$C$7))*(VLOOKUP(DB$3,'Embedded Emissions'!$A$47:$B$78,2,FALSE)+VLOOKUP(DB$3,'Embedded Emissions'!$A$129:$B$158,2,FALSE)), $C10 = "2",('Inputs-System'!$C$30*'Coincidence Factors'!$B$10*(1+'Inputs-System'!$C$18)*(1+'Inputs-System'!$C$41))*'Inputs-Proposals'!$C$23*'Inputs-Proposals'!$C$25*(1-'Inputs-Proposals'!$C$20^(DB$3-'Inputs-System'!$C$7))*(VLOOKUP(DB$3,'Embedded Emissions'!$A$47:$B$78,2,FALSE)+VLOOKUP(DB$3,'Embedded Emissions'!$A$129:$B$158,2,FALSE)), $C10 = "3", ('Inputs-System'!$C$30*'Coincidence Factors'!$B$10*(1+'Inputs-System'!$C$18)*(1+'Inputs-System'!$C$41))*'Inputs-Proposals'!$C$29*'Inputs-Proposals'!$C$31*(1-'Inputs-Proposals'!$C$20^(DB$3-'Inputs-System'!$C$7))*(VLOOKUP(DB$3,'Embedded Emissions'!$A$47:$B$78,2,FALSE)+VLOOKUP(DB$3,'Embedded Emissions'!$A$129:$B$158,2,FALSE)), $C10 = "0", 0), 0)</f>
        <v>0</v>
      </c>
      <c r="DD10" s="44">
        <f>IFERROR(_xlfn.IFS($C10="1",( 'Inputs-System'!$C$30*'Coincidence Factors'!$B$10*(1+'Inputs-System'!$C$18)*(1+'Inputs-System'!$C$41))*('Inputs-Proposals'!$C$17*'Inputs-Proposals'!$C$19*(1-'Inputs-Proposals'!$C$20)^(DB$3-'Inputs-System'!$C$7))*(VLOOKUP(DB$3,DRIPE!$A$54:$I$82,5,FALSE)+VLOOKUP(DB$3,DRIPE!$A$54:$I$82,9,FALSE))+ ('Inputs-System'!$C$26*'Coincidence Factors'!$B$6*(1+'Inputs-System'!$C$18)*(1+'Inputs-System'!$C$42))*'Inputs-Proposals'!$C$16*VLOOKUP(DB$3,DRIPE!$A$54:$I$82,8,FALSE), $C10 = "2",( 'Inputs-System'!$C$30*'Coincidence Factors'!$B$10*(1+'Inputs-System'!$C$18)*(1+'Inputs-System'!$C$41))*('Inputs-Proposals'!$C$23*'Inputs-Proposals'!$C$25*(1-'Inputs-Proposals'!$C$26)^(DB$3-'Inputs-System'!$C$7))*(VLOOKUP(DB$3,DRIPE!$A$54:$I$82,5,FALSE)+VLOOKUP(DB$3,DRIPE!$A$54:$I$82,9,FALSE))+ ('Inputs-System'!$C$26*'Coincidence Factors'!$B$6*(1+'Inputs-System'!$C$18)*(1+'Inputs-System'!$C$42))*'Inputs-Proposals'!$C$22*VLOOKUP(DB$3,DRIPE!$A$54:$I$82,8,FALSE), $C10= "3", ( 'Inputs-System'!$C$30*'Coincidence Factors'!$B$10*(1+'Inputs-System'!$C$18)*(1+'Inputs-System'!$C$41))*('Inputs-Proposals'!$C$29*'Inputs-Proposals'!$C$31*(1-'Inputs-Proposals'!$C$32)^(DB$3-'Inputs-System'!$C$7))*(VLOOKUP(DB$3,DRIPE!$A$54:$I$82,5,FALSE)+VLOOKUP(DB$3,DRIPE!$A$54:$I$82,9,FALSE))+ ('Inputs-System'!$C$26*'Coincidence Factors'!$B$6*(1+'Inputs-System'!$C$18)*(1+'Inputs-System'!$C$42))*'Inputs-Proposals'!$C$28*VLOOKUP(DB$3,DRIPE!$A$54:$I$82,8,FALSE), $C10 = "0", 0), 0)</f>
        <v>0</v>
      </c>
      <c r="DE10" s="45">
        <f>IFERROR(_xlfn.IFS($C10="1",('Inputs-System'!$C$26*'Coincidence Factors'!$B$10*(1+'Inputs-System'!$C$18)*(1+'Inputs-System'!$C$42))*'Inputs-Proposals'!$D$16*(VLOOKUP(DB$3,Capacity!$A$53:$E$85,4,FALSE)*(1+'Inputs-System'!$C$42)+VLOOKUP(DB$3,Capacity!$A$53:$E$85,5,FALSE)*(1+'Inputs-System'!$C$43)*'Inputs-System'!$C$29), $C10 = "2", ('Inputs-System'!$C$26*'Coincidence Factors'!$B$10*(1+'Inputs-System'!$C$18))*'Inputs-Proposals'!$D$22*(VLOOKUP(DB$3,Capacity!$A$53:$E$85,4,FALSE)*(1+'Inputs-System'!$C$42)+VLOOKUP(DB$3,Capacity!$A$53:$E$85,5,FALSE)*'Inputs-System'!$C$29*(1+'Inputs-System'!$C$43)), $C10 = "3", ('Inputs-System'!$C$26*'Coincidence Factors'!$B$10*(1+'Inputs-System'!$C$18))*'Inputs-Proposals'!$D$28*(VLOOKUP(DB$3,Capacity!$A$53:$E$85,4,FALSE)*(1+'Inputs-System'!$C$42)+VLOOKUP(DB$3,Capacity!$A$53:$E$85,5,FALSE)*'Inputs-System'!$C$29*(1+'Inputs-System'!$C$43)), $C10 = "0", 0), 0)</f>
        <v>0</v>
      </c>
      <c r="DF10" s="44">
        <v>0</v>
      </c>
      <c r="DG10" s="342">
        <f>IFERROR(_xlfn.IFS($C10="1", 'Inputs-System'!$C$30*'Coincidence Factors'!$B$10*'Inputs-Proposals'!$C$17*'Inputs-Proposals'!$C$19*(VLOOKUP(DB$3,'Non-Embedded Emissions'!$A$56:$D$90,2,FALSE)-VLOOKUP(DB$3,'Non-Embedded Emissions'!$F$57:$H$88,3,FALSE)+VLOOKUP(DB$3,'Non-Embedded Emissions'!$A$143:$D$174,2,FALSE)-VLOOKUP(DB$3,'Non-Embedded Emissions'!$F$143:$H$174,3,FALSE)+VLOOKUP(DB$3,'Non-Embedded Emissions'!$A$230:$D$259,2,FALSE)), $C10 = "2", 'Inputs-System'!$C$30*'Coincidence Factors'!$B$10*'Inputs-Proposals'!$C$23*'Inputs-Proposals'!$C$25*(VLOOKUP(DB$3,'Non-Embedded Emissions'!$A$56:$D$90,2,FALSE)-VLOOKUP(DB$3,'Non-Embedded Emissions'!$F$57:$H$88,3,FALSE)+VLOOKUP(DB$3,'Non-Embedded Emissions'!$A$143:$D$174,2,FALSE)-VLOOKUP(DB$3,'Non-Embedded Emissions'!$F$143:$H$174,3,FALSE)+VLOOKUP(DB$3,'Non-Embedded Emissions'!$A$230:$D$259,2,FALSE)), $C10 = "3", 'Inputs-System'!$C$30*'Coincidence Factors'!$B$10*'Inputs-Proposals'!$C$29*'Inputs-Proposals'!$C$31*(VLOOKUP(DB$3,'Non-Embedded Emissions'!$A$56:$D$90,2,FALSE)-VLOOKUP(DB$3,'Non-Embedded Emissions'!$F$57:$H$88,3,FALSE)+VLOOKUP(DB$3,'Non-Embedded Emissions'!$A$143:$D$174,2,FALSE)-VLOOKUP(DB$3,'Non-Embedded Emissions'!$F$143:$H$174,3,FALSE)+VLOOKUP(DB$3,'Non-Embedded Emissions'!$A$230:$D$259,2,FALSE)), $C10 = "0", 0), 0)</f>
        <v>0</v>
      </c>
      <c r="DH10" s="45">
        <f>IFERROR(_xlfn.IFS($C10="1",('Inputs-System'!$C$30*'Coincidence Factors'!$B$10*(1+'Inputs-System'!$C$18)*(1+'Inputs-System'!$C$41)*('Inputs-Proposals'!$C$17*'Inputs-Proposals'!$C$19*(1-'Inputs-Proposals'!$C$20^(DH$3-'Inputs-System'!$C$7)))*(VLOOKUP(DH$3,Energy!$A$51:$K$83,5,FALSE))), $C10 = "2",('Inputs-System'!$C$30*'Coincidence Factors'!$B$10)*(1+'Inputs-System'!$C$18)*(1+'Inputs-System'!$C$41)*('Inputs-Proposals'!$C$23*'Inputs-Proposals'!$C$25*(1-'Inputs-Proposals'!$C$26^(DH$3-'Inputs-System'!$C$7)))*(VLOOKUP(DH$3,Energy!$A$51:$K$83,5,FALSE)), $C10= "3", ('Inputs-System'!$C$30*'Coincidence Factors'!$B$10*(1+'Inputs-System'!$C$18)*(1+'Inputs-System'!$C$41)*('Inputs-Proposals'!$C$29*'Inputs-Proposals'!$C$31*(1-'Inputs-Proposals'!$C$32^(DH$3-'Inputs-System'!$C$7)))*(VLOOKUP(DH$3,Energy!$A$51:$K$83,5,FALSE))), $C10= "0", 0), 0)</f>
        <v>0</v>
      </c>
      <c r="DI10" s="44">
        <f>IFERROR(_xlfn.IFS($C10="1",('Inputs-System'!$C$30*'Coincidence Factors'!$B$10*(1+'Inputs-System'!$C$18)*(1+'Inputs-System'!$C$41))*'Inputs-Proposals'!$C$17*'Inputs-Proposals'!$C$19*(1-'Inputs-Proposals'!$C$20^(DH$3-'Inputs-System'!$C$7))*(VLOOKUP(DH$3,'Embedded Emissions'!$A$47:$B$78,2,FALSE)+VLOOKUP(DH$3,'Embedded Emissions'!$A$129:$B$158,2,FALSE)), $C10 = "2",('Inputs-System'!$C$30*'Coincidence Factors'!$B$10*(1+'Inputs-System'!$C$18)*(1+'Inputs-System'!$C$41))*'Inputs-Proposals'!$C$23*'Inputs-Proposals'!$C$25*(1-'Inputs-Proposals'!$C$20^(DH$3-'Inputs-System'!$C$7))*(VLOOKUP(DH$3,'Embedded Emissions'!$A$47:$B$78,2,FALSE)+VLOOKUP(DH$3,'Embedded Emissions'!$A$129:$B$158,2,FALSE)), $C10 = "3", ('Inputs-System'!$C$30*'Coincidence Factors'!$B$10*(1+'Inputs-System'!$C$18)*(1+'Inputs-System'!$C$41))*'Inputs-Proposals'!$C$29*'Inputs-Proposals'!$C$31*(1-'Inputs-Proposals'!$C$20^(DH$3-'Inputs-System'!$C$7))*(VLOOKUP(DH$3,'Embedded Emissions'!$A$47:$B$78,2,FALSE)+VLOOKUP(DH$3,'Embedded Emissions'!$A$129:$B$158,2,FALSE)), $C10 = "0", 0), 0)</f>
        <v>0</v>
      </c>
      <c r="DJ10" s="44">
        <f>IFERROR(_xlfn.IFS($C10="1",( 'Inputs-System'!$C$30*'Coincidence Factors'!$B$10*(1+'Inputs-System'!$C$18)*(1+'Inputs-System'!$C$41))*('Inputs-Proposals'!$C$17*'Inputs-Proposals'!$C$19*(1-'Inputs-Proposals'!$C$20)^(DH$3-'Inputs-System'!$C$7))*(VLOOKUP(DH$3,DRIPE!$A$54:$I$82,5,FALSE)+VLOOKUP(DH$3,DRIPE!$A$54:$I$82,9,FALSE))+ ('Inputs-System'!$C$26*'Coincidence Factors'!$B$6*(1+'Inputs-System'!$C$18)*(1+'Inputs-System'!$C$42))*'Inputs-Proposals'!$C$16*VLOOKUP(DH$3,DRIPE!$A$54:$I$82,8,FALSE), $C10 = "2",( 'Inputs-System'!$C$30*'Coincidence Factors'!$B$10*(1+'Inputs-System'!$C$18)*(1+'Inputs-System'!$C$41))*('Inputs-Proposals'!$C$23*'Inputs-Proposals'!$C$25*(1-'Inputs-Proposals'!$C$26)^(DH$3-'Inputs-System'!$C$7))*(VLOOKUP(DH$3,DRIPE!$A$54:$I$82,5,FALSE)+VLOOKUP(DH$3,DRIPE!$A$54:$I$82,9,FALSE))+ ('Inputs-System'!$C$26*'Coincidence Factors'!$B$6*(1+'Inputs-System'!$C$18)*(1+'Inputs-System'!$C$42))*'Inputs-Proposals'!$C$22*VLOOKUP(DH$3,DRIPE!$A$54:$I$82,8,FALSE), $C10= "3", ( 'Inputs-System'!$C$30*'Coincidence Factors'!$B$10*(1+'Inputs-System'!$C$18)*(1+'Inputs-System'!$C$41))*('Inputs-Proposals'!$C$29*'Inputs-Proposals'!$C$31*(1-'Inputs-Proposals'!$C$32)^(DH$3-'Inputs-System'!$C$7))*(VLOOKUP(DH$3,DRIPE!$A$54:$I$82,5,FALSE)+VLOOKUP(DH$3,DRIPE!$A$54:$I$82,9,FALSE))+ ('Inputs-System'!$C$26*'Coincidence Factors'!$B$6*(1+'Inputs-System'!$C$18)*(1+'Inputs-System'!$C$42))*'Inputs-Proposals'!$C$28*VLOOKUP(DH$3,DRIPE!$A$54:$I$82,8,FALSE), $C10 = "0", 0), 0)</f>
        <v>0</v>
      </c>
      <c r="DK10" s="45">
        <f>IFERROR(_xlfn.IFS($C10="1",('Inputs-System'!$C$26*'Coincidence Factors'!$B$10*(1+'Inputs-System'!$C$18)*(1+'Inputs-System'!$C$42))*'Inputs-Proposals'!$D$16*(VLOOKUP(DH$3,Capacity!$A$53:$E$85,4,FALSE)*(1+'Inputs-System'!$C$42)+VLOOKUP(DH$3,Capacity!$A$53:$E$85,5,FALSE)*(1+'Inputs-System'!$C$43)*'Inputs-System'!$C$29), $C10 = "2", ('Inputs-System'!$C$26*'Coincidence Factors'!$B$10*(1+'Inputs-System'!$C$18))*'Inputs-Proposals'!$D$22*(VLOOKUP(DH$3,Capacity!$A$53:$E$85,4,FALSE)*(1+'Inputs-System'!$C$42)+VLOOKUP(DH$3,Capacity!$A$53:$E$85,5,FALSE)*'Inputs-System'!$C$29*(1+'Inputs-System'!$C$43)), $C10 = "3", ('Inputs-System'!$C$26*'Coincidence Factors'!$B$10*(1+'Inputs-System'!$C$18))*'Inputs-Proposals'!$D$28*(VLOOKUP(DH$3,Capacity!$A$53:$E$85,4,FALSE)*(1+'Inputs-System'!$C$42)+VLOOKUP(DH$3,Capacity!$A$53:$E$85,5,FALSE)*'Inputs-System'!$C$29*(1+'Inputs-System'!$C$43)), $C10 = "0", 0), 0)</f>
        <v>0</v>
      </c>
      <c r="DL10" s="44">
        <v>0</v>
      </c>
      <c r="DM10" s="342">
        <f>IFERROR(_xlfn.IFS($C10="1", 'Inputs-System'!$C$30*'Coincidence Factors'!$B$10*'Inputs-Proposals'!$C$17*'Inputs-Proposals'!$C$19*(VLOOKUP(DH$3,'Non-Embedded Emissions'!$A$56:$D$90,2,FALSE)-VLOOKUP(DH$3,'Non-Embedded Emissions'!$F$57:$H$88,3,FALSE)+VLOOKUP(DH$3,'Non-Embedded Emissions'!$A$143:$D$174,2,FALSE)-VLOOKUP(DH$3,'Non-Embedded Emissions'!$F$143:$H$174,3,FALSE)+VLOOKUP(DH$3,'Non-Embedded Emissions'!$A$230:$D$259,2,FALSE)), $C10 = "2", 'Inputs-System'!$C$30*'Coincidence Factors'!$B$10*'Inputs-Proposals'!$C$23*'Inputs-Proposals'!$C$25*(VLOOKUP(DH$3,'Non-Embedded Emissions'!$A$56:$D$90,2,FALSE)-VLOOKUP(DH$3,'Non-Embedded Emissions'!$F$57:$H$88,3,FALSE)+VLOOKUP(DH$3,'Non-Embedded Emissions'!$A$143:$D$174,2,FALSE)-VLOOKUP(DH$3,'Non-Embedded Emissions'!$F$143:$H$174,3,FALSE)+VLOOKUP(DH$3,'Non-Embedded Emissions'!$A$230:$D$259,2,FALSE)), $C10 = "3", 'Inputs-System'!$C$30*'Coincidence Factors'!$B$10*'Inputs-Proposals'!$C$29*'Inputs-Proposals'!$C$31*(VLOOKUP(DH$3,'Non-Embedded Emissions'!$A$56:$D$90,2,FALSE)-VLOOKUP(DH$3,'Non-Embedded Emissions'!$F$57:$H$88,3,FALSE)+VLOOKUP(DH$3,'Non-Embedded Emissions'!$A$143:$D$174,2,FALSE)-VLOOKUP(DH$3,'Non-Embedded Emissions'!$F$143:$H$174,3,FALSE)+VLOOKUP(DH$3,'Non-Embedded Emissions'!$A$230:$D$259,2,FALSE)), $C10 = "0", 0), 0)</f>
        <v>0</v>
      </c>
      <c r="DN10" s="45">
        <f>IFERROR(_xlfn.IFS($C10="1",('Inputs-System'!$C$30*'Coincidence Factors'!$B$10*(1+'Inputs-System'!$C$18)*(1+'Inputs-System'!$C$41)*('Inputs-Proposals'!$C$17*'Inputs-Proposals'!$C$19*(1-'Inputs-Proposals'!$C$20^(DN$3-'Inputs-System'!$C$7)))*(VLOOKUP(DN$3,Energy!$A$51:$K$83,5,FALSE))), $C10 = "2",('Inputs-System'!$C$30*'Coincidence Factors'!$B$10)*(1+'Inputs-System'!$C$18)*(1+'Inputs-System'!$C$41)*('Inputs-Proposals'!$C$23*'Inputs-Proposals'!$C$25*(1-'Inputs-Proposals'!$C$26^(DN$3-'Inputs-System'!$C$7)))*(VLOOKUP(DN$3,Energy!$A$51:$K$83,5,FALSE)), $C10= "3", ('Inputs-System'!$C$30*'Coincidence Factors'!$B$10*(1+'Inputs-System'!$C$18)*(1+'Inputs-System'!$C$41)*('Inputs-Proposals'!$C$29*'Inputs-Proposals'!$C$31*(1-'Inputs-Proposals'!$C$32^(DN$3-'Inputs-System'!$C$7)))*(VLOOKUP(DN$3,Energy!$A$51:$K$83,5,FALSE))), $C10= "0", 0), 0)</f>
        <v>0</v>
      </c>
      <c r="DO10" s="44">
        <f>IFERROR(_xlfn.IFS($C10="1",('Inputs-System'!$C$30*'Coincidence Factors'!$B$10*(1+'Inputs-System'!$C$18)*(1+'Inputs-System'!$C$41))*'Inputs-Proposals'!$C$17*'Inputs-Proposals'!$C$19*(1-'Inputs-Proposals'!$C$20^(DN$3-'Inputs-System'!$C$7))*(VLOOKUP(DN$3,'Embedded Emissions'!$A$47:$B$78,2,FALSE)+VLOOKUP(DN$3,'Embedded Emissions'!$A$129:$B$158,2,FALSE)), $C10 = "2",('Inputs-System'!$C$30*'Coincidence Factors'!$B$10*(1+'Inputs-System'!$C$18)*(1+'Inputs-System'!$C$41))*'Inputs-Proposals'!$C$23*'Inputs-Proposals'!$C$25*(1-'Inputs-Proposals'!$C$20^(DN$3-'Inputs-System'!$C$7))*(VLOOKUP(DN$3,'Embedded Emissions'!$A$47:$B$78,2,FALSE)+VLOOKUP(DN$3,'Embedded Emissions'!$A$129:$B$158,2,FALSE)), $C10 = "3", ('Inputs-System'!$C$30*'Coincidence Factors'!$B$10*(1+'Inputs-System'!$C$18)*(1+'Inputs-System'!$C$41))*'Inputs-Proposals'!$C$29*'Inputs-Proposals'!$C$31*(1-'Inputs-Proposals'!$C$20^(DN$3-'Inputs-System'!$C$7))*(VLOOKUP(DN$3,'Embedded Emissions'!$A$47:$B$78,2,FALSE)+VLOOKUP(DN$3,'Embedded Emissions'!$A$129:$B$158,2,FALSE)), $C10 = "0", 0), 0)</f>
        <v>0</v>
      </c>
      <c r="DP10" s="44">
        <f>IFERROR(_xlfn.IFS($C10="1",( 'Inputs-System'!$C$30*'Coincidence Factors'!$B$10*(1+'Inputs-System'!$C$18)*(1+'Inputs-System'!$C$41))*('Inputs-Proposals'!$C$17*'Inputs-Proposals'!$C$19*(1-'Inputs-Proposals'!$C$20)^(DN$3-'Inputs-System'!$C$7))*(VLOOKUP(DN$3,DRIPE!$A$54:$I$82,5,FALSE)+VLOOKUP(DN$3,DRIPE!$A$54:$I$82,9,FALSE))+ ('Inputs-System'!$C$26*'Coincidence Factors'!$B$6*(1+'Inputs-System'!$C$18)*(1+'Inputs-System'!$C$42))*'Inputs-Proposals'!$C$16*VLOOKUP(DN$3,DRIPE!$A$54:$I$82,8,FALSE), $C10 = "2",( 'Inputs-System'!$C$30*'Coincidence Factors'!$B$10*(1+'Inputs-System'!$C$18)*(1+'Inputs-System'!$C$41))*('Inputs-Proposals'!$C$23*'Inputs-Proposals'!$C$25*(1-'Inputs-Proposals'!$C$26)^(DN$3-'Inputs-System'!$C$7))*(VLOOKUP(DN$3,DRIPE!$A$54:$I$82,5,FALSE)+VLOOKUP(DN$3,DRIPE!$A$54:$I$82,9,FALSE))+ ('Inputs-System'!$C$26*'Coincidence Factors'!$B$6*(1+'Inputs-System'!$C$18)*(1+'Inputs-System'!$C$42))*'Inputs-Proposals'!$C$22*VLOOKUP(DN$3,DRIPE!$A$54:$I$82,8,FALSE), $C10= "3", ( 'Inputs-System'!$C$30*'Coincidence Factors'!$B$10*(1+'Inputs-System'!$C$18)*(1+'Inputs-System'!$C$41))*('Inputs-Proposals'!$C$29*'Inputs-Proposals'!$C$31*(1-'Inputs-Proposals'!$C$32)^(DN$3-'Inputs-System'!$C$7))*(VLOOKUP(DN$3,DRIPE!$A$54:$I$82,5,FALSE)+VLOOKUP(DN$3,DRIPE!$A$54:$I$82,9,FALSE))+ ('Inputs-System'!$C$26*'Coincidence Factors'!$B$6*(1+'Inputs-System'!$C$18)*(1+'Inputs-System'!$C$42))*'Inputs-Proposals'!$C$28*VLOOKUP(DN$3,DRIPE!$A$54:$I$82,8,FALSE), $C10 = "0", 0), 0)</f>
        <v>0</v>
      </c>
      <c r="DQ10" s="45">
        <f>IFERROR(_xlfn.IFS($C10="1",('Inputs-System'!$C$26*'Coincidence Factors'!$B$10*(1+'Inputs-System'!$C$18)*(1+'Inputs-System'!$C$42))*'Inputs-Proposals'!$D$16*(VLOOKUP(DN$3,Capacity!$A$53:$E$85,4,FALSE)*(1+'Inputs-System'!$C$42)+VLOOKUP(DN$3,Capacity!$A$53:$E$85,5,FALSE)*(1+'Inputs-System'!$C$43)*'Inputs-System'!$C$29), $C10 = "2", ('Inputs-System'!$C$26*'Coincidence Factors'!$B$10*(1+'Inputs-System'!$C$18))*'Inputs-Proposals'!$D$22*(VLOOKUP(DN$3,Capacity!$A$53:$E$85,4,FALSE)*(1+'Inputs-System'!$C$42)+VLOOKUP(DN$3,Capacity!$A$53:$E$85,5,FALSE)*'Inputs-System'!$C$29*(1+'Inputs-System'!$C$43)), $C10 = "3", ('Inputs-System'!$C$26*'Coincidence Factors'!$B$10*(1+'Inputs-System'!$C$18))*'Inputs-Proposals'!$D$28*(VLOOKUP(DN$3,Capacity!$A$53:$E$85,4,FALSE)*(1+'Inputs-System'!$C$42)+VLOOKUP(DN$3,Capacity!$A$53:$E$85,5,FALSE)*'Inputs-System'!$C$29*(1+'Inputs-System'!$C$43)), $C10 = "0", 0), 0)</f>
        <v>0</v>
      </c>
      <c r="DR10" s="44">
        <v>0</v>
      </c>
      <c r="DS10" s="342">
        <f>IFERROR(_xlfn.IFS($C10="1", 'Inputs-System'!$C$30*'Coincidence Factors'!$B$10*'Inputs-Proposals'!$C$17*'Inputs-Proposals'!$C$19*(VLOOKUP(DN$3,'Non-Embedded Emissions'!$A$56:$D$90,2,FALSE)-VLOOKUP(DN$3,'Non-Embedded Emissions'!$F$57:$H$88,3,FALSE)+VLOOKUP(DN$3,'Non-Embedded Emissions'!$A$143:$D$174,2,FALSE)-VLOOKUP(DN$3,'Non-Embedded Emissions'!$F$143:$H$174,3,FALSE)+VLOOKUP(DN$3,'Non-Embedded Emissions'!$A$230:$D$259,2,FALSE)), $C10 = "2", 'Inputs-System'!$C$30*'Coincidence Factors'!$B$10*'Inputs-Proposals'!$C$23*'Inputs-Proposals'!$C$25*(VLOOKUP(DN$3,'Non-Embedded Emissions'!$A$56:$D$90,2,FALSE)-VLOOKUP(DN$3,'Non-Embedded Emissions'!$F$57:$H$88,3,FALSE)+VLOOKUP(DN$3,'Non-Embedded Emissions'!$A$143:$D$174,2,FALSE)-VLOOKUP(DN$3,'Non-Embedded Emissions'!$F$143:$H$174,3,FALSE)+VLOOKUP(DN$3,'Non-Embedded Emissions'!$A$230:$D$259,2,FALSE)), $C10 = "3", 'Inputs-System'!$C$30*'Coincidence Factors'!$B$10*'Inputs-Proposals'!$C$29*'Inputs-Proposals'!$C$31*(VLOOKUP(DN$3,'Non-Embedded Emissions'!$A$56:$D$90,2,FALSE)-VLOOKUP(DN$3,'Non-Embedded Emissions'!$F$57:$H$88,3,FALSE)+VLOOKUP(DN$3,'Non-Embedded Emissions'!$A$143:$D$174,2,FALSE)-VLOOKUP(DN$3,'Non-Embedded Emissions'!$F$143:$H$174,3,FALSE)+VLOOKUP(DN$3,'Non-Embedded Emissions'!$A$230:$D$259,2,FALSE)), $C10 = "0", 0), 0)</f>
        <v>0</v>
      </c>
      <c r="DT10" s="45">
        <f>IFERROR(_xlfn.IFS($C10="1",('Inputs-System'!$C$30*'Coincidence Factors'!$B$10*(1+'Inputs-System'!$C$18)*(1+'Inputs-System'!$C$41)*('Inputs-Proposals'!$C$17*'Inputs-Proposals'!$C$19*(1-'Inputs-Proposals'!$C$20^(DT$3-'Inputs-System'!$C$7)))*(VLOOKUP(DT$3,Energy!$A$51:$K$83,5,FALSE))), $C10 = "2",('Inputs-System'!$C$30*'Coincidence Factors'!$B$10)*(1+'Inputs-System'!$C$18)*(1+'Inputs-System'!$C$41)*('Inputs-Proposals'!$C$23*'Inputs-Proposals'!$C$25*(1-'Inputs-Proposals'!$C$26^(DT$3-'Inputs-System'!$C$7)))*(VLOOKUP(DT$3,Energy!$A$51:$K$83,5,FALSE)), $C10= "3", ('Inputs-System'!$C$30*'Coincidence Factors'!$B$10*(1+'Inputs-System'!$C$18)*(1+'Inputs-System'!$C$41)*('Inputs-Proposals'!$C$29*'Inputs-Proposals'!$C$31*(1-'Inputs-Proposals'!$C$32^(DT$3-'Inputs-System'!$C$7)))*(VLOOKUP(DT$3,Energy!$A$51:$K$83,5,FALSE))), $C10= "0", 0), 0)</f>
        <v>0</v>
      </c>
      <c r="DU10" s="44">
        <f>IFERROR(_xlfn.IFS($C10="1",('Inputs-System'!$C$30*'Coincidence Factors'!$B$10*(1+'Inputs-System'!$C$18)*(1+'Inputs-System'!$C$41))*'Inputs-Proposals'!$C$17*'Inputs-Proposals'!$C$19*(1-'Inputs-Proposals'!$C$20^(DT$3-'Inputs-System'!$C$7))*(VLOOKUP(DT$3,'Embedded Emissions'!$A$47:$B$78,2,FALSE)+VLOOKUP(DT$3,'Embedded Emissions'!$A$129:$B$158,2,FALSE)), $C10 = "2",('Inputs-System'!$C$30*'Coincidence Factors'!$B$10*(1+'Inputs-System'!$C$18)*(1+'Inputs-System'!$C$41))*'Inputs-Proposals'!$C$23*'Inputs-Proposals'!$C$25*(1-'Inputs-Proposals'!$C$20^(DT$3-'Inputs-System'!$C$7))*(VLOOKUP(DT$3,'Embedded Emissions'!$A$47:$B$78,2,FALSE)+VLOOKUP(DT$3,'Embedded Emissions'!$A$129:$B$158,2,FALSE)), $C10 = "3", ('Inputs-System'!$C$30*'Coincidence Factors'!$B$10*(1+'Inputs-System'!$C$18)*(1+'Inputs-System'!$C$41))*'Inputs-Proposals'!$C$29*'Inputs-Proposals'!$C$31*(1-'Inputs-Proposals'!$C$20^(DT$3-'Inputs-System'!$C$7))*(VLOOKUP(DT$3,'Embedded Emissions'!$A$47:$B$78,2,FALSE)+VLOOKUP(DT$3,'Embedded Emissions'!$A$129:$B$158,2,FALSE)), $C10 = "0", 0), 0)</f>
        <v>0</v>
      </c>
      <c r="DV10" s="44">
        <f>IFERROR(_xlfn.IFS($C10="1",( 'Inputs-System'!$C$30*'Coincidence Factors'!$B$10*(1+'Inputs-System'!$C$18)*(1+'Inputs-System'!$C$41))*('Inputs-Proposals'!$C$17*'Inputs-Proposals'!$C$19*(1-'Inputs-Proposals'!$C$20)^(DT$3-'Inputs-System'!$C$7))*(VLOOKUP(DT$3,DRIPE!$A$54:$I$82,5,FALSE)+VLOOKUP(DT$3,DRIPE!$A$54:$I$82,9,FALSE))+ ('Inputs-System'!$C$26*'Coincidence Factors'!$B$6*(1+'Inputs-System'!$C$18)*(1+'Inputs-System'!$C$42))*'Inputs-Proposals'!$C$16*VLOOKUP(DT$3,DRIPE!$A$54:$I$82,8,FALSE), $C10 = "2",( 'Inputs-System'!$C$30*'Coincidence Factors'!$B$10*(1+'Inputs-System'!$C$18)*(1+'Inputs-System'!$C$41))*('Inputs-Proposals'!$C$23*'Inputs-Proposals'!$C$25*(1-'Inputs-Proposals'!$C$26)^(DT$3-'Inputs-System'!$C$7))*(VLOOKUP(DT$3,DRIPE!$A$54:$I$82,5,FALSE)+VLOOKUP(DT$3,DRIPE!$A$54:$I$82,9,FALSE))+ ('Inputs-System'!$C$26*'Coincidence Factors'!$B$6*(1+'Inputs-System'!$C$18)*(1+'Inputs-System'!$C$42))*'Inputs-Proposals'!$C$22*VLOOKUP(DT$3,DRIPE!$A$54:$I$82,8,FALSE), $C10= "3", ( 'Inputs-System'!$C$30*'Coincidence Factors'!$B$10*(1+'Inputs-System'!$C$18)*(1+'Inputs-System'!$C$41))*('Inputs-Proposals'!$C$29*'Inputs-Proposals'!$C$31*(1-'Inputs-Proposals'!$C$32)^(DT$3-'Inputs-System'!$C$7))*(VLOOKUP(DT$3,DRIPE!$A$54:$I$82,5,FALSE)+VLOOKUP(DT$3,DRIPE!$A$54:$I$82,9,FALSE))+ ('Inputs-System'!$C$26*'Coincidence Factors'!$B$6*(1+'Inputs-System'!$C$18)*(1+'Inputs-System'!$C$42))*'Inputs-Proposals'!$C$28*VLOOKUP(DT$3,DRIPE!$A$54:$I$82,8,FALSE), $C10 = "0", 0), 0)</f>
        <v>0</v>
      </c>
      <c r="DW10" s="45">
        <f>IFERROR(_xlfn.IFS($C10="1",('Inputs-System'!$C$26*'Coincidence Factors'!$B$10*(1+'Inputs-System'!$C$18)*(1+'Inputs-System'!$C$42))*'Inputs-Proposals'!$D$16*(VLOOKUP(DT$3,Capacity!$A$53:$E$85,4,FALSE)*(1+'Inputs-System'!$C$42)+VLOOKUP(DT$3,Capacity!$A$53:$E$85,5,FALSE)*(1+'Inputs-System'!$C$43)*'Inputs-System'!$C$29), $C10 = "2", ('Inputs-System'!$C$26*'Coincidence Factors'!$B$10*(1+'Inputs-System'!$C$18))*'Inputs-Proposals'!$D$22*(VLOOKUP(DT$3,Capacity!$A$53:$E$85,4,FALSE)*(1+'Inputs-System'!$C$42)+VLOOKUP(DT$3,Capacity!$A$53:$E$85,5,FALSE)*'Inputs-System'!$C$29*(1+'Inputs-System'!$C$43)), $C10 = "3", ('Inputs-System'!$C$26*'Coincidence Factors'!$B$10*(1+'Inputs-System'!$C$18))*'Inputs-Proposals'!$D$28*(VLOOKUP(DT$3,Capacity!$A$53:$E$85,4,FALSE)*(1+'Inputs-System'!$C$42)+VLOOKUP(DT$3,Capacity!$A$53:$E$85,5,FALSE)*'Inputs-System'!$C$29*(1+'Inputs-System'!$C$43)), $C10 = "0", 0), 0)</f>
        <v>0</v>
      </c>
      <c r="DX10" s="44">
        <v>0</v>
      </c>
      <c r="DY10" s="342">
        <f>IFERROR(_xlfn.IFS($C10="1", 'Inputs-System'!$C$30*'Coincidence Factors'!$B$10*'Inputs-Proposals'!$C$17*'Inputs-Proposals'!$C$19*(VLOOKUP(DT$3,'Non-Embedded Emissions'!$A$56:$D$90,2,FALSE)-VLOOKUP(DT$3,'Non-Embedded Emissions'!$F$57:$H$88,3,FALSE)+VLOOKUP(DT$3,'Non-Embedded Emissions'!$A$143:$D$174,2,FALSE)-VLOOKUP(DT$3,'Non-Embedded Emissions'!$F$143:$H$174,3,FALSE)+VLOOKUP(DT$3,'Non-Embedded Emissions'!$A$230:$D$259,2,FALSE)), $C10 = "2", 'Inputs-System'!$C$30*'Coincidence Factors'!$B$10*'Inputs-Proposals'!$C$23*'Inputs-Proposals'!$C$25*(VLOOKUP(DT$3,'Non-Embedded Emissions'!$A$56:$D$90,2,FALSE)-VLOOKUP(DT$3,'Non-Embedded Emissions'!$F$57:$H$88,3,FALSE)+VLOOKUP(DT$3,'Non-Embedded Emissions'!$A$143:$D$174,2,FALSE)-VLOOKUP(DT$3,'Non-Embedded Emissions'!$F$143:$H$174,3,FALSE)+VLOOKUP(DT$3,'Non-Embedded Emissions'!$A$230:$D$259,2,FALSE)), $C10 = "3", 'Inputs-System'!$C$30*'Coincidence Factors'!$B$10*'Inputs-Proposals'!$C$29*'Inputs-Proposals'!$C$31*(VLOOKUP(DT$3,'Non-Embedded Emissions'!$A$56:$D$90,2,FALSE)-VLOOKUP(DT$3,'Non-Embedded Emissions'!$F$57:$H$88,3,FALSE)+VLOOKUP(DT$3,'Non-Embedded Emissions'!$A$143:$D$174,2,FALSE)-VLOOKUP(DT$3,'Non-Embedded Emissions'!$F$143:$H$174,3,FALSE)+VLOOKUP(DT$3,'Non-Embedded Emissions'!$A$230:$D$259,2,FALSE)), $C10 = "0", 0), 0)</f>
        <v>0</v>
      </c>
      <c r="DZ10" s="45">
        <f>IFERROR(_xlfn.IFS($C10="1",('Inputs-System'!$C$30*'Coincidence Factors'!$B$10*(1+'Inputs-System'!$C$18)*(1+'Inputs-System'!$C$41)*('Inputs-Proposals'!$C$17*'Inputs-Proposals'!$C$19*(1-'Inputs-Proposals'!$C$20^(DZ$3-'Inputs-System'!$C$7)))*(VLOOKUP(DZ$3,Energy!$A$51:$K$83,5,FALSE))), $C10 = "2",('Inputs-System'!$C$30*'Coincidence Factors'!$B$10)*(1+'Inputs-System'!$C$18)*(1+'Inputs-System'!$C$41)*('Inputs-Proposals'!$C$23*'Inputs-Proposals'!$C$25*(1-'Inputs-Proposals'!$C$26^(DZ$3-'Inputs-System'!$C$7)))*(VLOOKUP(DZ$3,Energy!$A$51:$K$83,5,FALSE)), $C10= "3", ('Inputs-System'!$C$30*'Coincidence Factors'!$B$10*(1+'Inputs-System'!$C$18)*(1+'Inputs-System'!$C$41)*('Inputs-Proposals'!$C$29*'Inputs-Proposals'!$C$31*(1-'Inputs-Proposals'!$C$32^(DZ$3-'Inputs-System'!$C$7)))*(VLOOKUP(DZ$3,Energy!$A$51:$K$83,5,FALSE))), $C10= "0", 0), 0)</f>
        <v>0</v>
      </c>
      <c r="EA10" s="44">
        <f>IFERROR(_xlfn.IFS($C10="1",('Inputs-System'!$C$30*'Coincidence Factors'!$B$10*(1+'Inputs-System'!$C$18)*(1+'Inputs-System'!$C$41))*'Inputs-Proposals'!$C$17*'Inputs-Proposals'!$C$19*(1-'Inputs-Proposals'!$C$20^(DZ$3-'Inputs-System'!$C$7))*(VLOOKUP(DZ$3,'Embedded Emissions'!$A$47:$B$78,2,FALSE)+VLOOKUP(DZ$3,'Embedded Emissions'!$A$129:$B$158,2,FALSE)), $C10 = "2",('Inputs-System'!$C$30*'Coincidence Factors'!$B$10*(1+'Inputs-System'!$C$18)*(1+'Inputs-System'!$C$41))*'Inputs-Proposals'!$C$23*'Inputs-Proposals'!$C$25*(1-'Inputs-Proposals'!$C$20^(DZ$3-'Inputs-System'!$C$7))*(VLOOKUP(DZ$3,'Embedded Emissions'!$A$47:$B$78,2,FALSE)+VLOOKUP(DZ$3,'Embedded Emissions'!$A$129:$B$158,2,FALSE)), $C10 = "3", ('Inputs-System'!$C$30*'Coincidence Factors'!$B$10*(1+'Inputs-System'!$C$18)*(1+'Inputs-System'!$C$41))*'Inputs-Proposals'!$C$29*'Inputs-Proposals'!$C$31*(1-'Inputs-Proposals'!$C$20^(DZ$3-'Inputs-System'!$C$7))*(VLOOKUP(DZ$3,'Embedded Emissions'!$A$47:$B$78,2,FALSE)+VLOOKUP(DZ$3,'Embedded Emissions'!$A$129:$B$158,2,FALSE)), $C10 = "0", 0), 0)</f>
        <v>0</v>
      </c>
      <c r="EB10" s="44">
        <f>IFERROR(_xlfn.IFS($C10="1",( 'Inputs-System'!$C$30*'Coincidence Factors'!$B$10*(1+'Inputs-System'!$C$18)*(1+'Inputs-System'!$C$41))*('Inputs-Proposals'!$C$17*'Inputs-Proposals'!$C$19*(1-'Inputs-Proposals'!$C$20)^(DZ$3-'Inputs-System'!$C$7))*(VLOOKUP(DZ$3,DRIPE!$A$54:$I$82,5,FALSE)+VLOOKUP(DZ$3,DRIPE!$A$54:$I$82,9,FALSE))+ ('Inputs-System'!$C$26*'Coincidence Factors'!$B$6*(1+'Inputs-System'!$C$18)*(1+'Inputs-System'!$C$42))*'Inputs-Proposals'!$C$16*VLOOKUP(DZ$3,DRIPE!$A$54:$I$82,8,FALSE), $C10 = "2",( 'Inputs-System'!$C$30*'Coincidence Factors'!$B$10*(1+'Inputs-System'!$C$18)*(1+'Inputs-System'!$C$41))*('Inputs-Proposals'!$C$23*'Inputs-Proposals'!$C$25*(1-'Inputs-Proposals'!$C$26)^(DZ$3-'Inputs-System'!$C$7))*(VLOOKUP(DZ$3,DRIPE!$A$54:$I$82,5,FALSE)+VLOOKUP(DZ$3,DRIPE!$A$54:$I$82,9,FALSE))+ ('Inputs-System'!$C$26*'Coincidence Factors'!$B$6*(1+'Inputs-System'!$C$18)*(1+'Inputs-System'!$C$42))*'Inputs-Proposals'!$C$22*VLOOKUP(DZ$3,DRIPE!$A$54:$I$82,8,FALSE), $C10= "3", ( 'Inputs-System'!$C$30*'Coincidence Factors'!$B$10*(1+'Inputs-System'!$C$18)*(1+'Inputs-System'!$C$41))*('Inputs-Proposals'!$C$29*'Inputs-Proposals'!$C$31*(1-'Inputs-Proposals'!$C$32)^(DZ$3-'Inputs-System'!$C$7))*(VLOOKUP(DZ$3,DRIPE!$A$54:$I$82,5,FALSE)+VLOOKUP(DZ$3,DRIPE!$A$54:$I$82,9,FALSE))+ ('Inputs-System'!$C$26*'Coincidence Factors'!$B$6*(1+'Inputs-System'!$C$18)*(1+'Inputs-System'!$C$42))*'Inputs-Proposals'!$C$28*VLOOKUP(DZ$3,DRIPE!$A$54:$I$82,8,FALSE), $C10 = "0", 0), 0)</f>
        <v>0</v>
      </c>
      <c r="EC10" s="45">
        <f>IFERROR(_xlfn.IFS($C10="1",('Inputs-System'!$C$26*'Coincidence Factors'!$B$10*(1+'Inputs-System'!$C$18)*(1+'Inputs-System'!$C$42))*'Inputs-Proposals'!$D$16*(VLOOKUP(DZ$3,Capacity!$A$53:$E$85,4,FALSE)*(1+'Inputs-System'!$C$42)+VLOOKUP(DZ$3,Capacity!$A$53:$E$85,5,FALSE)*(1+'Inputs-System'!$C$43)*'Inputs-System'!$C$29), $C10 = "2", ('Inputs-System'!$C$26*'Coincidence Factors'!$B$10*(1+'Inputs-System'!$C$18))*'Inputs-Proposals'!$D$22*(VLOOKUP(DZ$3,Capacity!$A$53:$E$85,4,FALSE)*(1+'Inputs-System'!$C$42)+VLOOKUP(DZ$3,Capacity!$A$53:$E$85,5,FALSE)*'Inputs-System'!$C$29*(1+'Inputs-System'!$C$43)), $C10 = "3", ('Inputs-System'!$C$26*'Coincidence Factors'!$B$10*(1+'Inputs-System'!$C$18))*'Inputs-Proposals'!$D$28*(VLOOKUP(DZ$3,Capacity!$A$53:$E$85,4,FALSE)*(1+'Inputs-System'!$C$42)+VLOOKUP(DZ$3,Capacity!$A$53:$E$85,5,FALSE)*'Inputs-System'!$C$29*(1+'Inputs-System'!$C$43)), $C10 = "0", 0), 0)</f>
        <v>0</v>
      </c>
      <c r="ED10" s="44">
        <v>0</v>
      </c>
      <c r="EE10" s="342">
        <f>IFERROR(_xlfn.IFS($C10="1", 'Inputs-System'!$C$30*'Coincidence Factors'!$B$10*'Inputs-Proposals'!$C$17*'Inputs-Proposals'!$C$19*(VLOOKUP(DZ$3,'Non-Embedded Emissions'!$A$56:$D$90,2,FALSE)-VLOOKUP(DZ$3,'Non-Embedded Emissions'!$F$57:$H$88,3,FALSE)+VLOOKUP(DZ$3,'Non-Embedded Emissions'!$A$143:$D$174,2,FALSE)-VLOOKUP(DZ$3,'Non-Embedded Emissions'!$F$143:$H$174,3,FALSE)+VLOOKUP(DZ$3,'Non-Embedded Emissions'!$A$230:$D$259,2,FALSE)), $C10 = "2", 'Inputs-System'!$C$30*'Coincidence Factors'!$B$10*'Inputs-Proposals'!$C$23*'Inputs-Proposals'!$C$25*(VLOOKUP(DZ$3,'Non-Embedded Emissions'!$A$56:$D$90,2,FALSE)-VLOOKUP(DZ$3,'Non-Embedded Emissions'!$F$57:$H$88,3,FALSE)+VLOOKUP(DZ$3,'Non-Embedded Emissions'!$A$143:$D$174,2,FALSE)-VLOOKUP(DZ$3,'Non-Embedded Emissions'!$F$143:$H$174,3,FALSE)+VLOOKUP(DZ$3,'Non-Embedded Emissions'!$A$230:$D$259,2,FALSE)), $C10 = "3", 'Inputs-System'!$C$30*'Coincidence Factors'!$B$10*'Inputs-Proposals'!$C$29*'Inputs-Proposals'!$C$31*(VLOOKUP(DZ$3,'Non-Embedded Emissions'!$A$56:$D$90,2,FALSE)-VLOOKUP(DZ$3,'Non-Embedded Emissions'!$F$57:$H$88,3,FALSE)+VLOOKUP(DZ$3,'Non-Embedded Emissions'!$A$143:$D$174,2,FALSE)-VLOOKUP(DZ$3,'Non-Embedded Emissions'!$F$143:$H$174,3,FALSE)+VLOOKUP(DZ$3,'Non-Embedded Emissions'!$A$230:$D$259,2,FALSE)), $C10 = "0", 0), 0)</f>
        <v>0</v>
      </c>
    </row>
    <row r="11" spans="1:135" x14ac:dyDescent="0.35">
      <c r="A11" s="707" t="str">
        <f>'Inputs-Proposals'!D2</f>
        <v>Storage</v>
      </c>
      <c r="B11" s="52" t="s">
        <v>90</v>
      </c>
      <c r="C11" s="52" t="str">
        <f>IFERROR(_xlfn.IFS('Benefits Calc'!B11='Inputs-Proposals'!$D$15, "1", 'Benefits Calc'!B11='Inputs-Proposals'!$D$21, "2", 'Benefits Calc'!B11='Inputs-Proposals'!$D$27, "3"), "0")</f>
        <v>1</v>
      </c>
      <c r="D11" s="322">
        <f t="shared" si="0"/>
        <v>0</v>
      </c>
      <c r="E11" s="318">
        <f t="shared" si="1"/>
        <v>0</v>
      </c>
      <c r="F11" s="318">
        <f t="shared" si="2"/>
        <v>0</v>
      </c>
      <c r="G11" s="318">
        <f t="shared" si="3"/>
        <v>0</v>
      </c>
      <c r="H11" s="318">
        <f t="shared" si="4"/>
        <v>0</v>
      </c>
      <c r="I11" s="318">
        <f t="shared" si="5"/>
        <v>0</v>
      </c>
      <c r="J11" s="322">
        <f>NPV('Inputs-System'!$C$20,P11+V11+AB11+AH11+AN11+AT11+AZ11+BF11+BL11+BR11+BX11+CD11+CJ11+CP11+CV11+DB11+DH11+DN11+DT11+DZ11)</f>
        <v>0</v>
      </c>
      <c r="K11" s="318">
        <f>NPV('Inputs-System'!$C$20,Q11+W11+AC11+AI11+AO11+AU11+BA11+BG11+BM11+BS11+BY11+CE11+CK11+CQ11+CW11+DC11+DI11+DO11+DU11+EA11)</f>
        <v>0</v>
      </c>
      <c r="L11" s="318">
        <f>NPV('Inputs-System'!$C$20,R11+X11+AD11+AJ11+AP11+AV11+BB11+BH11+BN11+BT11+BZ11+CF11+CL11+CR11+CX11+DD11+DJ11+DP11+DV11+EB11)</f>
        <v>0</v>
      </c>
      <c r="M11" s="318">
        <f>NPV('Inputs-System'!$C$20,S11+Y11+AE11+AK11+AQ11+AW11+BC11+BI11+BO11+BU11+CA11+CG11+CM11+CS11+CY11+DE11+DK11+DQ11+DW11+EC11)</f>
        <v>0</v>
      </c>
      <c r="N11" s="318">
        <f>NPV('Inputs-System'!$C$20,T11+Z11+AF11+AL11+AR11+AX11+BD11+BJ11+BP11+BV11+CB11+CH11+CN11+CT11+CZ11+DF11+DL11+DR11+DX11+ED11)</f>
        <v>0</v>
      </c>
      <c r="O11" s="318">
        <f>NPV('Inputs-System'!$C$20,U11+AA11+AG11+AM11+AS11+AY11+BE11+BK11+BQ11+BW11+CC11+CI11+CO11+CU11+DA11+DG11+DM11+DS11+DY11+EE11)</f>
        <v>0</v>
      </c>
      <c r="P11" s="344">
        <f>IFERROR(_xlfn.IFS($C11="1",('Inputs-System'!$C$30*'Coincidence Factors'!$B$5*(1+'Inputs-System'!$C$18)*(1+'Inputs-System'!$C$41)*('Inputs-Proposals'!$D$17*'Inputs-Proposals'!$D$19*(1-'Inputs-Proposals'!$D$20))*(VLOOKUP(P$3,Energy!$A$51:$K$83,5,FALSE)-VLOOKUP(P$3,Energy!$A$51:$K$83,6,FALSE))), $C11 = "2",('Inputs-System'!$C$30*'Coincidence Factors'!$B$5)*(1+'Inputs-System'!$C$18)*(1+'Inputs-System'!$C$41)*('Inputs-Proposals'!$D$23*'Inputs-Proposals'!$D$25*(1-'Inputs-Proposals'!$D$26))*(VLOOKUP(P$3,Energy!$A$51:$K$83,5,FALSE)-VLOOKUP(P$3,Energy!$A$51:$K$83,6,FALSE)), $C11= "3", ('Inputs-System'!$C$30*'Coincidence Factors'!$B$5*(1+'Inputs-System'!$C$18)*(1+'Inputs-System'!$C$41)*('Inputs-Proposals'!$D$29*'Inputs-Proposals'!$D$31*(1-'Inputs-Proposals'!$D$32))*(VLOOKUP(P$3,Energy!$A$51:$K$83,5,FALSE)-VLOOKUP(P$3,Energy!$A$51:$K$83,6,FALSE))), $C11= "0", 0), 0)</f>
        <v>0</v>
      </c>
      <c r="Q11" s="100">
        <f>IFERROR(_xlfn.IFS($C11="1", 'Inputs-System'!$C$30*'Coincidence Factors'!$B$5*(1+'Inputs-System'!$C$18)*(1+'Inputs-System'!$C$41)*'Inputs-Proposals'!$D$17*'Inputs-Proposals'!$D$19*(1-'Inputs-Proposals'!$D$20)*(VLOOKUP(P$3,'Embedded Emissions'!$A$47:$B$78,2,FALSE)+VLOOKUP(P$3,'Embedded Emissions'!$A$129:$B$158,2,FALSE)), $C11 = "2",'Inputs-System'!$C$30*'Coincidence Factors'!$B$5*(1+'Inputs-System'!$C$18)*(1+'Inputs-System'!$C$41)*'Inputs-Proposals'!$D$23*'Inputs-Proposals'!$D$25*(1-'Inputs-Proposals'!$D$20)*(VLOOKUP(P$3,'Embedded Emissions'!$A$47:$B$78,2,FALSE)+VLOOKUP(P$3,'Embedded Emissions'!$A$129:$B$158,2,FALSE)), $C11 = "3", 'Inputs-System'!$C$30*'Coincidence Factors'!$B$5*(1+'Inputs-System'!$C$18)*(1+'Inputs-System'!$C$41)*'Inputs-Proposals'!$D$29*'Inputs-Proposals'!$D$31*(1-'Inputs-Proposals'!$D$20)*(VLOOKUP(P$3,'Embedded Emissions'!$A$47:$B$78,2,FALSE)+VLOOKUP(P$3,'Embedded Emissions'!$A$129:$B$158,2,FALSE)), $C11 = "0", 0), 0)</f>
        <v>0</v>
      </c>
      <c r="R11" s="100">
        <f>IFERROR(_xlfn.IFS($C11="1",( 'Inputs-System'!$C$30*'Coincidence Factors'!$B$5*(1+'Inputs-System'!$C$18)*(1+'Inputs-System'!$C$41))*('Inputs-Proposals'!$D$17*'Inputs-Proposals'!$D$19*(1-'Inputs-Proposals'!$D$20))*(VLOOKUP(P$3,DRIPE!$A$54:$I$82,5,FALSE)-VLOOKUP(P$3,DRIPE!$A$54:$I$82,6,FALSE)+VLOOKUP(P$3,DRIPE!$A$54:$I$82,9,FALSE))+ ('Inputs-System'!$C$26*'Coincidence Factors'!$B$5*(1+'Inputs-System'!$C$18)*(1+'Inputs-System'!$C$42))*'Inputs-Proposals'!$D$16*VLOOKUP(P$3,DRIPE!$A$54:$I$80,8,FALSE), $C11 = "2",( 'Inputs-System'!$C$30*'Coincidence Factors'!$B$5*(1+'Inputs-System'!$C$18)*(1+'Inputs-System'!$C$41))*('Inputs-Proposals'!$D$23*'Inputs-Proposals'!$D$25*(1-'Inputs-Proposals'!$D$26))*(VLOOKUP(P$3,DRIPE!$A$54:$I$82,5,FALSE)-VLOOKUP(P$3,DRIPE!$A$54:$I$82,6,FALSE)+VLOOKUP(P$3,DRIPE!$A$54:$I$82,9,FALSE))+ ('Inputs-System'!$C$26*'Coincidence Factors'!$B$5*(1+'Inputs-System'!$C$18)*(1+'Inputs-System'!$C$42))+ ('Inputs-System'!$C$26*'Coincidence Factors'!$B$5)*'Inputs-Proposals'!$D$22*VLOOKUP(P$3,DRIPE!$A$54:$I$80,8,FALSE), $C11= "3", ('Inputs-System'!$C$30*'Coincidence Factors'!$B$5)*('Inputs-Proposals'!$D$29*'Inputs-Proposals'!$D$31*(1-'Inputs-Proposals'!$D$32))*(VLOOKUP(P$3,DRIPE!$A$54:$I$80,5,FALSE)-VLOOKUP(P$3,DRIPE!$A$54:$I$80,6,FALSE)+VLOOKUP(P$3,DRIPE!$A$54:$I$80,9,FALSE))+ ('Inputs-System'!$C$26*'Coincidence Factors'!$B$5*(1+'Inputs-System'!$C$18)*(1+'Inputs-System'!$C$42))*'Inputs-Proposals'!$D$28*VLOOKUP(P$3,DRIPE!$A$54:$I$80,8,FALSE), $C11 = "0", 0), 0)</f>
        <v>0</v>
      </c>
      <c r="S11" s="345">
        <f>IFERROR(_xlfn.IFS($C11="1",('Inputs-System'!$C$26*'Coincidence Factors'!$B$5*(1+'Inputs-System'!$C$18)*(1+'Inputs-System'!$C$42))*'Inputs-Proposals'!$D$16*(VLOOKUP(P$3,Capacity!$A$53:$E$85,4,FALSE)*(1+'Inputs-System'!$C$42)+VLOOKUP(P$3,Capacity!$A$53:$E$85,5,FALSE)*(1+'Inputs-System'!$C$43)*'Inputs-System'!$C$29), $C11 = "2", ('Inputs-System'!$C$26*'Coincidence Factors'!$B$5*(1+'Inputs-System'!$C$18))*'Inputs-Proposals'!$D$22*(VLOOKUP(P$3,Capacity!$A$53:$E$85,4,FALSE)*(1+'Inputs-System'!$C$42)+VLOOKUP(P$3,Capacity!$A$53:$E$85,5,FALSE)*'Inputs-System'!$C$29*(1+'Inputs-System'!$C$43)), $C11 = "3", ('Inputs-System'!$C$26*'Coincidence Factors'!$B$5*(1+'Inputs-System'!$C$18))*'Inputs-Proposals'!$D$28*(VLOOKUP(P$3,Capacity!$A$53:$E$85,4,FALSE)*(1+'Inputs-System'!$C$42)+VLOOKUP(P$3,Capacity!$A$53:$E$85,5,FALSE)*'Inputs-System'!$C$29*(1+'Inputs-System'!$C$43)), $C11 = "0", 0), 0)</f>
        <v>0</v>
      </c>
      <c r="T11" s="100">
        <v>0</v>
      </c>
      <c r="U11" s="346">
        <f>IFERROR(_xlfn.IFS($C11="1", 'Inputs-System'!$C$30*'Coincidence Factors'!$B$5*'Inputs-Proposals'!$D$17*'Inputs-Proposals'!$D$19*(VLOOKUP(P$3,'Non-Embedded Emissions'!$A$56:$D$90,2,FALSE)+VLOOKUP(P$3,'Non-Embedded Emissions'!$A$143:$D$174,2,FALSE)+VLOOKUP(P$3,'Non-Embedded Emissions'!$A$230:$D$259,2,FALSE)-VLOOKUP(P$3,'Non-Embedded Emissions'!$A$56:$D$90,3,FALSE)-VLOOKUP(P$3,'Non-Embedded Emissions'!$A$143:$D$174,3,FALSE)-VLOOKUP(P$3,'Non-Embedded Emissions'!$A$230:$D$259,3,FALSE)), $C11 = "2", 'Inputs-System'!$C$30*'Coincidence Factors'!$B$5*'Inputs-Proposals'!$D$23*'Inputs-Proposals'!$D$25*(VLOOKUP(P$3,'Non-Embedded Emissions'!$A$56:$D$90,2,FALSE)+VLOOKUP(P$3,'Non-Embedded Emissions'!$A$143:$D$174,2,FALSE)+VLOOKUP(P$3,'Non-Embedded Emissions'!$A$230:$D$259,2,FALSE)-VLOOKUP(P$3,'Non-Embedded Emissions'!$A$56:$D$90,3,FALSE)-VLOOKUP(P$3,'Non-Embedded Emissions'!$A$143:$D$174,3,FALSE)-VLOOKUP(P$3,'Non-Embedded Emissions'!$A$230:$D$259,3,FALSE)), $C11 = "3", 'Inputs-System'!$C$30*'Coincidence Factors'!$B$5*'Inputs-Proposals'!$D$29*'Inputs-Proposals'!$D$31*(VLOOKUP(P$3,'Non-Embedded Emissions'!$A$56:$D$90,2,FALSE)+VLOOKUP(P$3,'Non-Embedded Emissions'!$A$143:$D$174,2,FALSE)+VLOOKUP(P$3,'Non-Embedded Emissions'!$A$230:$D$259,2,FALSE)-VLOOKUP(P$3,'Non-Embedded Emissions'!$A$56:$D$90,3,FALSE)-VLOOKUP(P$3,'Non-Embedded Emissions'!$A$143:$D$174,3,FALSE)-VLOOKUP(P$3,'Non-Embedded Emissions'!$A$230:$D$259,3,FALSE)), $C11 = "0", 0), 0)</f>
        <v>0</v>
      </c>
      <c r="V11" s="345">
        <f>IFERROR(_xlfn.IFS($C11="1",('Inputs-System'!$C$30*'Coincidence Factors'!$B$5*(1+'Inputs-System'!$C$18)*(1+'Inputs-System'!$C$41)*('Inputs-Proposals'!$D$17*'Inputs-Proposals'!$D$19*(1-'Inputs-Proposals'!$D$20))*(VLOOKUP(V$3,Energy!$A$51:$K$83,5,FALSE)-VLOOKUP(V$3,Energy!$A$51:$K$83,6,FALSE))), $C11 = "2",('Inputs-System'!$C$30*'Coincidence Factors'!$B$5)*(1+'Inputs-System'!$C$18)*(1+'Inputs-System'!$C$41)*('Inputs-Proposals'!$D$23*'Inputs-Proposals'!$D$25*(1-'Inputs-Proposals'!$D$26))*(VLOOKUP(V$3,Energy!$A$51:$K$83,5,FALSE)-VLOOKUP(V$3,Energy!$A$51:$K$83,6,FALSE)), $C11= "3", ('Inputs-System'!$C$30*'Coincidence Factors'!$B$5*(1+'Inputs-System'!$C$18)*(1+'Inputs-System'!$C$41)*('Inputs-Proposals'!$D$29*'Inputs-Proposals'!$D$31*(1-'Inputs-Proposals'!$D$32))*(VLOOKUP(V$3,Energy!$A$51:$K$83,5,FALSE)-VLOOKUP(V$3,Energy!$A$51:$K$83,6,FALSE))), $C11= "0", 0), 0)</f>
        <v>0</v>
      </c>
      <c r="W11" s="100">
        <f>IFERROR(_xlfn.IFS($C11="1", 'Inputs-System'!$C$30*'Coincidence Factors'!$B$5*(1+'Inputs-System'!$C$18)*(1+'Inputs-System'!$C$41)*'Inputs-Proposals'!$D$17*'Inputs-Proposals'!$D$19*(1-'Inputs-Proposals'!$D$20)*(VLOOKUP(V$3,'Embedded Emissions'!$A$47:$B$78,2,FALSE)+VLOOKUP(V$3,'Embedded Emissions'!$A$129:$B$158,2,FALSE)), $C11 = "2",'Inputs-System'!$C$30*'Coincidence Factors'!$B$5*(1+'Inputs-System'!$C$18)*(1+'Inputs-System'!$C$41)*'Inputs-Proposals'!$D$23*'Inputs-Proposals'!$D$25*(1-'Inputs-Proposals'!$D$20)*(VLOOKUP(V$3,'Embedded Emissions'!$A$47:$B$78,2,FALSE)+VLOOKUP(V$3,'Embedded Emissions'!$A$129:$B$158,2,FALSE)), $C11 = "3", 'Inputs-System'!$C$30*'Coincidence Factors'!$B$5*(1+'Inputs-System'!$C$18)*(1+'Inputs-System'!$C$41)*'Inputs-Proposals'!$D$29*'Inputs-Proposals'!$D$31*(1-'Inputs-Proposals'!$D$20)*(VLOOKUP(V$3,'Embedded Emissions'!$A$47:$B$78,2,FALSE)+VLOOKUP(V$3,'Embedded Emissions'!$A$129:$B$158,2,FALSE)), $C11 = "0", 0), 0)</f>
        <v>0</v>
      </c>
      <c r="X11" s="100">
        <f>IFERROR(_xlfn.IFS($C11="1",( 'Inputs-System'!$C$30*'Coincidence Factors'!$B$5*(1+'Inputs-System'!$C$18)*(1+'Inputs-System'!$C$41))*('Inputs-Proposals'!$D$17*'Inputs-Proposals'!$D$19*(1-'Inputs-Proposals'!$D$20))*(VLOOKUP(V$3,DRIPE!$A$54:$I$82,5,FALSE)-VLOOKUP(V$3,DRIPE!$A$54:$I$82,6,FALSE)+VLOOKUP(V$3,DRIPE!$A$54:$I$82,9,FALSE))+ ('Inputs-System'!$C$26*'Coincidence Factors'!$B$5*(1+'Inputs-System'!$C$18)*(1+'Inputs-System'!$C$42))*'Inputs-Proposals'!$D$16*VLOOKUP(V$3,DRIPE!$A$54:$I$80,8,FALSE), $C11 = "2",( 'Inputs-System'!$C$30*'Coincidence Factors'!$B$5*(1+'Inputs-System'!$C$18)*(1+'Inputs-System'!$C$41))*('Inputs-Proposals'!$D$23*'Inputs-Proposals'!$D$25*(1-'Inputs-Proposals'!$D$26))*(VLOOKUP(V$3,DRIPE!$A$54:$I$82,5,FALSE)-VLOOKUP(V$3,DRIPE!$A$54:$I$82,6,FALSE)+VLOOKUP(V$3,DRIPE!$A$54:$I$82,9,FALSE))+ ('Inputs-System'!$C$26*'Coincidence Factors'!$B$5*(1+'Inputs-System'!$C$18)*(1+'Inputs-System'!$C$42))+ ('Inputs-System'!$C$26*'Coincidence Factors'!$B$5)*'Inputs-Proposals'!$D$22*VLOOKUP(V$3,DRIPE!$A$54:$I$80,8,FALSE), $C11= "3", ('Inputs-System'!$C$30*'Coincidence Factors'!$B$5)*('Inputs-Proposals'!$D$29*'Inputs-Proposals'!$D$31*(1-'Inputs-Proposals'!$D$32))*(VLOOKUP(V$3,DRIPE!$A$54:$I$80,5,FALSE)-VLOOKUP(V$3,DRIPE!$A$54:$I$80,6,FALSE)+VLOOKUP(V$3,DRIPE!$A$54:$I$80,9,FALSE))+ ('Inputs-System'!$C$26*'Coincidence Factors'!$B$5*(1+'Inputs-System'!$C$18)*(1+'Inputs-System'!$C$42))*'Inputs-Proposals'!$D$28*VLOOKUP(V$3,DRIPE!$A$54:$I$80,8,FALSE), $C11 = "0", 0), 0)</f>
        <v>0</v>
      </c>
      <c r="Y11" s="345">
        <f>IFERROR(_xlfn.IFS($C11="1",('Inputs-System'!$C$26*'Coincidence Factors'!$B$5*(1+'Inputs-System'!$C$18)*(1+'Inputs-System'!$C$42))*'Inputs-Proposals'!$D$16*(VLOOKUP(V$3,Capacity!$A$53:$E$85,4,FALSE)*(1+'Inputs-System'!$C$42)+VLOOKUP(V$3,Capacity!$A$53:$E$85,5,FALSE)*(1+'Inputs-System'!$C$43)*'Inputs-System'!$C$29), $C11 = "2", ('Inputs-System'!$C$26*'Coincidence Factors'!$B$5*(1+'Inputs-System'!$C$18))*'Inputs-Proposals'!$D$22*(VLOOKUP(V$3,Capacity!$A$53:$E$85,4,FALSE)*(1+'Inputs-System'!$C$42)+VLOOKUP(V$3,Capacity!$A$53:$E$85,5,FALSE)*'Inputs-System'!$C$29*(1+'Inputs-System'!$C$43)), $C11 = "3", ('Inputs-System'!$C$26*'Coincidence Factors'!$B$5*(1+'Inputs-System'!$C$18))*'Inputs-Proposals'!$D$28*(VLOOKUP(V$3,Capacity!$A$53:$E$85,4,FALSE)*(1+'Inputs-System'!$C$42)+VLOOKUP(V$3,Capacity!$A$53:$E$85,5,FALSE)*'Inputs-System'!$C$29*(1+'Inputs-System'!$C$43)), $C11 = "0", 0), 0)</f>
        <v>0</v>
      </c>
      <c r="Z11" s="100">
        <v>0</v>
      </c>
      <c r="AA11" s="346">
        <f>IFERROR(_xlfn.IFS($C11="1", 'Inputs-System'!$C$30*'Coincidence Factors'!$B$5*'Inputs-Proposals'!$D$17*'Inputs-Proposals'!$D$19*(VLOOKUP(V$3,'Non-Embedded Emissions'!$A$56:$D$90,2,FALSE)+VLOOKUP(V$3,'Non-Embedded Emissions'!$A$143:$D$174,2,FALSE)+VLOOKUP(V$3,'Non-Embedded Emissions'!$A$230:$D$259,2,FALSE)-VLOOKUP(V$3,'Non-Embedded Emissions'!$A$56:$D$90,3,FALSE)-VLOOKUP(V$3,'Non-Embedded Emissions'!$A$143:$D$174,3,FALSE)-VLOOKUP(V$3,'Non-Embedded Emissions'!$A$230:$D$259,3,FALSE)), $C11 = "2", 'Inputs-System'!$C$30*'Coincidence Factors'!$B$5*'Inputs-Proposals'!$D$23*'Inputs-Proposals'!$D$25*(VLOOKUP(V$3,'Non-Embedded Emissions'!$A$56:$D$90,2,FALSE)+VLOOKUP(V$3,'Non-Embedded Emissions'!$A$143:$D$174,2,FALSE)+VLOOKUP(V$3,'Non-Embedded Emissions'!$A$230:$D$259,2,FALSE)-VLOOKUP(V$3,'Non-Embedded Emissions'!$A$56:$D$90,3,FALSE)-VLOOKUP(V$3,'Non-Embedded Emissions'!$A$143:$D$174,3,FALSE)-VLOOKUP(V$3,'Non-Embedded Emissions'!$A$230:$D$259,3,FALSE)), $C11 = "3", 'Inputs-System'!$C$30*'Coincidence Factors'!$B$5*'Inputs-Proposals'!$D$29*'Inputs-Proposals'!$D$31*(VLOOKUP(V$3,'Non-Embedded Emissions'!$A$56:$D$90,2,FALSE)+VLOOKUP(V$3,'Non-Embedded Emissions'!$A$143:$D$174,2,FALSE)+VLOOKUP(V$3,'Non-Embedded Emissions'!$A$230:$D$259,2,FALSE)-VLOOKUP(V$3,'Non-Embedded Emissions'!$A$56:$D$90,3,FALSE)-VLOOKUP(V$3,'Non-Embedded Emissions'!$A$143:$D$174,3,FALSE)-VLOOKUP(V$3,'Non-Embedded Emissions'!$A$230:$D$259,3,FALSE)), $C11 = "0", 0), 0)</f>
        <v>0</v>
      </c>
      <c r="AB11" s="345">
        <f>IFERROR(_xlfn.IFS($C11="1",('Inputs-System'!$C$30*'Coincidence Factors'!$B$5*(1+'Inputs-System'!$C$18)*(1+'Inputs-System'!$C$41)*('Inputs-Proposals'!$D$17*'Inputs-Proposals'!$D$19*(1-'Inputs-Proposals'!$D$20))*(VLOOKUP(AB$3,Energy!$A$51:$K$83,5,FALSE)-VLOOKUP(AB$3,Energy!$A$51:$K$83,6,FALSE))), $C11 = "2",('Inputs-System'!$C$30*'Coincidence Factors'!$B$5)*(1+'Inputs-System'!$C$18)*(1+'Inputs-System'!$C$41)*('Inputs-Proposals'!$D$23*'Inputs-Proposals'!$D$25*(1-'Inputs-Proposals'!$D$26))*(VLOOKUP(AB$3,Energy!$A$51:$K$83,5,FALSE)-VLOOKUP(AB$3,Energy!$A$51:$K$83,6,FALSE)), $C11= "3", ('Inputs-System'!$C$30*'Coincidence Factors'!$B$5*(1+'Inputs-System'!$C$18)*(1+'Inputs-System'!$C$41)*('Inputs-Proposals'!$D$29*'Inputs-Proposals'!$D$31*(1-'Inputs-Proposals'!$D$32))*(VLOOKUP(AB$3,Energy!$A$51:$K$83,5,FALSE)-VLOOKUP(AB$3,Energy!$A$51:$K$83,6,FALSE))), $C11= "0", 0), 0)</f>
        <v>0</v>
      </c>
      <c r="AC11" s="100">
        <f>IFERROR(_xlfn.IFS($C11="1", 'Inputs-System'!$C$30*'Coincidence Factors'!$B$5*(1+'Inputs-System'!$C$18)*(1+'Inputs-System'!$C$41)*'Inputs-Proposals'!$D$17*'Inputs-Proposals'!$D$19*(1-'Inputs-Proposals'!$D$20)*(VLOOKUP(AB$3,'Embedded Emissions'!$A$47:$B$78,2,FALSE)+VLOOKUP(AB$3,'Embedded Emissions'!$A$129:$B$158,2,FALSE)), $C11 = "2",'Inputs-System'!$C$30*'Coincidence Factors'!$B$5*(1+'Inputs-System'!$C$18)*(1+'Inputs-System'!$C$41)*'Inputs-Proposals'!$D$23*'Inputs-Proposals'!$D$25*(1-'Inputs-Proposals'!$D$20)*(VLOOKUP(AB$3,'Embedded Emissions'!$A$47:$B$78,2,FALSE)+VLOOKUP(AB$3,'Embedded Emissions'!$A$129:$B$158,2,FALSE)), $C11 = "3", 'Inputs-System'!$C$30*'Coincidence Factors'!$B$5*(1+'Inputs-System'!$C$18)*(1+'Inputs-System'!$C$41)*'Inputs-Proposals'!$D$29*'Inputs-Proposals'!$D$31*(1-'Inputs-Proposals'!$D$20)*(VLOOKUP(AB$3,'Embedded Emissions'!$A$47:$B$78,2,FALSE)+VLOOKUP(AB$3,'Embedded Emissions'!$A$129:$B$158,2,FALSE)), $C11 = "0", 0), 0)</f>
        <v>0</v>
      </c>
      <c r="AD11" s="100">
        <f>IFERROR(_xlfn.IFS($C11="1",( 'Inputs-System'!$C$30*'Coincidence Factors'!$B$5*(1+'Inputs-System'!$C$18)*(1+'Inputs-System'!$C$41))*('Inputs-Proposals'!$D$17*'Inputs-Proposals'!$D$19*(1-'Inputs-Proposals'!$D$20))*(VLOOKUP(AB$3,DRIPE!$A$54:$I$82,5,FALSE)-VLOOKUP(AB$3,DRIPE!$A$54:$I$82,6,FALSE)+VLOOKUP(AB$3,DRIPE!$A$54:$I$82,9,FALSE))+ ('Inputs-System'!$C$26*'Coincidence Factors'!$B$5*(1+'Inputs-System'!$C$18)*(1+'Inputs-System'!$C$42))*'Inputs-Proposals'!$D$16*VLOOKUP(AB$3,DRIPE!$A$54:$I$80,8,FALSE), $C11 = "2",( 'Inputs-System'!$C$30*'Coincidence Factors'!$B$5*(1+'Inputs-System'!$C$18)*(1+'Inputs-System'!$C$41))*('Inputs-Proposals'!$D$23*'Inputs-Proposals'!$D$25*(1-'Inputs-Proposals'!$D$26))*(VLOOKUP(AB$3,DRIPE!$A$54:$I$82,5,FALSE)-VLOOKUP(AB$3,DRIPE!$A$54:$I$82,6,FALSE)+VLOOKUP(AB$3,DRIPE!$A$54:$I$82,9,FALSE))+ ('Inputs-System'!$C$26*'Coincidence Factors'!$B$5*(1+'Inputs-System'!$C$18)*(1+'Inputs-System'!$C$42))+ ('Inputs-System'!$C$26*'Coincidence Factors'!$B$5)*'Inputs-Proposals'!$D$22*VLOOKUP(AB$3,DRIPE!$A$54:$I$80,8,FALSE), $C11= "3", ('Inputs-System'!$C$30*'Coincidence Factors'!$B$5)*('Inputs-Proposals'!$D$29*'Inputs-Proposals'!$D$31*(1-'Inputs-Proposals'!$D$32))*(VLOOKUP(AB$3,DRIPE!$A$54:$I$80,5,FALSE)-VLOOKUP(AB$3,DRIPE!$A$54:$I$80,6,FALSE)+VLOOKUP(AB$3,DRIPE!$A$54:$I$80,9,FALSE))+ ('Inputs-System'!$C$26*'Coincidence Factors'!$B$5*(1+'Inputs-System'!$C$18)*(1+'Inputs-System'!$C$42))*'Inputs-Proposals'!$D$28*VLOOKUP(AB$3,DRIPE!$A$54:$I$80,8,FALSE), $C11 = "0", 0), 0)</f>
        <v>0</v>
      </c>
      <c r="AE11" s="345">
        <f>IFERROR(_xlfn.IFS($C11="1",('Inputs-System'!$C$26*'Coincidence Factors'!$B$5*(1+'Inputs-System'!$C$18)*(1+'Inputs-System'!$C$42))*'Inputs-Proposals'!$D$16*(VLOOKUP(AB$3,Capacity!$A$53:$E$85,4,FALSE)*(1+'Inputs-System'!$C$42)+VLOOKUP(AB$3,Capacity!$A$53:$E$85,5,FALSE)*(1+'Inputs-System'!$C$43)*'Inputs-System'!$C$29), $C11 = "2", ('Inputs-System'!$C$26*'Coincidence Factors'!$B$5*(1+'Inputs-System'!$C$18))*'Inputs-Proposals'!$D$22*(VLOOKUP(AB$3,Capacity!$A$53:$E$85,4,FALSE)*(1+'Inputs-System'!$C$42)+VLOOKUP(AB$3,Capacity!$A$53:$E$85,5,FALSE)*'Inputs-System'!$C$29*(1+'Inputs-System'!$C$43)), $C11 = "3", ('Inputs-System'!$C$26*'Coincidence Factors'!$B$5*(1+'Inputs-System'!$C$18))*'Inputs-Proposals'!$D$28*(VLOOKUP(AB$3,Capacity!$A$53:$E$85,4,FALSE)*(1+'Inputs-System'!$C$42)+VLOOKUP(AB$3,Capacity!$A$53:$E$85,5,FALSE)*'Inputs-System'!$C$29*(1+'Inputs-System'!$C$43)), $C11 = "0", 0), 0)</f>
        <v>0</v>
      </c>
      <c r="AF11" s="100">
        <v>0</v>
      </c>
      <c r="AG11" s="346">
        <f>IFERROR(_xlfn.IFS($C11="1", 'Inputs-System'!$C$30*'Coincidence Factors'!$B$5*'Inputs-Proposals'!$D$17*'Inputs-Proposals'!$D$19*(VLOOKUP(AB$3,'Non-Embedded Emissions'!$A$56:$D$90,2,FALSE)+VLOOKUP(AB$3,'Non-Embedded Emissions'!$A$143:$D$174,2,FALSE)+VLOOKUP(AB$3,'Non-Embedded Emissions'!$A$230:$D$259,2,FALSE)-VLOOKUP(AB$3,'Non-Embedded Emissions'!$A$56:$D$90,3,FALSE)-VLOOKUP(AB$3,'Non-Embedded Emissions'!$A$143:$D$174,3,FALSE)-VLOOKUP(AB$3,'Non-Embedded Emissions'!$A$230:$D$259,3,FALSE)), $C11 = "2", 'Inputs-System'!$C$30*'Coincidence Factors'!$B$5*'Inputs-Proposals'!$D$23*'Inputs-Proposals'!$D$25*(VLOOKUP(AB$3,'Non-Embedded Emissions'!$A$56:$D$90,2,FALSE)+VLOOKUP(AB$3,'Non-Embedded Emissions'!$A$143:$D$174,2,FALSE)+VLOOKUP(AB$3,'Non-Embedded Emissions'!$A$230:$D$259,2,FALSE)-VLOOKUP(AB$3,'Non-Embedded Emissions'!$A$56:$D$90,3,FALSE)-VLOOKUP(AB$3,'Non-Embedded Emissions'!$A$143:$D$174,3,FALSE)-VLOOKUP(AB$3,'Non-Embedded Emissions'!$A$230:$D$259,3,FALSE)), $C11 = "3", 'Inputs-System'!$C$30*'Coincidence Factors'!$B$5*'Inputs-Proposals'!$D$29*'Inputs-Proposals'!$D$31*(VLOOKUP(AB$3,'Non-Embedded Emissions'!$A$56:$D$90,2,FALSE)+VLOOKUP(AB$3,'Non-Embedded Emissions'!$A$143:$D$174,2,FALSE)+VLOOKUP(AB$3,'Non-Embedded Emissions'!$A$230:$D$259,2,FALSE)-VLOOKUP(AB$3,'Non-Embedded Emissions'!$A$56:$D$90,3,FALSE)-VLOOKUP(AB$3,'Non-Embedded Emissions'!$A$143:$D$174,3,FALSE)-VLOOKUP(AB$3,'Non-Embedded Emissions'!$A$230:$D$259,3,FALSE)), $C11 = "0", 0), 0)</f>
        <v>0</v>
      </c>
      <c r="AH11" s="345">
        <f>IFERROR(_xlfn.IFS($C11="1",('Inputs-System'!$C$30*'Coincidence Factors'!$B$5*(1+'Inputs-System'!$C$18)*(1+'Inputs-System'!$C$41)*('Inputs-Proposals'!$D$17*'Inputs-Proposals'!$D$19*(1-'Inputs-Proposals'!$D$20))*(VLOOKUP(AH$3,Energy!$A$51:$K$83,5,FALSE)-VLOOKUP(AH$3,Energy!$A$51:$K$83,6,FALSE))), $C11 = "2",('Inputs-System'!$C$30*'Coincidence Factors'!$B$5)*(1+'Inputs-System'!$C$18)*(1+'Inputs-System'!$C$41)*('Inputs-Proposals'!$D$23*'Inputs-Proposals'!$D$25*(1-'Inputs-Proposals'!$D$26))*(VLOOKUP(AH$3,Energy!$A$51:$K$83,5,FALSE)-VLOOKUP(AH$3,Energy!$A$51:$K$83,6,FALSE)), $C11= "3", ('Inputs-System'!$C$30*'Coincidence Factors'!$B$5*(1+'Inputs-System'!$C$18)*(1+'Inputs-System'!$C$41)*('Inputs-Proposals'!$D$29*'Inputs-Proposals'!$D$31*(1-'Inputs-Proposals'!$D$32))*(VLOOKUP(AH$3,Energy!$A$51:$K$83,5,FALSE)-VLOOKUP(AH$3,Energy!$A$51:$K$83,6,FALSE))), $C11= "0", 0), 0)</f>
        <v>0</v>
      </c>
      <c r="AI11" s="100">
        <f>IFERROR(_xlfn.IFS($C11="1", 'Inputs-System'!$C$30*'Coincidence Factors'!$B$5*(1+'Inputs-System'!$C$18)*(1+'Inputs-System'!$C$41)*'Inputs-Proposals'!$D$17*'Inputs-Proposals'!$D$19*(1-'Inputs-Proposals'!$D$20)*(VLOOKUP(AH$3,'Embedded Emissions'!$A$47:$B$78,2,FALSE)+VLOOKUP(AH$3,'Embedded Emissions'!$A$129:$B$158,2,FALSE)), $C11 = "2",'Inputs-System'!$C$30*'Coincidence Factors'!$B$5*(1+'Inputs-System'!$C$18)*(1+'Inputs-System'!$C$41)*'Inputs-Proposals'!$D$23*'Inputs-Proposals'!$D$25*(1-'Inputs-Proposals'!$D$20)*(VLOOKUP(AH$3,'Embedded Emissions'!$A$47:$B$78,2,FALSE)+VLOOKUP(AH$3,'Embedded Emissions'!$A$129:$B$158,2,FALSE)), $C11 = "3", 'Inputs-System'!$C$30*'Coincidence Factors'!$B$5*(1+'Inputs-System'!$C$18)*(1+'Inputs-System'!$C$41)*'Inputs-Proposals'!$D$29*'Inputs-Proposals'!$D$31*(1-'Inputs-Proposals'!$D$20)*(VLOOKUP(AH$3,'Embedded Emissions'!$A$47:$B$78,2,FALSE)+VLOOKUP(AH$3,'Embedded Emissions'!$A$129:$B$158,2,FALSE)), $C11 = "0", 0), 0)</f>
        <v>0</v>
      </c>
      <c r="AJ11" s="100">
        <f>IFERROR(_xlfn.IFS($C11="1",( 'Inputs-System'!$C$30*'Coincidence Factors'!$B$5*(1+'Inputs-System'!$C$18)*(1+'Inputs-System'!$C$41))*('Inputs-Proposals'!$D$17*'Inputs-Proposals'!$D$19*(1-'Inputs-Proposals'!$D$20))*(VLOOKUP(AH$3,DRIPE!$A$54:$I$82,5,FALSE)-VLOOKUP(AH$3,DRIPE!$A$54:$I$82,6,FALSE)+VLOOKUP(AH$3,DRIPE!$A$54:$I$82,9,FALSE))+ ('Inputs-System'!$C$26*'Coincidence Factors'!$B$5*(1+'Inputs-System'!$C$18)*(1+'Inputs-System'!$C$42))*'Inputs-Proposals'!$D$16*VLOOKUP(AH$3,DRIPE!$A$54:$I$80,8,FALSE), $C11 = "2",( 'Inputs-System'!$C$30*'Coincidence Factors'!$B$5*(1+'Inputs-System'!$C$18)*(1+'Inputs-System'!$C$41))*('Inputs-Proposals'!$D$23*'Inputs-Proposals'!$D$25*(1-'Inputs-Proposals'!$D$26))*(VLOOKUP(AH$3,DRIPE!$A$54:$I$82,5,FALSE)-VLOOKUP(AH$3,DRIPE!$A$54:$I$82,6,FALSE)+VLOOKUP(AH$3,DRIPE!$A$54:$I$82,9,FALSE))+ ('Inputs-System'!$C$26*'Coincidence Factors'!$B$5*(1+'Inputs-System'!$C$18)*(1+'Inputs-System'!$C$42))+ ('Inputs-System'!$C$26*'Coincidence Factors'!$B$5)*'Inputs-Proposals'!$D$22*VLOOKUP(AH$3,DRIPE!$A$54:$I$80,8,FALSE), $C11= "3", ('Inputs-System'!$C$30*'Coincidence Factors'!$B$5)*('Inputs-Proposals'!$D$29*'Inputs-Proposals'!$D$31*(1-'Inputs-Proposals'!$D$32))*(VLOOKUP(AH$3,DRIPE!$A$54:$I$80,5,FALSE)-VLOOKUP(AH$3,DRIPE!$A$54:$I$80,6,FALSE)+VLOOKUP(AH$3,DRIPE!$A$54:$I$80,9,FALSE))+ ('Inputs-System'!$C$26*'Coincidence Factors'!$B$5*(1+'Inputs-System'!$C$18)*(1+'Inputs-System'!$C$42))*'Inputs-Proposals'!$D$28*VLOOKUP(AH$3,DRIPE!$A$54:$I$80,8,FALSE), $C11 = "0", 0), 0)</f>
        <v>0</v>
      </c>
      <c r="AK11" s="345">
        <f>IFERROR(_xlfn.IFS($C11="1",('Inputs-System'!$C$26*'Coincidence Factors'!$B$5*(1+'Inputs-System'!$C$18)*(1+'Inputs-System'!$C$42))*'Inputs-Proposals'!$D$16*(VLOOKUP(AH$3,Capacity!$A$53:$E$85,4,FALSE)*(1+'Inputs-System'!$C$42)+VLOOKUP(AH$3,Capacity!$A$53:$E$85,5,FALSE)*(1+'Inputs-System'!$C$43)*'Inputs-System'!$C$29), $C11 = "2", ('Inputs-System'!$C$26*'Coincidence Factors'!$B$5*(1+'Inputs-System'!$C$18))*'Inputs-Proposals'!$D$22*(VLOOKUP(AH$3,Capacity!$A$53:$E$85,4,FALSE)*(1+'Inputs-System'!$C$42)+VLOOKUP(AH$3,Capacity!$A$53:$E$85,5,FALSE)*'Inputs-System'!$C$29*(1+'Inputs-System'!$C$43)), $C11 = "3", ('Inputs-System'!$C$26*'Coincidence Factors'!$B$5*(1+'Inputs-System'!$C$18))*'Inputs-Proposals'!$D$28*(VLOOKUP(AH$3,Capacity!$A$53:$E$85,4,FALSE)*(1+'Inputs-System'!$C$42)+VLOOKUP(AH$3,Capacity!$A$53:$E$85,5,FALSE)*'Inputs-System'!$C$29*(1+'Inputs-System'!$C$43)), $C11 = "0", 0), 0)</f>
        <v>0</v>
      </c>
      <c r="AL11" s="100">
        <v>0</v>
      </c>
      <c r="AM11" s="346">
        <f>IFERROR(_xlfn.IFS($C11="1", 'Inputs-System'!$C$30*'Coincidence Factors'!$B$5*'Inputs-Proposals'!$D$17*'Inputs-Proposals'!$D$19*(VLOOKUP(AH$3,'Non-Embedded Emissions'!$A$56:$D$90,2,FALSE)+VLOOKUP(AH$3,'Non-Embedded Emissions'!$A$143:$D$174,2,FALSE)+VLOOKUP(AH$3,'Non-Embedded Emissions'!$A$230:$D$259,2,FALSE)-VLOOKUP(AH$3,'Non-Embedded Emissions'!$A$56:$D$90,3,FALSE)-VLOOKUP(AH$3,'Non-Embedded Emissions'!$A$143:$D$174,3,FALSE)-VLOOKUP(AH$3,'Non-Embedded Emissions'!$A$230:$D$259,3,FALSE)), $C11 = "2", 'Inputs-System'!$C$30*'Coincidence Factors'!$B$5*'Inputs-Proposals'!$D$23*'Inputs-Proposals'!$D$25*(VLOOKUP(AH$3,'Non-Embedded Emissions'!$A$56:$D$90,2,FALSE)+VLOOKUP(AH$3,'Non-Embedded Emissions'!$A$143:$D$174,2,FALSE)+VLOOKUP(AH$3,'Non-Embedded Emissions'!$A$230:$D$259,2,FALSE)-VLOOKUP(AH$3,'Non-Embedded Emissions'!$A$56:$D$90,3,FALSE)-VLOOKUP(AH$3,'Non-Embedded Emissions'!$A$143:$D$174,3,FALSE)-VLOOKUP(AH$3,'Non-Embedded Emissions'!$A$230:$D$259,3,FALSE)), $C11 = "3", 'Inputs-System'!$C$30*'Coincidence Factors'!$B$5*'Inputs-Proposals'!$D$29*'Inputs-Proposals'!$D$31*(VLOOKUP(AH$3,'Non-Embedded Emissions'!$A$56:$D$90,2,FALSE)+VLOOKUP(AH$3,'Non-Embedded Emissions'!$A$143:$D$174,2,FALSE)+VLOOKUP(AH$3,'Non-Embedded Emissions'!$A$230:$D$259,2,FALSE)-VLOOKUP(AH$3,'Non-Embedded Emissions'!$A$56:$D$90,3,FALSE)-VLOOKUP(AH$3,'Non-Embedded Emissions'!$A$143:$D$174,3,FALSE)-VLOOKUP(AH$3,'Non-Embedded Emissions'!$A$230:$D$259,3,FALSE)), $C11 = "0", 0), 0)</f>
        <v>0</v>
      </c>
      <c r="AN11" s="345">
        <f>IFERROR(_xlfn.IFS($C11="1",('Inputs-System'!$C$30*'Coincidence Factors'!$B$5*(1+'Inputs-System'!$C$18)*(1+'Inputs-System'!$C$41)*('Inputs-Proposals'!$D$17*'Inputs-Proposals'!$D$19*(1-'Inputs-Proposals'!$D$20))*(VLOOKUP(AN$3,Energy!$A$51:$K$83,5,FALSE)-VLOOKUP(AN$3,Energy!$A$51:$K$83,6,FALSE))), $C11 = "2",('Inputs-System'!$C$30*'Coincidence Factors'!$B$5)*(1+'Inputs-System'!$C$18)*(1+'Inputs-System'!$C$41)*('Inputs-Proposals'!$D$23*'Inputs-Proposals'!$D$25*(1-'Inputs-Proposals'!$D$26))*(VLOOKUP(AN$3,Energy!$A$51:$K$83,5,FALSE)-VLOOKUP(AN$3,Energy!$A$51:$K$83,6,FALSE)), $C11= "3", ('Inputs-System'!$C$30*'Coincidence Factors'!$B$5*(1+'Inputs-System'!$C$18)*(1+'Inputs-System'!$C$41)*('Inputs-Proposals'!$D$29*'Inputs-Proposals'!$D$31*(1-'Inputs-Proposals'!$D$32))*(VLOOKUP(AN$3,Energy!$A$51:$K$83,5,FALSE)-VLOOKUP(AN$3,Energy!$A$51:$K$83,6,FALSE))), $C11= "0", 0), 0)</f>
        <v>0</v>
      </c>
      <c r="AO11" s="100">
        <f>IFERROR(_xlfn.IFS($C11="1", 'Inputs-System'!$C$30*'Coincidence Factors'!$B$5*(1+'Inputs-System'!$C$18)*(1+'Inputs-System'!$C$41)*'Inputs-Proposals'!$D$17*'Inputs-Proposals'!$D$19*(1-'Inputs-Proposals'!$D$20)*(VLOOKUP(AN$3,'Embedded Emissions'!$A$47:$B$78,2,FALSE)+VLOOKUP(AN$3,'Embedded Emissions'!$A$129:$B$158,2,FALSE)), $C11 = "2",'Inputs-System'!$C$30*'Coincidence Factors'!$B$5*(1+'Inputs-System'!$C$18)*(1+'Inputs-System'!$C$41)*'Inputs-Proposals'!$D$23*'Inputs-Proposals'!$D$25*(1-'Inputs-Proposals'!$D$20)*(VLOOKUP(AN$3,'Embedded Emissions'!$A$47:$B$78,2,FALSE)+VLOOKUP(AN$3,'Embedded Emissions'!$A$129:$B$158,2,FALSE)), $C11 = "3", 'Inputs-System'!$C$30*'Coincidence Factors'!$B$5*(1+'Inputs-System'!$C$18)*(1+'Inputs-System'!$C$41)*'Inputs-Proposals'!$D$29*'Inputs-Proposals'!$D$31*(1-'Inputs-Proposals'!$D$20)*(VLOOKUP(AN$3,'Embedded Emissions'!$A$47:$B$78,2,FALSE)+VLOOKUP(AN$3,'Embedded Emissions'!$A$129:$B$158,2,FALSE)), $C11 = "0", 0), 0)</f>
        <v>0</v>
      </c>
      <c r="AP11" s="100">
        <f>IFERROR(_xlfn.IFS($C11="1",( 'Inputs-System'!$C$30*'Coincidence Factors'!$B$5*(1+'Inputs-System'!$C$18)*(1+'Inputs-System'!$C$41))*('Inputs-Proposals'!$D$17*'Inputs-Proposals'!$D$19*(1-'Inputs-Proposals'!$D$20))*(VLOOKUP(AN$3,DRIPE!$A$54:$I$82,5,FALSE)-VLOOKUP(AN$3,DRIPE!$A$54:$I$82,6,FALSE)+VLOOKUP(AN$3,DRIPE!$A$54:$I$82,9,FALSE))+ ('Inputs-System'!$C$26*'Coincidence Factors'!$B$5*(1+'Inputs-System'!$C$18)*(1+'Inputs-System'!$C$42))*'Inputs-Proposals'!$D$16*VLOOKUP(AN$3,DRIPE!$A$54:$I$80,8,FALSE), $C11 = "2",( 'Inputs-System'!$C$30*'Coincidence Factors'!$B$5*(1+'Inputs-System'!$C$18)*(1+'Inputs-System'!$C$41))*('Inputs-Proposals'!$D$23*'Inputs-Proposals'!$D$25*(1-'Inputs-Proposals'!$D$26))*(VLOOKUP(AN$3,DRIPE!$A$54:$I$82,5,FALSE)-VLOOKUP(AN$3,DRIPE!$A$54:$I$82,6,FALSE)+VLOOKUP(AN$3,DRIPE!$A$54:$I$82,9,FALSE))+ ('Inputs-System'!$C$26*'Coincidence Factors'!$B$5*(1+'Inputs-System'!$C$18)*(1+'Inputs-System'!$C$42))+ ('Inputs-System'!$C$26*'Coincidence Factors'!$B$5)*'Inputs-Proposals'!$D$22*VLOOKUP(AN$3,DRIPE!$A$54:$I$80,8,FALSE), $C11= "3", ('Inputs-System'!$C$30*'Coincidence Factors'!$B$5)*('Inputs-Proposals'!$D$29*'Inputs-Proposals'!$D$31*(1-'Inputs-Proposals'!$D$32))*(VLOOKUP(AN$3,DRIPE!$A$54:$I$80,5,FALSE)-VLOOKUP(AN$3,DRIPE!$A$54:$I$80,6,FALSE)+VLOOKUP(AN$3,DRIPE!$A$54:$I$80,9,FALSE))+ ('Inputs-System'!$C$26*'Coincidence Factors'!$B$5*(1+'Inputs-System'!$C$18)*(1+'Inputs-System'!$C$42))*'Inputs-Proposals'!$D$28*VLOOKUP(AN$3,DRIPE!$A$54:$I$80,8,FALSE), $C11 = "0", 0), 0)</f>
        <v>0</v>
      </c>
      <c r="AQ11" s="345">
        <f>IFERROR(_xlfn.IFS($C11="1",('Inputs-System'!$C$26*'Coincidence Factors'!$B$5*(1+'Inputs-System'!$C$18)*(1+'Inputs-System'!$C$42))*'Inputs-Proposals'!$D$16*(VLOOKUP(AN$3,Capacity!$A$53:$E$85,4,FALSE)*(1+'Inputs-System'!$C$42)+VLOOKUP(AN$3,Capacity!$A$53:$E$85,5,FALSE)*(1+'Inputs-System'!$C$43)*'Inputs-System'!$C$29), $C11 = "2", ('Inputs-System'!$C$26*'Coincidence Factors'!$B$5*(1+'Inputs-System'!$C$18))*'Inputs-Proposals'!$D$22*(VLOOKUP(AN$3,Capacity!$A$53:$E$85,4,FALSE)*(1+'Inputs-System'!$C$42)+VLOOKUP(AN$3,Capacity!$A$53:$E$85,5,FALSE)*'Inputs-System'!$C$29*(1+'Inputs-System'!$C$43)), $C11 = "3", ('Inputs-System'!$C$26*'Coincidence Factors'!$B$5*(1+'Inputs-System'!$C$18))*'Inputs-Proposals'!$D$28*(VLOOKUP(AN$3,Capacity!$A$53:$E$85,4,FALSE)*(1+'Inputs-System'!$C$42)+VLOOKUP(AN$3,Capacity!$A$53:$E$85,5,FALSE)*'Inputs-System'!$C$29*(1+'Inputs-System'!$C$43)), $C11 = "0", 0), 0)</f>
        <v>0</v>
      </c>
      <c r="AR11" s="100">
        <v>0</v>
      </c>
      <c r="AS11" s="346">
        <f>IFERROR(_xlfn.IFS($C11="1", 'Inputs-System'!$C$30*'Coincidence Factors'!$B$5*'Inputs-Proposals'!$D$17*'Inputs-Proposals'!$D$19*(VLOOKUP(AN$3,'Non-Embedded Emissions'!$A$56:$D$90,2,FALSE)+VLOOKUP(AN$3,'Non-Embedded Emissions'!$A$143:$D$174,2,FALSE)+VLOOKUP(AN$3,'Non-Embedded Emissions'!$A$230:$D$259,2,FALSE)-VLOOKUP(AN$3,'Non-Embedded Emissions'!$A$56:$D$90,3,FALSE)-VLOOKUP(AN$3,'Non-Embedded Emissions'!$A$143:$D$174,3,FALSE)-VLOOKUP(AN$3,'Non-Embedded Emissions'!$A$230:$D$259,3,FALSE)), $C11 = "2", 'Inputs-System'!$C$30*'Coincidence Factors'!$B$5*'Inputs-Proposals'!$D$23*'Inputs-Proposals'!$D$25*(VLOOKUP(AN$3,'Non-Embedded Emissions'!$A$56:$D$90,2,FALSE)+VLOOKUP(AN$3,'Non-Embedded Emissions'!$A$143:$D$174,2,FALSE)+VLOOKUP(AN$3,'Non-Embedded Emissions'!$A$230:$D$259,2,FALSE)-VLOOKUP(AN$3,'Non-Embedded Emissions'!$A$56:$D$90,3,FALSE)-VLOOKUP(AN$3,'Non-Embedded Emissions'!$A$143:$D$174,3,FALSE)-VLOOKUP(AN$3,'Non-Embedded Emissions'!$A$230:$D$259,3,FALSE)), $C11 = "3", 'Inputs-System'!$C$30*'Coincidence Factors'!$B$5*'Inputs-Proposals'!$D$29*'Inputs-Proposals'!$D$31*(VLOOKUP(AN$3,'Non-Embedded Emissions'!$A$56:$D$90,2,FALSE)+VLOOKUP(AN$3,'Non-Embedded Emissions'!$A$143:$D$174,2,FALSE)+VLOOKUP(AN$3,'Non-Embedded Emissions'!$A$230:$D$259,2,FALSE)-VLOOKUP(AN$3,'Non-Embedded Emissions'!$A$56:$D$90,3,FALSE)-VLOOKUP(AN$3,'Non-Embedded Emissions'!$A$143:$D$174,3,FALSE)-VLOOKUP(AN$3,'Non-Embedded Emissions'!$A$230:$D$259,3,FALSE)), $C11 = "0", 0), 0)</f>
        <v>0</v>
      </c>
      <c r="AT11" s="345">
        <f>IFERROR(_xlfn.IFS($C11="1",('Inputs-System'!$C$30*'Coincidence Factors'!$B$5*(1+'Inputs-System'!$C$18)*(1+'Inputs-System'!$C$41)*('Inputs-Proposals'!$D$17*'Inputs-Proposals'!$D$19*(1-'Inputs-Proposals'!$D$20))*(VLOOKUP(AT$3,Energy!$A$51:$K$83,5,FALSE)-VLOOKUP(AT$3,Energy!$A$51:$K$83,6,FALSE))), $C11 = "2",('Inputs-System'!$C$30*'Coincidence Factors'!$B$5)*(1+'Inputs-System'!$C$18)*(1+'Inputs-System'!$C$41)*('Inputs-Proposals'!$D$23*'Inputs-Proposals'!$D$25*(1-'Inputs-Proposals'!$D$26))*(VLOOKUP(AT$3,Energy!$A$51:$K$83,5,FALSE)-VLOOKUP(AT$3,Energy!$A$51:$K$83,6,FALSE)), $C11= "3", ('Inputs-System'!$C$30*'Coincidence Factors'!$B$5*(1+'Inputs-System'!$C$18)*(1+'Inputs-System'!$C$41)*('Inputs-Proposals'!$D$29*'Inputs-Proposals'!$D$31*(1-'Inputs-Proposals'!$D$32))*(VLOOKUP(AT$3,Energy!$A$51:$K$83,5,FALSE)-VLOOKUP(AT$3,Energy!$A$51:$K$83,6,FALSE))), $C11= "0", 0), 0)</f>
        <v>0</v>
      </c>
      <c r="AU11" s="100">
        <f>IFERROR(_xlfn.IFS($C11="1", 'Inputs-System'!$C$30*'Coincidence Factors'!$B$5*(1+'Inputs-System'!$C$18)*(1+'Inputs-System'!$C$41)*'Inputs-Proposals'!$D$17*'Inputs-Proposals'!$D$19*(1-'Inputs-Proposals'!$D$20)*(VLOOKUP(AT$3,'Embedded Emissions'!$A$47:$B$78,2,FALSE)+VLOOKUP(AT$3,'Embedded Emissions'!$A$129:$B$158,2,FALSE)), $C11 = "2",'Inputs-System'!$C$30*'Coincidence Factors'!$B$5*(1+'Inputs-System'!$C$18)*(1+'Inputs-System'!$C$41)*'Inputs-Proposals'!$D$23*'Inputs-Proposals'!$D$25*(1-'Inputs-Proposals'!$D$20)*(VLOOKUP(AT$3,'Embedded Emissions'!$A$47:$B$78,2,FALSE)+VLOOKUP(AT$3,'Embedded Emissions'!$A$129:$B$158,2,FALSE)), $C11 = "3", 'Inputs-System'!$C$30*'Coincidence Factors'!$B$5*(1+'Inputs-System'!$C$18)*(1+'Inputs-System'!$C$41)*'Inputs-Proposals'!$D$29*'Inputs-Proposals'!$D$31*(1-'Inputs-Proposals'!$D$20)*(VLOOKUP(AT$3,'Embedded Emissions'!$A$47:$B$78,2,FALSE)+VLOOKUP(AT$3,'Embedded Emissions'!$A$129:$B$158,2,FALSE)), $C11 = "0", 0), 0)</f>
        <v>0</v>
      </c>
      <c r="AV11" s="100">
        <f>IFERROR(_xlfn.IFS($C11="1",( 'Inputs-System'!$C$30*'Coincidence Factors'!$B$5*(1+'Inputs-System'!$C$18)*(1+'Inputs-System'!$C$41))*('Inputs-Proposals'!$D$17*'Inputs-Proposals'!$D$19*(1-'Inputs-Proposals'!$D$20))*(VLOOKUP(AT$3,DRIPE!$A$54:$I$82,5,FALSE)-VLOOKUP(AT$3,DRIPE!$A$54:$I$82,6,FALSE)+VLOOKUP(AT$3,DRIPE!$A$54:$I$82,9,FALSE))+ ('Inputs-System'!$C$26*'Coincidence Factors'!$B$5*(1+'Inputs-System'!$C$18)*(1+'Inputs-System'!$C$42))*'Inputs-Proposals'!$D$16*VLOOKUP(AT$3,DRIPE!$A$54:$I$80,8,FALSE), $C11 = "2",( 'Inputs-System'!$C$30*'Coincidence Factors'!$B$5*(1+'Inputs-System'!$C$18)*(1+'Inputs-System'!$C$41))*('Inputs-Proposals'!$D$23*'Inputs-Proposals'!$D$25*(1-'Inputs-Proposals'!$D$26))*(VLOOKUP(AT$3,DRIPE!$A$54:$I$82,5,FALSE)-VLOOKUP(AT$3,DRIPE!$A$54:$I$82,6,FALSE)+VLOOKUP(AT$3,DRIPE!$A$54:$I$82,9,FALSE))+ ('Inputs-System'!$C$26*'Coincidence Factors'!$B$5*(1+'Inputs-System'!$C$18)*(1+'Inputs-System'!$C$42))+ ('Inputs-System'!$C$26*'Coincidence Factors'!$B$5)*'Inputs-Proposals'!$D$22*VLOOKUP(AT$3,DRIPE!$A$54:$I$80,8,FALSE), $C11= "3", ('Inputs-System'!$C$30*'Coincidence Factors'!$B$5)*('Inputs-Proposals'!$D$29*'Inputs-Proposals'!$D$31*(1-'Inputs-Proposals'!$D$32))*(VLOOKUP(AT$3,DRIPE!$A$54:$I$80,5,FALSE)-VLOOKUP(AT$3,DRIPE!$A$54:$I$80,6,FALSE)+VLOOKUP(AT$3,DRIPE!$A$54:$I$80,9,FALSE))+ ('Inputs-System'!$C$26*'Coincidence Factors'!$B$5*(1+'Inputs-System'!$C$18)*(1+'Inputs-System'!$C$42))*'Inputs-Proposals'!$D$28*VLOOKUP(AT$3,DRIPE!$A$54:$I$80,8,FALSE), $C11 = "0", 0), 0)</f>
        <v>0</v>
      </c>
      <c r="AW11" s="345">
        <f>IFERROR(_xlfn.IFS($C11="1",('Inputs-System'!$C$26*'Coincidence Factors'!$B$5*(1+'Inputs-System'!$C$18)*(1+'Inputs-System'!$C$42))*'Inputs-Proposals'!$D$16*(VLOOKUP(AT$3,Capacity!$A$53:$E$85,4,FALSE)*(1+'Inputs-System'!$C$42)+VLOOKUP(AT$3,Capacity!$A$53:$E$85,5,FALSE)*(1+'Inputs-System'!$C$43)*'Inputs-System'!$C$29), $C11 = "2", ('Inputs-System'!$C$26*'Coincidence Factors'!$B$5*(1+'Inputs-System'!$C$18))*'Inputs-Proposals'!$D$22*(VLOOKUP(AT$3,Capacity!$A$53:$E$85,4,FALSE)*(1+'Inputs-System'!$C$42)+VLOOKUP(AT$3,Capacity!$A$53:$E$85,5,FALSE)*'Inputs-System'!$C$29*(1+'Inputs-System'!$C$43)), $C11 = "3", ('Inputs-System'!$C$26*'Coincidence Factors'!$B$5*(1+'Inputs-System'!$C$18))*'Inputs-Proposals'!$D$28*(VLOOKUP(AT$3,Capacity!$A$53:$E$85,4,FALSE)*(1+'Inputs-System'!$C$42)+VLOOKUP(AT$3,Capacity!$A$53:$E$85,5,FALSE)*'Inputs-System'!$C$29*(1+'Inputs-System'!$C$43)), $C11 = "0", 0), 0)</f>
        <v>0</v>
      </c>
      <c r="AX11" s="100">
        <v>0</v>
      </c>
      <c r="AY11" s="346">
        <f>IFERROR(_xlfn.IFS($C11="1", 'Inputs-System'!$C$30*'Coincidence Factors'!$B$5*'Inputs-Proposals'!$D$17*'Inputs-Proposals'!$D$19*(VLOOKUP(AT$3,'Non-Embedded Emissions'!$A$56:$D$90,2,FALSE)+VLOOKUP(AT$3,'Non-Embedded Emissions'!$A$143:$D$174,2,FALSE)+VLOOKUP(AT$3,'Non-Embedded Emissions'!$A$230:$D$259,2,FALSE)-VLOOKUP(AT$3,'Non-Embedded Emissions'!$A$56:$D$90,3,FALSE)-VLOOKUP(AT$3,'Non-Embedded Emissions'!$A$143:$D$174,3,FALSE)-VLOOKUP(AT$3,'Non-Embedded Emissions'!$A$230:$D$259,3,FALSE)), $C11 = "2", 'Inputs-System'!$C$30*'Coincidence Factors'!$B$5*'Inputs-Proposals'!$D$23*'Inputs-Proposals'!$D$25*(VLOOKUP(AT$3,'Non-Embedded Emissions'!$A$56:$D$90,2,FALSE)+VLOOKUP(AT$3,'Non-Embedded Emissions'!$A$143:$D$174,2,FALSE)+VLOOKUP(AT$3,'Non-Embedded Emissions'!$A$230:$D$259,2,FALSE)-VLOOKUP(AT$3,'Non-Embedded Emissions'!$A$56:$D$90,3,FALSE)-VLOOKUP(AT$3,'Non-Embedded Emissions'!$A$143:$D$174,3,FALSE)-VLOOKUP(AT$3,'Non-Embedded Emissions'!$A$230:$D$259,3,FALSE)), $C11 = "3", 'Inputs-System'!$C$30*'Coincidence Factors'!$B$5*'Inputs-Proposals'!$D$29*'Inputs-Proposals'!$D$31*(VLOOKUP(AT$3,'Non-Embedded Emissions'!$A$56:$D$90,2,FALSE)+VLOOKUP(AT$3,'Non-Embedded Emissions'!$A$143:$D$174,2,FALSE)+VLOOKUP(AT$3,'Non-Embedded Emissions'!$A$230:$D$259,2,FALSE)-VLOOKUP(AT$3,'Non-Embedded Emissions'!$A$56:$D$90,3,FALSE)-VLOOKUP(AT$3,'Non-Embedded Emissions'!$A$143:$D$174,3,FALSE)-VLOOKUP(AT$3,'Non-Embedded Emissions'!$A$230:$D$259,3,FALSE)), $C11 = "0", 0), 0)</f>
        <v>0</v>
      </c>
      <c r="AZ11" s="345">
        <f>IFERROR(_xlfn.IFS($C11="1",('Inputs-System'!$C$30*'Coincidence Factors'!$B$5*(1+'Inputs-System'!$C$18)*(1+'Inputs-System'!$C$41)*('Inputs-Proposals'!$D$17*'Inputs-Proposals'!$D$19*(1-'Inputs-Proposals'!$D$20))*(VLOOKUP(AZ$3,Energy!$A$51:$K$83,5,FALSE)-VLOOKUP(AZ$3,Energy!$A$51:$K$83,6,FALSE))), $C11 = "2",('Inputs-System'!$C$30*'Coincidence Factors'!$B$5)*(1+'Inputs-System'!$C$18)*(1+'Inputs-System'!$C$41)*('Inputs-Proposals'!$D$23*'Inputs-Proposals'!$D$25*(1-'Inputs-Proposals'!$D$26))*(VLOOKUP(AZ$3,Energy!$A$51:$K$83,5,FALSE)-VLOOKUP(AZ$3,Energy!$A$51:$K$83,6,FALSE)), $C11= "3", ('Inputs-System'!$C$30*'Coincidence Factors'!$B$5*(1+'Inputs-System'!$C$18)*(1+'Inputs-System'!$C$41)*('Inputs-Proposals'!$D$29*'Inputs-Proposals'!$D$31*(1-'Inputs-Proposals'!$D$32))*(VLOOKUP(AZ$3,Energy!$A$51:$K$83,5,FALSE)-VLOOKUP(AZ$3,Energy!$A$51:$K$83,6,FALSE))), $C11= "0", 0), 0)</f>
        <v>0</v>
      </c>
      <c r="BA11" s="100">
        <f>IFERROR(_xlfn.IFS($C11="1", 'Inputs-System'!$C$30*'Coincidence Factors'!$B$5*(1+'Inputs-System'!$C$18)*(1+'Inputs-System'!$C$41)*'Inputs-Proposals'!$D$17*'Inputs-Proposals'!$D$19*(1-'Inputs-Proposals'!$D$20)*(VLOOKUP(AZ$3,'Embedded Emissions'!$A$47:$B$78,2,FALSE)+VLOOKUP(AZ$3,'Embedded Emissions'!$A$129:$B$158,2,FALSE)), $C11 = "2",'Inputs-System'!$C$30*'Coincidence Factors'!$B$5*(1+'Inputs-System'!$C$18)*(1+'Inputs-System'!$C$41)*'Inputs-Proposals'!$D$23*'Inputs-Proposals'!$D$25*(1-'Inputs-Proposals'!$D$20)*(VLOOKUP(AZ$3,'Embedded Emissions'!$A$47:$B$78,2,FALSE)+VLOOKUP(AZ$3,'Embedded Emissions'!$A$129:$B$158,2,FALSE)), $C11 = "3", 'Inputs-System'!$C$30*'Coincidence Factors'!$B$5*(1+'Inputs-System'!$C$18)*(1+'Inputs-System'!$C$41)*'Inputs-Proposals'!$D$29*'Inputs-Proposals'!$D$31*(1-'Inputs-Proposals'!$D$20)*(VLOOKUP(AZ$3,'Embedded Emissions'!$A$47:$B$78,2,FALSE)+VLOOKUP(AZ$3,'Embedded Emissions'!$A$129:$B$158,2,FALSE)), $C11 = "0", 0), 0)</f>
        <v>0</v>
      </c>
      <c r="BB11" s="100">
        <f>IFERROR(_xlfn.IFS($C11="1",( 'Inputs-System'!$C$30*'Coincidence Factors'!$B$5*(1+'Inputs-System'!$C$18)*(1+'Inputs-System'!$C$41))*('Inputs-Proposals'!$D$17*'Inputs-Proposals'!$D$19*(1-'Inputs-Proposals'!$D$20))*(VLOOKUP(AZ$3,DRIPE!$A$54:$I$82,5,FALSE)-VLOOKUP(AZ$3,DRIPE!$A$54:$I$82,6,FALSE)+VLOOKUP(AZ$3,DRIPE!$A$54:$I$82,9,FALSE))+ ('Inputs-System'!$C$26*'Coincidence Factors'!$B$5*(1+'Inputs-System'!$C$18)*(1+'Inputs-System'!$C$42))*'Inputs-Proposals'!$D$16*VLOOKUP(AZ$3,DRIPE!$A$54:$I$80,8,FALSE), $C11 = "2",( 'Inputs-System'!$C$30*'Coincidence Factors'!$B$5*(1+'Inputs-System'!$C$18)*(1+'Inputs-System'!$C$41))*('Inputs-Proposals'!$D$23*'Inputs-Proposals'!$D$25*(1-'Inputs-Proposals'!$D$26))*(VLOOKUP(AZ$3,DRIPE!$A$54:$I$82,5,FALSE)-VLOOKUP(AZ$3,DRIPE!$A$54:$I$82,6,FALSE)+VLOOKUP(AZ$3,DRIPE!$A$54:$I$82,9,FALSE))+ ('Inputs-System'!$C$26*'Coincidence Factors'!$B$5*(1+'Inputs-System'!$C$18)*(1+'Inputs-System'!$C$42))+ ('Inputs-System'!$C$26*'Coincidence Factors'!$B$5)*'Inputs-Proposals'!$D$22*VLOOKUP(AZ$3,DRIPE!$A$54:$I$80,8,FALSE), $C11= "3", ('Inputs-System'!$C$30*'Coincidence Factors'!$B$5)*('Inputs-Proposals'!$D$29*'Inputs-Proposals'!$D$31*(1-'Inputs-Proposals'!$D$32))*(VLOOKUP(AZ$3,DRIPE!$A$54:$I$80,5,FALSE)-VLOOKUP(AZ$3,DRIPE!$A$54:$I$80,6,FALSE)+VLOOKUP(AZ$3,DRIPE!$A$54:$I$80,9,FALSE))+ ('Inputs-System'!$C$26*'Coincidence Factors'!$B$5*(1+'Inputs-System'!$C$18)*(1+'Inputs-System'!$C$42))*'Inputs-Proposals'!$D$28*VLOOKUP(AZ$3,DRIPE!$A$54:$I$80,8,FALSE), $C11 = "0", 0), 0)</f>
        <v>0</v>
      </c>
      <c r="BC11" s="345">
        <f>IFERROR(_xlfn.IFS($C11="1",('Inputs-System'!$C$26*'Coincidence Factors'!$B$5*(1+'Inputs-System'!$C$18)*(1+'Inputs-System'!$C$42))*'Inputs-Proposals'!$D$16*(VLOOKUP(AZ$3,Capacity!$A$53:$E$85,4,FALSE)*(1+'Inputs-System'!$C$42)+VLOOKUP(AZ$3,Capacity!$A$53:$E$85,5,FALSE)*(1+'Inputs-System'!$C$43)*'Inputs-System'!$C$29), $C11 = "2", ('Inputs-System'!$C$26*'Coincidence Factors'!$B$5*(1+'Inputs-System'!$C$18))*'Inputs-Proposals'!$D$22*(VLOOKUP(AZ$3,Capacity!$A$53:$E$85,4,FALSE)*(1+'Inputs-System'!$C$42)+VLOOKUP(AZ$3,Capacity!$A$53:$E$85,5,FALSE)*'Inputs-System'!$C$29*(1+'Inputs-System'!$C$43)), $C11 = "3", ('Inputs-System'!$C$26*'Coincidence Factors'!$B$5*(1+'Inputs-System'!$C$18))*'Inputs-Proposals'!$D$28*(VLOOKUP(AZ$3,Capacity!$A$53:$E$85,4,FALSE)*(1+'Inputs-System'!$C$42)+VLOOKUP(AZ$3,Capacity!$A$53:$E$85,5,FALSE)*'Inputs-System'!$C$29*(1+'Inputs-System'!$C$43)), $C11 = "0", 0), 0)</f>
        <v>0</v>
      </c>
      <c r="BD11" s="100">
        <v>0</v>
      </c>
      <c r="BE11" s="346">
        <f>IFERROR(_xlfn.IFS($C11="1", 'Inputs-System'!$C$30*'Coincidence Factors'!$B$5*'Inputs-Proposals'!$D$17*'Inputs-Proposals'!$D$19*(VLOOKUP(AZ$3,'Non-Embedded Emissions'!$A$56:$D$90,2,FALSE)+VLOOKUP(AZ$3,'Non-Embedded Emissions'!$A$143:$D$174,2,FALSE)+VLOOKUP(AZ$3,'Non-Embedded Emissions'!$A$230:$D$259,2,FALSE)-VLOOKUP(AZ$3,'Non-Embedded Emissions'!$A$56:$D$90,3,FALSE)-VLOOKUP(AZ$3,'Non-Embedded Emissions'!$A$143:$D$174,3,FALSE)-VLOOKUP(AZ$3,'Non-Embedded Emissions'!$A$230:$D$259,3,FALSE)), $C11 = "2", 'Inputs-System'!$C$30*'Coincidence Factors'!$B$5*'Inputs-Proposals'!$D$23*'Inputs-Proposals'!$D$25*(VLOOKUP(AZ$3,'Non-Embedded Emissions'!$A$56:$D$90,2,FALSE)+VLOOKUP(AZ$3,'Non-Embedded Emissions'!$A$143:$D$174,2,FALSE)+VLOOKUP(AZ$3,'Non-Embedded Emissions'!$A$230:$D$259,2,FALSE)-VLOOKUP(AZ$3,'Non-Embedded Emissions'!$A$56:$D$90,3,FALSE)-VLOOKUP(AZ$3,'Non-Embedded Emissions'!$A$143:$D$174,3,FALSE)-VLOOKUP(AZ$3,'Non-Embedded Emissions'!$A$230:$D$259,3,FALSE)), $C11 = "3", 'Inputs-System'!$C$30*'Coincidence Factors'!$B$5*'Inputs-Proposals'!$D$29*'Inputs-Proposals'!$D$31*(VLOOKUP(AZ$3,'Non-Embedded Emissions'!$A$56:$D$90,2,FALSE)+VLOOKUP(AZ$3,'Non-Embedded Emissions'!$A$143:$D$174,2,FALSE)+VLOOKUP(AZ$3,'Non-Embedded Emissions'!$A$230:$D$259,2,FALSE)-VLOOKUP(AZ$3,'Non-Embedded Emissions'!$A$56:$D$90,3,FALSE)-VLOOKUP(AZ$3,'Non-Embedded Emissions'!$A$143:$D$174,3,FALSE)-VLOOKUP(AZ$3,'Non-Embedded Emissions'!$A$230:$D$259,3,FALSE)), $C11 = "0", 0), 0)</f>
        <v>0</v>
      </c>
      <c r="BF11" s="345">
        <f>IFERROR(_xlfn.IFS($C11="1",('Inputs-System'!$C$30*'Coincidence Factors'!$B$5*(1+'Inputs-System'!$C$18)*(1+'Inputs-System'!$C$41)*('Inputs-Proposals'!$D$17*'Inputs-Proposals'!$D$19*(1-'Inputs-Proposals'!$D$20))*(VLOOKUP(BF$3,Energy!$A$51:$K$83,5,FALSE)-VLOOKUP(BF$3,Energy!$A$51:$K$83,6,FALSE))), $C11 = "2",('Inputs-System'!$C$30*'Coincidence Factors'!$B$5)*(1+'Inputs-System'!$C$18)*(1+'Inputs-System'!$C$41)*('Inputs-Proposals'!$D$23*'Inputs-Proposals'!$D$25*(1-'Inputs-Proposals'!$D$26))*(VLOOKUP(BF$3,Energy!$A$51:$K$83,5,FALSE)-VLOOKUP(BF$3,Energy!$A$51:$K$83,6,FALSE)), $C11= "3", ('Inputs-System'!$C$30*'Coincidence Factors'!$B$5*(1+'Inputs-System'!$C$18)*(1+'Inputs-System'!$C$41)*('Inputs-Proposals'!$D$29*'Inputs-Proposals'!$D$31*(1-'Inputs-Proposals'!$D$32))*(VLOOKUP(BF$3,Energy!$A$51:$K$83,5,FALSE)-VLOOKUP(BF$3,Energy!$A$51:$K$83,6,FALSE))), $C11= "0", 0), 0)</f>
        <v>0</v>
      </c>
      <c r="BG11" s="100">
        <f>IFERROR(_xlfn.IFS($C11="1", 'Inputs-System'!$C$30*'Coincidence Factors'!$B$5*(1+'Inputs-System'!$C$18)*(1+'Inputs-System'!$C$41)*'Inputs-Proposals'!$D$17*'Inputs-Proposals'!$D$19*(1-'Inputs-Proposals'!$D$20)*(VLOOKUP(BF$3,'Embedded Emissions'!$A$47:$B$78,2,FALSE)+VLOOKUP(BF$3,'Embedded Emissions'!$A$129:$B$158,2,FALSE)), $C11 = "2",'Inputs-System'!$C$30*'Coincidence Factors'!$B$5*(1+'Inputs-System'!$C$18)*(1+'Inputs-System'!$C$41)*'Inputs-Proposals'!$D$23*'Inputs-Proposals'!$D$25*(1-'Inputs-Proposals'!$D$20)*(VLOOKUP(BF$3,'Embedded Emissions'!$A$47:$B$78,2,FALSE)+VLOOKUP(BF$3,'Embedded Emissions'!$A$129:$B$158,2,FALSE)), $C11 = "3", 'Inputs-System'!$C$30*'Coincidence Factors'!$B$5*(1+'Inputs-System'!$C$18)*(1+'Inputs-System'!$C$41)*'Inputs-Proposals'!$D$29*'Inputs-Proposals'!$D$31*(1-'Inputs-Proposals'!$D$20)*(VLOOKUP(BF$3,'Embedded Emissions'!$A$47:$B$78,2,FALSE)+VLOOKUP(BF$3,'Embedded Emissions'!$A$129:$B$158,2,FALSE)), $C11 = "0", 0), 0)</f>
        <v>0</v>
      </c>
      <c r="BH11" s="100">
        <f>IFERROR(_xlfn.IFS($C11="1",( 'Inputs-System'!$C$30*'Coincidence Factors'!$B$5*(1+'Inputs-System'!$C$18)*(1+'Inputs-System'!$C$41))*('Inputs-Proposals'!$D$17*'Inputs-Proposals'!$D$19*(1-'Inputs-Proposals'!$D$20))*(VLOOKUP(BF$3,DRIPE!$A$54:$I$82,5,FALSE)-VLOOKUP(BF$3,DRIPE!$A$54:$I$82,6,FALSE)+VLOOKUP(BF$3,DRIPE!$A$54:$I$82,9,FALSE))+ ('Inputs-System'!$C$26*'Coincidence Factors'!$B$5*(1+'Inputs-System'!$C$18)*(1+'Inputs-System'!$C$42))*'Inputs-Proposals'!$D$16*VLOOKUP(BF$3,DRIPE!$A$54:$I$80,8,FALSE), $C11 = "2",( 'Inputs-System'!$C$30*'Coincidence Factors'!$B$5*(1+'Inputs-System'!$C$18)*(1+'Inputs-System'!$C$41))*('Inputs-Proposals'!$D$23*'Inputs-Proposals'!$D$25*(1-'Inputs-Proposals'!$D$26))*(VLOOKUP(BF$3,DRIPE!$A$54:$I$82,5,FALSE)-VLOOKUP(BF$3,DRIPE!$A$54:$I$82,6,FALSE)+VLOOKUP(BF$3,DRIPE!$A$54:$I$82,9,FALSE))+ ('Inputs-System'!$C$26*'Coincidence Factors'!$B$5*(1+'Inputs-System'!$C$18)*(1+'Inputs-System'!$C$42))+ ('Inputs-System'!$C$26*'Coincidence Factors'!$B$5)*'Inputs-Proposals'!$D$22*VLOOKUP(BF$3,DRIPE!$A$54:$I$80,8,FALSE), $C11= "3", ('Inputs-System'!$C$30*'Coincidence Factors'!$B$5)*('Inputs-Proposals'!$D$29*'Inputs-Proposals'!$D$31*(1-'Inputs-Proposals'!$D$32))*(VLOOKUP(BF$3,DRIPE!$A$54:$I$80,5,FALSE)-VLOOKUP(BF$3,DRIPE!$A$54:$I$80,6,FALSE)+VLOOKUP(BF$3,DRIPE!$A$54:$I$80,9,FALSE))+ ('Inputs-System'!$C$26*'Coincidence Factors'!$B$5*(1+'Inputs-System'!$C$18)*(1+'Inputs-System'!$C$42))*'Inputs-Proposals'!$D$28*VLOOKUP(BF$3,DRIPE!$A$54:$I$80,8,FALSE), $C11 = "0", 0), 0)</f>
        <v>0</v>
      </c>
      <c r="BI11" s="345">
        <f>IFERROR(_xlfn.IFS($C11="1",('Inputs-System'!$C$26*'Coincidence Factors'!$B$5*(1+'Inputs-System'!$C$18)*(1+'Inputs-System'!$C$42))*'Inputs-Proposals'!$D$16*(VLOOKUP(BF$3,Capacity!$A$53:$E$85,4,FALSE)*(1+'Inputs-System'!$C$42)+VLOOKUP(BF$3,Capacity!$A$53:$E$85,5,FALSE)*(1+'Inputs-System'!$C$43)*'Inputs-System'!$C$29), $C11 = "2", ('Inputs-System'!$C$26*'Coincidence Factors'!$B$5*(1+'Inputs-System'!$C$18))*'Inputs-Proposals'!$D$22*(VLOOKUP(BF$3,Capacity!$A$53:$E$85,4,FALSE)*(1+'Inputs-System'!$C$42)+VLOOKUP(BF$3,Capacity!$A$53:$E$85,5,FALSE)*'Inputs-System'!$C$29*(1+'Inputs-System'!$C$43)), $C11 = "3", ('Inputs-System'!$C$26*'Coincidence Factors'!$B$5*(1+'Inputs-System'!$C$18))*'Inputs-Proposals'!$D$28*(VLOOKUP(BF$3,Capacity!$A$53:$E$85,4,FALSE)*(1+'Inputs-System'!$C$42)+VLOOKUP(BF$3,Capacity!$A$53:$E$85,5,FALSE)*'Inputs-System'!$C$29*(1+'Inputs-System'!$C$43)), $C11 = "0", 0), 0)</f>
        <v>0</v>
      </c>
      <c r="BJ11" s="100">
        <v>0</v>
      </c>
      <c r="BK11" s="346">
        <f>IFERROR(_xlfn.IFS($C11="1", 'Inputs-System'!$C$30*'Coincidence Factors'!$B$5*'Inputs-Proposals'!$D$17*'Inputs-Proposals'!$D$19*(VLOOKUP(BF$3,'Non-Embedded Emissions'!$A$56:$D$90,2,FALSE)+VLOOKUP(BF$3,'Non-Embedded Emissions'!$A$143:$D$174,2,FALSE)+VLOOKUP(BF$3,'Non-Embedded Emissions'!$A$230:$D$259,2,FALSE)-VLOOKUP(BF$3,'Non-Embedded Emissions'!$A$56:$D$90,3,FALSE)-VLOOKUP(BF$3,'Non-Embedded Emissions'!$A$143:$D$174,3,FALSE)-VLOOKUP(BF$3,'Non-Embedded Emissions'!$A$230:$D$259,3,FALSE)), $C11 = "2", 'Inputs-System'!$C$30*'Coincidence Factors'!$B$5*'Inputs-Proposals'!$D$23*'Inputs-Proposals'!$D$25*(VLOOKUP(BF$3,'Non-Embedded Emissions'!$A$56:$D$90,2,FALSE)+VLOOKUP(BF$3,'Non-Embedded Emissions'!$A$143:$D$174,2,FALSE)+VLOOKUP(BF$3,'Non-Embedded Emissions'!$A$230:$D$259,2,FALSE)-VLOOKUP(BF$3,'Non-Embedded Emissions'!$A$56:$D$90,3,FALSE)-VLOOKUP(BF$3,'Non-Embedded Emissions'!$A$143:$D$174,3,FALSE)-VLOOKUP(BF$3,'Non-Embedded Emissions'!$A$230:$D$259,3,FALSE)), $C11 = "3", 'Inputs-System'!$C$30*'Coincidence Factors'!$B$5*'Inputs-Proposals'!$D$29*'Inputs-Proposals'!$D$31*(VLOOKUP(BF$3,'Non-Embedded Emissions'!$A$56:$D$90,2,FALSE)+VLOOKUP(BF$3,'Non-Embedded Emissions'!$A$143:$D$174,2,FALSE)+VLOOKUP(BF$3,'Non-Embedded Emissions'!$A$230:$D$259,2,FALSE)-VLOOKUP(BF$3,'Non-Embedded Emissions'!$A$56:$D$90,3,FALSE)-VLOOKUP(BF$3,'Non-Embedded Emissions'!$A$143:$D$174,3,FALSE)-VLOOKUP(BF$3,'Non-Embedded Emissions'!$A$230:$D$259,3,FALSE)), $C11 = "0", 0), 0)</f>
        <v>0</v>
      </c>
      <c r="BL11" s="345">
        <f>IFERROR(_xlfn.IFS($C11="1",('Inputs-System'!$C$30*'Coincidence Factors'!$B$5*(1+'Inputs-System'!$C$18)*(1+'Inputs-System'!$C$41)*('Inputs-Proposals'!$D$17*'Inputs-Proposals'!$D$19*(1-'Inputs-Proposals'!$D$20))*(VLOOKUP(BL$3,Energy!$A$51:$K$83,5,FALSE)-VLOOKUP(BL$3,Energy!$A$51:$K$83,6,FALSE))), $C11 = "2",('Inputs-System'!$C$30*'Coincidence Factors'!$B$5)*(1+'Inputs-System'!$C$18)*(1+'Inputs-System'!$C$41)*('Inputs-Proposals'!$D$23*'Inputs-Proposals'!$D$25*(1-'Inputs-Proposals'!$D$26))*(VLOOKUP(BL$3,Energy!$A$51:$K$83,5,FALSE)-VLOOKUP(BL$3,Energy!$A$51:$K$83,6,FALSE)), $C11= "3", ('Inputs-System'!$C$30*'Coincidence Factors'!$B$5*(1+'Inputs-System'!$C$18)*(1+'Inputs-System'!$C$41)*('Inputs-Proposals'!$D$29*'Inputs-Proposals'!$D$31*(1-'Inputs-Proposals'!$D$32))*(VLOOKUP(BL$3,Energy!$A$51:$K$83,5,FALSE)-VLOOKUP(BL$3,Energy!$A$51:$K$83,6,FALSE))), $C11= "0", 0), 0)</f>
        <v>0</v>
      </c>
      <c r="BM11" s="100">
        <f>IFERROR(_xlfn.IFS($C11="1", 'Inputs-System'!$C$30*'Coincidence Factors'!$B$5*(1+'Inputs-System'!$C$18)*(1+'Inputs-System'!$C$41)*'Inputs-Proposals'!$D$17*'Inputs-Proposals'!$D$19*(1-'Inputs-Proposals'!$D$20)*(VLOOKUP(BL$3,'Embedded Emissions'!$A$47:$B$78,2,FALSE)+VLOOKUP(BL$3,'Embedded Emissions'!$A$129:$B$158,2,FALSE)), $C11 = "2",'Inputs-System'!$C$30*'Coincidence Factors'!$B$5*(1+'Inputs-System'!$C$18)*(1+'Inputs-System'!$C$41)*'Inputs-Proposals'!$D$23*'Inputs-Proposals'!$D$25*(1-'Inputs-Proposals'!$D$20)*(VLOOKUP(BL$3,'Embedded Emissions'!$A$47:$B$78,2,FALSE)+VLOOKUP(BL$3,'Embedded Emissions'!$A$129:$B$158,2,FALSE)), $C11 = "3", 'Inputs-System'!$C$30*'Coincidence Factors'!$B$5*(1+'Inputs-System'!$C$18)*(1+'Inputs-System'!$C$41)*'Inputs-Proposals'!$D$29*'Inputs-Proposals'!$D$31*(1-'Inputs-Proposals'!$D$20)*(VLOOKUP(BL$3,'Embedded Emissions'!$A$47:$B$78,2,FALSE)+VLOOKUP(BL$3,'Embedded Emissions'!$A$129:$B$158,2,FALSE)), $C11 = "0", 0), 0)</f>
        <v>0</v>
      </c>
      <c r="BN11" s="100">
        <f>IFERROR(_xlfn.IFS($C11="1",( 'Inputs-System'!$C$30*'Coincidence Factors'!$B$5*(1+'Inputs-System'!$C$18)*(1+'Inputs-System'!$C$41))*('Inputs-Proposals'!$D$17*'Inputs-Proposals'!$D$19*(1-'Inputs-Proposals'!$D$20))*(VLOOKUP(BL$3,DRIPE!$A$54:$I$82,5,FALSE)-VLOOKUP(BL$3,DRIPE!$A$54:$I$82,6,FALSE)+VLOOKUP(BL$3,DRIPE!$A$54:$I$82,9,FALSE))+ ('Inputs-System'!$C$26*'Coincidence Factors'!$B$5*(1+'Inputs-System'!$C$18)*(1+'Inputs-System'!$C$42))*'Inputs-Proposals'!$D$16*VLOOKUP(BL$3,DRIPE!$A$54:$I$80,8,FALSE), $C11 = "2",( 'Inputs-System'!$C$30*'Coincidence Factors'!$B$5*(1+'Inputs-System'!$C$18)*(1+'Inputs-System'!$C$41))*('Inputs-Proposals'!$D$23*'Inputs-Proposals'!$D$25*(1-'Inputs-Proposals'!$D$26))*(VLOOKUP(BL$3,DRIPE!$A$54:$I$82,5,FALSE)-VLOOKUP(BL$3,DRIPE!$A$54:$I$82,6,FALSE)+VLOOKUP(BL$3,DRIPE!$A$54:$I$82,9,FALSE))+ ('Inputs-System'!$C$26*'Coincidence Factors'!$B$5*(1+'Inputs-System'!$C$18)*(1+'Inputs-System'!$C$42))+ ('Inputs-System'!$C$26*'Coincidence Factors'!$B$5)*'Inputs-Proposals'!$D$22*VLOOKUP(BL$3,DRIPE!$A$54:$I$80,8,FALSE), $C11= "3", ('Inputs-System'!$C$30*'Coincidence Factors'!$B$5)*('Inputs-Proposals'!$D$29*'Inputs-Proposals'!$D$31*(1-'Inputs-Proposals'!$D$32))*(VLOOKUP(BL$3,DRIPE!$A$54:$I$80,5,FALSE)-VLOOKUP(BL$3,DRIPE!$A$54:$I$80,6,FALSE)+VLOOKUP(BL$3,DRIPE!$A$54:$I$80,9,FALSE))+ ('Inputs-System'!$C$26*'Coincidence Factors'!$B$5*(1+'Inputs-System'!$C$18)*(1+'Inputs-System'!$C$42))*'Inputs-Proposals'!$D$28*VLOOKUP(BL$3,DRIPE!$A$54:$I$80,8,FALSE), $C11 = "0", 0), 0)</f>
        <v>0</v>
      </c>
      <c r="BO11" s="345">
        <f>IFERROR(_xlfn.IFS($C11="1",('Inputs-System'!$C$26*'Coincidence Factors'!$B$5*(1+'Inputs-System'!$C$18)*(1+'Inputs-System'!$C$42))*'Inputs-Proposals'!$D$16*(VLOOKUP(BL$3,Capacity!$A$53:$E$85,4,FALSE)*(1+'Inputs-System'!$C$42)+VLOOKUP(BL$3,Capacity!$A$53:$E$85,5,FALSE)*(1+'Inputs-System'!$C$43)*'Inputs-System'!$C$29), $C11 = "2", ('Inputs-System'!$C$26*'Coincidence Factors'!$B$5*(1+'Inputs-System'!$C$18))*'Inputs-Proposals'!$D$22*(VLOOKUP(BL$3,Capacity!$A$53:$E$85,4,FALSE)*(1+'Inputs-System'!$C$42)+VLOOKUP(BL$3,Capacity!$A$53:$E$85,5,FALSE)*'Inputs-System'!$C$29*(1+'Inputs-System'!$C$43)), $C11 = "3", ('Inputs-System'!$C$26*'Coincidence Factors'!$B$5*(1+'Inputs-System'!$C$18))*'Inputs-Proposals'!$D$28*(VLOOKUP(BL$3,Capacity!$A$53:$E$85,4,FALSE)*(1+'Inputs-System'!$C$42)+VLOOKUP(BL$3,Capacity!$A$53:$E$85,5,FALSE)*'Inputs-System'!$C$29*(1+'Inputs-System'!$C$43)), $C11 = "0", 0), 0)</f>
        <v>0</v>
      </c>
      <c r="BP11" s="100">
        <v>0</v>
      </c>
      <c r="BQ11" s="346">
        <f>IFERROR(_xlfn.IFS($C11="1", 'Inputs-System'!$C$30*'Coincidence Factors'!$B$5*'Inputs-Proposals'!$D$17*'Inputs-Proposals'!$D$19*(VLOOKUP(BL$3,'Non-Embedded Emissions'!$A$56:$D$90,2,FALSE)+VLOOKUP(BL$3,'Non-Embedded Emissions'!$A$143:$D$174,2,FALSE)+VLOOKUP(BL$3,'Non-Embedded Emissions'!$A$230:$D$259,2,FALSE)-VLOOKUP(BL$3,'Non-Embedded Emissions'!$A$56:$D$90,3,FALSE)-VLOOKUP(BL$3,'Non-Embedded Emissions'!$A$143:$D$174,3,FALSE)-VLOOKUP(BL$3,'Non-Embedded Emissions'!$A$230:$D$259,3,FALSE)), $C11 = "2", 'Inputs-System'!$C$30*'Coincidence Factors'!$B$5*'Inputs-Proposals'!$D$23*'Inputs-Proposals'!$D$25*(VLOOKUP(BL$3,'Non-Embedded Emissions'!$A$56:$D$90,2,FALSE)+VLOOKUP(BL$3,'Non-Embedded Emissions'!$A$143:$D$174,2,FALSE)+VLOOKUP(BL$3,'Non-Embedded Emissions'!$A$230:$D$259,2,FALSE)-VLOOKUP(BL$3,'Non-Embedded Emissions'!$A$56:$D$90,3,FALSE)-VLOOKUP(BL$3,'Non-Embedded Emissions'!$A$143:$D$174,3,FALSE)-VLOOKUP(BL$3,'Non-Embedded Emissions'!$A$230:$D$259,3,FALSE)), $C11 = "3", 'Inputs-System'!$C$30*'Coincidence Factors'!$B$5*'Inputs-Proposals'!$D$29*'Inputs-Proposals'!$D$31*(VLOOKUP(BL$3,'Non-Embedded Emissions'!$A$56:$D$90,2,FALSE)+VLOOKUP(BL$3,'Non-Embedded Emissions'!$A$143:$D$174,2,FALSE)+VLOOKUP(BL$3,'Non-Embedded Emissions'!$A$230:$D$259,2,FALSE)-VLOOKUP(BL$3,'Non-Embedded Emissions'!$A$56:$D$90,3,FALSE)-VLOOKUP(BL$3,'Non-Embedded Emissions'!$A$143:$D$174,3,FALSE)-VLOOKUP(BL$3,'Non-Embedded Emissions'!$A$230:$D$259,3,FALSE)), $C11 = "0", 0), 0)</f>
        <v>0</v>
      </c>
      <c r="BR11" s="345">
        <f>IFERROR(_xlfn.IFS($C11="1",('Inputs-System'!$C$30*'Coincidence Factors'!$B$5*(1+'Inputs-System'!$C$18)*(1+'Inputs-System'!$C$41)*('Inputs-Proposals'!$D$17*'Inputs-Proposals'!$D$19*(1-'Inputs-Proposals'!$D$20))*(VLOOKUP(BR$3,Energy!$A$51:$K$83,5,FALSE)-VLOOKUP(BR$3,Energy!$A$51:$K$83,6,FALSE))), $C11 = "2",('Inputs-System'!$C$30*'Coincidence Factors'!$B$5)*(1+'Inputs-System'!$C$18)*(1+'Inputs-System'!$C$41)*('Inputs-Proposals'!$D$23*'Inputs-Proposals'!$D$25*(1-'Inputs-Proposals'!$D$26))*(VLOOKUP(BR$3,Energy!$A$51:$K$83,5,FALSE)-VLOOKUP(BR$3,Energy!$A$51:$K$83,6,FALSE)), $C11= "3", ('Inputs-System'!$C$30*'Coincidence Factors'!$B$5*(1+'Inputs-System'!$C$18)*(1+'Inputs-System'!$C$41)*('Inputs-Proposals'!$D$29*'Inputs-Proposals'!$D$31*(1-'Inputs-Proposals'!$D$32))*(VLOOKUP(BR$3,Energy!$A$51:$K$83,5,FALSE)-VLOOKUP(BR$3,Energy!$A$51:$K$83,6,FALSE))), $C11= "0", 0), 0)</f>
        <v>0</v>
      </c>
      <c r="BS11" s="100">
        <f>IFERROR(_xlfn.IFS($C11="1", 'Inputs-System'!$C$30*'Coincidence Factors'!$B$5*(1+'Inputs-System'!$C$18)*(1+'Inputs-System'!$C$41)*'Inputs-Proposals'!$D$17*'Inputs-Proposals'!$D$19*(1-'Inputs-Proposals'!$D$20)*(VLOOKUP(BR$3,'Embedded Emissions'!$A$47:$B$78,2,FALSE)+VLOOKUP(BR$3,'Embedded Emissions'!$A$129:$B$158,2,FALSE)), $C11 = "2",'Inputs-System'!$C$30*'Coincidence Factors'!$B$5*(1+'Inputs-System'!$C$18)*(1+'Inputs-System'!$C$41)*'Inputs-Proposals'!$D$23*'Inputs-Proposals'!$D$25*(1-'Inputs-Proposals'!$D$20)*(VLOOKUP(BR$3,'Embedded Emissions'!$A$47:$B$78,2,FALSE)+VLOOKUP(BR$3,'Embedded Emissions'!$A$129:$B$158,2,FALSE)), $C11 = "3", 'Inputs-System'!$C$30*'Coincidence Factors'!$B$5*(1+'Inputs-System'!$C$18)*(1+'Inputs-System'!$C$41)*'Inputs-Proposals'!$D$29*'Inputs-Proposals'!$D$31*(1-'Inputs-Proposals'!$D$20)*(VLOOKUP(BR$3,'Embedded Emissions'!$A$47:$B$78,2,FALSE)+VLOOKUP(BR$3,'Embedded Emissions'!$A$129:$B$158,2,FALSE)), $C11 = "0", 0), 0)</f>
        <v>0</v>
      </c>
      <c r="BT11" s="100">
        <f>IFERROR(_xlfn.IFS($C11="1",( 'Inputs-System'!$C$30*'Coincidence Factors'!$B$5*(1+'Inputs-System'!$C$18)*(1+'Inputs-System'!$C$41))*('Inputs-Proposals'!$D$17*'Inputs-Proposals'!$D$19*(1-'Inputs-Proposals'!$D$20))*(VLOOKUP(BR$3,DRIPE!$A$54:$I$82,5,FALSE)-VLOOKUP(BR$3,DRIPE!$A$54:$I$82,6,FALSE)+VLOOKUP(BR$3,DRIPE!$A$54:$I$82,9,FALSE))+ ('Inputs-System'!$C$26*'Coincidence Factors'!$B$5*(1+'Inputs-System'!$C$18)*(1+'Inputs-System'!$C$42))*'Inputs-Proposals'!$D$16*VLOOKUP(BR$3,DRIPE!$A$54:$I$80,8,FALSE), $C11 = "2",( 'Inputs-System'!$C$30*'Coincidence Factors'!$B$5*(1+'Inputs-System'!$C$18)*(1+'Inputs-System'!$C$41))*('Inputs-Proposals'!$D$23*'Inputs-Proposals'!$D$25*(1-'Inputs-Proposals'!$D$26))*(VLOOKUP(BR$3,DRIPE!$A$54:$I$82,5,FALSE)-VLOOKUP(BR$3,DRIPE!$A$54:$I$82,6,FALSE)+VLOOKUP(BR$3,DRIPE!$A$54:$I$82,9,FALSE))+ ('Inputs-System'!$C$26*'Coincidence Factors'!$B$5*(1+'Inputs-System'!$C$18)*(1+'Inputs-System'!$C$42))+ ('Inputs-System'!$C$26*'Coincidence Factors'!$B$5)*'Inputs-Proposals'!$D$22*VLOOKUP(BR$3,DRIPE!$A$54:$I$80,8,FALSE), $C11= "3", ('Inputs-System'!$C$30*'Coincidence Factors'!$B$5)*('Inputs-Proposals'!$D$29*'Inputs-Proposals'!$D$31*(1-'Inputs-Proposals'!$D$32))*(VLOOKUP(BR$3,DRIPE!$A$54:$I$80,5,FALSE)-VLOOKUP(BR$3,DRIPE!$A$54:$I$80,6,FALSE)+VLOOKUP(BR$3,DRIPE!$A$54:$I$80,9,FALSE))+ ('Inputs-System'!$C$26*'Coincidence Factors'!$B$5*(1+'Inputs-System'!$C$18)*(1+'Inputs-System'!$C$42))*'Inputs-Proposals'!$D$28*VLOOKUP(BR$3,DRIPE!$A$54:$I$80,8,FALSE), $C11 = "0", 0), 0)</f>
        <v>0</v>
      </c>
      <c r="BU11" s="345">
        <f>IFERROR(_xlfn.IFS($C11="1",('Inputs-System'!$C$26*'Coincidence Factors'!$B$5*(1+'Inputs-System'!$C$18)*(1+'Inputs-System'!$C$42))*'Inputs-Proposals'!$D$16*(VLOOKUP(BR$3,Capacity!$A$53:$E$85,4,FALSE)*(1+'Inputs-System'!$C$42)+VLOOKUP(BR$3,Capacity!$A$53:$E$85,5,FALSE)*(1+'Inputs-System'!$C$43)*'Inputs-System'!$C$29), $C11 = "2", ('Inputs-System'!$C$26*'Coincidence Factors'!$B$5*(1+'Inputs-System'!$C$18))*'Inputs-Proposals'!$D$22*(VLOOKUP(BR$3,Capacity!$A$53:$E$85,4,FALSE)*(1+'Inputs-System'!$C$42)+VLOOKUP(BR$3,Capacity!$A$53:$E$85,5,FALSE)*'Inputs-System'!$C$29*(1+'Inputs-System'!$C$43)), $C11 = "3", ('Inputs-System'!$C$26*'Coincidence Factors'!$B$5*(1+'Inputs-System'!$C$18))*'Inputs-Proposals'!$D$28*(VLOOKUP(BR$3,Capacity!$A$53:$E$85,4,FALSE)*(1+'Inputs-System'!$C$42)+VLOOKUP(BR$3,Capacity!$A$53:$E$85,5,FALSE)*'Inputs-System'!$C$29*(1+'Inputs-System'!$C$43)), $C11 = "0", 0), 0)</f>
        <v>0</v>
      </c>
      <c r="BV11" s="100">
        <v>0</v>
      </c>
      <c r="BW11" s="346">
        <f>IFERROR(_xlfn.IFS($C11="1", 'Inputs-System'!$C$30*'Coincidence Factors'!$B$5*'Inputs-Proposals'!$D$17*'Inputs-Proposals'!$D$19*(VLOOKUP(BR$3,'Non-Embedded Emissions'!$A$56:$D$90,2,FALSE)+VLOOKUP(BR$3,'Non-Embedded Emissions'!$A$143:$D$174,2,FALSE)+VLOOKUP(BR$3,'Non-Embedded Emissions'!$A$230:$D$259,2,FALSE)-VLOOKUP(BR$3,'Non-Embedded Emissions'!$A$56:$D$90,3,FALSE)-VLOOKUP(BR$3,'Non-Embedded Emissions'!$A$143:$D$174,3,FALSE)-VLOOKUP(BR$3,'Non-Embedded Emissions'!$A$230:$D$259,3,FALSE)), $C11 = "2", 'Inputs-System'!$C$30*'Coincidence Factors'!$B$5*'Inputs-Proposals'!$D$23*'Inputs-Proposals'!$D$25*(VLOOKUP(BR$3,'Non-Embedded Emissions'!$A$56:$D$90,2,FALSE)+VLOOKUP(BR$3,'Non-Embedded Emissions'!$A$143:$D$174,2,FALSE)+VLOOKUP(BR$3,'Non-Embedded Emissions'!$A$230:$D$259,2,FALSE)-VLOOKUP(BR$3,'Non-Embedded Emissions'!$A$56:$D$90,3,FALSE)-VLOOKUP(BR$3,'Non-Embedded Emissions'!$A$143:$D$174,3,FALSE)-VLOOKUP(BR$3,'Non-Embedded Emissions'!$A$230:$D$259,3,FALSE)), $C11 = "3", 'Inputs-System'!$C$30*'Coincidence Factors'!$B$5*'Inputs-Proposals'!$D$29*'Inputs-Proposals'!$D$31*(VLOOKUP(BR$3,'Non-Embedded Emissions'!$A$56:$D$90,2,FALSE)+VLOOKUP(BR$3,'Non-Embedded Emissions'!$A$143:$D$174,2,FALSE)+VLOOKUP(BR$3,'Non-Embedded Emissions'!$A$230:$D$259,2,FALSE)-VLOOKUP(BR$3,'Non-Embedded Emissions'!$A$56:$D$90,3,FALSE)-VLOOKUP(BR$3,'Non-Embedded Emissions'!$A$143:$D$174,3,FALSE)-VLOOKUP(BR$3,'Non-Embedded Emissions'!$A$230:$D$259,3,FALSE)), $C11 = "0", 0), 0)</f>
        <v>0</v>
      </c>
      <c r="BX11" s="345">
        <f>IFERROR(_xlfn.IFS($C11="1",('Inputs-System'!$C$30*'Coincidence Factors'!$B$5*(1+'Inputs-System'!$C$18)*(1+'Inputs-System'!$C$41)*('Inputs-Proposals'!$D$17*'Inputs-Proposals'!$D$19*(1-'Inputs-Proposals'!$D$20))*(VLOOKUP(BX$3,Energy!$A$51:$K$83,5,FALSE)-VLOOKUP(BX$3,Energy!$A$51:$K$83,6,FALSE))), $C11 = "2",('Inputs-System'!$C$30*'Coincidence Factors'!$B$5)*(1+'Inputs-System'!$C$18)*(1+'Inputs-System'!$C$41)*('Inputs-Proposals'!$D$23*'Inputs-Proposals'!$D$25*(1-'Inputs-Proposals'!$D$26))*(VLOOKUP(BX$3,Energy!$A$51:$K$83,5,FALSE)-VLOOKUP(BX$3,Energy!$A$51:$K$83,6,FALSE)), $C11= "3", ('Inputs-System'!$C$30*'Coincidence Factors'!$B$5*(1+'Inputs-System'!$C$18)*(1+'Inputs-System'!$C$41)*('Inputs-Proposals'!$D$29*'Inputs-Proposals'!$D$31*(1-'Inputs-Proposals'!$D$32))*(VLOOKUP(BX$3,Energy!$A$51:$K$83,5,FALSE)-VLOOKUP(BX$3,Energy!$A$51:$K$83,6,FALSE))), $C11= "0", 0), 0)</f>
        <v>0</v>
      </c>
      <c r="BY11" s="100">
        <f>IFERROR(_xlfn.IFS($C11="1", 'Inputs-System'!$C$30*'Coincidence Factors'!$B$5*(1+'Inputs-System'!$C$18)*(1+'Inputs-System'!$C$41)*'Inputs-Proposals'!$D$17*'Inputs-Proposals'!$D$19*(1-'Inputs-Proposals'!$D$20)*(VLOOKUP(BX$3,'Embedded Emissions'!$A$47:$B$78,2,FALSE)+VLOOKUP(BX$3,'Embedded Emissions'!$A$129:$B$158,2,FALSE)), $C11 = "2",'Inputs-System'!$C$30*'Coincidence Factors'!$B$5*(1+'Inputs-System'!$C$18)*(1+'Inputs-System'!$C$41)*'Inputs-Proposals'!$D$23*'Inputs-Proposals'!$D$25*(1-'Inputs-Proposals'!$D$20)*(VLOOKUP(BX$3,'Embedded Emissions'!$A$47:$B$78,2,FALSE)+VLOOKUP(BX$3,'Embedded Emissions'!$A$129:$B$158,2,FALSE)), $C11 = "3", 'Inputs-System'!$C$30*'Coincidence Factors'!$B$5*(1+'Inputs-System'!$C$18)*(1+'Inputs-System'!$C$41)*'Inputs-Proposals'!$D$29*'Inputs-Proposals'!$D$31*(1-'Inputs-Proposals'!$D$20)*(VLOOKUP(BX$3,'Embedded Emissions'!$A$47:$B$78,2,FALSE)+VLOOKUP(BX$3,'Embedded Emissions'!$A$129:$B$158,2,FALSE)), $C11 = "0", 0), 0)</f>
        <v>0</v>
      </c>
      <c r="BZ11" s="100">
        <f>IFERROR(_xlfn.IFS($C11="1",( 'Inputs-System'!$C$30*'Coincidence Factors'!$B$5*(1+'Inputs-System'!$C$18)*(1+'Inputs-System'!$C$41))*('Inputs-Proposals'!$D$17*'Inputs-Proposals'!$D$19*(1-'Inputs-Proposals'!$D$20))*(VLOOKUP(BX$3,DRIPE!$A$54:$I$82,5,FALSE)-VLOOKUP(BX$3,DRIPE!$A$54:$I$82,6,FALSE)+VLOOKUP(BX$3,DRIPE!$A$54:$I$82,9,FALSE))+ ('Inputs-System'!$C$26*'Coincidence Factors'!$B$5*(1+'Inputs-System'!$C$18)*(1+'Inputs-System'!$C$42))*'Inputs-Proposals'!$D$16*VLOOKUP(BX$3,DRIPE!$A$54:$I$80,8,FALSE), $C11 = "2",( 'Inputs-System'!$C$30*'Coincidence Factors'!$B$5*(1+'Inputs-System'!$C$18)*(1+'Inputs-System'!$C$41))*('Inputs-Proposals'!$D$23*'Inputs-Proposals'!$D$25*(1-'Inputs-Proposals'!$D$26))*(VLOOKUP(BX$3,DRIPE!$A$54:$I$82,5,FALSE)-VLOOKUP(BX$3,DRIPE!$A$54:$I$82,6,FALSE)+VLOOKUP(BX$3,DRIPE!$A$54:$I$82,9,FALSE))+ ('Inputs-System'!$C$26*'Coincidence Factors'!$B$5*(1+'Inputs-System'!$C$18)*(1+'Inputs-System'!$C$42))+ ('Inputs-System'!$C$26*'Coincidence Factors'!$B$5)*'Inputs-Proposals'!$D$22*VLOOKUP(BX$3,DRIPE!$A$54:$I$80,8,FALSE), $C11= "3", ('Inputs-System'!$C$30*'Coincidence Factors'!$B$5)*('Inputs-Proposals'!$D$29*'Inputs-Proposals'!$D$31*(1-'Inputs-Proposals'!$D$32))*(VLOOKUP(BX$3,DRIPE!$A$54:$I$80,5,FALSE)-VLOOKUP(BX$3,DRIPE!$A$54:$I$80,6,FALSE)+VLOOKUP(BX$3,DRIPE!$A$54:$I$80,9,FALSE))+ ('Inputs-System'!$C$26*'Coincidence Factors'!$B$5*(1+'Inputs-System'!$C$18)*(1+'Inputs-System'!$C$42))*'Inputs-Proposals'!$D$28*VLOOKUP(BX$3,DRIPE!$A$54:$I$80,8,FALSE), $C11 = "0", 0), 0)</f>
        <v>0</v>
      </c>
      <c r="CA11" s="345">
        <f>IFERROR(_xlfn.IFS($C11="1",('Inputs-System'!$C$26*'Coincidence Factors'!$B$5*(1+'Inputs-System'!$C$18)*(1+'Inputs-System'!$C$42))*'Inputs-Proposals'!$D$16*(VLOOKUP(BX$3,Capacity!$A$53:$E$85,4,FALSE)*(1+'Inputs-System'!$C$42)+VLOOKUP(BX$3,Capacity!$A$53:$E$85,5,FALSE)*(1+'Inputs-System'!$C$43)*'Inputs-System'!$C$29), $C11 = "2", ('Inputs-System'!$C$26*'Coincidence Factors'!$B$5*(1+'Inputs-System'!$C$18))*'Inputs-Proposals'!$D$22*(VLOOKUP(BX$3,Capacity!$A$53:$E$85,4,FALSE)*(1+'Inputs-System'!$C$42)+VLOOKUP(BX$3,Capacity!$A$53:$E$85,5,FALSE)*'Inputs-System'!$C$29*(1+'Inputs-System'!$C$43)), $C11 = "3", ('Inputs-System'!$C$26*'Coincidence Factors'!$B$5*(1+'Inputs-System'!$C$18))*'Inputs-Proposals'!$D$28*(VLOOKUP(BX$3,Capacity!$A$53:$E$85,4,FALSE)*(1+'Inputs-System'!$C$42)+VLOOKUP(BX$3,Capacity!$A$53:$E$85,5,FALSE)*'Inputs-System'!$C$29*(1+'Inputs-System'!$C$43)), $C11 = "0", 0), 0)</f>
        <v>0</v>
      </c>
      <c r="CB11" s="100">
        <v>0</v>
      </c>
      <c r="CC11" s="346">
        <f>IFERROR(_xlfn.IFS($C11="1", 'Inputs-System'!$C$30*'Coincidence Factors'!$B$5*'Inputs-Proposals'!$D$17*'Inputs-Proposals'!$D$19*(VLOOKUP(BX$3,'Non-Embedded Emissions'!$A$56:$D$90,2,FALSE)+VLOOKUP(BX$3,'Non-Embedded Emissions'!$A$143:$D$174,2,FALSE)+VLOOKUP(BX$3,'Non-Embedded Emissions'!$A$230:$D$259,2,FALSE)-VLOOKUP(BX$3,'Non-Embedded Emissions'!$A$56:$D$90,3,FALSE)-VLOOKUP(BX$3,'Non-Embedded Emissions'!$A$143:$D$174,3,FALSE)-VLOOKUP(BX$3,'Non-Embedded Emissions'!$A$230:$D$259,3,FALSE)), $C11 = "2", 'Inputs-System'!$C$30*'Coincidence Factors'!$B$5*'Inputs-Proposals'!$D$23*'Inputs-Proposals'!$D$25*(VLOOKUP(BX$3,'Non-Embedded Emissions'!$A$56:$D$90,2,FALSE)+VLOOKUP(BX$3,'Non-Embedded Emissions'!$A$143:$D$174,2,FALSE)+VLOOKUP(BX$3,'Non-Embedded Emissions'!$A$230:$D$259,2,FALSE)-VLOOKUP(BX$3,'Non-Embedded Emissions'!$A$56:$D$90,3,FALSE)-VLOOKUP(BX$3,'Non-Embedded Emissions'!$A$143:$D$174,3,FALSE)-VLOOKUP(BX$3,'Non-Embedded Emissions'!$A$230:$D$259,3,FALSE)), $C11 = "3", 'Inputs-System'!$C$30*'Coincidence Factors'!$B$5*'Inputs-Proposals'!$D$29*'Inputs-Proposals'!$D$31*(VLOOKUP(BX$3,'Non-Embedded Emissions'!$A$56:$D$90,2,FALSE)+VLOOKUP(BX$3,'Non-Embedded Emissions'!$A$143:$D$174,2,FALSE)+VLOOKUP(BX$3,'Non-Embedded Emissions'!$A$230:$D$259,2,FALSE)-VLOOKUP(BX$3,'Non-Embedded Emissions'!$A$56:$D$90,3,FALSE)-VLOOKUP(BX$3,'Non-Embedded Emissions'!$A$143:$D$174,3,FALSE)-VLOOKUP(BX$3,'Non-Embedded Emissions'!$A$230:$D$259,3,FALSE)), $C11 = "0", 0), 0)</f>
        <v>0</v>
      </c>
      <c r="CD11" s="345">
        <f>IFERROR(_xlfn.IFS($C11="1",('Inputs-System'!$C$30*'Coincidence Factors'!$B$5*(1+'Inputs-System'!$C$18)*(1+'Inputs-System'!$C$41)*('Inputs-Proposals'!$D$17*'Inputs-Proposals'!$D$19*(1-'Inputs-Proposals'!$D$20))*(VLOOKUP(CD$3,Energy!$A$51:$K$83,5,FALSE)-VLOOKUP(CD$3,Energy!$A$51:$K$83,6,FALSE))), $C11 = "2",('Inputs-System'!$C$30*'Coincidence Factors'!$B$5)*(1+'Inputs-System'!$C$18)*(1+'Inputs-System'!$C$41)*('Inputs-Proposals'!$D$23*'Inputs-Proposals'!$D$25*(1-'Inputs-Proposals'!$D$26))*(VLOOKUP(CD$3,Energy!$A$51:$K$83,5,FALSE)-VLOOKUP(CD$3,Energy!$A$51:$K$83,6,FALSE)), $C11= "3", ('Inputs-System'!$C$30*'Coincidence Factors'!$B$5*(1+'Inputs-System'!$C$18)*(1+'Inputs-System'!$C$41)*('Inputs-Proposals'!$D$29*'Inputs-Proposals'!$D$31*(1-'Inputs-Proposals'!$D$32))*(VLOOKUP(CD$3,Energy!$A$51:$K$83,5,FALSE)-VLOOKUP(CD$3,Energy!$A$51:$K$83,6,FALSE))), $C11= "0", 0), 0)</f>
        <v>0</v>
      </c>
      <c r="CE11" s="100">
        <f>IFERROR(_xlfn.IFS($C11="1", 'Inputs-System'!$C$30*'Coincidence Factors'!$B$5*(1+'Inputs-System'!$C$18)*(1+'Inputs-System'!$C$41)*'Inputs-Proposals'!$D$17*'Inputs-Proposals'!$D$19*(1-'Inputs-Proposals'!$D$20)*(VLOOKUP(CD$3,'Embedded Emissions'!$A$47:$B$78,2,FALSE)+VLOOKUP(CD$3,'Embedded Emissions'!$A$129:$B$158,2,FALSE)), $C11 = "2",'Inputs-System'!$C$30*'Coincidence Factors'!$B$5*(1+'Inputs-System'!$C$18)*(1+'Inputs-System'!$C$41)*'Inputs-Proposals'!$D$23*'Inputs-Proposals'!$D$25*(1-'Inputs-Proposals'!$D$20)*(VLOOKUP(CD$3,'Embedded Emissions'!$A$47:$B$78,2,FALSE)+VLOOKUP(CD$3,'Embedded Emissions'!$A$129:$B$158,2,FALSE)), $C11 = "3", 'Inputs-System'!$C$30*'Coincidence Factors'!$B$5*(1+'Inputs-System'!$C$18)*(1+'Inputs-System'!$C$41)*'Inputs-Proposals'!$D$29*'Inputs-Proposals'!$D$31*(1-'Inputs-Proposals'!$D$20)*(VLOOKUP(CD$3,'Embedded Emissions'!$A$47:$B$78,2,FALSE)+VLOOKUP(CD$3,'Embedded Emissions'!$A$129:$B$158,2,FALSE)), $C11 = "0", 0), 0)</f>
        <v>0</v>
      </c>
      <c r="CF11" s="100">
        <f>IFERROR(_xlfn.IFS($C11="1",( 'Inputs-System'!$C$30*'Coincidence Factors'!$B$5*(1+'Inputs-System'!$C$18)*(1+'Inputs-System'!$C$41))*('Inputs-Proposals'!$D$17*'Inputs-Proposals'!$D$19*(1-'Inputs-Proposals'!$D$20))*(VLOOKUP(CD$3,DRIPE!$A$54:$I$82,5,FALSE)-VLOOKUP(CD$3,DRIPE!$A$54:$I$82,6,FALSE)+VLOOKUP(CD$3,DRIPE!$A$54:$I$82,9,FALSE))+ ('Inputs-System'!$C$26*'Coincidence Factors'!$B$5*(1+'Inputs-System'!$C$18)*(1+'Inputs-System'!$C$42))*'Inputs-Proposals'!$D$16*VLOOKUP(CD$3,DRIPE!$A$54:$I$80,8,FALSE), $C11 = "2",( 'Inputs-System'!$C$30*'Coincidence Factors'!$B$5*(1+'Inputs-System'!$C$18)*(1+'Inputs-System'!$C$41))*('Inputs-Proposals'!$D$23*'Inputs-Proposals'!$D$25*(1-'Inputs-Proposals'!$D$26))*(VLOOKUP(CD$3,DRIPE!$A$54:$I$82,5,FALSE)-VLOOKUP(CD$3,DRIPE!$A$54:$I$82,6,FALSE)+VLOOKUP(CD$3,DRIPE!$A$54:$I$82,9,FALSE))+ ('Inputs-System'!$C$26*'Coincidence Factors'!$B$5*(1+'Inputs-System'!$C$18)*(1+'Inputs-System'!$C$42))+ ('Inputs-System'!$C$26*'Coincidence Factors'!$B$5)*'Inputs-Proposals'!$D$22*VLOOKUP(CD$3,DRIPE!$A$54:$I$80,8,FALSE), $C11= "3", ('Inputs-System'!$C$30*'Coincidence Factors'!$B$5)*('Inputs-Proposals'!$D$29*'Inputs-Proposals'!$D$31*(1-'Inputs-Proposals'!$D$32))*(VLOOKUP(CD$3,DRIPE!$A$54:$I$80,5,FALSE)-VLOOKUP(CD$3,DRIPE!$A$54:$I$80,6,FALSE)+VLOOKUP(CD$3,DRIPE!$A$54:$I$80,9,FALSE))+ ('Inputs-System'!$C$26*'Coincidence Factors'!$B$5*(1+'Inputs-System'!$C$18)*(1+'Inputs-System'!$C$42))*'Inputs-Proposals'!$D$28*VLOOKUP(CD$3,DRIPE!$A$54:$I$80,8,FALSE), $C11 = "0", 0), 0)</f>
        <v>0</v>
      </c>
      <c r="CG11" s="345">
        <f>IFERROR(_xlfn.IFS($C11="1",('Inputs-System'!$C$26*'Coincidence Factors'!$B$5*(1+'Inputs-System'!$C$18)*(1+'Inputs-System'!$C$42))*'Inputs-Proposals'!$D$16*(VLOOKUP(CD$3,Capacity!$A$53:$E$85,4,FALSE)*(1+'Inputs-System'!$C$42)+VLOOKUP(CD$3,Capacity!$A$53:$E$85,5,FALSE)*(1+'Inputs-System'!$C$43)*'Inputs-System'!$C$29), $C11 = "2", ('Inputs-System'!$C$26*'Coincidence Factors'!$B$5*(1+'Inputs-System'!$C$18))*'Inputs-Proposals'!$D$22*(VLOOKUP(CD$3,Capacity!$A$53:$E$85,4,FALSE)*(1+'Inputs-System'!$C$42)+VLOOKUP(CD$3,Capacity!$A$53:$E$85,5,FALSE)*'Inputs-System'!$C$29*(1+'Inputs-System'!$C$43)), $C11 = "3", ('Inputs-System'!$C$26*'Coincidence Factors'!$B$5*(1+'Inputs-System'!$C$18))*'Inputs-Proposals'!$D$28*(VLOOKUP(CD$3,Capacity!$A$53:$E$85,4,FALSE)*(1+'Inputs-System'!$C$42)+VLOOKUP(CD$3,Capacity!$A$53:$E$85,5,FALSE)*'Inputs-System'!$C$29*(1+'Inputs-System'!$C$43)), $C11 = "0", 0), 0)</f>
        <v>0</v>
      </c>
      <c r="CH11" s="100">
        <v>0</v>
      </c>
      <c r="CI11" s="346">
        <f>IFERROR(_xlfn.IFS($C11="1", 'Inputs-System'!$C$30*'Coincidence Factors'!$B$5*'Inputs-Proposals'!$D$17*'Inputs-Proposals'!$D$19*(VLOOKUP(CD$3,'Non-Embedded Emissions'!$A$56:$D$90,2,FALSE)+VLOOKUP(CD$3,'Non-Embedded Emissions'!$A$143:$D$174,2,FALSE)+VLOOKUP(CD$3,'Non-Embedded Emissions'!$A$230:$D$259,2,FALSE)-VLOOKUP(CD$3,'Non-Embedded Emissions'!$A$56:$D$90,3,FALSE)-VLOOKUP(CD$3,'Non-Embedded Emissions'!$A$143:$D$174,3,FALSE)-VLOOKUP(CD$3,'Non-Embedded Emissions'!$A$230:$D$259,3,FALSE)), $C11 = "2", 'Inputs-System'!$C$30*'Coincidence Factors'!$B$5*'Inputs-Proposals'!$D$23*'Inputs-Proposals'!$D$25*(VLOOKUP(CD$3,'Non-Embedded Emissions'!$A$56:$D$90,2,FALSE)+VLOOKUP(CD$3,'Non-Embedded Emissions'!$A$143:$D$174,2,FALSE)+VLOOKUP(CD$3,'Non-Embedded Emissions'!$A$230:$D$259,2,FALSE)-VLOOKUP(CD$3,'Non-Embedded Emissions'!$A$56:$D$90,3,FALSE)-VLOOKUP(CD$3,'Non-Embedded Emissions'!$A$143:$D$174,3,FALSE)-VLOOKUP(CD$3,'Non-Embedded Emissions'!$A$230:$D$259,3,FALSE)), $C11 = "3", 'Inputs-System'!$C$30*'Coincidence Factors'!$B$5*'Inputs-Proposals'!$D$29*'Inputs-Proposals'!$D$31*(VLOOKUP(CD$3,'Non-Embedded Emissions'!$A$56:$D$90,2,FALSE)+VLOOKUP(CD$3,'Non-Embedded Emissions'!$A$143:$D$174,2,FALSE)+VLOOKUP(CD$3,'Non-Embedded Emissions'!$A$230:$D$259,2,FALSE)-VLOOKUP(CD$3,'Non-Embedded Emissions'!$A$56:$D$90,3,FALSE)-VLOOKUP(CD$3,'Non-Embedded Emissions'!$A$143:$D$174,3,FALSE)-VLOOKUP(CD$3,'Non-Embedded Emissions'!$A$230:$D$259,3,FALSE)), $C11 = "0", 0), 0)</f>
        <v>0</v>
      </c>
      <c r="CJ11" s="345">
        <f>IFERROR(_xlfn.IFS($C11="1",('Inputs-System'!$C$30*'Coincidence Factors'!$B$5*(1+'Inputs-System'!$C$18)*(1+'Inputs-System'!$C$41)*('Inputs-Proposals'!$D$17*'Inputs-Proposals'!$D$19*(1-'Inputs-Proposals'!$D$20))*(VLOOKUP(CJ$3,Energy!$A$51:$K$83,5,FALSE)-VLOOKUP(CJ$3,Energy!$A$51:$K$83,6,FALSE))), $C11 = "2",('Inputs-System'!$C$30*'Coincidence Factors'!$B$5)*(1+'Inputs-System'!$C$18)*(1+'Inputs-System'!$C$41)*('Inputs-Proposals'!$D$23*'Inputs-Proposals'!$D$25*(1-'Inputs-Proposals'!$D$26))*(VLOOKUP(CJ$3,Energy!$A$51:$K$83,5,FALSE)-VLOOKUP(CJ$3,Energy!$A$51:$K$83,6,FALSE)), $C11= "3", ('Inputs-System'!$C$30*'Coincidence Factors'!$B$5*(1+'Inputs-System'!$C$18)*(1+'Inputs-System'!$C$41)*('Inputs-Proposals'!$D$29*'Inputs-Proposals'!$D$31*(1-'Inputs-Proposals'!$D$32))*(VLOOKUP(CJ$3,Energy!$A$51:$K$83,5,FALSE)-VLOOKUP(CJ$3,Energy!$A$51:$K$83,6,FALSE))), $C11= "0", 0), 0)</f>
        <v>0</v>
      </c>
      <c r="CK11" s="100">
        <f>IFERROR(_xlfn.IFS($C11="1", 'Inputs-System'!$C$30*'Coincidence Factors'!$B$5*(1+'Inputs-System'!$C$18)*(1+'Inputs-System'!$C$41)*'Inputs-Proposals'!$D$17*'Inputs-Proposals'!$D$19*(1-'Inputs-Proposals'!$D$20)*(VLOOKUP(CJ$3,'Embedded Emissions'!$A$47:$B$78,2,FALSE)+VLOOKUP(CJ$3,'Embedded Emissions'!$A$129:$B$158,2,FALSE)), $C11 = "2",'Inputs-System'!$C$30*'Coincidence Factors'!$B$5*(1+'Inputs-System'!$C$18)*(1+'Inputs-System'!$C$41)*'Inputs-Proposals'!$D$23*'Inputs-Proposals'!$D$25*(1-'Inputs-Proposals'!$D$20)*(VLOOKUP(CJ$3,'Embedded Emissions'!$A$47:$B$78,2,FALSE)+VLOOKUP(CJ$3,'Embedded Emissions'!$A$129:$B$158,2,FALSE)), $C11 = "3", 'Inputs-System'!$C$30*'Coincidence Factors'!$B$5*(1+'Inputs-System'!$C$18)*(1+'Inputs-System'!$C$41)*'Inputs-Proposals'!$D$29*'Inputs-Proposals'!$D$31*(1-'Inputs-Proposals'!$D$20)*(VLOOKUP(CJ$3,'Embedded Emissions'!$A$47:$B$78,2,FALSE)+VLOOKUP(CJ$3,'Embedded Emissions'!$A$129:$B$158,2,FALSE)), $C11 = "0", 0), 0)</f>
        <v>0</v>
      </c>
      <c r="CL11" s="100">
        <f>IFERROR(_xlfn.IFS($C11="1",( 'Inputs-System'!$C$30*'Coincidence Factors'!$B$5*(1+'Inputs-System'!$C$18)*(1+'Inputs-System'!$C$41))*('Inputs-Proposals'!$D$17*'Inputs-Proposals'!$D$19*(1-'Inputs-Proposals'!$D$20))*(VLOOKUP(CJ$3,DRIPE!$A$54:$I$82,5,FALSE)-VLOOKUP(CJ$3,DRIPE!$A$54:$I$82,6,FALSE)+VLOOKUP(CJ$3,DRIPE!$A$54:$I$82,9,FALSE))+ ('Inputs-System'!$C$26*'Coincidence Factors'!$B$5*(1+'Inputs-System'!$C$18)*(1+'Inputs-System'!$C$42))*'Inputs-Proposals'!$D$16*VLOOKUP(CJ$3,DRIPE!$A$54:$I$80,8,FALSE), $C11 = "2",( 'Inputs-System'!$C$30*'Coincidence Factors'!$B$5*(1+'Inputs-System'!$C$18)*(1+'Inputs-System'!$C$41))*('Inputs-Proposals'!$D$23*'Inputs-Proposals'!$D$25*(1-'Inputs-Proposals'!$D$26))*(VLOOKUP(CJ$3,DRIPE!$A$54:$I$82,5,FALSE)-VLOOKUP(CJ$3,DRIPE!$A$54:$I$82,6,FALSE)+VLOOKUP(CJ$3,DRIPE!$A$54:$I$82,9,FALSE))+ ('Inputs-System'!$C$26*'Coincidence Factors'!$B$5*(1+'Inputs-System'!$C$18)*(1+'Inputs-System'!$C$42))+ ('Inputs-System'!$C$26*'Coincidence Factors'!$B$5)*'Inputs-Proposals'!$D$22*VLOOKUP(CJ$3,DRIPE!$A$54:$I$80,8,FALSE), $C11= "3", ('Inputs-System'!$C$30*'Coincidence Factors'!$B$5)*('Inputs-Proposals'!$D$29*'Inputs-Proposals'!$D$31*(1-'Inputs-Proposals'!$D$32))*(VLOOKUP(CJ$3,DRIPE!$A$54:$I$80,5,FALSE)-VLOOKUP(CJ$3,DRIPE!$A$54:$I$80,6,FALSE)+VLOOKUP(CJ$3,DRIPE!$A$54:$I$80,9,FALSE))+ ('Inputs-System'!$C$26*'Coincidence Factors'!$B$5*(1+'Inputs-System'!$C$18)*(1+'Inputs-System'!$C$42))*'Inputs-Proposals'!$D$28*VLOOKUP(CJ$3,DRIPE!$A$54:$I$80,8,FALSE), $C11 = "0", 0), 0)</f>
        <v>0</v>
      </c>
      <c r="CM11" s="345">
        <f>IFERROR(_xlfn.IFS($C11="1",('Inputs-System'!$C$26*'Coincidence Factors'!$B$5*(1+'Inputs-System'!$C$18)*(1+'Inputs-System'!$C$42))*'Inputs-Proposals'!$D$16*(VLOOKUP(CJ$3,Capacity!$A$53:$E$85,4,FALSE)*(1+'Inputs-System'!$C$42)+VLOOKUP(CJ$3,Capacity!$A$53:$E$85,5,FALSE)*(1+'Inputs-System'!$C$43)*'Inputs-System'!$C$29), $C11 = "2", ('Inputs-System'!$C$26*'Coincidence Factors'!$B$5*(1+'Inputs-System'!$C$18))*'Inputs-Proposals'!$D$22*(VLOOKUP(CJ$3,Capacity!$A$53:$E$85,4,FALSE)*(1+'Inputs-System'!$C$42)+VLOOKUP(CJ$3,Capacity!$A$53:$E$85,5,FALSE)*'Inputs-System'!$C$29*(1+'Inputs-System'!$C$43)), $C11 = "3", ('Inputs-System'!$C$26*'Coincidence Factors'!$B$5*(1+'Inputs-System'!$C$18))*'Inputs-Proposals'!$D$28*(VLOOKUP(CJ$3,Capacity!$A$53:$E$85,4,FALSE)*(1+'Inputs-System'!$C$42)+VLOOKUP(CJ$3,Capacity!$A$53:$E$85,5,FALSE)*'Inputs-System'!$C$29*(1+'Inputs-System'!$C$43)), $C11 = "0", 0), 0)</f>
        <v>0</v>
      </c>
      <c r="CN11" s="100">
        <v>0</v>
      </c>
      <c r="CO11" s="346">
        <f>IFERROR(_xlfn.IFS($C11="1", 'Inputs-System'!$C$30*'Coincidence Factors'!$B$5*'Inputs-Proposals'!$D$17*'Inputs-Proposals'!$D$19*(VLOOKUP(CJ$3,'Non-Embedded Emissions'!$A$56:$D$90,2,FALSE)+VLOOKUP(CJ$3,'Non-Embedded Emissions'!$A$143:$D$174,2,FALSE)+VLOOKUP(CJ$3,'Non-Embedded Emissions'!$A$230:$D$259,2,FALSE)-VLOOKUP(CJ$3,'Non-Embedded Emissions'!$A$56:$D$90,3,FALSE)-VLOOKUP(CJ$3,'Non-Embedded Emissions'!$A$143:$D$174,3,FALSE)-VLOOKUP(CJ$3,'Non-Embedded Emissions'!$A$230:$D$259,3,FALSE)), $C11 = "2", 'Inputs-System'!$C$30*'Coincidence Factors'!$B$5*'Inputs-Proposals'!$D$23*'Inputs-Proposals'!$D$25*(VLOOKUP(CJ$3,'Non-Embedded Emissions'!$A$56:$D$90,2,FALSE)+VLOOKUP(CJ$3,'Non-Embedded Emissions'!$A$143:$D$174,2,FALSE)+VLOOKUP(CJ$3,'Non-Embedded Emissions'!$A$230:$D$259,2,FALSE)-VLOOKUP(CJ$3,'Non-Embedded Emissions'!$A$56:$D$90,3,FALSE)-VLOOKUP(CJ$3,'Non-Embedded Emissions'!$A$143:$D$174,3,FALSE)-VLOOKUP(CJ$3,'Non-Embedded Emissions'!$A$230:$D$259,3,FALSE)), $C11 = "3", 'Inputs-System'!$C$30*'Coincidence Factors'!$B$5*'Inputs-Proposals'!$D$29*'Inputs-Proposals'!$D$31*(VLOOKUP(CJ$3,'Non-Embedded Emissions'!$A$56:$D$90,2,FALSE)+VLOOKUP(CJ$3,'Non-Embedded Emissions'!$A$143:$D$174,2,FALSE)+VLOOKUP(CJ$3,'Non-Embedded Emissions'!$A$230:$D$259,2,FALSE)-VLOOKUP(CJ$3,'Non-Embedded Emissions'!$A$56:$D$90,3,FALSE)-VLOOKUP(CJ$3,'Non-Embedded Emissions'!$A$143:$D$174,3,FALSE)-VLOOKUP(CJ$3,'Non-Embedded Emissions'!$A$230:$D$259,3,FALSE)), $C11 = "0", 0), 0)</f>
        <v>0</v>
      </c>
      <c r="CP11" s="345">
        <f>IFERROR(_xlfn.IFS($C11="1",('Inputs-System'!$C$30*'Coincidence Factors'!$B$5*(1+'Inputs-System'!$C$18)*(1+'Inputs-System'!$C$41)*('Inputs-Proposals'!$D$17*'Inputs-Proposals'!$D$19*(1-'Inputs-Proposals'!$D$20))*(VLOOKUP(CP$3,Energy!$A$51:$K$83,5,FALSE)-VLOOKUP(CP$3,Energy!$A$51:$K$83,6,FALSE))), $C11 = "2",('Inputs-System'!$C$30*'Coincidence Factors'!$B$5)*(1+'Inputs-System'!$C$18)*(1+'Inputs-System'!$C$41)*('Inputs-Proposals'!$D$23*'Inputs-Proposals'!$D$25*(1-'Inputs-Proposals'!$D$26))*(VLOOKUP(CP$3,Energy!$A$51:$K$83,5,FALSE)-VLOOKUP(CP$3,Energy!$A$51:$K$83,6,FALSE)), $C11= "3", ('Inputs-System'!$C$30*'Coincidence Factors'!$B$5*(1+'Inputs-System'!$C$18)*(1+'Inputs-System'!$C$41)*('Inputs-Proposals'!$D$29*'Inputs-Proposals'!$D$31*(1-'Inputs-Proposals'!$D$32))*(VLOOKUP(CP$3,Energy!$A$51:$K$83,5,FALSE)-VLOOKUP(CP$3,Energy!$A$51:$K$83,6,FALSE))), $C11= "0", 0), 0)</f>
        <v>0</v>
      </c>
      <c r="CQ11" s="100">
        <f>IFERROR(_xlfn.IFS($C11="1", 'Inputs-System'!$C$30*'Coincidence Factors'!$B$5*(1+'Inputs-System'!$C$18)*(1+'Inputs-System'!$C$41)*'Inputs-Proposals'!$D$17*'Inputs-Proposals'!$D$19*(1-'Inputs-Proposals'!$D$20)*(VLOOKUP(CP$3,'Embedded Emissions'!$A$47:$B$78,2,FALSE)+VLOOKUP(CP$3,'Embedded Emissions'!$A$129:$B$158,2,FALSE)), $C11 = "2",'Inputs-System'!$C$30*'Coincidence Factors'!$B$5*(1+'Inputs-System'!$C$18)*(1+'Inputs-System'!$C$41)*'Inputs-Proposals'!$D$23*'Inputs-Proposals'!$D$25*(1-'Inputs-Proposals'!$D$20)*(VLOOKUP(CP$3,'Embedded Emissions'!$A$47:$B$78,2,FALSE)+VLOOKUP(CP$3,'Embedded Emissions'!$A$129:$B$158,2,FALSE)), $C11 = "3", 'Inputs-System'!$C$30*'Coincidence Factors'!$B$5*(1+'Inputs-System'!$C$18)*(1+'Inputs-System'!$C$41)*'Inputs-Proposals'!$D$29*'Inputs-Proposals'!$D$31*(1-'Inputs-Proposals'!$D$20)*(VLOOKUP(CP$3,'Embedded Emissions'!$A$47:$B$78,2,FALSE)+VLOOKUP(CP$3,'Embedded Emissions'!$A$129:$B$158,2,FALSE)), $C11 = "0", 0), 0)</f>
        <v>0</v>
      </c>
      <c r="CR11" s="100">
        <f>IFERROR(_xlfn.IFS($C11="1",( 'Inputs-System'!$C$30*'Coincidence Factors'!$B$5*(1+'Inputs-System'!$C$18)*(1+'Inputs-System'!$C$41))*('Inputs-Proposals'!$D$17*'Inputs-Proposals'!$D$19*(1-'Inputs-Proposals'!$D$20))*(VLOOKUP(CP$3,DRIPE!$A$54:$I$82,5,FALSE)-VLOOKUP(CP$3,DRIPE!$A$54:$I$82,6,FALSE)+VLOOKUP(CP$3,DRIPE!$A$54:$I$82,9,FALSE))+ ('Inputs-System'!$C$26*'Coincidence Factors'!$B$5*(1+'Inputs-System'!$C$18)*(1+'Inputs-System'!$C$42))*'Inputs-Proposals'!$D$16*VLOOKUP(CP$3,DRIPE!$A$54:$I$80,8,FALSE), $C11 = "2",( 'Inputs-System'!$C$30*'Coincidence Factors'!$B$5*(1+'Inputs-System'!$C$18)*(1+'Inputs-System'!$C$41))*('Inputs-Proposals'!$D$23*'Inputs-Proposals'!$D$25*(1-'Inputs-Proposals'!$D$26))*(VLOOKUP(CP$3,DRIPE!$A$54:$I$82,5,FALSE)-VLOOKUP(CP$3,DRIPE!$A$54:$I$82,6,FALSE)+VLOOKUP(CP$3,DRIPE!$A$54:$I$82,9,FALSE))+ ('Inputs-System'!$C$26*'Coincidence Factors'!$B$5*(1+'Inputs-System'!$C$18)*(1+'Inputs-System'!$C$42))+ ('Inputs-System'!$C$26*'Coincidence Factors'!$B$5)*'Inputs-Proposals'!$D$22*VLOOKUP(CP$3,DRIPE!$A$54:$I$80,8,FALSE), $C11= "3", ('Inputs-System'!$C$30*'Coincidence Factors'!$B$5)*('Inputs-Proposals'!$D$29*'Inputs-Proposals'!$D$31*(1-'Inputs-Proposals'!$D$32))*(VLOOKUP(CP$3,DRIPE!$A$54:$I$80,5,FALSE)-VLOOKUP(CP$3,DRIPE!$A$54:$I$80,6,FALSE)+VLOOKUP(CP$3,DRIPE!$A$54:$I$80,9,FALSE))+ ('Inputs-System'!$C$26*'Coincidence Factors'!$B$5*(1+'Inputs-System'!$C$18)*(1+'Inputs-System'!$C$42))*'Inputs-Proposals'!$D$28*VLOOKUP(CP$3,DRIPE!$A$54:$I$80,8,FALSE), $C11 = "0", 0), 0)</f>
        <v>0</v>
      </c>
      <c r="CS11" s="345">
        <f>IFERROR(_xlfn.IFS($C11="1",('Inputs-System'!$C$26*'Coincidence Factors'!$B$5*(1+'Inputs-System'!$C$18)*(1+'Inputs-System'!$C$42))*'Inputs-Proposals'!$D$16*(VLOOKUP(CP$3,Capacity!$A$53:$E$85,4,FALSE)*(1+'Inputs-System'!$C$42)+VLOOKUP(CP$3,Capacity!$A$53:$E$85,5,FALSE)*(1+'Inputs-System'!$C$43)*'Inputs-System'!$C$29), $C11 = "2", ('Inputs-System'!$C$26*'Coincidence Factors'!$B$5*(1+'Inputs-System'!$C$18))*'Inputs-Proposals'!$D$22*(VLOOKUP(CP$3,Capacity!$A$53:$E$85,4,FALSE)*(1+'Inputs-System'!$C$42)+VLOOKUP(CP$3,Capacity!$A$53:$E$85,5,FALSE)*'Inputs-System'!$C$29*(1+'Inputs-System'!$C$43)), $C11 = "3", ('Inputs-System'!$C$26*'Coincidence Factors'!$B$5*(1+'Inputs-System'!$C$18))*'Inputs-Proposals'!$D$28*(VLOOKUP(CP$3,Capacity!$A$53:$E$85,4,FALSE)*(1+'Inputs-System'!$C$42)+VLOOKUP(CP$3,Capacity!$A$53:$E$85,5,FALSE)*'Inputs-System'!$C$29*(1+'Inputs-System'!$C$43)), $C11 = "0", 0), 0)</f>
        <v>0</v>
      </c>
      <c r="CT11" s="100">
        <v>0</v>
      </c>
      <c r="CU11" s="346">
        <f>IFERROR(_xlfn.IFS($C11="1", 'Inputs-System'!$C$30*'Coincidence Factors'!$B$5*'Inputs-Proposals'!$D$17*'Inputs-Proposals'!$D$19*(VLOOKUP(CP$3,'Non-Embedded Emissions'!$A$56:$D$90,2,FALSE)+VLOOKUP(CP$3,'Non-Embedded Emissions'!$A$143:$D$174,2,FALSE)+VLOOKUP(CP$3,'Non-Embedded Emissions'!$A$230:$D$259,2,FALSE)-VLOOKUP(CP$3,'Non-Embedded Emissions'!$A$56:$D$90,3,FALSE)-VLOOKUP(CP$3,'Non-Embedded Emissions'!$A$143:$D$174,3,FALSE)-VLOOKUP(CP$3,'Non-Embedded Emissions'!$A$230:$D$259,3,FALSE)), $C11 = "2", 'Inputs-System'!$C$30*'Coincidence Factors'!$B$5*'Inputs-Proposals'!$D$23*'Inputs-Proposals'!$D$25*(VLOOKUP(CP$3,'Non-Embedded Emissions'!$A$56:$D$90,2,FALSE)+VLOOKUP(CP$3,'Non-Embedded Emissions'!$A$143:$D$174,2,FALSE)+VLOOKUP(CP$3,'Non-Embedded Emissions'!$A$230:$D$259,2,FALSE)-VLOOKUP(CP$3,'Non-Embedded Emissions'!$A$56:$D$90,3,FALSE)-VLOOKUP(CP$3,'Non-Embedded Emissions'!$A$143:$D$174,3,FALSE)-VLOOKUP(CP$3,'Non-Embedded Emissions'!$A$230:$D$259,3,FALSE)), $C11 = "3", 'Inputs-System'!$C$30*'Coincidence Factors'!$B$5*'Inputs-Proposals'!$D$29*'Inputs-Proposals'!$D$31*(VLOOKUP(CP$3,'Non-Embedded Emissions'!$A$56:$D$90,2,FALSE)+VLOOKUP(CP$3,'Non-Embedded Emissions'!$A$143:$D$174,2,FALSE)+VLOOKUP(CP$3,'Non-Embedded Emissions'!$A$230:$D$259,2,FALSE)-VLOOKUP(CP$3,'Non-Embedded Emissions'!$A$56:$D$90,3,FALSE)-VLOOKUP(CP$3,'Non-Embedded Emissions'!$A$143:$D$174,3,FALSE)-VLOOKUP(CP$3,'Non-Embedded Emissions'!$A$230:$D$259,3,FALSE)), $C11 = "0", 0), 0)</f>
        <v>0</v>
      </c>
      <c r="CV11" s="345">
        <f>IFERROR(_xlfn.IFS($C11="1",('Inputs-System'!$C$30*'Coincidence Factors'!$B$5*(1+'Inputs-System'!$C$18)*(1+'Inputs-System'!$C$41)*('Inputs-Proposals'!$D$17*'Inputs-Proposals'!$D$19*(1-'Inputs-Proposals'!$D$20))*(VLOOKUP(CV$3,Energy!$A$51:$K$83,5,FALSE)-VLOOKUP(CV$3,Energy!$A$51:$K$83,6,FALSE))), $C11 = "2",('Inputs-System'!$C$30*'Coincidence Factors'!$B$5)*(1+'Inputs-System'!$C$18)*(1+'Inputs-System'!$C$41)*('Inputs-Proposals'!$D$23*'Inputs-Proposals'!$D$25*(1-'Inputs-Proposals'!$D$26))*(VLOOKUP(CV$3,Energy!$A$51:$K$83,5,FALSE)-VLOOKUP(CV$3,Energy!$A$51:$K$83,6,FALSE)), $C11= "3", ('Inputs-System'!$C$30*'Coincidence Factors'!$B$5*(1+'Inputs-System'!$C$18)*(1+'Inputs-System'!$C$41)*('Inputs-Proposals'!$D$29*'Inputs-Proposals'!$D$31*(1-'Inputs-Proposals'!$D$32))*(VLOOKUP(CV$3,Energy!$A$51:$K$83,5,FALSE)-VLOOKUP(CV$3,Energy!$A$51:$K$83,6,FALSE))), $C11= "0", 0), 0)</f>
        <v>0</v>
      </c>
      <c r="CW11" s="100">
        <f>IFERROR(_xlfn.IFS($C11="1", 'Inputs-System'!$C$30*'Coincidence Factors'!$B$5*(1+'Inputs-System'!$C$18)*(1+'Inputs-System'!$C$41)*'Inputs-Proposals'!$D$17*'Inputs-Proposals'!$D$19*(1-'Inputs-Proposals'!$D$20)*(VLOOKUP(CV$3,'Embedded Emissions'!$A$47:$B$78,2,FALSE)+VLOOKUP(CV$3,'Embedded Emissions'!$A$129:$B$158,2,FALSE)), $C11 = "2",'Inputs-System'!$C$30*'Coincidence Factors'!$B$5*(1+'Inputs-System'!$C$18)*(1+'Inputs-System'!$C$41)*'Inputs-Proposals'!$D$23*'Inputs-Proposals'!$D$25*(1-'Inputs-Proposals'!$D$20)*(VLOOKUP(CV$3,'Embedded Emissions'!$A$47:$B$78,2,FALSE)+VLOOKUP(CV$3,'Embedded Emissions'!$A$129:$B$158,2,FALSE)), $C11 = "3", 'Inputs-System'!$C$30*'Coincidence Factors'!$B$5*(1+'Inputs-System'!$C$18)*(1+'Inputs-System'!$C$41)*'Inputs-Proposals'!$D$29*'Inputs-Proposals'!$D$31*(1-'Inputs-Proposals'!$D$20)*(VLOOKUP(CV$3,'Embedded Emissions'!$A$47:$B$78,2,FALSE)+VLOOKUP(CV$3,'Embedded Emissions'!$A$129:$B$158,2,FALSE)), $C11 = "0", 0), 0)</f>
        <v>0</v>
      </c>
      <c r="CX11" s="100">
        <f>IFERROR(_xlfn.IFS($C11="1",( 'Inputs-System'!$C$30*'Coincidence Factors'!$B$5*(1+'Inputs-System'!$C$18)*(1+'Inputs-System'!$C$41))*('Inputs-Proposals'!$D$17*'Inputs-Proposals'!$D$19*(1-'Inputs-Proposals'!$D$20))*(VLOOKUP(CV$3,DRIPE!$A$54:$I$82,5,FALSE)-VLOOKUP(CV$3,DRIPE!$A$54:$I$82,6,FALSE)+VLOOKUP(CV$3,DRIPE!$A$54:$I$82,9,FALSE))+ ('Inputs-System'!$C$26*'Coincidence Factors'!$B$5*(1+'Inputs-System'!$C$18)*(1+'Inputs-System'!$C$42))*'Inputs-Proposals'!$D$16*VLOOKUP(CV$3,DRIPE!$A$54:$I$80,8,FALSE), $C11 = "2",( 'Inputs-System'!$C$30*'Coincidence Factors'!$B$5*(1+'Inputs-System'!$C$18)*(1+'Inputs-System'!$C$41))*('Inputs-Proposals'!$D$23*'Inputs-Proposals'!$D$25*(1-'Inputs-Proposals'!$D$26))*(VLOOKUP(CV$3,DRIPE!$A$54:$I$82,5,FALSE)-VLOOKUP(CV$3,DRIPE!$A$54:$I$82,6,FALSE)+VLOOKUP(CV$3,DRIPE!$A$54:$I$82,9,FALSE))+ ('Inputs-System'!$C$26*'Coincidence Factors'!$B$5*(1+'Inputs-System'!$C$18)*(1+'Inputs-System'!$C$42))+ ('Inputs-System'!$C$26*'Coincidence Factors'!$B$5)*'Inputs-Proposals'!$D$22*VLOOKUP(CV$3,DRIPE!$A$54:$I$80,8,FALSE), $C11= "3", ('Inputs-System'!$C$30*'Coincidence Factors'!$B$5)*('Inputs-Proposals'!$D$29*'Inputs-Proposals'!$D$31*(1-'Inputs-Proposals'!$D$32))*(VLOOKUP(CV$3,DRIPE!$A$54:$I$80,5,FALSE)-VLOOKUP(CV$3,DRIPE!$A$54:$I$80,6,FALSE)+VLOOKUP(CV$3,DRIPE!$A$54:$I$80,9,FALSE))+ ('Inputs-System'!$C$26*'Coincidence Factors'!$B$5*(1+'Inputs-System'!$C$18)*(1+'Inputs-System'!$C$42))*'Inputs-Proposals'!$D$28*VLOOKUP(CV$3,DRIPE!$A$54:$I$80,8,FALSE), $C11 = "0", 0), 0)</f>
        <v>0</v>
      </c>
      <c r="CY11" s="345">
        <f>IFERROR(_xlfn.IFS($C11="1",('Inputs-System'!$C$26*'Coincidence Factors'!$B$5*(1+'Inputs-System'!$C$18)*(1+'Inputs-System'!$C$42))*'Inputs-Proposals'!$D$16*(VLOOKUP(CV$3,Capacity!$A$53:$E$85,4,FALSE)*(1+'Inputs-System'!$C$42)+VLOOKUP(CV$3,Capacity!$A$53:$E$85,5,FALSE)*(1+'Inputs-System'!$C$43)*'Inputs-System'!$C$29), $C11 = "2", ('Inputs-System'!$C$26*'Coincidence Factors'!$B$5*(1+'Inputs-System'!$C$18))*'Inputs-Proposals'!$D$22*(VLOOKUP(CV$3,Capacity!$A$53:$E$85,4,FALSE)*(1+'Inputs-System'!$C$42)+VLOOKUP(CV$3,Capacity!$A$53:$E$85,5,FALSE)*'Inputs-System'!$C$29*(1+'Inputs-System'!$C$43)), $C11 = "3", ('Inputs-System'!$C$26*'Coincidence Factors'!$B$5*(1+'Inputs-System'!$C$18))*'Inputs-Proposals'!$D$28*(VLOOKUP(CV$3,Capacity!$A$53:$E$85,4,FALSE)*(1+'Inputs-System'!$C$42)+VLOOKUP(CV$3,Capacity!$A$53:$E$85,5,FALSE)*'Inputs-System'!$C$29*(1+'Inputs-System'!$C$43)), $C11 = "0", 0), 0)</f>
        <v>0</v>
      </c>
      <c r="CZ11" s="100">
        <v>0</v>
      </c>
      <c r="DA11" s="346">
        <f>IFERROR(_xlfn.IFS($C11="1", 'Inputs-System'!$C$30*'Coincidence Factors'!$B$5*'Inputs-Proposals'!$D$17*'Inputs-Proposals'!$D$19*(VLOOKUP(CV$3,'Non-Embedded Emissions'!$A$56:$D$90,2,FALSE)+VLOOKUP(CV$3,'Non-Embedded Emissions'!$A$143:$D$174,2,FALSE)+VLOOKUP(CV$3,'Non-Embedded Emissions'!$A$230:$D$259,2,FALSE)-VLOOKUP(CV$3,'Non-Embedded Emissions'!$A$56:$D$90,3,FALSE)-VLOOKUP(CV$3,'Non-Embedded Emissions'!$A$143:$D$174,3,FALSE)-VLOOKUP(CV$3,'Non-Embedded Emissions'!$A$230:$D$259,3,FALSE)), $C11 = "2", 'Inputs-System'!$C$30*'Coincidence Factors'!$B$5*'Inputs-Proposals'!$D$23*'Inputs-Proposals'!$D$25*(VLOOKUP(CV$3,'Non-Embedded Emissions'!$A$56:$D$90,2,FALSE)+VLOOKUP(CV$3,'Non-Embedded Emissions'!$A$143:$D$174,2,FALSE)+VLOOKUP(CV$3,'Non-Embedded Emissions'!$A$230:$D$259,2,FALSE)-VLOOKUP(CV$3,'Non-Embedded Emissions'!$A$56:$D$90,3,FALSE)-VLOOKUP(CV$3,'Non-Embedded Emissions'!$A$143:$D$174,3,FALSE)-VLOOKUP(CV$3,'Non-Embedded Emissions'!$A$230:$D$259,3,FALSE)), $C11 = "3", 'Inputs-System'!$C$30*'Coincidence Factors'!$B$5*'Inputs-Proposals'!$D$29*'Inputs-Proposals'!$D$31*(VLOOKUP(CV$3,'Non-Embedded Emissions'!$A$56:$D$90,2,FALSE)+VLOOKUP(CV$3,'Non-Embedded Emissions'!$A$143:$D$174,2,FALSE)+VLOOKUP(CV$3,'Non-Embedded Emissions'!$A$230:$D$259,2,FALSE)-VLOOKUP(CV$3,'Non-Embedded Emissions'!$A$56:$D$90,3,FALSE)-VLOOKUP(CV$3,'Non-Embedded Emissions'!$A$143:$D$174,3,FALSE)-VLOOKUP(CV$3,'Non-Embedded Emissions'!$A$230:$D$259,3,FALSE)), $C11 = "0", 0), 0)</f>
        <v>0</v>
      </c>
      <c r="DB11" s="345">
        <f>IFERROR(_xlfn.IFS($C11="1",('Inputs-System'!$C$30*'Coincidence Factors'!$B$5*(1+'Inputs-System'!$C$18)*(1+'Inputs-System'!$C$41)*('Inputs-Proposals'!$D$17*'Inputs-Proposals'!$D$19*(1-'Inputs-Proposals'!$D$20))*(VLOOKUP(DB$3,Energy!$A$51:$K$83,5,FALSE)-VLOOKUP(DB$3,Energy!$A$51:$K$83,6,FALSE))), $C11 = "2",('Inputs-System'!$C$30*'Coincidence Factors'!$B$5)*(1+'Inputs-System'!$C$18)*(1+'Inputs-System'!$C$41)*('Inputs-Proposals'!$D$23*'Inputs-Proposals'!$D$25*(1-'Inputs-Proposals'!$D$26))*(VLOOKUP(DB$3,Energy!$A$51:$K$83,5,FALSE)-VLOOKUP(DB$3,Energy!$A$51:$K$83,6,FALSE)), $C11= "3", ('Inputs-System'!$C$30*'Coincidence Factors'!$B$5*(1+'Inputs-System'!$C$18)*(1+'Inputs-System'!$C$41)*('Inputs-Proposals'!$D$29*'Inputs-Proposals'!$D$31*(1-'Inputs-Proposals'!$D$32))*(VLOOKUP(DB$3,Energy!$A$51:$K$83,5,FALSE)-VLOOKUP(DB$3,Energy!$A$51:$K$83,6,FALSE))), $C11= "0", 0), 0)</f>
        <v>0</v>
      </c>
      <c r="DC11" s="100">
        <f>IFERROR(_xlfn.IFS($C11="1", 'Inputs-System'!$C$30*'Coincidence Factors'!$B$5*(1+'Inputs-System'!$C$18)*(1+'Inputs-System'!$C$41)*'Inputs-Proposals'!$D$17*'Inputs-Proposals'!$D$19*(1-'Inputs-Proposals'!$D$20)*(VLOOKUP(DB$3,'Embedded Emissions'!$A$47:$B$78,2,FALSE)+VLOOKUP(DB$3,'Embedded Emissions'!$A$129:$B$158,2,FALSE)), $C11 = "2",'Inputs-System'!$C$30*'Coincidence Factors'!$B$5*(1+'Inputs-System'!$C$18)*(1+'Inputs-System'!$C$41)*'Inputs-Proposals'!$D$23*'Inputs-Proposals'!$D$25*(1-'Inputs-Proposals'!$D$20)*(VLOOKUP(DB$3,'Embedded Emissions'!$A$47:$B$78,2,FALSE)+VLOOKUP(DB$3,'Embedded Emissions'!$A$129:$B$158,2,FALSE)), $C11 = "3", 'Inputs-System'!$C$30*'Coincidence Factors'!$B$5*(1+'Inputs-System'!$C$18)*(1+'Inputs-System'!$C$41)*'Inputs-Proposals'!$D$29*'Inputs-Proposals'!$D$31*(1-'Inputs-Proposals'!$D$20)*(VLOOKUP(DB$3,'Embedded Emissions'!$A$47:$B$78,2,FALSE)+VLOOKUP(DB$3,'Embedded Emissions'!$A$129:$B$158,2,FALSE)), $C11 = "0", 0), 0)</f>
        <v>0</v>
      </c>
      <c r="DD11" s="100">
        <f>IFERROR(_xlfn.IFS($C11="1",( 'Inputs-System'!$C$30*'Coincidence Factors'!$B$5*(1+'Inputs-System'!$C$18)*(1+'Inputs-System'!$C$41))*('Inputs-Proposals'!$D$17*'Inputs-Proposals'!$D$19*(1-'Inputs-Proposals'!$D$20))*(VLOOKUP(DB$3,DRIPE!$A$54:$I$82,5,FALSE)-VLOOKUP(DB$3,DRIPE!$A$54:$I$82,6,FALSE)+VLOOKUP(DB$3,DRIPE!$A$54:$I$82,9,FALSE))+ ('Inputs-System'!$C$26*'Coincidence Factors'!$B$5*(1+'Inputs-System'!$C$18)*(1+'Inputs-System'!$C$42))*'Inputs-Proposals'!$D$16*VLOOKUP(DB$3,DRIPE!$A$54:$I$80,8,FALSE), $C11 = "2",( 'Inputs-System'!$C$30*'Coincidence Factors'!$B$5*(1+'Inputs-System'!$C$18)*(1+'Inputs-System'!$C$41))*('Inputs-Proposals'!$D$23*'Inputs-Proposals'!$D$25*(1-'Inputs-Proposals'!$D$26))*(VLOOKUP(DB$3,DRIPE!$A$54:$I$82,5,FALSE)-VLOOKUP(DB$3,DRIPE!$A$54:$I$82,6,FALSE)+VLOOKUP(DB$3,DRIPE!$A$54:$I$82,9,FALSE))+ ('Inputs-System'!$C$26*'Coincidence Factors'!$B$5*(1+'Inputs-System'!$C$18)*(1+'Inputs-System'!$C$42))+ ('Inputs-System'!$C$26*'Coincidence Factors'!$B$5)*'Inputs-Proposals'!$D$22*VLOOKUP(DB$3,DRIPE!$A$54:$I$80,8,FALSE), $C11= "3", ('Inputs-System'!$C$30*'Coincidence Factors'!$B$5)*('Inputs-Proposals'!$D$29*'Inputs-Proposals'!$D$31*(1-'Inputs-Proposals'!$D$32))*(VLOOKUP(DB$3,DRIPE!$A$54:$I$80,5,FALSE)-VLOOKUP(DB$3,DRIPE!$A$54:$I$80,6,FALSE)+VLOOKUP(DB$3,DRIPE!$A$54:$I$80,9,FALSE))+ ('Inputs-System'!$C$26*'Coincidence Factors'!$B$5*(1+'Inputs-System'!$C$18)*(1+'Inputs-System'!$C$42))*'Inputs-Proposals'!$D$28*VLOOKUP(DB$3,DRIPE!$A$54:$I$80,8,FALSE), $C11 = "0", 0), 0)</f>
        <v>0</v>
      </c>
      <c r="DE11" s="345">
        <f>IFERROR(_xlfn.IFS($C11="1",('Inputs-System'!$C$26*'Coincidence Factors'!$B$5*(1+'Inputs-System'!$C$18)*(1+'Inputs-System'!$C$42))*'Inputs-Proposals'!$D$16*(VLOOKUP(DB$3,Capacity!$A$53:$E$85,4,FALSE)*(1+'Inputs-System'!$C$42)+VLOOKUP(DB$3,Capacity!$A$53:$E$85,5,FALSE)*(1+'Inputs-System'!$C$43)*'Inputs-System'!$C$29), $C11 = "2", ('Inputs-System'!$C$26*'Coincidence Factors'!$B$5*(1+'Inputs-System'!$C$18))*'Inputs-Proposals'!$D$22*(VLOOKUP(DB$3,Capacity!$A$53:$E$85,4,FALSE)*(1+'Inputs-System'!$C$42)+VLOOKUP(DB$3,Capacity!$A$53:$E$85,5,FALSE)*'Inputs-System'!$C$29*(1+'Inputs-System'!$C$43)), $C11 = "3", ('Inputs-System'!$C$26*'Coincidence Factors'!$B$5*(1+'Inputs-System'!$C$18))*'Inputs-Proposals'!$D$28*(VLOOKUP(DB$3,Capacity!$A$53:$E$85,4,FALSE)*(1+'Inputs-System'!$C$42)+VLOOKUP(DB$3,Capacity!$A$53:$E$85,5,FALSE)*'Inputs-System'!$C$29*(1+'Inputs-System'!$C$43)), $C11 = "0", 0), 0)</f>
        <v>0</v>
      </c>
      <c r="DF11" s="100">
        <v>0</v>
      </c>
      <c r="DG11" s="346">
        <f>IFERROR(_xlfn.IFS($C11="1", 'Inputs-System'!$C$30*'Coincidence Factors'!$B$5*'Inputs-Proposals'!$D$17*'Inputs-Proposals'!$D$19*(VLOOKUP(DB$3,'Non-Embedded Emissions'!$A$56:$D$90,2,FALSE)+VLOOKUP(DB$3,'Non-Embedded Emissions'!$A$143:$D$174,2,FALSE)+VLOOKUP(DB$3,'Non-Embedded Emissions'!$A$230:$D$259,2,FALSE)-VLOOKUP(DB$3,'Non-Embedded Emissions'!$A$56:$D$90,3,FALSE)-VLOOKUP(DB$3,'Non-Embedded Emissions'!$A$143:$D$174,3,FALSE)-VLOOKUP(DB$3,'Non-Embedded Emissions'!$A$230:$D$259,3,FALSE)), $C11 = "2", 'Inputs-System'!$C$30*'Coincidence Factors'!$B$5*'Inputs-Proposals'!$D$23*'Inputs-Proposals'!$D$25*(VLOOKUP(DB$3,'Non-Embedded Emissions'!$A$56:$D$90,2,FALSE)+VLOOKUP(DB$3,'Non-Embedded Emissions'!$A$143:$D$174,2,FALSE)+VLOOKUP(DB$3,'Non-Embedded Emissions'!$A$230:$D$259,2,FALSE)-VLOOKUP(DB$3,'Non-Embedded Emissions'!$A$56:$D$90,3,FALSE)-VLOOKUP(DB$3,'Non-Embedded Emissions'!$A$143:$D$174,3,FALSE)-VLOOKUP(DB$3,'Non-Embedded Emissions'!$A$230:$D$259,3,FALSE)), $C11 = "3", 'Inputs-System'!$C$30*'Coincidence Factors'!$B$5*'Inputs-Proposals'!$D$29*'Inputs-Proposals'!$D$31*(VLOOKUP(DB$3,'Non-Embedded Emissions'!$A$56:$D$90,2,FALSE)+VLOOKUP(DB$3,'Non-Embedded Emissions'!$A$143:$D$174,2,FALSE)+VLOOKUP(DB$3,'Non-Embedded Emissions'!$A$230:$D$259,2,FALSE)-VLOOKUP(DB$3,'Non-Embedded Emissions'!$A$56:$D$90,3,FALSE)-VLOOKUP(DB$3,'Non-Embedded Emissions'!$A$143:$D$174,3,FALSE)-VLOOKUP(DB$3,'Non-Embedded Emissions'!$A$230:$D$259,3,FALSE)), $C11 = "0", 0), 0)</f>
        <v>0</v>
      </c>
      <c r="DH11" s="345">
        <f>IFERROR(_xlfn.IFS($C11="1",('Inputs-System'!$C$30*'Coincidence Factors'!$B$5*(1+'Inputs-System'!$C$18)*(1+'Inputs-System'!$C$41)*('Inputs-Proposals'!$D$17*'Inputs-Proposals'!$D$19*(1-'Inputs-Proposals'!$D$20))*(VLOOKUP(DH$3,Energy!$A$51:$K$83,5,FALSE)-VLOOKUP(DH$3,Energy!$A$51:$K$83,6,FALSE))), $C11 = "2",('Inputs-System'!$C$30*'Coincidence Factors'!$B$5)*(1+'Inputs-System'!$C$18)*(1+'Inputs-System'!$C$41)*('Inputs-Proposals'!$D$23*'Inputs-Proposals'!$D$25*(1-'Inputs-Proposals'!$D$26))*(VLOOKUP(DH$3,Energy!$A$51:$K$83,5,FALSE)-VLOOKUP(DH$3,Energy!$A$51:$K$83,6,FALSE)), $C11= "3", ('Inputs-System'!$C$30*'Coincidence Factors'!$B$5*(1+'Inputs-System'!$C$18)*(1+'Inputs-System'!$C$41)*('Inputs-Proposals'!$D$29*'Inputs-Proposals'!$D$31*(1-'Inputs-Proposals'!$D$32))*(VLOOKUP(DH$3,Energy!$A$51:$K$83,5,FALSE)-VLOOKUP(DH$3,Energy!$A$51:$K$83,6,FALSE))), $C11= "0", 0), 0)</f>
        <v>0</v>
      </c>
      <c r="DI11" s="100">
        <f>IFERROR(_xlfn.IFS($C11="1", 'Inputs-System'!$C$30*'Coincidence Factors'!$B$5*(1+'Inputs-System'!$C$18)*(1+'Inputs-System'!$C$41)*'Inputs-Proposals'!$D$17*'Inputs-Proposals'!$D$19*(1-'Inputs-Proposals'!$D$20)*(VLOOKUP(DH$3,'Embedded Emissions'!$A$47:$B$78,2,FALSE)+VLOOKUP(DH$3,'Embedded Emissions'!$A$129:$B$158,2,FALSE)), $C11 = "2",'Inputs-System'!$C$30*'Coincidence Factors'!$B$5*(1+'Inputs-System'!$C$18)*(1+'Inputs-System'!$C$41)*'Inputs-Proposals'!$D$23*'Inputs-Proposals'!$D$25*(1-'Inputs-Proposals'!$D$20)*(VLOOKUP(DH$3,'Embedded Emissions'!$A$47:$B$78,2,FALSE)+VLOOKUP(DH$3,'Embedded Emissions'!$A$129:$B$158,2,FALSE)), $C11 = "3", 'Inputs-System'!$C$30*'Coincidence Factors'!$B$5*(1+'Inputs-System'!$C$18)*(1+'Inputs-System'!$C$41)*'Inputs-Proposals'!$D$29*'Inputs-Proposals'!$D$31*(1-'Inputs-Proposals'!$D$20)*(VLOOKUP(DH$3,'Embedded Emissions'!$A$47:$B$78,2,FALSE)+VLOOKUP(DH$3,'Embedded Emissions'!$A$129:$B$158,2,FALSE)), $C11 = "0", 0), 0)</f>
        <v>0</v>
      </c>
      <c r="DJ11" s="100">
        <f>IFERROR(_xlfn.IFS($C11="1",( 'Inputs-System'!$C$30*'Coincidence Factors'!$B$5*(1+'Inputs-System'!$C$18)*(1+'Inputs-System'!$C$41))*('Inputs-Proposals'!$D$17*'Inputs-Proposals'!$D$19*(1-'Inputs-Proposals'!$D$20))*(VLOOKUP(DH$3,DRIPE!$A$54:$I$82,5,FALSE)-VLOOKUP(DH$3,DRIPE!$A$54:$I$82,6,FALSE)+VLOOKUP(DH$3,DRIPE!$A$54:$I$82,9,FALSE))+ ('Inputs-System'!$C$26*'Coincidence Factors'!$B$5*(1+'Inputs-System'!$C$18)*(1+'Inputs-System'!$C$42))*'Inputs-Proposals'!$D$16*VLOOKUP(DH$3,DRIPE!$A$54:$I$80,8,FALSE), $C11 = "2",( 'Inputs-System'!$C$30*'Coincidence Factors'!$B$5*(1+'Inputs-System'!$C$18)*(1+'Inputs-System'!$C$41))*('Inputs-Proposals'!$D$23*'Inputs-Proposals'!$D$25*(1-'Inputs-Proposals'!$D$26))*(VLOOKUP(DH$3,DRIPE!$A$54:$I$82,5,FALSE)-VLOOKUP(DH$3,DRIPE!$A$54:$I$82,6,FALSE)+VLOOKUP(DH$3,DRIPE!$A$54:$I$82,9,FALSE))+ ('Inputs-System'!$C$26*'Coincidence Factors'!$B$5*(1+'Inputs-System'!$C$18)*(1+'Inputs-System'!$C$42))+ ('Inputs-System'!$C$26*'Coincidence Factors'!$B$5)*'Inputs-Proposals'!$D$22*VLOOKUP(DH$3,DRIPE!$A$54:$I$80,8,FALSE), $C11= "3", ('Inputs-System'!$C$30*'Coincidence Factors'!$B$5)*('Inputs-Proposals'!$D$29*'Inputs-Proposals'!$D$31*(1-'Inputs-Proposals'!$D$32))*(VLOOKUP(DH$3,DRIPE!$A$54:$I$80,5,FALSE)-VLOOKUP(DH$3,DRIPE!$A$54:$I$80,6,FALSE)+VLOOKUP(DH$3,DRIPE!$A$54:$I$80,9,FALSE))+ ('Inputs-System'!$C$26*'Coincidence Factors'!$B$5*(1+'Inputs-System'!$C$18)*(1+'Inputs-System'!$C$42))*'Inputs-Proposals'!$D$28*VLOOKUP(DH$3,DRIPE!$A$54:$I$80,8,FALSE), $C11 = "0", 0), 0)</f>
        <v>0</v>
      </c>
      <c r="DK11" s="345">
        <f>IFERROR(_xlfn.IFS($C11="1",('Inputs-System'!$C$26*'Coincidence Factors'!$B$5*(1+'Inputs-System'!$C$18)*(1+'Inputs-System'!$C$42))*'Inputs-Proposals'!$D$16*(VLOOKUP(DH$3,Capacity!$A$53:$E$85,4,FALSE)*(1+'Inputs-System'!$C$42)+VLOOKUP(DH$3,Capacity!$A$53:$E$85,5,FALSE)*(1+'Inputs-System'!$C$43)*'Inputs-System'!$C$29), $C11 = "2", ('Inputs-System'!$C$26*'Coincidence Factors'!$B$5*(1+'Inputs-System'!$C$18))*'Inputs-Proposals'!$D$22*(VLOOKUP(DH$3,Capacity!$A$53:$E$85,4,FALSE)*(1+'Inputs-System'!$C$42)+VLOOKUP(DH$3,Capacity!$A$53:$E$85,5,FALSE)*'Inputs-System'!$C$29*(1+'Inputs-System'!$C$43)), $C11 = "3", ('Inputs-System'!$C$26*'Coincidence Factors'!$B$5*(1+'Inputs-System'!$C$18))*'Inputs-Proposals'!$D$28*(VLOOKUP(DH$3,Capacity!$A$53:$E$85,4,FALSE)*(1+'Inputs-System'!$C$42)+VLOOKUP(DH$3,Capacity!$A$53:$E$85,5,FALSE)*'Inputs-System'!$C$29*(1+'Inputs-System'!$C$43)), $C11 = "0", 0), 0)</f>
        <v>0</v>
      </c>
      <c r="DL11" s="100">
        <v>0</v>
      </c>
      <c r="DM11" s="346">
        <f>IFERROR(_xlfn.IFS($C11="1", 'Inputs-System'!$C$30*'Coincidence Factors'!$B$5*'Inputs-Proposals'!$D$17*'Inputs-Proposals'!$D$19*(VLOOKUP(DH$3,'Non-Embedded Emissions'!$A$56:$D$90,2,FALSE)+VLOOKUP(DH$3,'Non-Embedded Emissions'!$A$143:$D$174,2,FALSE)+VLOOKUP(DH$3,'Non-Embedded Emissions'!$A$230:$D$259,2,FALSE)-VLOOKUP(DH$3,'Non-Embedded Emissions'!$A$56:$D$90,3,FALSE)-VLOOKUP(DH$3,'Non-Embedded Emissions'!$A$143:$D$174,3,FALSE)-VLOOKUP(DH$3,'Non-Embedded Emissions'!$A$230:$D$259,3,FALSE)), $C11 = "2", 'Inputs-System'!$C$30*'Coincidence Factors'!$B$5*'Inputs-Proposals'!$D$23*'Inputs-Proposals'!$D$25*(VLOOKUP(DH$3,'Non-Embedded Emissions'!$A$56:$D$90,2,FALSE)+VLOOKUP(DH$3,'Non-Embedded Emissions'!$A$143:$D$174,2,FALSE)+VLOOKUP(DH$3,'Non-Embedded Emissions'!$A$230:$D$259,2,FALSE)-VLOOKUP(DH$3,'Non-Embedded Emissions'!$A$56:$D$90,3,FALSE)-VLOOKUP(DH$3,'Non-Embedded Emissions'!$A$143:$D$174,3,FALSE)-VLOOKUP(DH$3,'Non-Embedded Emissions'!$A$230:$D$259,3,FALSE)), $C11 = "3", 'Inputs-System'!$C$30*'Coincidence Factors'!$B$5*'Inputs-Proposals'!$D$29*'Inputs-Proposals'!$D$31*(VLOOKUP(DH$3,'Non-Embedded Emissions'!$A$56:$D$90,2,FALSE)+VLOOKUP(DH$3,'Non-Embedded Emissions'!$A$143:$D$174,2,FALSE)+VLOOKUP(DH$3,'Non-Embedded Emissions'!$A$230:$D$259,2,FALSE)-VLOOKUP(DH$3,'Non-Embedded Emissions'!$A$56:$D$90,3,FALSE)-VLOOKUP(DH$3,'Non-Embedded Emissions'!$A$143:$D$174,3,FALSE)-VLOOKUP(DH$3,'Non-Embedded Emissions'!$A$230:$D$259,3,FALSE)), $C11 = "0", 0), 0)</f>
        <v>0</v>
      </c>
      <c r="DN11" s="345">
        <f>IFERROR(_xlfn.IFS($C11="1",('Inputs-System'!$C$30*'Coincidence Factors'!$B$5*(1+'Inputs-System'!$C$18)*(1+'Inputs-System'!$C$41)*('Inputs-Proposals'!$D$17*'Inputs-Proposals'!$D$19*(1-'Inputs-Proposals'!$D$20))*(VLOOKUP(DN$3,Energy!$A$51:$K$83,5,FALSE)-VLOOKUP(DN$3,Energy!$A$51:$K$83,6,FALSE))), $C11 = "2",('Inputs-System'!$C$30*'Coincidence Factors'!$B$5)*(1+'Inputs-System'!$C$18)*(1+'Inputs-System'!$C$41)*('Inputs-Proposals'!$D$23*'Inputs-Proposals'!$D$25*(1-'Inputs-Proposals'!$D$26))*(VLOOKUP(DN$3,Energy!$A$51:$K$83,5,FALSE)-VLOOKUP(DN$3,Energy!$A$51:$K$83,6,FALSE)), $C11= "3", ('Inputs-System'!$C$30*'Coincidence Factors'!$B$5*(1+'Inputs-System'!$C$18)*(1+'Inputs-System'!$C$41)*('Inputs-Proposals'!$D$29*'Inputs-Proposals'!$D$31*(1-'Inputs-Proposals'!$D$32))*(VLOOKUP(DN$3,Energy!$A$51:$K$83,5,FALSE)-VLOOKUP(DN$3,Energy!$A$51:$K$83,6,FALSE))), $C11= "0", 0), 0)</f>
        <v>0</v>
      </c>
      <c r="DO11" s="100">
        <f>IFERROR(_xlfn.IFS($C11="1", 'Inputs-System'!$C$30*'Coincidence Factors'!$B$5*(1+'Inputs-System'!$C$18)*(1+'Inputs-System'!$C$41)*'Inputs-Proposals'!$D$17*'Inputs-Proposals'!$D$19*(1-'Inputs-Proposals'!$D$20)*(VLOOKUP(DN$3,'Embedded Emissions'!$A$47:$B$78,2,FALSE)+VLOOKUP(DN$3,'Embedded Emissions'!$A$129:$B$158,2,FALSE)), $C11 = "2",'Inputs-System'!$C$30*'Coincidence Factors'!$B$5*(1+'Inputs-System'!$C$18)*(1+'Inputs-System'!$C$41)*'Inputs-Proposals'!$D$23*'Inputs-Proposals'!$D$25*(1-'Inputs-Proposals'!$D$20)*(VLOOKUP(DN$3,'Embedded Emissions'!$A$47:$B$78,2,FALSE)+VLOOKUP(DN$3,'Embedded Emissions'!$A$129:$B$158,2,FALSE)), $C11 = "3", 'Inputs-System'!$C$30*'Coincidence Factors'!$B$5*(1+'Inputs-System'!$C$18)*(1+'Inputs-System'!$C$41)*'Inputs-Proposals'!$D$29*'Inputs-Proposals'!$D$31*(1-'Inputs-Proposals'!$D$20)*(VLOOKUP(DN$3,'Embedded Emissions'!$A$47:$B$78,2,FALSE)+VLOOKUP(DN$3,'Embedded Emissions'!$A$129:$B$158,2,FALSE)), $C11 = "0", 0), 0)</f>
        <v>0</v>
      </c>
      <c r="DP11" s="100">
        <f>IFERROR(_xlfn.IFS($C11="1",( 'Inputs-System'!$C$30*'Coincidence Factors'!$B$5*(1+'Inputs-System'!$C$18)*(1+'Inputs-System'!$C$41))*('Inputs-Proposals'!$D$17*'Inputs-Proposals'!$D$19*(1-'Inputs-Proposals'!$D$20))*(VLOOKUP(DN$3,DRIPE!$A$54:$I$82,5,FALSE)-VLOOKUP(DN$3,DRIPE!$A$54:$I$82,6,FALSE)+VLOOKUP(DN$3,DRIPE!$A$54:$I$82,9,FALSE))+ ('Inputs-System'!$C$26*'Coincidence Factors'!$B$5*(1+'Inputs-System'!$C$18)*(1+'Inputs-System'!$C$42))*'Inputs-Proposals'!$D$16*VLOOKUP(DN$3,DRIPE!$A$54:$I$80,8,FALSE), $C11 = "2",( 'Inputs-System'!$C$30*'Coincidence Factors'!$B$5*(1+'Inputs-System'!$C$18)*(1+'Inputs-System'!$C$41))*('Inputs-Proposals'!$D$23*'Inputs-Proposals'!$D$25*(1-'Inputs-Proposals'!$D$26))*(VLOOKUP(DN$3,DRIPE!$A$54:$I$82,5,FALSE)-VLOOKUP(DN$3,DRIPE!$A$54:$I$82,6,FALSE)+VLOOKUP(DN$3,DRIPE!$A$54:$I$82,9,FALSE))+ ('Inputs-System'!$C$26*'Coincidence Factors'!$B$5*(1+'Inputs-System'!$C$18)*(1+'Inputs-System'!$C$42))+ ('Inputs-System'!$C$26*'Coincidence Factors'!$B$5)*'Inputs-Proposals'!$D$22*VLOOKUP(DN$3,DRIPE!$A$54:$I$80,8,FALSE), $C11= "3", ('Inputs-System'!$C$30*'Coincidence Factors'!$B$5)*('Inputs-Proposals'!$D$29*'Inputs-Proposals'!$D$31*(1-'Inputs-Proposals'!$D$32))*(VLOOKUP(DN$3,DRIPE!$A$54:$I$80,5,FALSE)-VLOOKUP(DN$3,DRIPE!$A$54:$I$80,6,FALSE)+VLOOKUP(DN$3,DRIPE!$A$54:$I$80,9,FALSE))+ ('Inputs-System'!$C$26*'Coincidence Factors'!$B$5*(1+'Inputs-System'!$C$18)*(1+'Inputs-System'!$C$42))*'Inputs-Proposals'!$D$28*VLOOKUP(DN$3,DRIPE!$A$54:$I$80,8,FALSE), $C11 = "0", 0), 0)</f>
        <v>0</v>
      </c>
      <c r="DQ11" s="345">
        <f>IFERROR(_xlfn.IFS($C11="1",('Inputs-System'!$C$26*'Coincidence Factors'!$B$5*(1+'Inputs-System'!$C$18)*(1+'Inputs-System'!$C$42))*'Inputs-Proposals'!$D$16*(VLOOKUP(DN$3,Capacity!$A$53:$E$85,4,FALSE)*(1+'Inputs-System'!$C$42)+VLOOKUP(DN$3,Capacity!$A$53:$E$85,5,FALSE)*(1+'Inputs-System'!$C$43)*'Inputs-System'!$C$29), $C11 = "2", ('Inputs-System'!$C$26*'Coincidence Factors'!$B$5*(1+'Inputs-System'!$C$18))*'Inputs-Proposals'!$D$22*(VLOOKUP(DN$3,Capacity!$A$53:$E$85,4,FALSE)*(1+'Inputs-System'!$C$42)+VLOOKUP(DN$3,Capacity!$A$53:$E$85,5,FALSE)*'Inputs-System'!$C$29*(1+'Inputs-System'!$C$43)), $C11 = "3", ('Inputs-System'!$C$26*'Coincidence Factors'!$B$5*(1+'Inputs-System'!$C$18))*'Inputs-Proposals'!$D$28*(VLOOKUP(DN$3,Capacity!$A$53:$E$85,4,FALSE)*(1+'Inputs-System'!$C$42)+VLOOKUP(DN$3,Capacity!$A$53:$E$85,5,FALSE)*'Inputs-System'!$C$29*(1+'Inputs-System'!$C$43)), $C11 = "0", 0), 0)</f>
        <v>0</v>
      </c>
      <c r="DR11" s="100">
        <v>0</v>
      </c>
      <c r="DS11" s="346">
        <f>IFERROR(_xlfn.IFS($C11="1", 'Inputs-System'!$C$30*'Coincidence Factors'!$B$5*'Inputs-Proposals'!$D$17*'Inputs-Proposals'!$D$19*(VLOOKUP(DN$3,'Non-Embedded Emissions'!$A$56:$D$90,2,FALSE)+VLOOKUP(DN$3,'Non-Embedded Emissions'!$A$143:$D$174,2,FALSE)+VLOOKUP(DN$3,'Non-Embedded Emissions'!$A$230:$D$259,2,FALSE)-VLOOKUP(DN$3,'Non-Embedded Emissions'!$A$56:$D$90,3,FALSE)-VLOOKUP(DN$3,'Non-Embedded Emissions'!$A$143:$D$174,3,FALSE)-VLOOKUP(DN$3,'Non-Embedded Emissions'!$A$230:$D$259,3,FALSE)), $C11 = "2", 'Inputs-System'!$C$30*'Coincidence Factors'!$B$5*'Inputs-Proposals'!$D$23*'Inputs-Proposals'!$D$25*(VLOOKUP(DN$3,'Non-Embedded Emissions'!$A$56:$D$90,2,FALSE)+VLOOKUP(DN$3,'Non-Embedded Emissions'!$A$143:$D$174,2,FALSE)+VLOOKUP(DN$3,'Non-Embedded Emissions'!$A$230:$D$259,2,FALSE)-VLOOKUP(DN$3,'Non-Embedded Emissions'!$A$56:$D$90,3,FALSE)-VLOOKUP(DN$3,'Non-Embedded Emissions'!$A$143:$D$174,3,FALSE)-VLOOKUP(DN$3,'Non-Embedded Emissions'!$A$230:$D$259,3,FALSE)), $C11 = "3", 'Inputs-System'!$C$30*'Coincidence Factors'!$B$5*'Inputs-Proposals'!$D$29*'Inputs-Proposals'!$D$31*(VLOOKUP(DN$3,'Non-Embedded Emissions'!$A$56:$D$90,2,FALSE)+VLOOKUP(DN$3,'Non-Embedded Emissions'!$A$143:$D$174,2,FALSE)+VLOOKUP(DN$3,'Non-Embedded Emissions'!$A$230:$D$259,2,FALSE)-VLOOKUP(DN$3,'Non-Embedded Emissions'!$A$56:$D$90,3,FALSE)-VLOOKUP(DN$3,'Non-Embedded Emissions'!$A$143:$D$174,3,FALSE)-VLOOKUP(DN$3,'Non-Embedded Emissions'!$A$230:$D$259,3,FALSE)), $C11 = "0", 0), 0)</f>
        <v>0</v>
      </c>
      <c r="DT11" s="345">
        <f>IFERROR(_xlfn.IFS($C11="1",('Inputs-System'!$C$30*'Coincidence Factors'!$B$5*(1+'Inputs-System'!$C$18)*(1+'Inputs-System'!$C$41)*('Inputs-Proposals'!$D$17*'Inputs-Proposals'!$D$19*(1-'Inputs-Proposals'!$D$20))*(VLOOKUP(DT$3,Energy!$A$51:$K$83,5,FALSE)-VLOOKUP(DT$3,Energy!$A$51:$K$83,6,FALSE))), $C11 = "2",('Inputs-System'!$C$30*'Coincidence Factors'!$B$5)*(1+'Inputs-System'!$C$18)*(1+'Inputs-System'!$C$41)*('Inputs-Proposals'!$D$23*'Inputs-Proposals'!$D$25*(1-'Inputs-Proposals'!$D$26))*(VLOOKUP(DT$3,Energy!$A$51:$K$83,5,FALSE)-VLOOKUP(DT$3,Energy!$A$51:$K$83,6,FALSE)), $C11= "3", ('Inputs-System'!$C$30*'Coincidence Factors'!$B$5*(1+'Inputs-System'!$C$18)*(1+'Inputs-System'!$C$41)*('Inputs-Proposals'!$D$29*'Inputs-Proposals'!$D$31*(1-'Inputs-Proposals'!$D$32))*(VLOOKUP(DT$3,Energy!$A$51:$K$83,5,FALSE)-VLOOKUP(DT$3,Energy!$A$51:$K$83,6,FALSE))), $C11= "0", 0), 0)</f>
        <v>0</v>
      </c>
      <c r="DU11" s="100">
        <f>IFERROR(_xlfn.IFS($C11="1", 'Inputs-System'!$C$30*'Coincidence Factors'!$B$5*(1+'Inputs-System'!$C$18)*(1+'Inputs-System'!$C$41)*'Inputs-Proposals'!$D$17*'Inputs-Proposals'!$D$19*(1-'Inputs-Proposals'!$D$20)*(VLOOKUP(DT$3,'Embedded Emissions'!$A$47:$B$78,2,FALSE)+VLOOKUP(DT$3,'Embedded Emissions'!$A$129:$B$158,2,FALSE)), $C11 = "2",'Inputs-System'!$C$30*'Coincidence Factors'!$B$5*(1+'Inputs-System'!$C$18)*(1+'Inputs-System'!$C$41)*'Inputs-Proposals'!$D$23*'Inputs-Proposals'!$D$25*(1-'Inputs-Proposals'!$D$20)*(VLOOKUP(DT$3,'Embedded Emissions'!$A$47:$B$78,2,FALSE)+VLOOKUP(DT$3,'Embedded Emissions'!$A$129:$B$158,2,FALSE)), $C11 = "3", 'Inputs-System'!$C$30*'Coincidence Factors'!$B$5*(1+'Inputs-System'!$C$18)*(1+'Inputs-System'!$C$41)*'Inputs-Proposals'!$D$29*'Inputs-Proposals'!$D$31*(1-'Inputs-Proposals'!$D$20)*(VLOOKUP(DT$3,'Embedded Emissions'!$A$47:$B$78,2,FALSE)+VLOOKUP(DT$3,'Embedded Emissions'!$A$129:$B$158,2,FALSE)), $C11 = "0", 0), 0)</f>
        <v>0</v>
      </c>
      <c r="DV11" s="100">
        <f>IFERROR(_xlfn.IFS($C11="1",( 'Inputs-System'!$C$30*'Coincidence Factors'!$B$5*(1+'Inputs-System'!$C$18)*(1+'Inputs-System'!$C$41))*('Inputs-Proposals'!$D$17*'Inputs-Proposals'!$D$19*(1-'Inputs-Proposals'!$D$20))*(VLOOKUP(DT$3,DRIPE!$A$54:$I$82,5,FALSE)-VLOOKUP(DT$3,DRIPE!$A$54:$I$82,6,FALSE)+VLOOKUP(DT$3,DRIPE!$A$54:$I$82,9,FALSE))+ ('Inputs-System'!$C$26*'Coincidence Factors'!$B$5*(1+'Inputs-System'!$C$18)*(1+'Inputs-System'!$C$42))*'Inputs-Proposals'!$D$16*VLOOKUP(DT$3,DRIPE!$A$54:$I$80,8,FALSE), $C11 = "2",( 'Inputs-System'!$C$30*'Coincidence Factors'!$B$5*(1+'Inputs-System'!$C$18)*(1+'Inputs-System'!$C$41))*('Inputs-Proposals'!$D$23*'Inputs-Proposals'!$D$25*(1-'Inputs-Proposals'!$D$26))*(VLOOKUP(DT$3,DRIPE!$A$54:$I$82,5,FALSE)-VLOOKUP(DT$3,DRIPE!$A$54:$I$82,6,FALSE)+VLOOKUP(DT$3,DRIPE!$A$54:$I$82,9,FALSE))+ ('Inputs-System'!$C$26*'Coincidence Factors'!$B$5*(1+'Inputs-System'!$C$18)*(1+'Inputs-System'!$C$42))+ ('Inputs-System'!$C$26*'Coincidence Factors'!$B$5)*'Inputs-Proposals'!$D$22*VLOOKUP(DT$3,DRIPE!$A$54:$I$80,8,FALSE), $C11= "3", ('Inputs-System'!$C$30*'Coincidence Factors'!$B$5)*('Inputs-Proposals'!$D$29*'Inputs-Proposals'!$D$31*(1-'Inputs-Proposals'!$D$32))*(VLOOKUP(DT$3,DRIPE!$A$54:$I$80,5,FALSE)-VLOOKUP(DT$3,DRIPE!$A$54:$I$80,6,FALSE)+VLOOKUP(DT$3,DRIPE!$A$54:$I$80,9,FALSE))+ ('Inputs-System'!$C$26*'Coincidence Factors'!$B$5*(1+'Inputs-System'!$C$18)*(1+'Inputs-System'!$C$42))*'Inputs-Proposals'!$D$28*VLOOKUP(DT$3,DRIPE!$A$54:$I$80,8,FALSE), $C11 = "0", 0), 0)</f>
        <v>0</v>
      </c>
      <c r="DW11" s="345">
        <f>IFERROR(_xlfn.IFS($C11="1",('Inputs-System'!$C$26*'Coincidence Factors'!$B$5*(1+'Inputs-System'!$C$18)*(1+'Inputs-System'!$C$42))*'Inputs-Proposals'!$D$16*(VLOOKUP(DT$3,Capacity!$A$53:$E$85,4,FALSE)*(1+'Inputs-System'!$C$42)+VLOOKUP(DT$3,Capacity!$A$53:$E$85,5,FALSE)*(1+'Inputs-System'!$C$43)*'Inputs-System'!$C$29), $C11 = "2", ('Inputs-System'!$C$26*'Coincidence Factors'!$B$5*(1+'Inputs-System'!$C$18))*'Inputs-Proposals'!$D$22*(VLOOKUP(DT$3,Capacity!$A$53:$E$85,4,FALSE)*(1+'Inputs-System'!$C$42)+VLOOKUP(DT$3,Capacity!$A$53:$E$85,5,FALSE)*'Inputs-System'!$C$29*(1+'Inputs-System'!$C$43)), $C11 = "3", ('Inputs-System'!$C$26*'Coincidence Factors'!$B$5*(1+'Inputs-System'!$C$18))*'Inputs-Proposals'!$D$28*(VLOOKUP(DT$3,Capacity!$A$53:$E$85,4,FALSE)*(1+'Inputs-System'!$C$42)+VLOOKUP(DT$3,Capacity!$A$53:$E$85,5,FALSE)*'Inputs-System'!$C$29*(1+'Inputs-System'!$C$43)), $C11 = "0", 0), 0)</f>
        <v>0</v>
      </c>
      <c r="DX11" s="100">
        <v>0</v>
      </c>
      <c r="DY11" s="346">
        <f>IFERROR(_xlfn.IFS($C11="1", 'Inputs-System'!$C$30*'Coincidence Factors'!$B$5*'Inputs-Proposals'!$D$17*'Inputs-Proposals'!$D$19*(VLOOKUP(DT$3,'Non-Embedded Emissions'!$A$56:$D$90,2,FALSE)+VLOOKUP(DT$3,'Non-Embedded Emissions'!$A$143:$D$174,2,FALSE)+VLOOKUP(DT$3,'Non-Embedded Emissions'!$A$230:$D$259,2,FALSE)-VLOOKUP(DT$3,'Non-Embedded Emissions'!$A$56:$D$90,3,FALSE)-VLOOKUP(DT$3,'Non-Embedded Emissions'!$A$143:$D$174,3,FALSE)-VLOOKUP(DT$3,'Non-Embedded Emissions'!$A$230:$D$259,3,FALSE)), $C11 = "2", 'Inputs-System'!$C$30*'Coincidence Factors'!$B$5*'Inputs-Proposals'!$D$23*'Inputs-Proposals'!$D$25*(VLOOKUP(DT$3,'Non-Embedded Emissions'!$A$56:$D$90,2,FALSE)+VLOOKUP(DT$3,'Non-Embedded Emissions'!$A$143:$D$174,2,FALSE)+VLOOKUP(DT$3,'Non-Embedded Emissions'!$A$230:$D$259,2,FALSE)-VLOOKUP(DT$3,'Non-Embedded Emissions'!$A$56:$D$90,3,FALSE)-VLOOKUP(DT$3,'Non-Embedded Emissions'!$A$143:$D$174,3,FALSE)-VLOOKUP(DT$3,'Non-Embedded Emissions'!$A$230:$D$259,3,FALSE)), $C11 = "3", 'Inputs-System'!$C$30*'Coincidence Factors'!$B$5*'Inputs-Proposals'!$D$29*'Inputs-Proposals'!$D$31*(VLOOKUP(DT$3,'Non-Embedded Emissions'!$A$56:$D$90,2,FALSE)+VLOOKUP(DT$3,'Non-Embedded Emissions'!$A$143:$D$174,2,FALSE)+VLOOKUP(DT$3,'Non-Embedded Emissions'!$A$230:$D$259,2,FALSE)-VLOOKUP(DT$3,'Non-Embedded Emissions'!$A$56:$D$90,3,FALSE)-VLOOKUP(DT$3,'Non-Embedded Emissions'!$A$143:$D$174,3,FALSE)-VLOOKUP(DT$3,'Non-Embedded Emissions'!$A$230:$D$259,3,FALSE)), $C11 = "0", 0), 0)</f>
        <v>0</v>
      </c>
      <c r="DZ11" s="345">
        <f>IFERROR(_xlfn.IFS($C11="1",('Inputs-System'!$C$30*'Coincidence Factors'!$B$5*(1+'Inputs-System'!$C$18)*(1+'Inputs-System'!$C$41)*('Inputs-Proposals'!$D$17*'Inputs-Proposals'!$D$19*(1-'Inputs-Proposals'!$D$20))*(VLOOKUP(DZ$3,Energy!$A$51:$K$83,5,FALSE)-VLOOKUP(DZ$3,Energy!$A$51:$K$83,6,FALSE))), $C11 = "2",('Inputs-System'!$C$30*'Coincidence Factors'!$B$5)*(1+'Inputs-System'!$C$18)*(1+'Inputs-System'!$C$41)*('Inputs-Proposals'!$D$23*'Inputs-Proposals'!$D$25*(1-'Inputs-Proposals'!$D$26))*(VLOOKUP(DZ$3,Energy!$A$51:$K$83,5,FALSE)-VLOOKUP(DZ$3,Energy!$A$51:$K$83,6,FALSE)), $C11= "3", ('Inputs-System'!$C$30*'Coincidence Factors'!$B$5*(1+'Inputs-System'!$C$18)*(1+'Inputs-System'!$C$41)*('Inputs-Proposals'!$D$29*'Inputs-Proposals'!$D$31*(1-'Inputs-Proposals'!$D$32))*(VLOOKUP(DZ$3,Energy!$A$51:$K$83,5,FALSE)-VLOOKUP(DZ$3,Energy!$A$51:$K$83,6,FALSE))), $C11= "0", 0), 0)</f>
        <v>0</v>
      </c>
      <c r="EA11" s="100">
        <f>IFERROR(_xlfn.IFS($C11="1", 'Inputs-System'!$C$30*'Coincidence Factors'!$B$5*(1+'Inputs-System'!$C$18)*(1+'Inputs-System'!$C$41)*'Inputs-Proposals'!$D$17*'Inputs-Proposals'!$D$19*(1-'Inputs-Proposals'!$D$20)*(VLOOKUP(DZ$3,'Embedded Emissions'!$A$47:$B$78,2,FALSE)+VLOOKUP(DZ$3,'Embedded Emissions'!$A$129:$B$158,2,FALSE)), $C11 = "2",'Inputs-System'!$C$30*'Coincidence Factors'!$B$5*(1+'Inputs-System'!$C$18)*(1+'Inputs-System'!$C$41)*'Inputs-Proposals'!$D$23*'Inputs-Proposals'!$D$25*(1-'Inputs-Proposals'!$D$20)*(VLOOKUP(DZ$3,'Embedded Emissions'!$A$47:$B$78,2,FALSE)+VLOOKUP(DZ$3,'Embedded Emissions'!$A$129:$B$158,2,FALSE)), $C11 = "3", 'Inputs-System'!$C$30*'Coincidence Factors'!$B$5*(1+'Inputs-System'!$C$18)*(1+'Inputs-System'!$C$41)*'Inputs-Proposals'!$D$29*'Inputs-Proposals'!$D$31*(1-'Inputs-Proposals'!$D$20)*(VLOOKUP(DZ$3,'Embedded Emissions'!$A$47:$B$78,2,FALSE)+VLOOKUP(DZ$3,'Embedded Emissions'!$A$129:$B$158,2,FALSE)), $C11 = "0", 0), 0)</f>
        <v>0</v>
      </c>
      <c r="EB11" s="100">
        <f>IFERROR(_xlfn.IFS($C11="1",( 'Inputs-System'!$C$30*'Coincidence Factors'!$B$5*(1+'Inputs-System'!$C$18)*(1+'Inputs-System'!$C$41))*('Inputs-Proposals'!$D$17*'Inputs-Proposals'!$D$19*(1-'Inputs-Proposals'!$D$20))*(VLOOKUP(DZ$3,DRIPE!$A$54:$I$82,5,FALSE)-VLOOKUP(DZ$3,DRIPE!$A$54:$I$82,6,FALSE)+VLOOKUP(DZ$3,DRIPE!$A$54:$I$82,9,FALSE))+ ('Inputs-System'!$C$26*'Coincidence Factors'!$B$5*(1+'Inputs-System'!$C$18)*(1+'Inputs-System'!$C$42))*'Inputs-Proposals'!$D$16*VLOOKUP(DZ$3,DRIPE!$A$54:$I$80,8,FALSE), $C11 = "2",( 'Inputs-System'!$C$30*'Coincidence Factors'!$B$5*(1+'Inputs-System'!$C$18)*(1+'Inputs-System'!$C$41))*('Inputs-Proposals'!$D$23*'Inputs-Proposals'!$D$25*(1-'Inputs-Proposals'!$D$26))*(VLOOKUP(DZ$3,DRIPE!$A$54:$I$82,5,FALSE)-VLOOKUP(DZ$3,DRIPE!$A$54:$I$82,6,FALSE)+VLOOKUP(DZ$3,DRIPE!$A$54:$I$82,9,FALSE))+ ('Inputs-System'!$C$26*'Coincidence Factors'!$B$5*(1+'Inputs-System'!$C$18)*(1+'Inputs-System'!$C$42))+ ('Inputs-System'!$C$26*'Coincidence Factors'!$B$5)*'Inputs-Proposals'!$D$22*VLOOKUP(DZ$3,DRIPE!$A$54:$I$80,8,FALSE), $C11= "3", ('Inputs-System'!$C$30*'Coincidence Factors'!$B$5)*('Inputs-Proposals'!$D$29*'Inputs-Proposals'!$D$31*(1-'Inputs-Proposals'!$D$32))*(VLOOKUP(DZ$3,DRIPE!$A$54:$I$80,5,FALSE)-VLOOKUP(DZ$3,DRIPE!$A$54:$I$80,6,FALSE)+VLOOKUP(DZ$3,DRIPE!$A$54:$I$80,9,FALSE))+ ('Inputs-System'!$C$26*'Coincidence Factors'!$B$5*(1+'Inputs-System'!$C$18)*(1+'Inputs-System'!$C$42))*'Inputs-Proposals'!$D$28*VLOOKUP(DZ$3,DRIPE!$A$54:$I$80,8,FALSE), $C11 = "0", 0), 0)</f>
        <v>0</v>
      </c>
      <c r="EC11" s="345">
        <f>IFERROR(_xlfn.IFS($C11="1",('Inputs-System'!$C$26*'Coincidence Factors'!$B$5*(1+'Inputs-System'!$C$18)*(1+'Inputs-System'!$C$42))*'Inputs-Proposals'!$D$16*(VLOOKUP(DZ$3,Capacity!$A$53:$E$85,4,FALSE)*(1+'Inputs-System'!$C$42)+VLOOKUP(DZ$3,Capacity!$A$53:$E$85,5,FALSE)*(1+'Inputs-System'!$C$43)*'Inputs-System'!$C$29), $C11 = "2", ('Inputs-System'!$C$26*'Coincidence Factors'!$B$5*(1+'Inputs-System'!$C$18))*'Inputs-Proposals'!$D$22*(VLOOKUP(DZ$3,Capacity!$A$53:$E$85,4,FALSE)*(1+'Inputs-System'!$C$42)+VLOOKUP(DZ$3,Capacity!$A$53:$E$85,5,FALSE)*'Inputs-System'!$C$29*(1+'Inputs-System'!$C$43)), $C11 = "3", ('Inputs-System'!$C$26*'Coincidence Factors'!$B$5*(1+'Inputs-System'!$C$18))*'Inputs-Proposals'!$D$28*(VLOOKUP(DZ$3,Capacity!$A$53:$E$85,4,FALSE)*(1+'Inputs-System'!$C$42)+VLOOKUP(DZ$3,Capacity!$A$53:$E$85,5,FALSE)*'Inputs-System'!$C$29*(1+'Inputs-System'!$C$43)), $C11 = "0", 0), 0)</f>
        <v>0</v>
      </c>
      <c r="ED11" s="100">
        <v>0</v>
      </c>
      <c r="EE11" s="346">
        <f>IFERROR(_xlfn.IFS($C11="1", 'Inputs-System'!$C$30*'Coincidence Factors'!$B$5*'Inputs-Proposals'!$D$17*'Inputs-Proposals'!$D$19*(VLOOKUP(DZ$3,'Non-Embedded Emissions'!$A$56:$D$90,2,FALSE)+VLOOKUP(DZ$3,'Non-Embedded Emissions'!$A$143:$D$174,2,FALSE)+VLOOKUP(DZ$3,'Non-Embedded Emissions'!$A$230:$D$259,2,FALSE)-VLOOKUP(DZ$3,'Non-Embedded Emissions'!$A$56:$D$90,3,FALSE)-VLOOKUP(DZ$3,'Non-Embedded Emissions'!$A$143:$D$174,3,FALSE)-VLOOKUP(DZ$3,'Non-Embedded Emissions'!$A$230:$D$259,3,FALSE)), $C11 = "2", 'Inputs-System'!$C$30*'Coincidence Factors'!$B$5*'Inputs-Proposals'!$D$23*'Inputs-Proposals'!$D$25*(VLOOKUP(DZ$3,'Non-Embedded Emissions'!$A$56:$D$90,2,FALSE)+VLOOKUP(DZ$3,'Non-Embedded Emissions'!$A$143:$D$174,2,FALSE)+VLOOKUP(DZ$3,'Non-Embedded Emissions'!$A$230:$D$259,2,FALSE)-VLOOKUP(DZ$3,'Non-Embedded Emissions'!$A$56:$D$90,3,FALSE)-VLOOKUP(DZ$3,'Non-Embedded Emissions'!$A$143:$D$174,3,FALSE)-VLOOKUP(DZ$3,'Non-Embedded Emissions'!$A$230:$D$259,3,FALSE)), $C11 = "3", 'Inputs-System'!$C$30*'Coincidence Factors'!$B$5*'Inputs-Proposals'!$D$29*'Inputs-Proposals'!$D$31*(VLOOKUP(DZ$3,'Non-Embedded Emissions'!$A$56:$D$90,2,FALSE)+VLOOKUP(DZ$3,'Non-Embedded Emissions'!$A$143:$D$174,2,FALSE)+VLOOKUP(DZ$3,'Non-Embedded Emissions'!$A$230:$D$259,2,FALSE)-VLOOKUP(DZ$3,'Non-Embedded Emissions'!$A$56:$D$90,3,FALSE)-VLOOKUP(DZ$3,'Non-Embedded Emissions'!$A$143:$D$174,3,FALSE)-VLOOKUP(DZ$3,'Non-Embedded Emissions'!$A$230:$D$259,3,FALSE)), $C11 = "0", 0), 0)</f>
        <v>0</v>
      </c>
    </row>
    <row r="12" spans="1:135" x14ac:dyDescent="0.35">
      <c r="A12" s="708"/>
      <c r="B12" s="3" t="s">
        <v>158</v>
      </c>
      <c r="C12" s="3" t="str">
        <f>IFERROR(_xlfn.IFS('Benefits Calc'!B12='Inputs-Proposals'!$D$15, "1", 'Benefits Calc'!B12='Inputs-Proposals'!$D$21, "2", 'Benefits Calc'!B12='Inputs-Proposals'!$D$27, "3"), "0")</f>
        <v>0</v>
      </c>
      <c r="D12" s="323">
        <f t="shared" si="0"/>
        <v>0</v>
      </c>
      <c r="E12" s="44">
        <f t="shared" si="1"/>
        <v>0</v>
      </c>
      <c r="F12" s="44">
        <f t="shared" si="2"/>
        <v>0</v>
      </c>
      <c r="G12" s="44">
        <f t="shared" si="3"/>
        <v>0</v>
      </c>
      <c r="H12" s="44">
        <f t="shared" si="4"/>
        <v>0</v>
      </c>
      <c r="I12" s="44">
        <f t="shared" si="5"/>
        <v>0</v>
      </c>
      <c r="J12" s="323">
        <f>NPV('Inputs-System'!$C$20,P12+V12+AB12+AH12+AN12+AT12+AZ12+BF12+BL12+BR12+BX12+CD12+CJ12+CP12+CV12+DB12+DH12+DN12+DT12+DZ12)</f>
        <v>0</v>
      </c>
      <c r="K12" s="44">
        <f>NPV('Inputs-System'!$C$20,Q12+W12+AC12+AI12+AO12+AU12+BA12+BG12+BM12+BS12+BY12+CE12+CK12+CQ12+CW12+DC12+DI12+DO12+DU12+EA12)</f>
        <v>0</v>
      </c>
      <c r="L12" s="44">
        <f>NPV('Inputs-System'!$C$20,R12+X12+AD12+AJ12+AP12+AV12+BB12+BH12+BN12+BT12+BZ12+CF12+CL12+CR12+CX12+DD12+DJ12+DP12+DV12+EB12)</f>
        <v>0</v>
      </c>
      <c r="M12" s="44">
        <f>NPV('Inputs-System'!$C$20,S12+Y12+AE12+AK12+AQ12+AW12+BC12+BI12+BO12+BU12+CA12+CG12+CM12+CS12+CY12+DE12+DK12+DQ12+DW12+EC12)</f>
        <v>0</v>
      </c>
      <c r="N12" s="44">
        <f>NPV('Inputs-System'!$C$20,T12+Z12+AF12+AL12+AR12+AX12+BD12+BJ12+BP12+BV12+CB12+CH12+CN12+CT12+CZ12+DF12+DL12+DR12+DX12+ED12)</f>
        <v>0</v>
      </c>
      <c r="O12" s="44">
        <f>NPV('Inputs-System'!$C$20,U12+AA12+AG12+AM12+AS12+AY12+BE12+BK12+BQ12+BW12+CC12+CI12+CO12+CU12+DA12+DG12+DM12+DS12+DY12+EE12)</f>
        <v>0</v>
      </c>
      <c r="P12" s="347">
        <f>IFERROR(_xlfn.IFS($C12="1",('Inputs-System'!$C$30*'Coincidence Factors'!$B$6*(1+'Inputs-System'!$C$18)*(1+'Inputs-System'!$C$41)*('Inputs-Proposals'!$D$17*'Inputs-Proposals'!$D$19*(1-'Inputs-Proposals'!$D$20^(P$3-'Inputs-System'!$C$7+1)))*(VLOOKUP(P$3,Energy!$A$51:$K$83,5,FALSE))), $C12 = "2",('Inputs-System'!$C$30*'Coincidence Factors'!$B$6)*(1+'Inputs-System'!$C$18)*(1+'Inputs-System'!$C$41)*('Inputs-Proposals'!$D$23*'Inputs-Proposals'!$D$25*(1-'Inputs-Proposals'!$D$26^(P$3-'Inputs-System'!$C$7+1)))*(VLOOKUP(P$3,Energy!$A$51:$K$83,5,FALSE)), $C12= "3", ('Inputs-System'!$C$30*'Coincidence Factors'!$B$6*(1+'Inputs-System'!$C$18)*(1+'Inputs-System'!$C$41)*('Inputs-Proposals'!$D$29*'Inputs-Proposals'!$D$31*(1-'Inputs-Proposals'!$D$32^(P$3-'Inputs-System'!$C$7+1)))*(VLOOKUP(P$3,Energy!$A$51:$K$83,5,FALSE))), $C12= "0", 0), 0)</f>
        <v>0</v>
      </c>
      <c r="Q12" s="44">
        <f>IFERROR(_xlfn.IFS($C12="1",('Inputs-System'!$C$30*'Coincidence Factors'!$B$6*(1+'Inputs-System'!$C$18)*(1+'Inputs-System'!$C$41))*'Inputs-Proposals'!$D$17*'Inputs-Proposals'!$D$19*(1-'Inputs-Proposals'!$D$20^(P$3-'Inputs-System'!$C$7+1))*(VLOOKUP(P$3,'Embedded Emissions'!$A$47:$B$78,2,FALSE)+VLOOKUP(P$3,'Embedded Emissions'!$A$129:$B$158,2,FALSE)), $C12 = "2",('Inputs-System'!$C$30*'Coincidence Factors'!$B$6*(1+'Inputs-System'!$C$18)*(1+'Inputs-System'!$C$41))*'Inputs-Proposals'!$D$23*'Inputs-Proposals'!$D$25*(1-'Inputs-Proposals'!$D$20^(P$3-'Inputs-System'!$C$7+1))*(VLOOKUP(P$3,'Embedded Emissions'!$A$47:$B$78,2,FALSE)+VLOOKUP(P$3,'Embedded Emissions'!$A$129:$B$158,2,FALSE)), $C12 = "3", ('Inputs-System'!$C$30*'Coincidence Factors'!$B$6*(1+'Inputs-System'!$C$18)*(1+'Inputs-System'!$C$41))*'Inputs-Proposals'!$D$29*'Inputs-Proposals'!$D$31*(1-'Inputs-Proposals'!$D$20^(P$3-'Inputs-System'!$C$7+1))*(VLOOKUP(P$3,'Embedded Emissions'!$A$47:$B$78,2,FALSE)+VLOOKUP(P$3,'Embedded Emissions'!$A$129:$B$158,2,FALSE)), $C12 = "0", 0), 0)</f>
        <v>0</v>
      </c>
      <c r="R12" s="44">
        <f>IFERROR(_xlfn.IFS($C12="1",( 'Inputs-System'!$C$30*'Coincidence Factors'!$B$6*(1+'Inputs-System'!$C$18)*(1+'Inputs-System'!$C$41))*('Inputs-Proposals'!$D$17*'Inputs-Proposals'!$D$19*(1-'Inputs-Proposals'!$D$20)^(P$3-'Inputs-System'!$C$7))*(VLOOKUP(P$3,DRIPE!$A$54:$I$82,5,FALSE)+VLOOKUP(P$3,DRIPE!$A$54:$I$82,9,FALSE))+ ('Inputs-System'!$C$26*'Coincidence Factors'!$B$6*(1+'Inputs-System'!$C$18)*(1+'Inputs-System'!$C$42))*'Inputs-Proposals'!$D$16*VLOOKUP(P$3,DRIPE!$A$54:$I$82,8,FALSE), $C12 = "2",( 'Inputs-System'!$C$30*'Coincidence Factors'!$B$6*(1+'Inputs-System'!$C$18)*(1+'Inputs-System'!$C$41))*('Inputs-Proposals'!$D$23*'Inputs-Proposals'!$D$25*(1-'Inputs-Proposals'!$D$26)^(P$3-'Inputs-System'!$C$7))*(VLOOKUP(P$3,DRIPE!$A$54:$I$82,5,FALSE)+VLOOKUP(P$3,DRIPE!$A$54:$I$82,9,FALSE))+ ('Inputs-System'!$C$26*'Coincidence Factors'!$B$6*(1+'Inputs-System'!$C$18)*(1+'Inputs-System'!$C$42))*'Inputs-Proposals'!$D$22*VLOOKUP(P$3,DRIPE!$A$54:$I$82,8,FALSE), $C12= "3", ( 'Inputs-System'!$C$30*'Coincidence Factors'!$B$6*(1+'Inputs-System'!$C$18)*(1+'Inputs-System'!$C$41))*('Inputs-Proposals'!$D$29*'Inputs-Proposals'!$D$31*(1-'Inputs-Proposals'!$D$32)^(P$3-'Inputs-System'!$C$7))*(VLOOKUP(P$3,DRIPE!$A$54:$I$82,5,FALSE)+VLOOKUP(P$3,DRIPE!$A$54:$I$82,9,FALSE))+ ('Inputs-System'!$C$26*'Coincidence Factors'!$B$6*(1+'Inputs-System'!$C$18)*(1+'Inputs-System'!$C$42))*'Inputs-Proposals'!$D$28*VLOOKUP(P$3,DRIPE!$A$54:$I$82,8,FALSE), $C12 = "0", 0), 0)</f>
        <v>0</v>
      </c>
      <c r="S12" s="45">
        <f>IFERROR(_xlfn.IFS($C12="1",('Inputs-System'!$C$26*'Coincidence Factors'!$B$6*(1+'Inputs-System'!$C$18))*'Inputs-Proposals'!$D$16*(VLOOKUP(P$3,Capacity!$A$53:$E$85,4,FALSE)*(1+'Inputs-System'!$C$42)+VLOOKUP(P$3,Capacity!$A$53:$E$85,5,FALSE)*'Inputs-System'!$C$29*(1+'Inputs-System'!$C$43)), $C12 = "2", ('Inputs-System'!$C$26*'Coincidence Factors'!$B$6*(1+'Inputs-System'!$C$18))*'Inputs-Proposals'!$D$22*(VLOOKUP(P$3,Capacity!$A$53:$E$85,4,FALSE)*(1+'Inputs-System'!$C$42)+VLOOKUP(P$3,Capacity!$A$53:$E$85,5,FALSE)*'Inputs-System'!$C$29*(1+'Inputs-System'!$C$43)), $C12 = "3",('Inputs-System'!$C$26*'Coincidence Factors'!$B$6*(1+'Inputs-System'!$C$18))*'Inputs-Proposals'!$D$28*(VLOOKUP(P$3,Capacity!$A$53:$E$85,4,FALSE)*(1+'Inputs-System'!$C$42)+VLOOKUP(P$3,Capacity!$A$53:$E$85,5,FALSE)*'Inputs-System'!$C$29*(1+'Inputs-System'!$C$43)), $C12 = "0", 0), 0)</f>
        <v>0</v>
      </c>
      <c r="T12" s="44">
        <v>0</v>
      </c>
      <c r="U12" s="342">
        <f>IFERROR(_xlfn.IFS($C12="1", 'Inputs-System'!$C$30*'Coincidence Factors'!$B$6*'Inputs-Proposals'!$D$17*'Inputs-Proposals'!$D$19*(VLOOKUP(P$3,'Non-Embedded Emissions'!$A$56:$D$90,2,FALSE)+VLOOKUP(P$3,'Non-Embedded Emissions'!$A$143:$D$174,2,FALSE)+VLOOKUP(P$3,'Non-Embedded Emissions'!$A$230:$D$259,2,FALSE)), $C12 = "2", 'Inputs-System'!$C$30*'Coincidence Factors'!$B$6*'Inputs-Proposals'!$D$23*'Inputs-Proposals'!$D$25*(VLOOKUP(P$3,'Non-Embedded Emissions'!$A$56:$D$90,2,FALSE)+VLOOKUP(P$3,'Non-Embedded Emissions'!$A$143:$D$174,2,FALSE)+VLOOKUP(P$3,'Non-Embedded Emissions'!$A$230:$D$259,2,FALSE)), $C12 = "3", 'Inputs-System'!$C$30*'Coincidence Factors'!$B$6*'Inputs-Proposals'!$D$29*'Inputs-Proposals'!$D$31*(VLOOKUP(P$3,'Non-Embedded Emissions'!$A$56:$D$90,2,FALSE)+VLOOKUP(P$3,'Non-Embedded Emissions'!$A$143:$D$174,2,FALSE)+VLOOKUP(P$3,'Non-Embedded Emissions'!$A$230:$D$259,2,FALSE)), $C12 = "0", 0), 0)</f>
        <v>0</v>
      </c>
      <c r="V12" s="45">
        <f>IFERROR(_xlfn.IFS($C12="1",('Inputs-System'!$C$30*'Coincidence Factors'!$B$6*(1+'Inputs-System'!$C$18)*(1+'Inputs-System'!$C$41)*('Inputs-Proposals'!$D$17*'Inputs-Proposals'!$D$19*(1-'Inputs-Proposals'!$D$20^(V$3-'Inputs-System'!$C$7)))*(VLOOKUP(V$3,Energy!$A$51:$K$83,5,FALSE))), $C12 = "2",('Inputs-System'!$C$30*'Coincidence Factors'!$B$6)*(1+'Inputs-System'!$C$18)*(1+'Inputs-System'!$C$41)*('Inputs-Proposals'!$D$23*'Inputs-Proposals'!$D$25*(1-'Inputs-Proposals'!$D$26^(V$3-'Inputs-System'!$C$7)))*(VLOOKUP(V$3,Energy!$A$51:$K$83,5,FALSE)), $C12= "3", ('Inputs-System'!$C$30*'Coincidence Factors'!$B$6*(1+'Inputs-System'!$C$18)*(1+'Inputs-System'!$C$41)*('Inputs-Proposals'!$D$29*'Inputs-Proposals'!$D$31*(1-'Inputs-Proposals'!$D$32^(V$3-'Inputs-System'!$C$7)))*(VLOOKUP(V$3,Energy!$A$51:$K$83,5,FALSE))), $C12= "0", 0), 0)</f>
        <v>0</v>
      </c>
      <c r="W12" s="44">
        <f>IFERROR(_xlfn.IFS($C12="1",('Inputs-System'!$C$30*'Coincidence Factors'!$B$6*(1+'Inputs-System'!$C$18)*(1+'Inputs-System'!$C$41))*'Inputs-Proposals'!$D$17*'Inputs-Proposals'!$D$19*(1-'Inputs-Proposals'!$D$20^(V$3-'Inputs-System'!$C$7))*(VLOOKUP(V$3,'Embedded Emissions'!$A$47:$B$78,2,FALSE)+VLOOKUP(V$3,'Embedded Emissions'!$A$129:$B$158,2,FALSE)), $C12 = "2",('Inputs-System'!$C$30*'Coincidence Factors'!$B$6*(1+'Inputs-System'!$C$18)*(1+'Inputs-System'!$C$41))*'Inputs-Proposals'!$D$23*'Inputs-Proposals'!$D$25*(1-'Inputs-Proposals'!$D$20^(V$3-'Inputs-System'!$C$7))*(VLOOKUP(V$3,'Embedded Emissions'!$A$47:$B$78,2,FALSE)+VLOOKUP(V$3,'Embedded Emissions'!$A$129:$B$158,2,FALSE)), $C12 = "3", ('Inputs-System'!$C$30*'Coincidence Factors'!$B$6*(1+'Inputs-System'!$C$18)*(1+'Inputs-System'!$C$41))*'Inputs-Proposals'!$D$29*'Inputs-Proposals'!$D$31*(1-'Inputs-Proposals'!$D$20^(V$3-'Inputs-System'!$C$7))*(VLOOKUP(V$3,'Embedded Emissions'!$A$47:$B$78,2,FALSE)+VLOOKUP(V$3,'Embedded Emissions'!$A$129:$B$158,2,FALSE)), $C12 = "0", 0), 0)</f>
        <v>0</v>
      </c>
      <c r="X12" s="44">
        <f>IFERROR(_xlfn.IFS($C12="1",( 'Inputs-System'!$C$30*'Coincidence Factors'!$B$6*(1+'Inputs-System'!$C$18)*(1+'Inputs-System'!$C$41))*('Inputs-Proposals'!$D$17*'Inputs-Proposals'!$D$19*(1-'Inputs-Proposals'!$D$20)^(V$3-'Inputs-System'!$C$7))*(VLOOKUP(V$3,DRIPE!$A$54:$I$82,5,FALSE)+VLOOKUP(V$3,DRIPE!$A$54:$I$82,9,FALSE))+ ('Inputs-System'!$C$26*'Coincidence Factors'!$B$6*(1+'Inputs-System'!$C$18)*(1+'Inputs-System'!$C$42))*'Inputs-Proposals'!$D$16*VLOOKUP(V$3,DRIPE!$A$54:$I$82,8,FALSE), $C12 = "2",( 'Inputs-System'!$C$30*'Coincidence Factors'!$B$6*(1+'Inputs-System'!$C$18)*(1+'Inputs-System'!$C$41))*('Inputs-Proposals'!$D$23*'Inputs-Proposals'!$D$25*(1-'Inputs-Proposals'!$D$26)^(V$3-'Inputs-System'!$C$7))*(VLOOKUP(V$3,DRIPE!$A$54:$I$82,5,FALSE)+VLOOKUP(V$3,DRIPE!$A$54:$I$82,9,FALSE))+ ('Inputs-System'!$C$26*'Coincidence Factors'!$B$6*(1+'Inputs-System'!$C$18)*(1+'Inputs-System'!$C$42))*'Inputs-Proposals'!$D$22*VLOOKUP(V$3,DRIPE!$A$54:$I$82,8,FALSE), $C12= "3", ( 'Inputs-System'!$C$30*'Coincidence Factors'!$B$6*(1+'Inputs-System'!$C$18)*(1+'Inputs-System'!$C$41))*('Inputs-Proposals'!$D$29*'Inputs-Proposals'!$D$31*(1-'Inputs-Proposals'!$D$32)^(V$3-'Inputs-System'!$C$7))*(VLOOKUP(V$3,DRIPE!$A$54:$I$82,5,FALSE)+VLOOKUP(V$3,DRIPE!$A$54:$I$82,9,FALSE))+ ('Inputs-System'!$C$26*'Coincidence Factors'!$B$6*(1+'Inputs-System'!$C$18)*(1+'Inputs-System'!$C$42))*'Inputs-Proposals'!$D$28*VLOOKUP(V$3,DRIPE!$A$54:$I$82,8,FALSE), $C12 = "0", 0), 0)</f>
        <v>0</v>
      </c>
      <c r="Y12" s="45">
        <f>IFERROR(_xlfn.IFS($C12="1",('Inputs-System'!$C$26*'Coincidence Factors'!$B$6*(1+'Inputs-System'!$C$18))*'Inputs-Proposals'!$D$16*(VLOOKUP(V$3,Capacity!$A$53:$E$85,4,FALSE)*(1+'Inputs-System'!$C$42)+VLOOKUP(V$3,Capacity!$A$53:$E$85,5,FALSE)*'Inputs-System'!$C$29*(1+'Inputs-System'!$C$43)), $C12 = "2", ('Inputs-System'!$C$26*'Coincidence Factors'!$B$6*(1+'Inputs-System'!$C$18))*'Inputs-Proposals'!$D$22*(VLOOKUP(V$3,Capacity!$A$53:$E$85,4,FALSE)*(1+'Inputs-System'!$C$42)+VLOOKUP(V$3,Capacity!$A$53:$E$85,5,FALSE)*'Inputs-System'!$C$29*(1+'Inputs-System'!$C$43)), $C12 = "3",('Inputs-System'!$C$26*'Coincidence Factors'!$B$6*(1+'Inputs-System'!$C$18))*'Inputs-Proposals'!$D$28*(VLOOKUP(V$3,Capacity!$A$53:$E$85,4,FALSE)*(1+'Inputs-System'!$C$42)+VLOOKUP(V$3,Capacity!$A$53:$E$85,5,FALSE)*'Inputs-System'!$C$29*(1+'Inputs-System'!$C$43)), $C12 = "0", 0), 0)</f>
        <v>0</v>
      </c>
      <c r="Z12" s="44">
        <v>0</v>
      </c>
      <c r="AA12" s="342">
        <f>IFERROR(_xlfn.IFS($C12="1", 'Inputs-System'!$C$30*'Coincidence Factors'!$B$6*'Inputs-Proposals'!$D$17*'Inputs-Proposals'!$D$19*(VLOOKUP(V$3,'Non-Embedded Emissions'!$A$56:$D$90,2,FALSE)+VLOOKUP(V$3,'Non-Embedded Emissions'!$A$143:$D$174,2,FALSE)+VLOOKUP(V$3,'Non-Embedded Emissions'!$A$230:$D$259,2,FALSE)), $C12 = "2", 'Inputs-System'!$C$30*'Coincidence Factors'!$B$6*'Inputs-Proposals'!$D$23*'Inputs-Proposals'!$D$25*(VLOOKUP(V$3,'Non-Embedded Emissions'!$A$56:$D$90,2,FALSE)+VLOOKUP(V$3,'Non-Embedded Emissions'!$A$143:$D$174,2,FALSE)+VLOOKUP(V$3,'Non-Embedded Emissions'!$A$230:$D$259,2,FALSE)), $C12 = "3", 'Inputs-System'!$C$30*'Coincidence Factors'!$B$6*'Inputs-Proposals'!$D$29*'Inputs-Proposals'!$D$31*(VLOOKUP(V$3,'Non-Embedded Emissions'!$A$56:$D$90,2,FALSE)+VLOOKUP(V$3,'Non-Embedded Emissions'!$A$143:$D$174,2,FALSE)+VLOOKUP(V$3,'Non-Embedded Emissions'!$A$230:$D$259,2,FALSE)), $C12 = "0", 0), 0)</f>
        <v>0</v>
      </c>
      <c r="AB12" s="45">
        <f>IFERROR(_xlfn.IFS($C12="1",('Inputs-System'!$C$30*'Coincidence Factors'!$B$6*(1+'Inputs-System'!$C$18)*(1+'Inputs-System'!$C$41)*('Inputs-Proposals'!$D$17*'Inputs-Proposals'!$D$19*(1-'Inputs-Proposals'!$D$20^(AB$3-'Inputs-System'!$C$7)))*(VLOOKUP(AB$3,Energy!$A$51:$K$83,5,FALSE))), $C12 = "2",('Inputs-System'!$C$30*'Coincidence Factors'!$B$6)*(1+'Inputs-System'!$C$18)*(1+'Inputs-System'!$C$41)*('Inputs-Proposals'!$D$23*'Inputs-Proposals'!$D$25*(1-'Inputs-Proposals'!$D$26^(AB$3-'Inputs-System'!$C$7)))*(VLOOKUP(AB$3,Energy!$A$51:$K$83,5,FALSE)), $C12= "3", ('Inputs-System'!$C$30*'Coincidence Factors'!$B$6*(1+'Inputs-System'!$C$18)*(1+'Inputs-System'!$C$41)*('Inputs-Proposals'!$D$29*'Inputs-Proposals'!$D$31*(1-'Inputs-Proposals'!$D$32^(AB$3-'Inputs-System'!$C$7)))*(VLOOKUP(AB$3,Energy!$A$51:$K$83,5,FALSE))), $C12= "0", 0), 0)</f>
        <v>0</v>
      </c>
      <c r="AC12" s="44">
        <f>IFERROR(_xlfn.IFS($C12="1",('Inputs-System'!$C$30*'Coincidence Factors'!$B$6*(1+'Inputs-System'!$C$18)*(1+'Inputs-System'!$C$41))*'Inputs-Proposals'!$D$17*'Inputs-Proposals'!$D$19*(1-'Inputs-Proposals'!$D$20^(AB$3-'Inputs-System'!$C$7))*(VLOOKUP(AB$3,'Embedded Emissions'!$A$47:$B$78,2,FALSE)+VLOOKUP(AB$3,'Embedded Emissions'!$A$129:$B$158,2,FALSE)), $C12 = "2",('Inputs-System'!$C$30*'Coincidence Factors'!$B$6*(1+'Inputs-System'!$C$18)*(1+'Inputs-System'!$C$41))*'Inputs-Proposals'!$D$23*'Inputs-Proposals'!$D$25*(1-'Inputs-Proposals'!$D$20^(AB$3-'Inputs-System'!$C$7))*(VLOOKUP(AB$3,'Embedded Emissions'!$A$47:$B$78,2,FALSE)+VLOOKUP(AB$3,'Embedded Emissions'!$A$129:$B$158,2,FALSE)), $C12 = "3", ('Inputs-System'!$C$30*'Coincidence Factors'!$B$6*(1+'Inputs-System'!$C$18)*(1+'Inputs-System'!$C$41))*'Inputs-Proposals'!$D$29*'Inputs-Proposals'!$D$31*(1-'Inputs-Proposals'!$D$20^(AB$3-'Inputs-System'!$C$7))*(VLOOKUP(AB$3,'Embedded Emissions'!$A$47:$B$78,2,FALSE)+VLOOKUP(AB$3,'Embedded Emissions'!$A$129:$B$158,2,FALSE)), $C12 = "0", 0), 0)</f>
        <v>0</v>
      </c>
      <c r="AD12" s="44">
        <f>IFERROR(_xlfn.IFS($C12="1",( 'Inputs-System'!$C$30*'Coincidence Factors'!$B$6*(1+'Inputs-System'!$C$18)*(1+'Inputs-System'!$C$41))*('Inputs-Proposals'!$D$17*'Inputs-Proposals'!$D$19*(1-'Inputs-Proposals'!$D$20)^(AB$3-'Inputs-System'!$C$7))*(VLOOKUP(AB$3,DRIPE!$A$54:$I$82,5,FALSE)+VLOOKUP(AB$3,DRIPE!$A$54:$I$82,9,FALSE))+ ('Inputs-System'!$C$26*'Coincidence Factors'!$B$6*(1+'Inputs-System'!$C$18)*(1+'Inputs-System'!$C$42))*'Inputs-Proposals'!$D$16*VLOOKUP(AB$3,DRIPE!$A$54:$I$82,8,FALSE), $C12 = "2",( 'Inputs-System'!$C$30*'Coincidence Factors'!$B$6*(1+'Inputs-System'!$C$18)*(1+'Inputs-System'!$C$41))*('Inputs-Proposals'!$D$23*'Inputs-Proposals'!$D$25*(1-'Inputs-Proposals'!$D$26)^(AB$3-'Inputs-System'!$C$7))*(VLOOKUP(AB$3,DRIPE!$A$54:$I$82,5,FALSE)+VLOOKUP(AB$3,DRIPE!$A$54:$I$82,9,FALSE))+ ('Inputs-System'!$C$26*'Coincidence Factors'!$B$6*(1+'Inputs-System'!$C$18)*(1+'Inputs-System'!$C$42))*'Inputs-Proposals'!$D$22*VLOOKUP(AB$3,DRIPE!$A$54:$I$82,8,FALSE), $C12= "3", ( 'Inputs-System'!$C$30*'Coincidence Factors'!$B$6*(1+'Inputs-System'!$C$18)*(1+'Inputs-System'!$C$41))*('Inputs-Proposals'!$D$29*'Inputs-Proposals'!$D$31*(1-'Inputs-Proposals'!$D$32)^(AB$3-'Inputs-System'!$C$7))*(VLOOKUP(AB$3,DRIPE!$A$54:$I$82,5,FALSE)+VLOOKUP(AB$3,DRIPE!$A$54:$I$82,9,FALSE))+ ('Inputs-System'!$C$26*'Coincidence Factors'!$B$6*(1+'Inputs-System'!$C$18)*(1+'Inputs-System'!$C$42))*'Inputs-Proposals'!$D$28*VLOOKUP(AB$3,DRIPE!$A$54:$I$82,8,FALSE), $C12 = "0", 0), 0)</f>
        <v>0</v>
      </c>
      <c r="AE12" s="45">
        <f>IFERROR(_xlfn.IFS($C12="1",('Inputs-System'!$C$26*'Coincidence Factors'!$B$6*(1+'Inputs-System'!$C$18))*'Inputs-Proposals'!$D$16*(VLOOKUP(AB$3,Capacity!$A$53:$E$85,4,FALSE)*(1+'Inputs-System'!$C$42)+VLOOKUP(AB$3,Capacity!$A$53:$E$85,5,FALSE)*'Inputs-System'!$C$29*(1+'Inputs-System'!$C$43)), $C12 = "2", ('Inputs-System'!$C$26*'Coincidence Factors'!$B$6*(1+'Inputs-System'!$C$18))*'Inputs-Proposals'!$D$22*(VLOOKUP(AB$3,Capacity!$A$53:$E$85,4,FALSE)*(1+'Inputs-System'!$C$42)+VLOOKUP(AB$3,Capacity!$A$53:$E$85,5,FALSE)*'Inputs-System'!$C$29*(1+'Inputs-System'!$C$43)), $C12 = "3",('Inputs-System'!$C$26*'Coincidence Factors'!$B$6*(1+'Inputs-System'!$C$18))*'Inputs-Proposals'!$D$28*(VLOOKUP(AB$3,Capacity!$A$53:$E$85,4,FALSE)*(1+'Inputs-System'!$C$42)+VLOOKUP(AB$3,Capacity!$A$53:$E$85,5,FALSE)*'Inputs-System'!$C$29*(1+'Inputs-System'!$C$43)), $C12 = "0", 0), 0)</f>
        <v>0</v>
      </c>
      <c r="AF12" s="44">
        <v>0</v>
      </c>
      <c r="AG12" s="342">
        <f>IFERROR(_xlfn.IFS($C12="1", 'Inputs-System'!$C$30*'Coincidence Factors'!$B$6*'Inputs-Proposals'!$D$17*'Inputs-Proposals'!$D$19*(VLOOKUP(AB$3,'Non-Embedded Emissions'!$A$56:$D$90,2,FALSE)+VLOOKUP(AB$3,'Non-Embedded Emissions'!$A$143:$D$174,2,FALSE)+VLOOKUP(AB$3,'Non-Embedded Emissions'!$A$230:$D$259,2,FALSE)), $C12 = "2", 'Inputs-System'!$C$30*'Coincidence Factors'!$B$6*'Inputs-Proposals'!$D$23*'Inputs-Proposals'!$D$25*(VLOOKUP(AB$3,'Non-Embedded Emissions'!$A$56:$D$90,2,FALSE)+VLOOKUP(AB$3,'Non-Embedded Emissions'!$A$143:$D$174,2,FALSE)+VLOOKUP(AB$3,'Non-Embedded Emissions'!$A$230:$D$259,2,FALSE)), $C12 = "3", 'Inputs-System'!$C$30*'Coincidence Factors'!$B$6*'Inputs-Proposals'!$D$29*'Inputs-Proposals'!$D$31*(VLOOKUP(AB$3,'Non-Embedded Emissions'!$A$56:$D$90,2,FALSE)+VLOOKUP(AB$3,'Non-Embedded Emissions'!$A$143:$D$174,2,FALSE)+VLOOKUP(AB$3,'Non-Embedded Emissions'!$A$230:$D$259,2,FALSE)), $C12 = "0", 0), 0)</f>
        <v>0</v>
      </c>
      <c r="AH12" s="45">
        <f>IFERROR(_xlfn.IFS($C12="1",('Inputs-System'!$C$30*'Coincidence Factors'!$B$6*(1+'Inputs-System'!$C$18)*(1+'Inputs-System'!$C$41)*('Inputs-Proposals'!$D$17*'Inputs-Proposals'!$D$19*(1-'Inputs-Proposals'!$D$20^(AH$3-'Inputs-System'!$C$7)))*(VLOOKUP(AH$3,Energy!$A$51:$K$83,5,FALSE))), $C12 = "2",('Inputs-System'!$C$30*'Coincidence Factors'!$B$6)*(1+'Inputs-System'!$C$18)*(1+'Inputs-System'!$C$41)*('Inputs-Proposals'!$D$23*'Inputs-Proposals'!$D$25*(1-'Inputs-Proposals'!$D$26^(AH$3-'Inputs-System'!$C$7)))*(VLOOKUP(AH$3,Energy!$A$51:$K$83,5,FALSE)), $C12= "3", ('Inputs-System'!$C$30*'Coincidence Factors'!$B$6*(1+'Inputs-System'!$C$18)*(1+'Inputs-System'!$C$41)*('Inputs-Proposals'!$D$29*'Inputs-Proposals'!$D$31*(1-'Inputs-Proposals'!$D$32^(AH$3-'Inputs-System'!$C$7)))*(VLOOKUP(AH$3,Energy!$A$51:$K$83,5,FALSE))), $C12= "0", 0), 0)</f>
        <v>0</v>
      </c>
      <c r="AI12" s="44">
        <f>IFERROR(_xlfn.IFS($C12="1",('Inputs-System'!$C$30*'Coincidence Factors'!$B$6*(1+'Inputs-System'!$C$18)*(1+'Inputs-System'!$C$41))*'Inputs-Proposals'!$D$17*'Inputs-Proposals'!$D$19*(1-'Inputs-Proposals'!$D$20^(AH$3-'Inputs-System'!$C$7))*(VLOOKUP(AH$3,'Embedded Emissions'!$A$47:$B$78,2,FALSE)+VLOOKUP(AH$3,'Embedded Emissions'!$A$129:$B$158,2,FALSE)), $C12 = "2",('Inputs-System'!$C$30*'Coincidence Factors'!$B$6*(1+'Inputs-System'!$C$18)*(1+'Inputs-System'!$C$41))*'Inputs-Proposals'!$D$23*'Inputs-Proposals'!$D$25*(1-'Inputs-Proposals'!$D$20^(AH$3-'Inputs-System'!$C$7))*(VLOOKUP(AH$3,'Embedded Emissions'!$A$47:$B$78,2,FALSE)+VLOOKUP(AH$3,'Embedded Emissions'!$A$129:$B$158,2,FALSE)), $C12 = "3", ('Inputs-System'!$C$30*'Coincidence Factors'!$B$6*(1+'Inputs-System'!$C$18)*(1+'Inputs-System'!$C$41))*'Inputs-Proposals'!$D$29*'Inputs-Proposals'!$D$31*(1-'Inputs-Proposals'!$D$20^(AH$3-'Inputs-System'!$C$7))*(VLOOKUP(AH$3,'Embedded Emissions'!$A$47:$B$78,2,FALSE)+VLOOKUP(AH$3,'Embedded Emissions'!$A$129:$B$158,2,FALSE)), $C12 = "0", 0), 0)</f>
        <v>0</v>
      </c>
      <c r="AJ12" s="44">
        <f>IFERROR(_xlfn.IFS($C12="1",( 'Inputs-System'!$C$30*'Coincidence Factors'!$B$6*(1+'Inputs-System'!$C$18)*(1+'Inputs-System'!$C$41))*('Inputs-Proposals'!$D$17*'Inputs-Proposals'!$D$19*(1-'Inputs-Proposals'!$D$20)^(AH$3-'Inputs-System'!$C$7))*(VLOOKUP(AH$3,DRIPE!$A$54:$I$82,5,FALSE)+VLOOKUP(AH$3,DRIPE!$A$54:$I$82,9,FALSE))+ ('Inputs-System'!$C$26*'Coincidence Factors'!$B$6*(1+'Inputs-System'!$C$18)*(1+'Inputs-System'!$C$42))*'Inputs-Proposals'!$D$16*VLOOKUP(AH$3,DRIPE!$A$54:$I$82,8,FALSE), $C12 = "2",( 'Inputs-System'!$C$30*'Coincidence Factors'!$B$6*(1+'Inputs-System'!$C$18)*(1+'Inputs-System'!$C$41))*('Inputs-Proposals'!$D$23*'Inputs-Proposals'!$D$25*(1-'Inputs-Proposals'!$D$26)^(AH$3-'Inputs-System'!$C$7))*(VLOOKUP(AH$3,DRIPE!$A$54:$I$82,5,FALSE)+VLOOKUP(AH$3,DRIPE!$A$54:$I$82,9,FALSE))+ ('Inputs-System'!$C$26*'Coincidence Factors'!$B$6*(1+'Inputs-System'!$C$18)*(1+'Inputs-System'!$C$42))*'Inputs-Proposals'!$D$22*VLOOKUP(AH$3,DRIPE!$A$54:$I$82,8,FALSE), $C12= "3", ( 'Inputs-System'!$C$30*'Coincidence Factors'!$B$6*(1+'Inputs-System'!$C$18)*(1+'Inputs-System'!$C$41))*('Inputs-Proposals'!$D$29*'Inputs-Proposals'!$D$31*(1-'Inputs-Proposals'!$D$32)^(AH$3-'Inputs-System'!$C$7))*(VLOOKUP(AH$3,DRIPE!$A$54:$I$82,5,FALSE)+VLOOKUP(AH$3,DRIPE!$A$54:$I$82,9,FALSE))+ ('Inputs-System'!$C$26*'Coincidence Factors'!$B$6*(1+'Inputs-System'!$C$18)*(1+'Inputs-System'!$C$42))*'Inputs-Proposals'!$D$28*VLOOKUP(AH$3,DRIPE!$A$54:$I$82,8,FALSE), $C12 = "0", 0), 0)</f>
        <v>0</v>
      </c>
      <c r="AK12" s="45">
        <f>IFERROR(_xlfn.IFS($C12="1",('Inputs-System'!$C$26*'Coincidence Factors'!$B$6*(1+'Inputs-System'!$C$18))*'Inputs-Proposals'!$D$16*(VLOOKUP(AH$3,Capacity!$A$53:$E$85,4,FALSE)*(1+'Inputs-System'!$C$42)+VLOOKUP(AH$3,Capacity!$A$53:$E$85,5,FALSE)*'Inputs-System'!$C$29*(1+'Inputs-System'!$C$43)), $C12 = "2", ('Inputs-System'!$C$26*'Coincidence Factors'!$B$6*(1+'Inputs-System'!$C$18))*'Inputs-Proposals'!$D$22*(VLOOKUP(AH$3,Capacity!$A$53:$E$85,4,FALSE)*(1+'Inputs-System'!$C$42)+VLOOKUP(AH$3,Capacity!$A$53:$E$85,5,FALSE)*'Inputs-System'!$C$29*(1+'Inputs-System'!$C$43)), $C12 = "3",('Inputs-System'!$C$26*'Coincidence Factors'!$B$6*(1+'Inputs-System'!$C$18))*'Inputs-Proposals'!$D$28*(VLOOKUP(AH$3,Capacity!$A$53:$E$85,4,FALSE)*(1+'Inputs-System'!$C$42)+VLOOKUP(AH$3,Capacity!$A$53:$E$85,5,FALSE)*'Inputs-System'!$C$29*(1+'Inputs-System'!$C$43)), $C12 = "0", 0), 0)</f>
        <v>0</v>
      </c>
      <c r="AL12" s="44">
        <v>0</v>
      </c>
      <c r="AM12" s="342">
        <f>IFERROR(_xlfn.IFS($C12="1", 'Inputs-System'!$C$30*'Coincidence Factors'!$B$6*'Inputs-Proposals'!$D$17*'Inputs-Proposals'!$D$19*(VLOOKUP(AH$3,'Non-Embedded Emissions'!$A$56:$D$90,2,FALSE)+VLOOKUP(AH$3,'Non-Embedded Emissions'!$A$143:$D$174,2,FALSE)+VLOOKUP(AH$3,'Non-Embedded Emissions'!$A$230:$D$259,2,FALSE)), $C12 = "2", 'Inputs-System'!$C$30*'Coincidence Factors'!$B$6*'Inputs-Proposals'!$D$23*'Inputs-Proposals'!$D$25*(VLOOKUP(AH$3,'Non-Embedded Emissions'!$A$56:$D$90,2,FALSE)+VLOOKUP(AH$3,'Non-Embedded Emissions'!$A$143:$D$174,2,FALSE)+VLOOKUP(AH$3,'Non-Embedded Emissions'!$A$230:$D$259,2,FALSE)), $C12 = "3", 'Inputs-System'!$C$30*'Coincidence Factors'!$B$6*'Inputs-Proposals'!$D$29*'Inputs-Proposals'!$D$31*(VLOOKUP(AH$3,'Non-Embedded Emissions'!$A$56:$D$90,2,FALSE)+VLOOKUP(AH$3,'Non-Embedded Emissions'!$A$143:$D$174,2,FALSE)+VLOOKUP(AH$3,'Non-Embedded Emissions'!$A$230:$D$259,2,FALSE)), $C12 = "0", 0), 0)</f>
        <v>0</v>
      </c>
      <c r="AN12" s="45">
        <f>IFERROR(_xlfn.IFS($C12="1",('Inputs-System'!$C$30*'Coincidence Factors'!$B$6*(1+'Inputs-System'!$C$18)*(1+'Inputs-System'!$C$41)*('Inputs-Proposals'!$D$17*'Inputs-Proposals'!$D$19*(1-'Inputs-Proposals'!$D$20^(AN$3-'Inputs-System'!$C$7)))*(VLOOKUP(AN$3,Energy!$A$51:$K$83,5,FALSE))), $C12 = "2",('Inputs-System'!$C$30*'Coincidence Factors'!$B$6)*(1+'Inputs-System'!$C$18)*(1+'Inputs-System'!$C$41)*('Inputs-Proposals'!$D$23*'Inputs-Proposals'!$D$25*(1-'Inputs-Proposals'!$D$26^(AN$3-'Inputs-System'!$C$7)))*(VLOOKUP(AN$3,Energy!$A$51:$K$83,5,FALSE)), $C12= "3", ('Inputs-System'!$C$30*'Coincidence Factors'!$B$6*(1+'Inputs-System'!$C$18)*(1+'Inputs-System'!$C$41)*('Inputs-Proposals'!$D$29*'Inputs-Proposals'!$D$31*(1-'Inputs-Proposals'!$D$32^(AN$3-'Inputs-System'!$C$7)))*(VLOOKUP(AN$3,Energy!$A$51:$K$83,5,FALSE))), $C12= "0", 0), 0)</f>
        <v>0</v>
      </c>
      <c r="AO12" s="44">
        <f>IFERROR(_xlfn.IFS($C12="1",('Inputs-System'!$C$30*'Coincidence Factors'!$B$6*(1+'Inputs-System'!$C$18)*(1+'Inputs-System'!$C$41))*'Inputs-Proposals'!$D$17*'Inputs-Proposals'!$D$19*(1-'Inputs-Proposals'!$D$20^(AN$3-'Inputs-System'!$C$7))*(VLOOKUP(AN$3,'Embedded Emissions'!$A$47:$B$78,2,FALSE)+VLOOKUP(AN$3,'Embedded Emissions'!$A$129:$B$158,2,FALSE)), $C12 = "2",('Inputs-System'!$C$30*'Coincidence Factors'!$B$6*(1+'Inputs-System'!$C$18)*(1+'Inputs-System'!$C$41))*'Inputs-Proposals'!$D$23*'Inputs-Proposals'!$D$25*(1-'Inputs-Proposals'!$D$20^(AN$3-'Inputs-System'!$C$7))*(VLOOKUP(AN$3,'Embedded Emissions'!$A$47:$B$78,2,FALSE)+VLOOKUP(AN$3,'Embedded Emissions'!$A$129:$B$158,2,FALSE)), $C12 = "3", ('Inputs-System'!$C$30*'Coincidence Factors'!$B$6*(1+'Inputs-System'!$C$18)*(1+'Inputs-System'!$C$41))*'Inputs-Proposals'!$D$29*'Inputs-Proposals'!$D$31*(1-'Inputs-Proposals'!$D$20^(AN$3-'Inputs-System'!$C$7))*(VLOOKUP(AN$3,'Embedded Emissions'!$A$47:$B$78,2,FALSE)+VLOOKUP(AN$3,'Embedded Emissions'!$A$129:$B$158,2,FALSE)), $C12 = "0", 0), 0)</f>
        <v>0</v>
      </c>
      <c r="AP12" s="44">
        <f>IFERROR(_xlfn.IFS($C12="1",( 'Inputs-System'!$C$30*'Coincidence Factors'!$B$6*(1+'Inputs-System'!$C$18)*(1+'Inputs-System'!$C$41))*('Inputs-Proposals'!$D$17*'Inputs-Proposals'!$D$19*(1-'Inputs-Proposals'!$D$20)^(AN$3-'Inputs-System'!$C$7))*(VLOOKUP(AN$3,DRIPE!$A$54:$I$82,5,FALSE)+VLOOKUP(AN$3,DRIPE!$A$54:$I$82,9,FALSE))+ ('Inputs-System'!$C$26*'Coincidence Factors'!$B$6*(1+'Inputs-System'!$C$18)*(1+'Inputs-System'!$C$42))*'Inputs-Proposals'!$D$16*VLOOKUP(AN$3,DRIPE!$A$54:$I$82,8,FALSE), $C12 = "2",( 'Inputs-System'!$C$30*'Coincidence Factors'!$B$6*(1+'Inputs-System'!$C$18)*(1+'Inputs-System'!$C$41))*('Inputs-Proposals'!$D$23*'Inputs-Proposals'!$D$25*(1-'Inputs-Proposals'!$D$26)^(AN$3-'Inputs-System'!$C$7))*(VLOOKUP(AN$3,DRIPE!$A$54:$I$82,5,FALSE)+VLOOKUP(AN$3,DRIPE!$A$54:$I$82,9,FALSE))+ ('Inputs-System'!$C$26*'Coincidence Factors'!$B$6*(1+'Inputs-System'!$C$18)*(1+'Inputs-System'!$C$42))*'Inputs-Proposals'!$D$22*VLOOKUP(AN$3,DRIPE!$A$54:$I$82,8,FALSE), $C12= "3", ( 'Inputs-System'!$C$30*'Coincidence Factors'!$B$6*(1+'Inputs-System'!$C$18)*(1+'Inputs-System'!$C$41))*('Inputs-Proposals'!$D$29*'Inputs-Proposals'!$D$31*(1-'Inputs-Proposals'!$D$32)^(AN$3-'Inputs-System'!$C$7))*(VLOOKUP(AN$3,DRIPE!$A$54:$I$82,5,FALSE)+VLOOKUP(AN$3,DRIPE!$A$54:$I$82,9,FALSE))+ ('Inputs-System'!$C$26*'Coincidence Factors'!$B$6*(1+'Inputs-System'!$C$18)*(1+'Inputs-System'!$C$42))*'Inputs-Proposals'!$D$28*VLOOKUP(AN$3,DRIPE!$A$54:$I$82,8,FALSE), $C12 = "0", 0), 0)</f>
        <v>0</v>
      </c>
      <c r="AQ12" s="45">
        <f>IFERROR(_xlfn.IFS($C12="1",('Inputs-System'!$C$26*'Coincidence Factors'!$B$6*(1+'Inputs-System'!$C$18))*'Inputs-Proposals'!$D$16*(VLOOKUP(AN$3,Capacity!$A$53:$E$85,4,FALSE)*(1+'Inputs-System'!$C$42)+VLOOKUP(AN$3,Capacity!$A$53:$E$85,5,FALSE)*'Inputs-System'!$C$29*(1+'Inputs-System'!$C$43)), $C12 = "2", ('Inputs-System'!$C$26*'Coincidence Factors'!$B$6*(1+'Inputs-System'!$C$18))*'Inputs-Proposals'!$D$22*(VLOOKUP(AN$3,Capacity!$A$53:$E$85,4,FALSE)*(1+'Inputs-System'!$C$42)+VLOOKUP(AN$3,Capacity!$A$53:$E$85,5,FALSE)*'Inputs-System'!$C$29*(1+'Inputs-System'!$C$43)), $C12 = "3",('Inputs-System'!$C$26*'Coincidence Factors'!$B$6*(1+'Inputs-System'!$C$18))*'Inputs-Proposals'!$D$28*(VLOOKUP(AN$3,Capacity!$A$53:$E$85,4,FALSE)*(1+'Inputs-System'!$C$42)+VLOOKUP(AN$3,Capacity!$A$53:$E$85,5,FALSE)*'Inputs-System'!$C$29*(1+'Inputs-System'!$C$43)), $C12 = "0", 0), 0)</f>
        <v>0</v>
      </c>
      <c r="AR12" s="44">
        <v>0</v>
      </c>
      <c r="AS12" s="342">
        <f>IFERROR(_xlfn.IFS($C12="1", 'Inputs-System'!$C$30*'Coincidence Factors'!$B$6*'Inputs-Proposals'!$D$17*'Inputs-Proposals'!$D$19*(VLOOKUP(AN$3,'Non-Embedded Emissions'!$A$56:$D$90,2,FALSE)+VLOOKUP(AN$3,'Non-Embedded Emissions'!$A$143:$D$174,2,FALSE)+VLOOKUP(AN$3,'Non-Embedded Emissions'!$A$230:$D$259,2,FALSE)), $C12 = "2", 'Inputs-System'!$C$30*'Coincidence Factors'!$B$6*'Inputs-Proposals'!$D$23*'Inputs-Proposals'!$D$25*(VLOOKUP(AN$3,'Non-Embedded Emissions'!$A$56:$D$90,2,FALSE)+VLOOKUP(AN$3,'Non-Embedded Emissions'!$A$143:$D$174,2,FALSE)+VLOOKUP(AN$3,'Non-Embedded Emissions'!$A$230:$D$259,2,FALSE)), $C12 = "3", 'Inputs-System'!$C$30*'Coincidence Factors'!$B$6*'Inputs-Proposals'!$D$29*'Inputs-Proposals'!$D$31*(VLOOKUP(AN$3,'Non-Embedded Emissions'!$A$56:$D$90,2,FALSE)+VLOOKUP(AN$3,'Non-Embedded Emissions'!$A$143:$D$174,2,FALSE)+VLOOKUP(AN$3,'Non-Embedded Emissions'!$A$230:$D$259,2,FALSE)), $C12 = "0", 0), 0)</f>
        <v>0</v>
      </c>
      <c r="AT12" s="45">
        <f>IFERROR(_xlfn.IFS($C12="1",('Inputs-System'!$C$30*'Coincidence Factors'!$B$6*(1+'Inputs-System'!$C$18)*(1+'Inputs-System'!$C$41)*('Inputs-Proposals'!$D$17*'Inputs-Proposals'!$D$19*(1-'Inputs-Proposals'!$D$20^(AT$3-'Inputs-System'!$C$7)))*(VLOOKUP(AT$3,Energy!$A$51:$K$83,5,FALSE))), $C12 = "2",('Inputs-System'!$C$30*'Coincidence Factors'!$B$6)*(1+'Inputs-System'!$C$18)*(1+'Inputs-System'!$C$41)*('Inputs-Proposals'!$D$23*'Inputs-Proposals'!$D$25*(1-'Inputs-Proposals'!$D$26^(AT$3-'Inputs-System'!$C$7)))*(VLOOKUP(AT$3,Energy!$A$51:$K$83,5,FALSE)), $C12= "3", ('Inputs-System'!$C$30*'Coincidence Factors'!$B$6*(1+'Inputs-System'!$C$18)*(1+'Inputs-System'!$C$41)*('Inputs-Proposals'!$D$29*'Inputs-Proposals'!$D$31*(1-'Inputs-Proposals'!$D$32^(AT$3-'Inputs-System'!$C$7)))*(VLOOKUP(AT$3,Energy!$A$51:$K$83,5,FALSE))), $C12= "0", 0), 0)</f>
        <v>0</v>
      </c>
      <c r="AU12" s="44">
        <f>IFERROR(_xlfn.IFS($C12="1",('Inputs-System'!$C$30*'Coincidence Factors'!$B$6*(1+'Inputs-System'!$C$18)*(1+'Inputs-System'!$C$41))*'Inputs-Proposals'!$D$17*'Inputs-Proposals'!$D$19*(1-'Inputs-Proposals'!$D$20^(AT$3-'Inputs-System'!$C$7))*(VLOOKUP(AT$3,'Embedded Emissions'!$A$47:$B$78,2,FALSE)+VLOOKUP(AT$3,'Embedded Emissions'!$A$129:$B$158,2,FALSE)), $C12 = "2",('Inputs-System'!$C$30*'Coincidence Factors'!$B$6*(1+'Inputs-System'!$C$18)*(1+'Inputs-System'!$C$41))*'Inputs-Proposals'!$D$23*'Inputs-Proposals'!$D$25*(1-'Inputs-Proposals'!$D$20^(AT$3-'Inputs-System'!$C$7))*(VLOOKUP(AT$3,'Embedded Emissions'!$A$47:$B$78,2,FALSE)+VLOOKUP(AT$3,'Embedded Emissions'!$A$129:$B$158,2,FALSE)), $C12 = "3", ('Inputs-System'!$C$30*'Coincidence Factors'!$B$6*(1+'Inputs-System'!$C$18)*(1+'Inputs-System'!$C$41))*'Inputs-Proposals'!$D$29*'Inputs-Proposals'!$D$31*(1-'Inputs-Proposals'!$D$20^(AT$3-'Inputs-System'!$C$7))*(VLOOKUP(AT$3,'Embedded Emissions'!$A$47:$B$78,2,FALSE)+VLOOKUP(AT$3,'Embedded Emissions'!$A$129:$B$158,2,FALSE)), $C12 = "0", 0), 0)</f>
        <v>0</v>
      </c>
      <c r="AV12" s="44">
        <f>IFERROR(_xlfn.IFS($C12="1",( 'Inputs-System'!$C$30*'Coincidence Factors'!$B$6*(1+'Inputs-System'!$C$18)*(1+'Inputs-System'!$C$41))*('Inputs-Proposals'!$D$17*'Inputs-Proposals'!$D$19*(1-'Inputs-Proposals'!$D$20)^(AT$3-'Inputs-System'!$C$7))*(VLOOKUP(AT$3,DRIPE!$A$54:$I$82,5,FALSE)+VLOOKUP(AT$3,DRIPE!$A$54:$I$82,9,FALSE))+ ('Inputs-System'!$C$26*'Coincidence Factors'!$B$6*(1+'Inputs-System'!$C$18)*(1+'Inputs-System'!$C$42))*'Inputs-Proposals'!$D$16*VLOOKUP(AT$3,DRIPE!$A$54:$I$82,8,FALSE), $C12 = "2",( 'Inputs-System'!$C$30*'Coincidence Factors'!$B$6*(1+'Inputs-System'!$C$18)*(1+'Inputs-System'!$C$41))*('Inputs-Proposals'!$D$23*'Inputs-Proposals'!$D$25*(1-'Inputs-Proposals'!$D$26)^(AT$3-'Inputs-System'!$C$7))*(VLOOKUP(AT$3,DRIPE!$A$54:$I$82,5,FALSE)+VLOOKUP(AT$3,DRIPE!$A$54:$I$82,9,FALSE))+ ('Inputs-System'!$C$26*'Coincidence Factors'!$B$6*(1+'Inputs-System'!$C$18)*(1+'Inputs-System'!$C$42))*'Inputs-Proposals'!$D$22*VLOOKUP(AT$3,DRIPE!$A$54:$I$82,8,FALSE), $C12= "3", ( 'Inputs-System'!$C$30*'Coincidence Factors'!$B$6*(1+'Inputs-System'!$C$18)*(1+'Inputs-System'!$C$41))*('Inputs-Proposals'!$D$29*'Inputs-Proposals'!$D$31*(1-'Inputs-Proposals'!$D$32)^(AT$3-'Inputs-System'!$C$7))*(VLOOKUP(AT$3,DRIPE!$A$54:$I$82,5,FALSE)+VLOOKUP(AT$3,DRIPE!$A$54:$I$82,9,FALSE))+ ('Inputs-System'!$C$26*'Coincidence Factors'!$B$6*(1+'Inputs-System'!$C$18)*(1+'Inputs-System'!$C$42))*'Inputs-Proposals'!$D$28*VLOOKUP(AT$3,DRIPE!$A$54:$I$82,8,FALSE), $C12 = "0", 0), 0)</f>
        <v>0</v>
      </c>
      <c r="AW12" s="45">
        <f>IFERROR(_xlfn.IFS($C12="1",('Inputs-System'!$C$26*'Coincidence Factors'!$B$6*(1+'Inputs-System'!$C$18))*'Inputs-Proposals'!$D$16*(VLOOKUP(AT$3,Capacity!$A$53:$E$85,4,FALSE)*(1+'Inputs-System'!$C$42)+VLOOKUP(AT$3,Capacity!$A$53:$E$85,5,FALSE)*'Inputs-System'!$C$29*(1+'Inputs-System'!$C$43)), $C12 = "2", ('Inputs-System'!$C$26*'Coincidence Factors'!$B$6*(1+'Inputs-System'!$C$18))*'Inputs-Proposals'!$D$22*(VLOOKUP(AT$3,Capacity!$A$53:$E$85,4,FALSE)*(1+'Inputs-System'!$C$42)+VLOOKUP(AT$3,Capacity!$A$53:$E$85,5,FALSE)*'Inputs-System'!$C$29*(1+'Inputs-System'!$C$43)), $C12 = "3",('Inputs-System'!$C$26*'Coincidence Factors'!$B$6*(1+'Inputs-System'!$C$18))*'Inputs-Proposals'!$D$28*(VLOOKUP(AT$3,Capacity!$A$53:$E$85,4,FALSE)*(1+'Inputs-System'!$C$42)+VLOOKUP(AT$3,Capacity!$A$53:$E$85,5,FALSE)*'Inputs-System'!$C$29*(1+'Inputs-System'!$C$43)), $C12 = "0", 0), 0)</f>
        <v>0</v>
      </c>
      <c r="AX12" s="44">
        <v>0</v>
      </c>
      <c r="AY12" s="342">
        <f>IFERROR(_xlfn.IFS($C12="1", 'Inputs-System'!$C$30*'Coincidence Factors'!$B$6*'Inputs-Proposals'!$D$17*'Inputs-Proposals'!$D$19*(VLOOKUP(AT$3,'Non-Embedded Emissions'!$A$56:$D$90,2,FALSE)+VLOOKUP(AT$3,'Non-Embedded Emissions'!$A$143:$D$174,2,FALSE)+VLOOKUP(AT$3,'Non-Embedded Emissions'!$A$230:$D$259,2,FALSE)), $C12 = "2", 'Inputs-System'!$C$30*'Coincidence Factors'!$B$6*'Inputs-Proposals'!$D$23*'Inputs-Proposals'!$D$25*(VLOOKUP(AT$3,'Non-Embedded Emissions'!$A$56:$D$90,2,FALSE)+VLOOKUP(AT$3,'Non-Embedded Emissions'!$A$143:$D$174,2,FALSE)+VLOOKUP(AT$3,'Non-Embedded Emissions'!$A$230:$D$259,2,FALSE)), $C12 = "3", 'Inputs-System'!$C$30*'Coincidence Factors'!$B$6*'Inputs-Proposals'!$D$29*'Inputs-Proposals'!$D$31*(VLOOKUP(AT$3,'Non-Embedded Emissions'!$A$56:$D$90,2,FALSE)+VLOOKUP(AT$3,'Non-Embedded Emissions'!$A$143:$D$174,2,FALSE)+VLOOKUP(AT$3,'Non-Embedded Emissions'!$A$230:$D$259,2,FALSE)), $C12 = "0", 0), 0)</f>
        <v>0</v>
      </c>
      <c r="AZ12" s="45">
        <f>IFERROR(_xlfn.IFS($C12="1",('Inputs-System'!$C$30*'Coincidence Factors'!$B$6*(1+'Inputs-System'!$C$18)*(1+'Inputs-System'!$C$41)*('Inputs-Proposals'!$D$17*'Inputs-Proposals'!$D$19*(1-'Inputs-Proposals'!$D$20^(AZ$3-'Inputs-System'!$C$7)))*(VLOOKUP(AZ$3,Energy!$A$51:$K$83,5,FALSE))), $C12 = "2",('Inputs-System'!$C$30*'Coincidence Factors'!$B$6)*(1+'Inputs-System'!$C$18)*(1+'Inputs-System'!$C$41)*('Inputs-Proposals'!$D$23*'Inputs-Proposals'!$D$25*(1-'Inputs-Proposals'!$D$26^(AZ$3-'Inputs-System'!$C$7)))*(VLOOKUP(AZ$3,Energy!$A$51:$K$83,5,FALSE)), $C12= "3", ('Inputs-System'!$C$30*'Coincidence Factors'!$B$6*(1+'Inputs-System'!$C$18)*(1+'Inputs-System'!$C$41)*('Inputs-Proposals'!$D$29*'Inputs-Proposals'!$D$31*(1-'Inputs-Proposals'!$D$32^(AZ$3-'Inputs-System'!$C$7)))*(VLOOKUP(AZ$3,Energy!$A$51:$K$83,5,FALSE))), $C12= "0", 0), 0)</f>
        <v>0</v>
      </c>
      <c r="BA12" s="44">
        <f>IFERROR(_xlfn.IFS($C12="1",('Inputs-System'!$C$30*'Coincidence Factors'!$B$6*(1+'Inputs-System'!$C$18)*(1+'Inputs-System'!$C$41))*'Inputs-Proposals'!$D$17*'Inputs-Proposals'!$D$19*(1-'Inputs-Proposals'!$D$20^(AZ$3-'Inputs-System'!$C$7))*(VLOOKUP(AZ$3,'Embedded Emissions'!$A$47:$B$78,2,FALSE)+VLOOKUP(AZ$3,'Embedded Emissions'!$A$129:$B$158,2,FALSE)), $C12 = "2",('Inputs-System'!$C$30*'Coincidence Factors'!$B$6*(1+'Inputs-System'!$C$18)*(1+'Inputs-System'!$C$41))*'Inputs-Proposals'!$D$23*'Inputs-Proposals'!$D$25*(1-'Inputs-Proposals'!$D$20^(AZ$3-'Inputs-System'!$C$7))*(VLOOKUP(AZ$3,'Embedded Emissions'!$A$47:$B$78,2,FALSE)+VLOOKUP(AZ$3,'Embedded Emissions'!$A$129:$B$158,2,FALSE)), $C12 = "3", ('Inputs-System'!$C$30*'Coincidence Factors'!$B$6*(1+'Inputs-System'!$C$18)*(1+'Inputs-System'!$C$41))*'Inputs-Proposals'!$D$29*'Inputs-Proposals'!$D$31*(1-'Inputs-Proposals'!$D$20^(AZ$3-'Inputs-System'!$C$7))*(VLOOKUP(AZ$3,'Embedded Emissions'!$A$47:$B$78,2,FALSE)+VLOOKUP(AZ$3,'Embedded Emissions'!$A$129:$B$158,2,FALSE)), $C12 = "0", 0), 0)</f>
        <v>0</v>
      </c>
      <c r="BB12" s="44">
        <f>IFERROR(_xlfn.IFS($C12="1",( 'Inputs-System'!$C$30*'Coincidence Factors'!$B$6*(1+'Inputs-System'!$C$18)*(1+'Inputs-System'!$C$41))*('Inputs-Proposals'!$D$17*'Inputs-Proposals'!$D$19*(1-'Inputs-Proposals'!$D$20)^(AZ$3-'Inputs-System'!$C$7))*(VLOOKUP(AZ$3,DRIPE!$A$54:$I$82,5,FALSE)+VLOOKUP(AZ$3,DRIPE!$A$54:$I$82,9,FALSE))+ ('Inputs-System'!$C$26*'Coincidence Factors'!$B$6*(1+'Inputs-System'!$C$18)*(1+'Inputs-System'!$C$42))*'Inputs-Proposals'!$D$16*VLOOKUP(AZ$3,DRIPE!$A$54:$I$82,8,FALSE), $C12 = "2",( 'Inputs-System'!$C$30*'Coincidence Factors'!$B$6*(1+'Inputs-System'!$C$18)*(1+'Inputs-System'!$C$41))*('Inputs-Proposals'!$D$23*'Inputs-Proposals'!$D$25*(1-'Inputs-Proposals'!$D$26)^(AZ$3-'Inputs-System'!$C$7))*(VLOOKUP(AZ$3,DRIPE!$A$54:$I$82,5,FALSE)+VLOOKUP(AZ$3,DRIPE!$A$54:$I$82,9,FALSE))+ ('Inputs-System'!$C$26*'Coincidence Factors'!$B$6*(1+'Inputs-System'!$C$18)*(1+'Inputs-System'!$C$42))*'Inputs-Proposals'!$D$22*VLOOKUP(AZ$3,DRIPE!$A$54:$I$82,8,FALSE), $C12= "3", ( 'Inputs-System'!$C$30*'Coincidence Factors'!$B$6*(1+'Inputs-System'!$C$18)*(1+'Inputs-System'!$C$41))*('Inputs-Proposals'!$D$29*'Inputs-Proposals'!$D$31*(1-'Inputs-Proposals'!$D$32)^(AZ$3-'Inputs-System'!$C$7))*(VLOOKUP(AZ$3,DRIPE!$A$54:$I$82,5,FALSE)+VLOOKUP(AZ$3,DRIPE!$A$54:$I$82,9,FALSE))+ ('Inputs-System'!$C$26*'Coincidence Factors'!$B$6*(1+'Inputs-System'!$C$18)*(1+'Inputs-System'!$C$42))*'Inputs-Proposals'!$D$28*VLOOKUP(AZ$3,DRIPE!$A$54:$I$82,8,FALSE), $C12 = "0", 0), 0)</f>
        <v>0</v>
      </c>
      <c r="BC12" s="45">
        <f>IFERROR(_xlfn.IFS($C12="1",('Inputs-System'!$C$26*'Coincidence Factors'!$B$6*(1+'Inputs-System'!$C$18))*'Inputs-Proposals'!$D$16*(VLOOKUP(AZ$3,Capacity!$A$53:$E$85,4,FALSE)*(1+'Inputs-System'!$C$42)+VLOOKUP(AZ$3,Capacity!$A$53:$E$85,5,FALSE)*'Inputs-System'!$C$29*(1+'Inputs-System'!$C$43)), $C12 = "2", ('Inputs-System'!$C$26*'Coincidence Factors'!$B$6*(1+'Inputs-System'!$C$18))*'Inputs-Proposals'!$D$22*(VLOOKUP(AZ$3,Capacity!$A$53:$E$85,4,FALSE)*(1+'Inputs-System'!$C$42)+VLOOKUP(AZ$3,Capacity!$A$53:$E$85,5,FALSE)*'Inputs-System'!$C$29*(1+'Inputs-System'!$C$43)), $C12 = "3",('Inputs-System'!$C$26*'Coincidence Factors'!$B$6*(1+'Inputs-System'!$C$18))*'Inputs-Proposals'!$D$28*(VLOOKUP(AZ$3,Capacity!$A$53:$E$85,4,FALSE)*(1+'Inputs-System'!$C$42)+VLOOKUP(AZ$3,Capacity!$A$53:$E$85,5,FALSE)*'Inputs-System'!$C$29*(1+'Inputs-System'!$C$43)), $C12 = "0", 0), 0)</f>
        <v>0</v>
      </c>
      <c r="BD12" s="44">
        <v>0</v>
      </c>
      <c r="BE12" s="342">
        <f>IFERROR(_xlfn.IFS($C12="1", 'Inputs-System'!$C$30*'Coincidence Factors'!$B$6*'Inputs-Proposals'!$D$17*'Inputs-Proposals'!$D$19*(VLOOKUP(AZ$3,'Non-Embedded Emissions'!$A$56:$D$90,2,FALSE)+VLOOKUP(AZ$3,'Non-Embedded Emissions'!$A$143:$D$174,2,FALSE)+VLOOKUP(AZ$3,'Non-Embedded Emissions'!$A$230:$D$259,2,FALSE)), $C12 = "2", 'Inputs-System'!$C$30*'Coincidence Factors'!$B$6*'Inputs-Proposals'!$D$23*'Inputs-Proposals'!$D$25*(VLOOKUP(AZ$3,'Non-Embedded Emissions'!$A$56:$D$90,2,FALSE)+VLOOKUP(AZ$3,'Non-Embedded Emissions'!$A$143:$D$174,2,FALSE)+VLOOKUP(AZ$3,'Non-Embedded Emissions'!$A$230:$D$259,2,FALSE)), $C12 = "3", 'Inputs-System'!$C$30*'Coincidence Factors'!$B$6*'Inputs-Proposals'!$D$29*'Inputs-Proposals'!$D$31*(VLOOKUP(AZ$3,'Non-Embedded Emissions'!$A$56:$D$90,2,FALSE)+VLOOKUP(AZ$3,'Non-Embedded Emissions'!$A$143:$D$174,2,FALSE)+VLOOKUP(AZ$3,'Non-Embedded Emissions'!$A$230:$D$259,2,FALSE)), $C12 = "0", 0), 0)</f>
        <v>0</v>
      </c>
      <c r="BF12" s="45">
        <f>IFERROR(_xlfn.IFS($C12="1",('Inputs-System'!$C$30*'Coincidence Factors'!$B$6*(1+'Inputs-System'!$C$18)*(1+'Inputs-System'!$C$41)*('Inputs-Proposals'!$D$17*'Inputs-Proposals'!$D$19*(1-'Inputs-Proposals'!$D$20^(BF$3-'Inputs-System'!$C$7)))*(VLOOKUP(BF$3,Energy!$A$51:$K$83,5,FALSE))), $C12 = "2",('Inputs-System'!$C$30*'Coincidence Factors'!$B$6)*(1+'Inputs-System'!$C$18)*(1+'Inputs-System'!$C$41)*('Inputs-Proposals'!$D$23*'Inputs-Proposals'!$D$25*(1-'Inputs-Proposals'!$D$26^(BF$3-'Inputs-System'!$C$7)))*(VLOOKUP(BF$3,Energy!$A$51:$K$83,5,FALSE)), $C12= "3", ('Inputs-System'!$C$30*'Coincidence Factors'!$B$6*(1+'Inputs-System'!$C$18)*(1+'Inputs-System'!$C$41)*('Inputs-Proposals'!$D$29*'Inputs-Proposals'!$D$31*(1-'Inputs-Proposals'!$D$32^(BF$3-'Inputs-System'!$C$7)))*(VLOOKUP(BF$3,Energy!$A$51:$K$83,5,FALSE))), $C12= "0", 0), 0)</f>
        <v>0</v>
      </c>
      <c r="BG12" s="44">
        <f>IFERROR(_xlfn.IFS($C12="1",('Inputs-System'!$C$30*'Coincidence Factors'!$B$6*(1+'Inputs-System'!$C$18)*(1+'Inputs-System'!$C$41))*'Inputs-Proposals'!$D$17*'Inputs-Proposals'!$D$19*(1-'Inputs-Proposals'!$D$20^(BF$3-'Inputs-System'!$C$7))*(VLOOKUP(BF$3,'Embedded Emissions'!$A$47:$B$78,2,FALSE)+VLOOKUP(BF$3,'Embedded Emissions'!$A$129:$B$158,2,FALSE)), $C12 = "2",('Inputs-System'!$C$30*'Coincidence Factors'!$B$6*(1+'Inputs-System'!$C$18)*(1+'Inputs-System'!$C$41))*'Inputs-Proposals'!$D$23*'Inputs-Proposals'!$D$25*(1-'Inputs-Proposals'!$D$20^(BF$3-'Inputs-System'!$C$7))*(VLOOKUP(BF$3,'Embedded Emissions'!$A$47:$B$78,2,FALSE)+VLOOKUP(BF$3,'Embedded Emissions'!$A$129:$B$158,2,FALSE)), $C12 = "3", ('Inputs-System'!$C$30*'Coincidence Factors'!$B$6*(1+'Inputs-System'!$C$18)*(1+'Inputs-System'!$C$41))*'Inputs-Proposals'!$D$29*'Inputs-Proposals'!$D$31*(1-'Inputs-Proposals'!$D$20^(BF$3-'Inputs-System'!$C$7))*(VLOOKUP(BF$3,'Embedded Emissions'!$A$47:$B$78,2,FALSE)+VLOOKUP(BF$3,'Embedded Emissions'!$A$129:$B$158,2,FALSE)), $C12 = "0", 0), 0)</f>
        <v>0</v>
      </c>
      <c r="BH12" s="44">
        <f>IFERROR(_xlfn.IFS($C12="1",( 'Inputs-System'!$C$30*'Coincidence Factors'!$B$6*(1+'Inputs-System'!$C$18)*(1+'Inputs-System'!$C$41))*('Inputs-Proposals'!$D$17*'Inputs-Proposals'!$D$19*(1-'Inputs-Proposals'!$D$20)^(BF$3-'Inputs-System'!$C$7))*(VLOOKUP(BF$3,DRIPE!$A$54:$I$82,5,FALSE)+VLOOKUP(BF$3,DRIPE!$A$54:$I$82,9,FALSE))+ ('Inputs-System'!$C$26*'Coincidence Factors'!$B$6*(1+'Inputs-System'!$C$18)*(1+'Inputs-System'!$C$42))*'Inputs-Proposals'!$D$16*VLOOKUP(BF$3,DRIPE!$A$54:$I$82,8,FALSE), $C12 = "2",( 'Inputs-System'!$C$30*'Coincidence Factors'!$B$6*(1+'Inputs-System'!$C$18)*(1+'Inputs-System'!$C$41))*('Inputs-Proposals'!$D$23*'Inputs-Proposals'!$D$25*(1-'Inputs-Proposals'!$D$26)^(BF$3-'Inputs-System'!$C$7))*(VLOOKUP(BF$3,DRIPE!$A$54:$I$82,5,FALSE)+VLOOKUP(BF$3,DRIPE!$A$54:$I$82,9,FALSE))+ ('Inputs-System'!$C$26*'Coincidence Factors'!$B$6*(1+'Inputs-System'!$C$18)*(1+'Inputs-System'!$C$42))*'Inputs-Proposals'!$D$22*VLOOKUP(BF$3,DRIPE!$A$54:$I$82,8,FALSE), $C12= "3", ( 'Inputs-System'!$C$30*'Coincidence Factors'!$B$6*(1+'Inputs-System'!$C$18)*(1+'Inputs-System'!$C$41))*('Inputs-Proposals'!$D$29*'Inputs-Proposals'!$D$31*(1-'Inputs-Proposals'!$D$32)^(BF$3-'Inputs-System'!$C$7))*(VLOOKUP(BF$3,DRIPE!$A$54:$I$82,5,FALSE)+VLOOKUP(BF$3,DRIPE!$A$54:$I$82,9,FALSE))+ ('Inputs-System'!$C$26*'Coincidence Factors'!$B$6*(1+'Inputs-System'!$C$18)*(1+'Inputs-System'!$C$42))*'Inputs-Proposals'!$D$28*VLOOKUP(BF$3,DRIPE!$A$54:$I$82,8,FALSE), $C12 = "0", 0), 0)</f>
        <v>0</v>
      </c>
      <c r="BI12" s="45">
        <f>IFERROR(_xlfn.IFS($C12="1",('Inputs-System'!$C$26*'Coincidence Factors'!$B$6*(1+'Inputs-System'!$C$18))*'Inputs-Proposals'!$D$16*(VLOOKUP(BF$3,Capacity!$A$53:$E$85,4,FALSE)*(1+'Inputs-System'!$C$42)+VLOOKUP(BF$3,Capacity!$A$53:$E$85,5,FALSE)*'Inputs-System'!$C$29*(1+'Inputs-System'!$C$43)), $C12 = "2", ('Inputs-System'!$C$26*'Coincidence Factors'!$B$6*(1+'Inputs-System'!$C$18))*'Inputs-Proposals'!$D$22*(VLOOKUP(BF$3,Capacity!$A$53:$E$85,4,FALSE)*(1+'Inputs-System'!$C$42)+VLOOKUP(BF$3,Capacity!$A$53:$E$85,5,FALSE)*'Inputs-System'!$C$29*(1+'Inputs-System'!$C$43)), $C12 = "3",('Inputs-System'!$C$26*'Coincidence Factors'!$B$6*(1+'Inputs-System'!$C$18))*'Inputs-Proposals'!$D$28*(VLOOKUP(BF$3,Capacity!$A$53:$E$85,4,FALSE)*(1+'Inputs-System'!$C$42)+VLOOKUP(BF$3,Capacity!$A$53:$E$85,5,FALSE)*'Inputs-System'!$C$29*(1+'Inputs-System'!$C$43)), $C12 = "0", 0), 0)</f>
        <v>0</v>
      </c>
      <c r="BJ12" s="44">
        <v>0</v>
      </c>
      <c r="BK12" s="342">
        <f>IFERROR(_xlfn.IFS($C12="1", 'Inputs-System'!$C$30*'Coincidence Factors'!$B$6*'Inputs-Proposals'!$D$17*'Inputs-Proposals'!$D$19*(VLOOKUP(BF$3,'Non-Embedded Emissions'!$A$56:$D$90,2,FALSE)+VLOOKUP(BF$3,'Non-Embedded Emissions'!$A$143:$D$174,2,FALSE)+VLOOKUP(BF$3,'Non-Embedded Emissions'!$A$230:$D$259,2,FALSE)), $C12 = "2", 'Inputs-System'!$C$30*'Coincidence Factors'!$B$6*'Inputs-Proposals'!$D$23*'Inputs-Proposals'!$D$25*(VLOOKUP(BF$3,'Non-Embedded Emissions'!$A$56:$D$90,2,FALSE)+VLOOKUP(BF$3,'Non-Embedded Emissions'!$A$143:$D$174,2,FALSE)+VLOOKUP(BF$3,'Non-Embedded Emissions'!$A$230:$D$259,2,FALSE)), $C12 = "3", 'Inputs-System'!$C$30*'Coincidence Factors'!$B$6*'Inputs-Proposals'!$D$29*'Inputs-Proposals'!$D$31*(VLOOKUP(BF$3,'Non-Embedded Emissions'!$A$56:$D$90,2,FALSE)+VLOOKUP(BF$3,'Non-Embedded Emissions'!$A$143:$D$174,2,FALSE)+VLOOKUP(BF$3,'Non-Embedded Emissions'!$A$230:$D$259,2,FALSE)), $C12 = "0", 0), 0)</f>
        <v>0</v>
      </c>
      <c r="BL12" s="45">
        <f>IFERROR(_xlfn.IFS($C12="1",('Inputs-System'!$C$30*'Coincidence Factors'!$B$6*(1+'Inputs-System'!$C$18)*(1+'Inputs-System'!$C$41)*('Inputs-Proposals'!$D$17*'Inputs-Proposals'!$D$19*(1-'Inputs-Proposals'!$D$20^(BL$3-'Inputs-System'!$C$7)))*(VLOOKUP(BL$3,Energy!$A$51:$K$83,5,FALSE))), $C12 = "2",('Inputs-System'!$C$30*'Coincidence Factors'!$B$6)*(1+'Inputs-System'!$C$18)*(1+'Inputs-System'!$C$41)*('Inputs-Proposals'!$D$23*'Inputs-Proposals'!$D$25*(1-'Inputs-Proposals'!$D$26^(BL$3-'Inputs-System'!$C$7)))*(VLOOKUP(BL$3,Energy!$A$51:$K$83,5,FALSE)), $C12= "3", ('Inputs-System'!$C$30*'Coincidence Factors'!$B$6*(1+'Inputs-System'!$C$18)*(1+'Inputs-System'!$C$41)*('Inputs-Proposals'!$D$29*'Inputs-Proposals'!$D$31*(1-'Inputs-Proposals'!$D$32^(BL$3-'Inputs-System'!$C$7)))*(VLOOKUP(BL$3,Energy!$A$51:$K$83,5,FALSE))), $C12= "0", 0), 0)</f>
        <v>0</v>
      </c>
      <c r="BM12" s="44">
        <f>IFERROR(_xlfn.IFS($C12="1",('Inputs-System'!$C$30*'Coincidence Factors'!$B$6*(1+'Inputs-System'!$C$18)*(1+'Inputs-System'!$C$41))*'Inputs-Proposals'!$D$17*'Inputs-Proposals'!$D$19*(1-'Inputs-Proposals'!$D$20^(BL$3-'Inputs-System'!$C$7))*(VLOOKUP(BL$3,'Embedded Emissions'!$A$47:$B$78,2,FALSE)+VLOOKUP(BL$3,'Embedded Emissions'!$A$129:$B$158,2,FALSE)), $C12 = "2",('Inputs-System'!$C$30*'Coincidence Factors'!$B$6*(1+'Inputs-System'!$C$18)*(1+'Inputs-System'!$C$41))*'Inputs-Proposals'!$D$23*'Inputs-Proposals'!$D$25*(1-'Inputs-Proposals'!$D$20^(BL$3-'Inputs-System'!$C$7))*(VLOOKUP(BL$3,'Embedded Emissions'!$A$47:$B$78,2,FALSE)+VLOOKUP(BL$3,'Embedded Emissions'!$A$129:$B$158,2,FALSE)), $C12 = "3", ('Inputs-System'!$C$30*'Coincidence Factors'!$B$6*(1+'Inputs-System'!$C$18)*(1+'Inputs-System'!$C$41))*'Inputs-Proposals'!$D$29*'Inputs-Proposals'!$D$31*(1-'Inputs-Proposals'!$D$20^(BL$3-'Inputs-System'!$C$7))*(VLOOKUP(BL$3,'Embedded Emissions'!$A$47:$B$78,2,FALSE)+VLOOKUP(BL$3,'Embedded Emissions'!$A$129:$B$158,2,FALSE)), $C12 = "0", 0), 0)</f>
        <v>0</v>
      </c>
      <c r="BN12" s="44">
        <f>IFERROR(_xlfn.IFS($C12="1",( 'Inputs-System'!$C$30*'Coincidence Factors'!$B$6*(1+'Inputs-System'!$C$18)*(1+'Inputs-System'!$C$41))*('Inputs-Proposals'!$D$17*'Inputs-Proposals'!$D$19*(1-'Inputs-Proposals'!$D$20)^(BL$3-'Inputs-System'!$C$7))*(VLOOKUP(BL$3,DRIPE!$A$54:$I$82,5,FALSE)+VLOOKUP(BL$3,DRIPE!$A$54:$I$82,9,FALSE))+ ('Inputs-System'!$C$26*'Coincidence Factors'!$B$6*(1+'Inputs-System'!$C$18)*(1+'Inputs-System'!$C$42))*'Inputs-Proposals'!$D$16*VLOOKUP(BL$3,DRIPE!$A$54:$I$82,8,FALSE), $C12 = "2",( 'Inputs-System'!$C$30*'Coincidence Factors'!$B$6*(1+'Inputs-System'!$C$18)*(1+'Inputs-System'!$C$41))*('Inputs-Proposals'!$D$23*'Inputs-Proposals'!$D$25*(1-'Inputs-Proposals'!$D$26)^(BL$3-'Inputs-System'!$C$7))*(VLOOKUP(BL$3,DRIPE!$A$54:$I$82,5,FALSE)+VLOOKUP(BL$3,DRIPE!$A$54:$I$82,9,FALSE))+ ('Inputs-System'!$C$26*'Coincidence Factors'!$B$6*(1+'Inputs-System'!$C$18)*(1+'Inputs-System'!$C$42))*'Inputs-Proposals'!$D$22*VLOOKUP(BL$3,DRIPE!$A$54:$I$82,8,FALSE), $C12= "3", ( 'Inputs-System'!$C$30*'Coincidence Factors'!$B$6*(1+'Inputs-System'!$C$18)*(1+'Inputs-System'!$C$41))*('Inputs-Proposals'!$D$29*'Inputs-Proposals'!$D$31*(1-'Inputs-Proposals'!$D$32)^(BL$3-'Inputs-System'!$C$7))*(VLOOKUP(BL$3,DRIPE!$A$54:$I$82,5,FALSE)+VLOOKUP(BL$3,DRIPE!$A$54:$I$82,9,FALSE))+ ('Inputs-System'!$C$26*'Coincidence Factors'!$B$6*(1+'Inputs-System'!$C$18)*(1+'Inputs-System'!$C$42))*'Inputs-Proposals'!$D$28*VLOOKUP(BL$3,DRIPE!$A$54:$I$82,8,FALSE), $C12 = "0", 0), 0)</f>
        <v>0</v>
      </c>
      <c r="BO12" s="45">
        <f>IFERROR(_xlfn.IFS($C12="1",('Inputs-System'!$C$26*'Coincidence Factors'!$B$6*(1+'Inputs-System'!$C$18))*'Inputs-Proposals'!$D$16*(VLOOKUP(BL$3,Capacity!$A$53:$E$85,4,FALSE)*(1+'Inputs-System'!$C$42)+VLOOKUP(BL$3,Capacity!$A$53:$E$85,5,FALSE)*'Inputs-System'!$C$29*(1+'Inputs-System'!$C$43)), $C12 = "2", ('Inputs-System'!$C$26*'Coincidence Factors'!$B$6*(1+'Inputs-System'!$C$18))*'Inputs-Proposals'!$D$22*(VLOOKUP(BL$3,Capacity!$A$53:$E$85,4,FALSE)*(1+'Inputs-System'!$C$42)+VLOOKUP(BL$3,Capacity!$A$53:$E$85,5,FALSE)*'Inputs-System'!$C$29*(1+'Inputs-System'!$C$43)), $C12 = "3",('Inputs-System'!$C$26*'Coincidence Factors'!$B$6*(1+'Inputs-System'!$C$18))*'Inputs-Proposals'!$D$28*(VLOOKUP(BL$3,Capacity!$A$53:$E$85,4,FALSE)*(1+'Inputs-System'!$C$42)+VLOOKUP(BL$3,Capacity!$A$53:$E$85,5,FALSE)*'Inputs-System'!$C$29*(1+'Inputs-System'!$C$43)), $C12 = "0", 0), 0)</f>
        <v>0</v>
      </c>
      <c r="BP12" s="44">
        <v>0</v>
      </c>
      <c r="BQ12" s="342">
        <f>IFERROR(_xlfn.IFS($C12="1", 'Inputs-System'!$C$30*'Coincidence Factors'!$B$6*'Inputs-Proposals'!$D$17*'Inputs-Proposals'!$D$19*(VLOOKUP(BL$3,'Non-Embedded Emissions'!$A$56:$D$90,2,FALSE)+VLOOKUP(BL$3,'Non-Embedded Emissions'!$A$143:$D$174,2,FALSE)+VLOOKUP(BL$3,'Non-Embedded Emissions'!$A$230:$D$259,2,FALSE)), $C12 = "2", 'Inputs-System'!$C$30*'Coincidence Factors'!$B$6*'Inputs-Proposals'!$D$23*'Inputs-Proposals'!$D$25*(VLOOKUP(BL$3,'Non-Embedded Emissions'!$A$56:$D$90,2,FALSE)+VLOOKUP(BL$3,'Non-Embedded Emissions'!$A$143:$D$174,2,FALSE)+VLOOKUP(BL$3,'Non-Embedded Emissions'!$A$230:$D$259,2,FALSE)), $C12 = "3", 'Inputs-System'!$C$30*'Coincidence Factors'!$B$6*'Inputs-Proposals'!$D$29*'Inputs-Proposals'!$D$31*(VLOOKUP(BL$3,'Non-Embedded Emissions'!$A$56:$D$90,2,FALSE)+VLOOKUP(BL$3,'Non-Embedded Emissions'!$A$143:$D$174,2,FALSE)+VLOOKUP(BL$3,'Non-Embedded Emissions'!$A$230:$D$259,2,FALSE)), $C12 = "0", 0), 0)</f>
        <v>0</v>
      </c>
      <c r="BR12" s="45">
        <f>IFERROR(_xlfn.IFS($C12="1",('Inputs-System'!$C$30*'Coincidence Factors'!$B$6*(1+'Inputs-System'!$C$18)*(1+'Inputs-System'!$C$41)*('Inputs-Proposals'!$D$17*'Inputs-Proposals'!$D$19*(1-'Inputs-Proposals'!$D$20^(BR$3-'Inputs-System'!$C$7)))*(VLOOKUP(BR$3,Energy!$A$51:$K$83,5,FALSE))), $C12 = "2",('Inputs-System'!$C$30*'Coincidence Factors'!$B$6)*(1+'Inputs-System'!$C$18)*(1+'Inputs-System'!$C$41)*('Inputs-Proposals'!$D$23*'Inputs-Proposals'!$D$25*(1-'Inputs-Proposals'!$D$26^(BR$3-'Inputs-System'!$C$7)))*(VLOOKUP(BR$3,Energy!$A$51:$K$83,5,FALSE)), $C12= "3", ('Inputs-System'!$C$30*'Coincidence Factors'!$B$6*(1+'Inputs-System'!$C$18)*(1+'Inputs-System'!$C$41)*('Inputs-Proposals'!$D$29*'Inputs-Proposals'!$D$31*(1-'Inputs-Proposals'!$D$32^(BR$3-'Inputs-System'!$C$7)))*(VLOOKUP(BR$3,Energy!$A$51:$K$83,5,FALSE))), $C12= "0", 0), 0)</f>
        <v>0</v>
      </c>
      <c r="BS12" s="44">
        <f>IFERROR(_xlfn.IFS($C12="1",('Inputs-System'!$C$30*'Coincidence Factors'!$B$6*(1+'Inputs-System'!$C$18)*(1+'Inputs-System'!$C$41))*'Inputs-Proposals'!$D$17*'Inputs-Proposals'!$D$19*(1-'Inputs-Proposals'!$D$20^(BR$3-'Inputs-System'!$C$7))*(VLOOKUP(BR$3,'Embedded Emissions'!$A$47:$B$78,2,FALSE)+VLOOKUP(BR$3,'Embedded Emissions'!$A$129:$B$158,2,FALSE)), $C12 = "2",('Inputs-System'!$C$30*'Coincidence Factors'!$B$6*(1+'Inputs-System'!$C$18)*(1+'Inputs-System'!$C$41))*'Inputs-Proposals'!$D$23*'Inputs-Proposals'!$D$25*(1-'Inputs-Proposals'!$D$20^(BR$3-'Inputs-System'!$C$7))*(VLOOKUP(BR$3,'Embedded Emissions'!$A$47:$B$78,2,FALSE)+VLOOKUP(BR$3,'Embedded Emissions'!$A$129:$B$158,2,FALSE)), $C12 = "3", ('Inputs-System'!$C$30*'Coincidence Factors'!$B$6*(1+'Inputs-System'!$C$18)*(1+'Inputs-System'!$C$41))*'Inputs-Proposals'!$D$29*'Inputs-Proposals'!$D$31*(1-'Inputs-Proposals'!$D$20^(BR$3-'Inputs-System'!$C$7))*(VLOOKUP(BR$3,'Embedded Emissions'!$A$47:$B$78,2,FALSE)+VLOOKUP(BR$3,'Embedded Emissions'!$A$129:$B$158,2,FALSE)), $C12 = "0", 0), 0)</f>
        <v>0</v>
      </c>
      <c r="BT12" s="44">
        <f>IFERROR(_xlfn.IFS($C12="1",( 'Inputs-System'!$C$30*'Coincidence Factors'!$B$6*(1+'Inputs-System'!$C$18)*(1+'Inputs-System'!$C$41))*('Inputs-Proposals'!$D$17*'Inputs-Proposals'!$D$19*(1-'Inputs-Proposals'!$D$20)^(BR$3-'Inputs-System'!$C$7))*(VLOOKUP(BR$3,DRIPE!$A$54:$I$82,5,FALSE)+VLOOKUP(BR$3,DRIPE!$A$54:$I$82,9,FALSE))+ ('Inputs-System'!$C$26*'Coincidence Factors'!$B$6*(1+'Inputs-System'!$C$18)*(1+'Inputs-System'!$C$42))*'Inputs-Proposals'!$D$16*VLOOKUP(BR$3,DRIPE!$A$54:$I$82,8,FALSE), $C12 = "2",( 'Inputs-System'!$C$30*'Coincidence Factors'!$B$6*(1+'Inputs-System'!$C$18)*(1+'Inputs-System'!$C$41))*('Inputs-Proposals'!$D$23*'Inputs-Proposals'!$D$25*(1-'Inputs-Proposals'!$D$26)^(BR$3-'Inputs-System'!$C$7))*(VLOOKUP(BR$3,DRIPE!$A$54:$I$82,5,FALSE)+VLOOKUP(BR$3,DRIPE!$A$54:$I$82,9,FALSE))+ ('Inputs-System'!$C$26*'Coincidence Factors'!$B$6*(1+'Inputs-System'!$C$18)*(1+'Inputs-System'!$C$42))*'Inputs-Proposals'!$D$22*VLOOKUP(BR$3,DRIPE!$A$54:$I$82,8,FALSE), $C12= "3", ( 'Inputs-System'!$C$30*'Coincidence Factors'!$B$6*(1+'Inputs-System'!$C$18)*(1+'Inputs-System'!$C$41))*('Inputs-Proposals'!$D$29*'Inputs-Proposals'!$D$31*(1-'Inputs-Proposals'!$D$32)^(BR$3-'Inputs-System'!$C$7))*(VLOOKUP(BR$3,DRIPE!$A$54:$I$82,5,FALSE)+VLOOKUP(BR$3,DRIPE!$A$54:$I$82,9,FALSE))+ ('Inputs-System'!$C$26*'Coincidence Factors'!$B$6*(1+'Inputs-System'!$C$18)*(1+'Inputs-System'!$C$42))*'Inputs-Proposals'!$D$28*VLOOKUP(BR$3,DRIPE!$A$54:$I$82,8,FALSE), $C12 = "0", 0), 0)</f>
        <v>0</v>
      </c>
      <c r="BU12" s="45">
        <f>IFERROR(_xlfn.IFS($C12="1",('Inputs-System'!$C$26*'Coincidence Factors'!$B$6*(1+'Inputs-System'!$C$18))*'Inputs-Proposals'!$D$16*(VLOOKUP(BR$3,Capacity!$A$53:$E$85,4,FALSE)*(1+'Inputs-System'!$C$42)+VLOOKUP(BR$3,Capacity!$A$53:$E$85,5,FALSE)*'Inputs-System'!$C$29*(1+'Inputs-System'!$C$43)), $C12 = "2", ('Inputs-System'!$C$26*'Coincidence Factors'!$B$6*(1+'Inputs-System'!$C$18))*'Inputs-Proposals'!$D$22*(VLOOKUP(BR$3,Capacity!$A$53:$E$85,4,FALSE)*(1+'Inputs-System'!$C$42)+VLOOKUP(BR$3,Capacity!$A$53:$E$85,5,FALSE)*'Inputs-System'!$C$29*(1+'Inputs-System'!$C$43)), $C12 = "3",('Inputs-System'!$C$26*'Coincidence Factors'!$B$6*(1+'Inputs-System'!$C$18))*'Inputs-Proposals'!$D$28*(VLOOKUP(BR$3,Capacity!$A$53:$E$85,4,FALSE)*(1+'Inputs-System'!$C$42)+VLOOKUP(BR$3,Capacity!$A$53:$E$85,5,FALSE)*'Inputs-System'!$C$29*(1+'Inputs-System'!$C$43)), $C12 = "0", 0), 0)</f>
        <v>0</v>
      </c>
      <c r="BV12" s="44">
        <v>0</v>
      </c>
      <c r="BW12" s="342">
        <f>IFERROR(_xlfn.IFS($C12="1", 'Inputs-System'!$C$30*'Coincidence Factors'!$B$6*'Inputs-Proposals'!$D$17*'Inputs-Proposals'!$D$19*(VLOOKUP(BR$3,'Non-Embedded Emissions'!$A$56:$D$90,2,FALSE)+VLOOKUP(BR$3,'Non-Embedded Emissions'!$A$143:$D$174,2,FALSE)+VLOOKUP(BR$3,'Non-Embedded Emissions'!$A$230:$D$259,2,FALSE)), $C12 = "2", 'Inputs-System'!$C$30*'Coincidence Factors'!$B$6*'Inputs-Proposals'!$D$23*'Inputs-Proposals'!$D$25*(VLOOKUP(BR$3,'Non-Embedded Emissions'!$A$56:$D$90,2,FALSE)+VLOOKUP(BR$3,'Non-Embedded Emissions'!$A$143:$D$174,2,FALSE)+VLOOKUP(BR$3,'Non-Embedded Emissions'!$A$230:$D$259,2,FALSE)), $C12 = "3", 'Inputs-System'!$C$30*'Coincidence Factors'!$B$6*'Inputs-Proposals'!$D$29*'Inputs-Proposals'!$D$31*(VLOOKUP(BR$3,'Non-Embedded Emissions'!$A$56:$D$90,2,FALSE)+VLOOKUP(BR$3,'Non-Embedded Emissions'!$A$143:$D$174,2,FALSE)+VLOOKUP(BR$3,'Non-Embedded Emissions'!$A$230:$D$259,2,FALSE)), $C12 = "0", 0), 0)</f>
        <v>0</v>
      </c>
      <c r="BX12" s="45">
        <f>IFERROR(_xlfn.IFS($C12="1",('Inputs-System'!$C$30*'Coincidence Factors'!$B$6*(1+'Inputs-System'!$C$18)*(1+'Inputs-System'!$C$41)*('Inputs-Proposals'!$D$17*'Inputs-Proposals'!$D$19*(1-'Inputs-Proposals'!$D$20^(BX$3-'Inputs-System'!$C$7)))*(VLOOKUP(BX$3,Energy!$A$51:$K$83,5,FALSE))), $C12 = "2",('Inputs-System'!$C$30*'Coincidence Factors'!$B$6)*(1+'Inputs-System'!$C$18)*(1+'Inputs-System'!$C$41)*('Inputs-Proposals'!$D$23*'Inputs-Proposals'!$D$25*(1-'Inputs-Proposals'!$D$26^(BX$3-'Inputs-System'!$C$7)))*(VLOOKUP(BX$3,Energy!$A$51:$K$83,5,FALSE)), $C12= "3", ('Inputs-System'!$C$30*'Coincidence Factors'!$B$6*(1+'Inputs-System'!$C$18)*(1+'Inputs-System'!$C$41)*('Inputs-Proposals'!$D$29*'Inputs-Proposals'!$D$31*(1-'Inputs-Proposals'!$D$32^(BX$3-'Inputs-System'!$C$7)))*(VLOOKUP(BX$3,Energy!$A$51:$K$83,5,FALSE))), $C12= "0", 0), 0)</f>
        <v>0</v>
      </c>
      <c r="BY12" s="44">
        <f>IFERROR(_xlfn.IFS($C12="1",('Inputs-System'!$C$30*'Coincidence Factors'!$B$6*(1+'Inputs-System'!$C$18)*(1+'Inputs-System'!$C$41))*'Inputs-Proposals'!$D$17*'Inputs-Proposals'!$D$19*(1-'Inputs-Proposals'!$D$20^(BX$3-'Inputs-System'!$C$7))*(VLOOKUP(BX$3,'Embedded Emissions'!$A$47:$B$78,2,FALSE)+VLOOKUP(BX$3,'Embedded Emissions'!$A$129:$B$158,2,FALSE)), $C12 = "2",('Inputs-System'!$C$30*'Coincidence Factors'!$B$6*(1+'Inputs-System'!$C$18)*(1+'Inputs-System'!$C$41))*'Inputs-Proposals'!$D$23*'Inputs-Proposals'!$D$25*(1-'Inputs-Proposals'!$D$20^(BX$3-'Inputs-System'!$C$7))*(VLOOKUP(BX$3,'Embedded Emissions'!$A$47:$B$78,2,FALSE)+VLOOKUP(BX$3,'Embedded Emissions'!$A$129:$B$158,2,FALSE)), $C12 = "3", ('Inputs-System'!$C$30*'Coincidence Factors'!$B$6*(1+'Inputs-System'!$C$18)*(1+'Inputs-System'!$C$41))*'Inputs-Proposals'!$D$29*'Inputs-Proposals'!$D$31*(1-'Inputs-Proposals'!$D$20^(BX$3-'Inputs-System'!$C$7))*(VLOOKUP(BX$3,'Embedded Emissions'!$A$47:$B$78,2,FALSE)+VLOOKUP(BX$3,'Embedded Emissions'!$A$129:$B$158,2,FALSE)), $C12 = "0", 0), 0)</f>
        <v>0</v>
      </c>
      <c r="BZ12" s="44">
        <f>IFERROR(_xlfn.IFS($C12="1",( 'Inputs-System'!$C$30*'Coincidence Factors'!$B$6*(1+'Inputs-System'!$C$18)*(1+'Inputs-System'!$C$41))*('Inputs-Proposals'!$D$17*'Inputs-Proposals'!$D$19*(1-'Inputs-Proposals'!$D$20)^(BX$3-'Inputs-System'!$C$7))*(VLOOKUP(BX$3,DRIPE!$A$54:$I$82,5,FALSE)+VLOOKUP(BX$3,DRIPE!$A$54:$I$82,9,FALSE))+ ('Inputs-System'!$C$26*'Coincidence Factors'!$B$6*(1+'Inputs-System'!$C$18)*(1+'Inputs-System'!$C$42))*'Inputs-Proposals'!$D$16*VLOOKUP(BX$3,DRIPE!$A$54:$I$82,8,FALSE), $C12 = "2",( 'Inputs-System'!$C$30*'Coincidence Factors'!$B$6*(1+'Inputs-System'!$C$18)*(1+'Inputs-System'!$C$41))*('Inputs-Proposals'!$D$23*'Inputs-Proposals'!$D$25*(1-'Inputs-Proposals'!$D$26)^(BX$3-'Inputs-System'!$C$7))*(VLOOKUP(BX$3,DRIPE!$A$54:$I$82,5,FALSE)+VLOOKUP(BX$3,DRIPE!$A$54:$I$82,9,FALSE))+ ('Inputs-System'!$C$26*'Coincidence Factors'!$B$6*(1+'Inputs-System'!$C$18)*(1+'Inputs-System'!$C$42))*'Inputs-Proposals'!$D$22*VLOOKUP(BX$3,DRIPE!$A$54:$I$82,8,FALSE), $C12= "3", ( 'Inputs-System'!$C$30*'Coincidence Factors'!$B$6*(1+'Inputs-System'!$C$18)*(1+'Inputs-System'!$C$41))*('Inputs-Proposals'!$D$29*'Inputs-Proposals'!$D$31*(1-'Inputs-Proposals'!$D$32)^(BX$3-'Inputs-System'!$C$7))*(VLOOKUP(BX$3,DRIPE!$A$54:$I$82,5,FALSE)+VLOOKUP(BX$3,DRIPE!$A$54:$I$82,9,FALSE))+ ('Inputs-System'!$C$26*'Coincidence Factors'!$B$6*(1+'Inputs-System'!$C$18)*(1+'Inputs-System'!$C$42))*'Inputs-Proposals'!$D$28*VLOOKUP(BX$3,DRIPE!$A$54:$I$82,8,FALSE), $C12 = "0", 0), 0)</f>
        <v>0</v>
      </c>
      <c r="CA12" s="45">
        <f>IFERROR(_xlfn.IFS($C12="1",('Inputs-System'!$C$26*'Coincidence Factors'!$B$6*(1+'Inputs-System'!$C$18))*'Inputs-Proposals'!$D$16*(VLOOKUP(BX$3,Capacity!$A$53:$E$85,4,FALSE)*(1+'Inputs-System'!$C$42)+VLOOKUP(BX$3,Capacity!$A$53:$E$85,5,FALSE)*'Inputs-System'!$C$29*(1+'Inputs-System'!$C$43)), $C12 = "2", ('Inputs-System'!$C$26*'Coincidence Factors'!$B$6*(1+'Inputs-System'!$C$18))*'Inputs-Proposals'!$D$22*(VLOOKUP(BX$3,Capacity!$A$53:$E$85,4,FALSE)*(1+'Inputs-System'!$C$42)+VLOOKUP(BX$3,Capacity!$A$53:$E$85,5,FALSE)*'Inputs-System'!$C$29*(1+'Inputs-System'!$C$43)), $C12 = "3",('Inputs-System'!$C$26*'Coincidence Factors'!$B$6*(1+'Inputs-System'!$C$18))*'Inputs-Proposals'!$D$28*(VLOOKUP(BX$3,Capacity!$A$53:$E$85,4,FALSE)*(1+'Inputs-System'!$C$42)+VLOOKUP(BX$3,Capacity!$A$53:$E$85,5,FALSE)*'Inputs-System'!$C$29*(1+'Inputs-System'!$C$43)), $C12 = "0", 0), 0)</f>
        <v>0</v>
      </c>
      <c r="CB12" s="44">
        <v>0</v>
      </c>
      <c r="CC12" s="342">
        <f>IFERROR(_xlfn.IFS($C12="1", 'Inputs-System'!$C$30*'Coincidence Factors'!$B$6*'Inputs-Proposals'!$D$17*'Inputs-Proposals'!$D$19*(VLOOKUP(BX$3,'Non-Embedded Emissions'!$A$56:$D$90,2,FALSE)+VLOOKUP(BX$3,'Non-Embedded Emissions'!$A$143:$D$174,2,FALSE)+VLOOKUP(BX$3,'Non-Embedded Emissions'!$A$230:$D$259,2,FALSE)), $C12 = "2", 'Inputs-System'!$C$30*'Coincidence Factors'!$B$6*'Inputs-Proposals'!$D$23*'Inputs-Proposals'!$D$25*(VLOOKUP(BX$3,'Non-Embedded Emissions'!$A$56:$D$90,2,FALSE)+VLOOKUP(BX$3,'Non-Embedded Emissions'!$A$143:$D$174,2,FALSE)+VLOOKUP(BX$3,'Non-Embedded Emissions'!$A$230:$D$259,2,FALSE)), $C12 = "3", 'Inputs-System'!$C$30*'Coincidence Factors'!$B$6*'Inputs-Proposals'!$D$29*'Inputs-Proposals'!$D$31*(VLOOKUP(BX$3,'Non-Embedded Emissions'!$A$56:$D$90,2,FALSE)+VLOOKUP(BX$3,'Non-Embedded Emissions'!$A$143:$D$174,2,FALSE)+VLOOKUP(BX$3,'Non-Embedded Emissions'!$A$230:$D$259,2,FALSE)), $C12 = "0", 0), 0)</f>
        <v>0</v>
      </c>
      <c r="CD12" s="45">
        <f>IFERROR(_xlfn.IFS($C12="1",('Inputs-System'!$C$30*'Coincidence Factors'!$B$6*(1+'Inputs-System'!$C$18)*(1+'Inputs-System'!$C$41)*('Inputs-Proposals'!$D$17*'Inputs-Proposals'!$D$19*(1-'Inputs-Proposals'!$D$20^(CD$3-'Inputs-System'!$C$7)))*(VLOOKUP(CD$3,Energy!$A$51:$K$83,5,FALSE))), $C12 = "2",('Inputs-System'!$C$30*'Coincidence Factors'!$B$6)*(1+'Inputs-System'!$C$18)*(1+'Inputs-System'!$C$41)*('Inputs-Proposals'!$D$23*'Inputs-Proposals'!$D$25*(1-'Inputs-Proposals'!$D$26^(CD$3-'Inputs-System'!$C$7)))*(VLOOKUP(CD$3,Energy!$A$51:$K$83,5,FALSE)), $C12= "3", ('Inputs-System'!$C$30*'Coincidence Factors'!$B$6*(1+'Inputs-System'!$C$18)*(1+'Inputs-System'!$C$41)*('Inputs-Proposals'!$D$29*'Inputs-Proposals'!$D$31*(1-'Inputs-Proposals'!$D$32^(CD$3-'Inputs-System'!$C$7)))*(VLOOKUP(CD$3,Energy!$A$51:$K$83,5,FALSE))), $C12= "0", 0), 0)</f>
        <v>0</v>
      </c>
      <c r="CE12" s="44">
        <f>IFERROR(_xlfn.IFS($C12="1",('Inputs-System'!$C$30*'Coincidence Factors'!$B$6*(1+'Inputs-System'!$C$18)*(1+'Inputs-System'!$C$41))*'Inputs-Proposals'!$D$17*'Inputs-Proposals'!$D$19*(1-'Inputs-Proposals'!$D$20^(CD$3-'Inputs-System'!$C$7))*(VLOOKUP(CD$3,'Embedded Emissions'!$A$47:$B$78,2,FALSE)+VLOOKUP(CD$3,'Embedded Emissions'!$A$129:$B$158,2,FALSE)), $C12 = "2",('Inputs-System'!$C$30*'Coincidence Factors'!$B$6*(1+'Inputs-System'!$C$18)*(1+'Inputs-System'!$C$41))*'Inputs-Proposals'!$D$23*'Inputs-Proposals'!$D$25*(1-'Inputs-Proposals'!$D$20^(CD$3-'Inputs-System'!$C$7))*(VLOOKUP(CD$3,'Embedded Emissions'!$A$47:$B$78,2,FALSE)+VLOOKUP(CD$3,'Embedded Emissions'!$A$129:$B$158,2,FALSE)), $C12 = "3", ('Inputs-System'!$C$30*'Coincidence Factors'!$B$6*(1+'Inputs-System'!$C$18)*(1+'Inputs-System'!$C$41))*'Inputs-Proposals'!$D$29*'Inputs-Proposals'!$D$31*(1-'Inputs-Proposals'!$D$20^(CD$3-'Inputs-System'!$C$7))*(VLOOKUP(CD$3,'Embedded Emissions'!$A$47:$B$78,2,FALSE)+VLOOKUP(CD$3,'Embedded Emissions'!$A$129:$B$158,2,FALSE)), $C12 = "0", 0), 0)</f>
        <v>0</v>
      </c>
      <c r="CF12" s="44">
        <f>IFERROR(_xlfn.IFS($C12="1",( 'Inputs-System'!$C$30*'Coincidence Factors'!$B$6*(1+'Inputs-System'!$C$18)*(1+'Inputs-System'!$C$41))*('Inputs-Proposals'!$D$17*'Inputs-Proposals'!$D$19*(1-'Inputs-Proposals'!$D$20)^(CD$3-'Inputs-System'!$C$7))*(VLOOKUP(CD$3,DRIPE!$A$54:$I$82,5,FALSE)+VLOOKUP(CD$3,DRIPE!$A$54:$I$82,9,FALSE))+ ('Inputs-System'!$C$26*'Coincidence Factors'!$B$6*(1+'Inputs-System'!$C$18)*(1+'Inputs-System'!$C$42))*'Inputs-Proposals'!$D$16*VLOOKUP(CD$3,DRIPE!$A$54:$I$82,8,FALSE), $C12 = "2",( 'Inputs-System'!$C$30*'Coincidence Factors'!$B$6*(1+'Inputs-System'!$C$18)*(1+'Inputs-System'!$C$41))*('Inputs-Proposals'!$D$23*'Inputs-Proposals'!$D$25*(1-'Inputs-Proposals'!$D$26)^(CD$3-'Inputs-System'!$C$7))*(VLOOKUP(CD$3,DRIPE!$A$54:$I$82,5,FALSE)+VLOOKUP(CD$3,DRIPE!$A$54:$I$82,9,FALSE))+ ('Inputs-System'!$C$26*'Coincidence Factors'!$B$6*(1+'Inputs-System'!$C$18)*(1+'Inputs-System'!$C$42))*'Inputs-Proposals'!$D$22*VLOOKUP(CD$3,DRIPE!$A$54:$I$82,8,FALSE), $C12= "3", ( 'Inputs-System'!$C$30*'Coincidence Factors'!$B$6*(1+'Inputs-System'!$C$18)*(1+'Inputs-System'!$C$41))*('Inputs-Proposals'!$D$29*'Inputs-Proposals'!$D$31*(1-'Inputs-Proposals'!$D$32)^(CD$3-'Inputs-System'!$C$7))*(VLOOKUP(CD$3,DRIPE!$A$54:$I$82,5,FALSE)+VLOOKUP(CD$3,DRIPE!$A$54:$I$82,9,FALSE))+ ('Inputs-System'!$C$26*'Coincidence Factors'!$B$6*(1+'Inputs-System'!$C$18)*(1+'Inputs-System'!$C$42))*'Inputs-Proposals'!$D$28*VLOOKUP(CD$3,DRIPE!$A$54:$I$82,8,FALSE), $C12 = "0", 0), 0)</f>
        <v>0</v>
      </c>
      <c r="CG12" s="45">
        <f>IFERROR(_xlfn.IFS($C12="1",('Inputs-System'!$C$26*'Coincidence Factors'!$B$6*(1+'Inputs-System'!$C$18))*'Inputs-Proposals'!$D$16*(VLOOKUP(CD$3,Capacity!$A$53:$E$85,4,FALSE)*(1+'Inputs-System'!$C$42)+VLOOKUP(CD$3,Capacity!$A$53:$E$85,5,FALSE)*'Inputs-System'!$C$29*(1+'Inputs-System'!$C$43)), $C12 = "2", ('Inputs-System'!$C$26*'Coincidence Factors'!$B$6*(1+'Inputs-System'!$C$18))*'Inputs-Proposals'!$D$22*(VLOOKUP(CD$3,Capacity!$A$53:$E$85,4,FALSE)*(1+'Inputs-System'!$C$42)+VLOOKUP(CD$3,Capacity!$A$53:$E$85,5,FALSE)*'Inputs-System'!$C$29*(1+'Inputs-System'!$C$43)), $C12 = "3",('Inputs-System'!$C$26*'Coincidence Factors'!$B$6*(1+'Inputs-System'!$C$18))*'Inputs-Proposals'!$D$28*(VLOOKUP(CD$3,Capacity!$A$53:$E$85,4,FALSE)*(1+'Inputs-System'!$C$42)+VLOOKUP(CD$3,Capacity!$A$53:$E$85,5,FALSE)*'Inputs-System'!$C$29*(1+'Inputs-System'!$C$43)), $C12 = "0", 0), 0)</f>
        <v>0</v>
      </c>
      <c r="CH12" s="44">
        <v>0</v>
      </c>
      <c r="CI12" s="342">
        <f>IFERROR(_xlfn.IFS($C12="1", 'Inputs-System'!$C$30*'Coincidence Factors'!$B$6*'Inputs-Proposals'!$D$17*'Inputs-Proposals'!$D$19*(VLOOKUP(CD$3,'Non-Embedded Emissions'!$A$56:$D$90,2,FALSE)+VLOOKUP(CD$3,'Non-Embedded Emissions'!$A$143:$D$174,2,FALSE)+VLOOKUP(CD$3,'Non-Embedded Emissions'!$A$230:$D$259,2,FALSE)), $C12 = "2", 'Inputs-System'!$C$30*'Coincidence Factors'!$B$6*'Inputs-Proposals'!$D$23*'Inputs-Proposals'!$D$25*(VLOOKUP(CD$3,'Non-Embedded Emissions'!$A$56:$D$90,2,FALSE)+VLOOKUP(CD$3,'Non-Embedded Emissions'!$A$143:$D$174,2,FALSE)+VLOOKUP(CD$3,'Non-Embedded Emissions'!$A$230:$D$259,2,FALSE)), $C12 = "3", 'Inputs-System'!$C$30*'Coincidence Factors'!$B$6*'Inputs-Proposals'!$D$29*'Inputs-Proposals'!$D$31*(VLOOKUP(CD$3,'Non-Embedded Emissions'!$A$56:$D$90,2,FALSE)+VLOOKUP(CD$3,'Non-Embedded Emissions'!$A$143:$D$174,2,FALSE)+VLOOKUP(CD$3,'Non-Embedded Emissions'!$A$230:$D$259,2,FALSE)), $C12 = "0", 0), 0)</f>
        <v>0</v>
      </c>
      <c r="CJ12" s="45">
        <f>IFERROR(_xlfn.IFS($C12="1",('Inputs-System'!$C$30*'Coincidence Factors'!$B$6*(1+'Inputs-System'!$C$18)*(1+'Inputs-System'!$C$41)*('Inputs-Proposals'!$D$17*'Inputs-Proposals'!$D$19*(1-'Inputs-Proposals'!$D$20^(CJ$3-'Inputs-System'!$C$7)))*(VLOOKUP(CJ$3,Energy!$A$51:$K$83,5,FALSE))), $C12 = "2",('Inputs-System'!$C$30*'Coincidence Factors'!$B$6)*(1+'Inputs-System'!$C$18)*(1+'Inputs-System'!$C$41)*('Inputs-Proposals'!$D$23*'Inputs-Proposals'!$D$25*(1-'Inputs-Proposals'!$D$26^(CJ$3-'Inputs-System'!$C$7)))*(VLOOKUP(CJ$3,Energy!$A$51:$K$83,5,FALSE)), $C12= "3", ('Inputs-System'!$C$30*'Coincidence Factors'!$B$6*(1+'Inputs-System'!$C$18)*(1+'Inputs-System'!$C$41)*('Inputs-Proposals'!$D$29*'Inputs-Proposals'!$D$31*(1-'Inputs-Proposals'!$D$32^(CJ$3-'Inputs-System'!$C$7)))*(VLOOKUP(CJ$3,Energy!$A$51:$K$83,5,FALSE))), $C12= "0", 0), 0)</f>
        <v>0</v>
      </c>
      <c r="CK12" s="44">
        <f>IFERROR(_xlfn.IFS($C12="1",('Inputs-System'!$C$30*'Coincidence Factors'!$B$6*(1+'Inputs-System'!$C$18)*(1+'Inputs-System'!$C$41))*'Inputs-Proposals'!$D$17*'Inputs-Proposals'!$D$19*(1-'Inputs-Proposals'!$D$20^(CJ$3-'Inputs-System'!$C$7))*(VLOOKUP(CJ$3,'Embedded Emissions'!$A$47:$B$78,2,FALSE)+VLOOKUP(CJ$3,'Embedded Emissions'!$A$129:$B$158,2,FALSE)), $C12 = "2",('Inputs-System'!$C$30*'Coincidence Factors'!$B$6*(1+'Inputs-System'!$C$18)*(1+'Inputs-System'!$C$41))*'Inputs-Proposals'!$D$23*'Inputs-Proposals'!$D$25*(1-'Inputs-Proposals'!$D$20^(CJ$3-'Inputs-System'!$C$7))*(VLOOKUP(CJ$3,'Embedded Emissions'!$A$47:$B$78,2,FALSE)+VLOOKUP(CJ$3,'Embedded Emissions'!$A$129:$B$158,2,FALSE)), $C12 = "3", ('Inputs-System'!$C$30*'Coincidence Factors'!$B$6*(1+'Inputs-System'!$C$18)*(1+'Inputs-System'!$C$41))*'Inputs-Proposals'!$D$29*'Inputs-Proposals'!$D$31*(1-'Inputs-Proposals'!$D$20^(CJ$3-'Inputs-System'!$C$7))*(VLOOKUP(CJ$3,'Embedded Emissions'!$A$47:$B$78,2,FALSE)+VLOOKUP(CJ$3,'Embedded Emissions'!$A$129:$B$158,2,FALSE)), $C12 = "0", 0), 0)</f>
        <v>0</v>
      </c>
      <c r="CL12" s="44">
        <f>IFERROR(_xlfn.IFS($C12="1",( 'Inputs-System'!$C$30*'Coincidence Factors'!$B$6*(1+'Inputs-System'!$C$18)*(1+'Inputs-System'!$C$41))*('Inputs-Proposals'!$D$17*'Inputs-Proposals'!$D$19*(1-'Inputs-Proposals'!$D$20)^(CJ$3-'Inputs-System'!$C$7))*(VLOOKUP(CJ$3,DRIPE!$A$54:$I$82,5,FALSE)+VLOOKUP(CJ$3,DRIPE!$A$54:$I$82,9,FALSE))+ ('Inputs-System'!$C$26*'Coincidence Factors'!$B$6*(1+'Inputs-System'!$C$18)*(1+'Inputs-System'!$C$42))*'Inputs-Proposals'!$D$16*VLOOKUP(CJ$3,DRIPE!$A$54:$I$82,8,FALSE), $C12 = "2",( 'Inputs-System'!$C$30*'Coincidence Factors'!$B$6*(1+'Inputs-System'!$C$18)*(1+'Inputs-System'!$C$41))*('Inputs-Proposals'!$D$23*'Inputs-Proposals'!$D$25*(1-'Inputs-Proposals'!$D$26)^(CJ$3-'Inputs-System'!$C$7))*(VLOOKUP(CJ$3,DRIPE!$A$54:$I$82,5,FALSE)+VLOOKUP(CJ$3,DRIPE!$A$54:$I$82,9,FALSE))+ ('Inputs-System'!$C$26*'Coincidence Factors'!$B$6*(1+'Inputs-System'!$C$18)*(1+'Inputs-System'!$C$42))*'Inputs-Proposals'!$D$22*VLOOKUP(CJ$3,DRIPE!$A$54:$I$82,8,FALSE), $C12= "3", ( 'Inputs-System'!$C$30*'Coincidence Factors'!$B$6*(1+'Inputs-System'!$C$18)*(1+'Inputs-System'!$C$41))*('Inputs-Proposals'!$D$29*'Inputs-Proposals'!$D$31*(1-'Inputs-Proposals'!$D$32)^(CJ$3-'Inputs-System'!$C$7))*(VLOOKUP(CJ$3,DRIPE!$A$54:$I$82,5,FALSE)+VLOOKUP(CJ$3,DRIPE!$A$54:$I$82,9,FALSE))+ ('Inputs-System'!$C$26*'Coincidence Factors'!$B$6*(1+'Inputs-System'!$C$18)*(1+'Inputs-System'!$C$42))*'Inputs-Proposals'!$D$28*VLOOKUP(CJ$3,DRIPE!$A$54:$I$82,8,FALSE), $C12 = "0", 0), 0)</f>
        <v>0</v>
      </c>
      <c r="CM12" s="45">
        <f>IFERROR(_xlfn.IFS($C12="1",('Inputs-System'!$C$26*'Coincidence Factors'!$B$6*(1+'Inputs-System'!$C$18))*'Inputs-Proposals'!$D$16*(VLOOKUP(CJ$3,Capacity!$A$53:$E$85,4,FALSE)*(1+'Inputs-System'!$C$42)+VLOOKUP(CJ$3,Capacity!$A$53:$E$85,5,FALSE)*'Inputs-System'!$C$29*(1+'Inputs-System'!$C$43)), $C12 = "2", ('Inputs-System'!$C$26*'Coincidence Factors'!$B$6*(1+'Inputs-System'!$C$18))*'Inputs-Proposals'!$D$22*(VLOOKUP(CJ$3,Capacity!$A$53:$E$85,4,FALSE)*(1+'Inputs-System'!$C$42)+VLOOKUP(CJ$3,Capacity!$A$53:$E$85,5,FALSE)*'Inputs-System'!$C$29*(1+'Inputs-System'!$C$43)), $C12 = "3",('Inputs-System'!$C$26*'Coincidence Factors'!$B$6*(1+'Inputs-System'!$C$18))*'Inputs-Proposals'!$D$28*(VLOOKUP(CJ$3,Capacity!$A$53:$E$85,4,FALSE)*(1+'Inputs-System'!$C$42)+VLOOKUP(CJ$3,Capacity!$A$53:$E$85,5,FALSE)*'Inputs-System'!$C$29*(1+'Inputs-System'!$C$43)), $C12 = "0", 0), 0)</f>
        <v>0</v>
      </c>
      <c r="CN12" s="44">
        <v>0</v>
      </c>
      <c r="CO12" s="342">
        <f>IFERROR(_xlfn.IFS($C12="1", 'Inputs-System'!$C$30*'Coincidence Factors'!$B$6*'Inputs-Proposals'!$D$17*'Inputs-Proposals'!$D$19*(VLOOKUP(CJ$3,'Non-Embedded Emissions'!$A$56:$D$90,2,FALSE)+VLOOKUP(CJ$3,'Non-Embedded Emissions'!$A$143:$D$174,2,FALSE)+VLOOKUP(CJ$3,'Non-Embedded Emissions'!$A$230:$D$259,2,FALSE)), $C12 = "2", 'Inputs-System'!$C$30*'Coincidence Factors'!$B$6*'Inputs-Proposals'!$D$23*'Inputs-Proposals'!$D$25*(VLOOKUP(CJ$3,'Non-Embedded Emissions'!$A$56:$D$90,2,FALSE)+VLOOKUP(CJ$3,'Non-Embedded Emissions'!$A$143:$D$174,2,FALSE)+VLOOKUP(CJ$3,'Non-Embedded Emissions'!$A$230:$D$259,2,FALSE)), $C12 = "3", 'Inputs-System'!$C$30*'Coincidence Factors'!$B$6*'Inputs-Proposals'!$D$29*'Inputs-Proposals'!$D$31*(VLOOKUP(CJ$3,'Non-Embedded Emissions'!$A$56:$D$90,2,FALSE)+VLOOKUP(CJ$3,'Non-Embedded Emissions'!$A$143:$D$174,2,FALSE)+VLOOKUP(CJ$3,'Non-Embedded Emissions'!$A$230:$D$259,2,FALSE)), $C12 = "0", 0), 0)</f>
        <v>0</v>
      </c>
      <c r="CP12" s="45">
        <f>IFERROR(_xlfn.IFS($C12="1",('Inputs-System'!$C$30*'Coincidence Factors'!$B$6*(1+'Inputs-System'!$C$18)*(1+'Inputs-System'!$C$41)*('Inputs-Proposals'!$D$17*'Inputs-Proposals'!$D$19*(1-'Inputs-Proposals'!$D$20^(CP$3-'Inputs-System'!$C$7)))*(VLOOKUP(CP$3,Energy!$A$51:$K$83,5,FALSE))), $C12 = "2",('Inputs-System'!$C$30*'Coincidence Factors'!$B$6)*(1+'Inputs-System'!$C$18)*(1+'Inputs-System'!$C$41)*('Inputs-Proposals'!$D$23*'Inputs-Proposals'!$D$25*(1-'Inputs-Proposals'!$D$26^(CP$3-'Inputs-System'!$C$7)))*(VLOOKUP(CP$3,Energy!$A$51:$K$83,5,FALSE)), $C12= "3", ('Inputs-System'!$C$30*'Coincidence Factors'!$B$6*(1+'Inputs-System'!$C$18)*(1+'Inputs-System'!$C$41)*('Inputs-Proposals'!$D$29*'Inputs-Proposals'!$D$31*(1-'Inputs-Proposals'!$D$32^(CP$3-'Inputs-System'!$C$7)))*(VLOOKUP(CP$3,Energy!$A$51:$K$83,5,FALSE))), $C12= "0", 0), 0)</f>
        <v>0</v>
      </c>
      <c r="CQ12" s="44">
        <f>IFERROR(_xlfn.IFS($C12="1",('Inputs-System'!$C$30*'Coincidence Factors'!$B$6*(1+'Inputs-System'!$C$18)*(1+'Inputs-System'!$C$41))*'Inputs-Proposals'!$D$17*'Inputs-Proposals'!$D$19*(1-'Inputs-Proposals'!$D$20^(CP$3-'Inputs-System'!$C$7))*(VLOOKUP(CP$3,'Embedded Emissions'!$A$47:$B$78,2,FALSE)+VLOOKUP(CP$3,'Embedded Emissions'!$A$129:$B$158,2,FALSE)), $C12 = "2",('Inputs-System'!$C$30*'Coincidence Factors'!$B$6*(1+'Inputs-System'!$C$18)*(1+'Inputs-System'!$C$41))*'Inputs-Proposals'!$D$23*'Inputs-Proposals'!$D$25*(1-'Inputs-Proposals'!$D$20^(CP$3-'Inputs-System'!$C$7))*(VLOOKUP(CP$3,'Embedded Emissions'!$A$47:$B$78,2,FALSE)+VLOOKUP(CP$3,'Embedded Emissions'!$A$129:$B$158,2,FALSE)), $C12 = "3", ('Inputs-System'!$C$30*'Coincidence Factors'!$B$6*(1+'Inputs-System'!$C$18)*(1+'Inputs-System'!$C$41))*'Inputs-Proposals'!$D$29*'Inputs-Proposals'!$D$31*(1-'Inputs-Proposals'!$D$20^(CP$3-'Inputs-System'!$C$7))*(VLOOKUP(CP$3,'Embedded Emissions'!$A$47:$B$78,2,FALSE)+VLOOKUP(CP$3,'Embedded Emissions'!$A$129:$B$158,2,FALSE)), $C12 = "0", 0), 0)</f>
        <v>0</v>
      </c>
      <c r="CR12" s="44">
        <f>IFERROR(_xlfn.IFS($C12="1",( 'Inputs-System'!$C$30*'Coincidence Factors'!$B$6*(1+'Inputs-System'!$C$18)*(1+'Inputs-System'!$C$41))*('Inputs-Proposals'!$D$17*'Inputs-Proposals'!$D$19*(1-'Inputs-Proposals'!$D$20)^(CP$3-'Inputs-System'!$C$7))*(VLOOKUP(CP$3,DRIPE!$A$54:$I$82,5,FALSE)+VLOOKUP(CP$3,DRIPE!$A$54:$I$82,9,FALSE))+ ('Inputs-System'!$C$26*'Coincidence Factors'!$B$6*(1+'Inputs-System'!$C$18)*(1+'Inputs-System'!$C$42))*'Inputs-Proposals'!$D$16*VLOOKUP(CP$3,DRIPE!$A$54:$I$82,8,FALSE), $C12 = "2",( 'Inputs-System'!$C$30*'Coincidence Factors'!$B$6*(1+'Inputs-System'!$C$18)*(1+'Inputs-System'!$C$41))*('Inputs-Proposals'!$D$23*'Inputs-Proposals'!$D$25*(1-'Inputs-Proposals'!$D$26)^(CP$3-'Inputs-System'!$C$7))*(VLOOKUP(CP$3,DRIPE!$A$54:$I$82,5,FALSE)+VLOOKUP(CP$3,DRIPE!$A$54:$I$82,9,FALSE))+ ('Inputs-System'!$C$26*'Coincidence Factors'!$B$6*(1+'Inputs-System'!$C$18)*(1+'Inputs-System'!$C$42))*'Inputs-Proposals'!$D$22*VLOOKUP(CP$3,DRIPE!$A$54:$I$82,8,FALSE), $C12= "3", ( 'Inputs-System'!$C$30*'Coincidence Factors'!$B$6*(1+'Inputs-System'!$C$18)*(1+'Inputs-System'!$C$41))*('Inputs-Proposals'!$D$29*'Inputs-Proposals'!$D$31*(1-'Inputs-Proposals'!$D$32)^(CP$3-'Inputs-System'!$C$7))*(VLOOKUP(CP$3,DRIPE!$A$54:$I$82,5,FALSE)+VLOOKUP(CP$3,DRIPE!$A$54:$I$82,9,FALSE))+ ('Inputs-System'!$C$26*'Coincidence Factors'!$B$6*(1+'Inputs-System'!$C$18)*(1+'Inputs-System'!$C$42))*'Inputs-Proposals'!$D$28*VLOOKUP(CP$3,DRIPE!$A$54:$I$82,8,FALSE), $C12 = "0", 0), 0)</f>
        <v>0</v>
      </c>
      <c r="CS12" s="45">
        <f>IFERROR(_xlfn.IFS($C12="1",('Inputs-System'!$C$26*'Coincidence Factors'!$B$6*(1+'Inputs-System'!$C$18))*'Inputs-Proposals'!$D$16*(VLOOKUP(CP$3,Capacity!$A$53:$E$85,4,FALSE)*(1+'Inputs-System'!$C$42)+VLOOKUP(CP$3,Capacity!$A$53:$E$85,5,FALSE)*'Inputs-System'!$C$29*(1+'Inputs-System'!$C$43)), $C12 = "2", ('Inputs-System'!$C$26*'Coincidence Factors'!$B$6*(1+'Inputs-System'!$C$18))*'Inputs-Proposals'!$D$22*(VLOOKUP(CP$3,Capacity!$A$53:$E$85,4,FALSE)*(1+'Inputs-System'!$C$42)+VLOOKUP(CP$3,Capacity!$A$53:$E$85,5,FALSE)*'Inputs-System'!$C$29*(1+'Inputs-System'!$C$43)), $C12 = "3",('Inputs-System'!$C$26*'Coincidence Factors'!$B$6*(1+'Inputs-System'!$C$18))*'Inputs-Proposals'!$D$28*(VLOOKUP(CP$3,Capacity!$A$53:$E$85,4,FALSE)*(1+'Inputs-System'!$C$42)+VLOOKUP(CP$3,Capacity!$A$53:$E$85,5,FALSE)*'Inputs-System'!$C$29*(1+'Inputs-System'!$C$43)), $C12 = "0", 0), 0)</f>
        <v>0</v>
      </c>
      <c r="CT12" s="44">
        <v>0</v>
      </c>
      <c r="CU12" s="342">
        <f>IFERROR(_xlfn.IFS($C12="1", 'Inputs-System'!$C$30*'Coincidence Factors'!$B$6*'Inputs-Proposals'!$D$17*'Inputs-Proposals'!$D$19*(VLOOKUP(CP$3,'Non-Embedded Emissions'!$A$56:$D$90,2,FALSE)+VLOOKUP(CP$3,'Non-Embedded Emissions'!$A$143:$D$174,2,FALSE)+VLOOKUP(CP$3,'Non-Embedded Emissions'!$A$230:$D$259,2,FALSE)), $C12 = "2", 'Inputs-System'!$C$30*'Coincidence Factors'!$B$6*'Inputs-Proposals'!$D$23*'Inputs-Proposals'!$D$25*(VLOOKUP(CP$3,'Non-Embedded Emissions'!$A$56:$D$90,2,FALSE)+VLOOKUP(CP$3,'Non-Embedded Emissions'!$A$143:$D$174,2,FALSE)+VLOOKUP(CP$3,'Non-Embedded Emissions'!$A$230:$D$259,2,FALSE)), $C12 = "3", 'Inputs-System'!$C$30*'Coincidence Factors'!$B$6*'Inputs-Proposals'!$D$29*'Inputs-Proposals'!$D$31*(VLOOKUP(CP$3,'Non-Embedded Emissions'!$A$56:$D$90,2,FALSE)+VLOOKUP(CP$3,'Non-Embedded Emissions'!$A$143:$D$174,2,FALSE)+VLOOKUP(CP$3,'Non-Embedded Emissions'!$A$230:$D$259,2,FALSE)), $C12 = "0", 0), 0)</f>
        <v>0</v>
      </c>
      <c r="CV12" s="45">
        <f>IFERROR(_xlfn.IFS($C12="1",('Inputs-System'!$C$30*'Coincidence Factors'!$B$6*(1+'Inputs-System'!$C$18)*(1+'Inputs-System'!$C$41)*('Inputs-Proposals'!$D$17*'Inputs-Proposals'!$D$19*(1-'Inputs-Proposals'!$D$20^(CV$3-'Inputs-System'!$C$7)))*(VLOOKUP(CV$3,Energy!$A$51:$K$83,5,FALSE))), $C12 = "2",('Inputs-System'!$C$30*'Coincidence Factors'!$B$6)*(1+'Inputs-System'!$C$18)*(1+'Inputs-System'!$C$41)*('Inputs-Proposals'!$D$23*'Inputs-Proposals'!$D$25*(1-'Inputs-Proposals'!$D$26^(CV$3-'Inputs-System'!$C$7)))*(VLOOKUP(CV$3,Energy!$A$51:$K$83,5,FALSE)), $C12= "3", ('Inputs-System'!$C$30*'Coincidence Factors'!$B$6*(1+'Inputs-System'!$C$18)*(1+'Inputs-System'!$C$41)*('Inputs-Proposals'!$D$29*'Inputs-Proposals'!$D$31*(1-'Inputs-Proposals'!$D$32^(CV$3-'Inputs-System'!$C$7)))*(VLOOKUP(CV$3,Energy!$A$51:$K$83,5,FALSE))), $C12= "0", 0), 0)</f>
        <v>0</v>
      </c>
      <c r="CW12" s="44">
        <f>IFERROR(_xlfn.IFS($C12="1",('Inputs-System'!$C$30*'Coincidence Factors'!$B$6*(1+'Inputs-System'!$C$18)*(1+'Inputs-System'!$C$41))*'Inputs-Proposals'!$D$17*'Inputs-Proposals'!$D$19*(1-'Inputs-Proposals'!$D$20^(CV$3-'Inputs-System'!$C$7))*(VLOOKUP(CV$3,'Embedded Emissions'!$A$47:$B$78,2,FALSE)+VLOOKUP(CV$3,'Embedded Emissions'!$A$129:$B$158,2,FALSE)), $C12 = "2",('Inputs-System'!$C$30*'Coincidence Factors'!$B$6*(1+'Inputs-System'!$C$18)*(1+'Inputs-System'!$C$41))*'Inputs-Proposals'!$D$23*'Inputs-Proposals'!$D$25*(1-'Inputs-Proposals'!$D$20^(CV$3-'Inputs-System'!$C$7))*(VLOOKUP(CV$3,'Embedded Emissions'!$A$47:$B$78,2,FALSE)+VLOOKUP(CV$3,'Embedded Emissions'!$A$129:$B$158,2,FALSE)), $C12 = "3", ('Inputs-System'!$C$30*'Coincidence Factors'!$B$6*(1+'Inputs-System'!$C$18)*(1+'Inputs-System'!$C$41))*'Inputs-Proposals'!$D$29*'Inputs-Proposals'!$D$31*(1-'Inputs-Proposals'!$D$20^(CV$3-'Inputs-System'!$C$7))*(VLOOKUP(CV$3,'Embedded Emissions'!$A$47:$B$78,2,FALSE)+VLOOKUP(CV$3,'Embedded Emissions'!$A$129:$B$158,2,FALSE)), $C12 = "0", 0), 0)</f>
        <v>0</v>
      </c>
      <c r="CX12" s="44">
        <f>IFERROR(_xlfn.IFS($C12="1",( 'Inputs-System'!$C$30*'Coincidence Factors'!$B$6*(1+'Inputs-System'!$C$18)*(1+'Inputs-System'!$C$41))*('Inputs-Proposals'!$D$17*'Inputs-Proposals'!$D$19*(1-'Inputs-Proposals'!$D$20)^(CV$3-'Inputs-System'!$C$7))*(VLOOKUP(CV$3,DRIPE!$A$54:$I$82,5,FALSE)+VLOOKUP(CV$3,DRIPE!$A$54:$I$82,9,FALSE))+ ('Inputs-System'!$C$26*'Coincidence Factors'!$B$6*(1+'Inputs-System'!$C$18)*(1+'Inputs-System'!$C$42))*'Inputs-Proposals'!$D$16*VLOOKUP(CV$3,DRIPE!$A$54:$I$82,8,FALSE), $C12 = "2",( 'Inputs-System'!$C$30*'Coincidence Factors'!$B$6*(1+'Inputs-System'!$C$18)*(1+'Inputs-System'!$C$41))*('Inputs-Proposals'!$D$23*'Inputs-Proposals'!$D$25*(1-'Inputs-Proposals'!$D$26)^(CV$3-'Inputs-System'!$C$7))*(VLOOKUP(CV$3,DRIPE!$A$54:$I$82,5,FALSE)+VLOOKUP(CV$3,DRIPE!$A$54:$I$82,9,FALSE))+ ('Inputs-System'!$C$26*'Coincidence Factors'!$B$6*(1+'Inputs-System'!$C$18)*(1+'Inputs-System'!$C$42))*'Inputs-Proposals'!$D$22*VLOOKUP(CV$3,DRIPE!$A$54:$I$82,8,FALSE), $C12= "3", ( 'Inputs-System'!$C$30*'Coincidence Factors'!$B$6*(1+'Inputs-System'!$C$18)*(1+'Inputs-System'!$C$41))*('Inputs-Proposals'!$D$29*'Inputs-Proposals'!$D$31*(1-'Inputs-Proposals'!$D$32)^(CV$3-'Inputs-System'!$C$7))*(VLOOKUP(CV$3,DRIPE!$A$54:$I$82,5,FALSE)+VLOOKUP(CV$3,DRIPE!$A$54:$I$82,9,FALSE))+ ('Inputs-System'!$C$26*'Coincidence Factors'!$B$6*(1+'Inputs-System'!$C$18)*(1+'Inputs-System'!$C$42))*'Inputs-Proposals'!$D$28*VLOOKUP(CV$3,DRIPE!$A$54:$I$82,8,FALSE), $C12 = "0", 0), 0)</f>
        <v>0</v>
      </c>
      <c r="CY12" s="45">
        <f>IFERROR(_xlfn.IFS($C12="1",('Inputs-System'!$C$26*'Coincidence Factors'!$B$6*(1+'Inputs-System'!$C$18))*'Inputs-Proposals'!$D$16*(VLOOKUP(CV$3,Capacity!$A$53:$E$85,4,FALSE)*(1+'Inputs-System'!$C$42)+VLOOKUP(CV$3,Capacity!$A$53:$E$85,5,FALSE)*'Inputs-System'!$C$29*(1+'Inputs-System'!$C$43)), $C12 = "2", ('Inputs-System'!$C$26*'Coincidence Factors'!$B$6*(1+'Inputs-System'!$C$18))*'Inputs-Proposals'!$D$22*(VLOOKUP(CV$3,Capacity!$A$53:$E$85,4,FALSE)*(1+'Inputs-System'!$C$42)+VLOOKUP(CV$3,Capacity!$A$53:$E$85,5,FALSE)*'Inputs-System'!$C$29*(1+'Inputs-System'!$C$43)), $C12 = "3",('Inputs-System'!$C$26*'Coincidence Factors'!$B$6*(1+'Inputs-System'!$C$18))*'Inputs-Proposals'!$D$28*(VLOOKUP(CV$3,Capacity!$A$53:$E$85,4,FALSE)*(1+'Inputs-System'!$C$42)+VLOOKUP(CV$3,Capacity!$A$53:$E$85,5,FALSE)*'Inputs-System'!$C$29*(1+'Inputs-System'!$C$43)), $C12 = "0", 0), 0)</f>
        <v>0</v>
      </c>
      <c r="CZ12" s="44">
        <v>0</v>
      </c>
      <c r="DA12" s="342">
        <f>IFERROR(_xlfn.IFS($C12="1", 'Inputs-System'!$C$30*'Coincidence Factors'!$B$6*'Inputs-Proposals'!$D$17*'Inputs-Proposals'!$D$19*(VLOOKUP(CV$3,'Non-Embedded Emissions'!$A$56:$D$90,2,FALSE)+VLOOKUP(CV$3,'Non-Embedded Emissions'!$A$143:$D$174,2,FALSE)+VLOOKUP(CV$3,'Non-Embedded Emissions'!$A$230:$D$259,2,FALSE)), $C12 = "2", 'Inputs-System'!$C$30*'Coincidence Factors'!$B$6*'Inputs-Proposals'!$D$23*'Inputs-Proposals'!$D$25*(VLOOKUP(CV$3,'Non-Embedded Emissions'!$A$56:$D$90,2,FALSE)+VLOOKUP(CV$3,'Non-Embedded Emissions'!$A$143:$D$174,2,FALSE)+VLOOKUP(CV$3,'Non-Embedded Emissions'!$A$230:$D$259,2,FALSE)), $C12 = "3", 'Inputs-System'!$C$30*'Coincidence Factors'!$B$6*'Inputs-Proposals'!$D$29*'Inputs-Proposals'!$D$31*(VLOOKUP(CV$3,'Non-Embedded Emissions'!$A$56:$D$90,2,FALSE)+VLOOKUP(CV$3,'Non-Embedded Emissions'!$A$143:$D$174,2,FALSE)+VLOOKUP(CV$3,'Non-Embedded Emissions'!$A$230:$D$259,2,FALSE)), $C12 = "0", 0), 0)</f>
        <v>0</v>
      </c>
      <c r="DB12" s="45">
        <f>IFERROR(_xlfn.IFS($C12="1",('Inputs-System'!$C$30*'Coincidence Factors'!$B$6*(1+'Inputs-System'!$C$18)*(1+'Inputs-System'!$C$41)*('Inputs-Proposals'!$D$17*'Inputs-Proposals'!$D$19*(1-'Inputs-Proposals'!$D$20^(DB$3-'Inputs-System'!$C$7)))*(VLOOKUP(DB$3,Energy!$A$51:$K$83,5,FALSE))), $C12 = "2",('Inputs-System'!$C$30*'Coincidence Factors'!$B$6)*(1+'Inputs-System'!$C$18)*(1+'Inputs-System'!$C$41)*('Inputs-Proposals'!$D$23*'Inputs-Proposals'!$D$25*(1-'Inputs-Proposals'!$D$26^(DB$3-'Inputs-System'!$C$7)))*(VLOOKUP(DB$3,Energy!$A$51:$K$83,5,FALSE)), $C12= "3", ('Inputs-System'!$C$30*'Coincidence Factors'!$B$6*(1+'Inputs-System'!$C$18)*(1+'Inputs-System'!$C$41)*('Inputs-Proposals'!$D$29*'Inputs-Proposals'!$D$31*(1-'Inputs-Proposals'!$D$32^(DB$3-'Inputs-System'!$C$7)))*(VLOOKUP(DB$3,Energy!$A$51:$K$83,5,FALSE))), $C12= "0", 0), 0)</f>
        <v>0</v>
      </c>
      <c r="DC12" s="44">
        <f>IFERROR(_xlfn.IFS($C12="1",('Inputs-System'!$C$30*'Coincidence Factors'!$B$6*(1+'Inputs-System'!$C$18)*(1+'Inputs-System'!$C$41))*'Inputs-Proposals'!$D$17*'Inputs-Proposals'!$D$19*(1-'Inputs-Proposals'!$D$20^(DB$3-'Inputs-System'!$C$7))*(VLOOKUP(DB$3,'Embedded Emissions'!$A$47:$B$78,2,FALSE)+VLOOKUP(DB$3,'Embedded Emissions'!$A$129:$B$158,2,FALSE)), $C12 = "2",('Inputs-System'!$C$30*'Coincidence Factors'!$B$6*(1+'Inputs-System'!$C$18)*(1+'Inputs-System'!$C$41))*'Inputs-Proposals'!$D$23*'Inputs-Proposals'!$D$25*(1-'Inputs-Proposals'!$D$20^(DB$3-'Inputs-System'!$C$7))*(VLOOKUP(DB$3,'Embedded Emissions'!$A$47:$B$78,2,FALSE)+VLOOKUP(DB$3,'Embedded Emissions'!$A$129:$B$158,2,FALSE)), $C12 = "3", ('Inputs-System'!$C$30*'Coincidence Factors'!$B$6*(1+'Inputs-System'!$C$18)*(1+'Inputs-System'!$C$41))*'Inputs-Proposals'!$D$29*'Inputs-Proposals'!$D$31*(1-'Inputs-Proposals'!$D$20^(DB$3-'Inputs-System'!$C$7))*(VLOOKUP(DB$3,'Embedded Emissions'!$A$47:$B$78,2,FALSE)+VLOOKUP(DB$3,'Embedded Emissions'!$A$129:$B$158,2,FALSE)), $C12 = "0", 0), 0)</f>
        <v>0</v>
      </c>
      <c r="DD12" s="44">
        <f>IFERROR(_xlfn.IFS($C12="1",( 'Inputs-System'!$C$30*'Coincidence Factors'!$B$6*(1+'Inputs-System'!$C$18)*(1+'Inputs-System'!$C$41))*('Inputs-Proposals'!$D$17*'Inputs-Proposals'!$D$19*(1-'Inputs-Proposals'!$D$20)^(DB$3-'Inputs-System'!$C$7))*(VLOOKUP(DB$3,DRIPE!$A$54:$I$82,5,FALSE)+VLOOKUP(DB$3,DRIPE!$A$54:$I$82,9,FALSE))+ ('Inputs-System'!$C$26*'Coincidence Factors'!$B$6*(1+'Inputs-System'!$C$18)*(1+'Inputs-System'!$C$42))*'Inputs-Proposals'!$D$16*VLOOKUP(DB$3,DRIPE!$A$54:$I$82,8,FALSE), $C12 = "2",( 'Inputs-System'!$C$30*'Coincidence Factors'!$B$6*(1+'Inputs-System'!$C$18)*(1+'Inputs-System'!$C$41))*('Inputs-Proposals'!$D$23*'Inputs-Proposals'!$D$25*(1-'Inputs-Proposals'!$D$26)^(DB$3-'Inputs-System'!$C$7))*(VLOOKUP(DB$3,DRIPE!$A$54:$I$82,5,FALSE)+VLOOKUP(DB$3,DRIPE!$A$54:$I$82,9,FALSE))+ ('Inputs-System'!$C$26*'Coincidence Factors'!$B$6*(1+'Inputs-System'!$C$18)*(1+'Inputs-System'!$C$42))*'Inputs-Proposals'!$D$22*VLOOKUP(DB$3,DRIPE!$A$54:$I$82,8,FALSE), $C12= "3", ( 'Inputs-System'!$C$30*'Coincidence Factors'!$B$6*(1+'Inputs-System'!$C$18)*(1+'Inputs-System'!$C$41))*('Inputs-Proposals'!$D$29*'Inputs-Proposals'!$D$31*(1-'Inputs-Proposals'!$D$32)^(DB$3-'Inputs-System'!$C$7))*(VLOOKUP(DB$3,DRIPE!$A$54:$I$82,5,FALSE)+VLOOKUP(DB$3,DRIPE!$A$54:$I$82,9,FALSE))+ ('Inputs-System'!$C$26*'Coincidence Factors'!$B$6*(1+'Inputs-System'!$C$18)*(1+'Inputs-System'!$C$42))*'Inputs-Proposals'!$D$28*VLOOKUP(DB$3,DRIPE!$A$54:$I$82,8,FALSE), $C12 = "0", 0), 0)</f>
        <v>0</v>
      </c>
      <c r="DE12" s="45">
        <f>IFERROR(_xlfn.IFS($C12="1",('Inputs-System'!$C$26*'Coincidence Factors'!$B$6*(1+'Inputs-System'!$C$18))*'Inputs-Proposals'!$D$16*(VLOOKUP(DB$3,Capacity!$A$53:$E$85,4,FALSE)*(1+'Inputs-System'!$C$42)+VLOOKUP(DB$3,Capacity!$A$53:$E$85,5,FALSE)*'Inputs-System'!$C$29*(1+'Inputs-System'!$C$43)), $C12 = "2", ('Inputs-System'!$C$26*'Coincidence Factors'!$B$6*(1+'Inputs-System'!$C$18))*'Inputs-Proposals'!$D$22*(VLOOKUP(DB$3,Capacity!$A$53:$E$85,4,FALSE)*(1+'Inputs-System'!$C$42)+VLOOKUP(DB$3,Capacity!$A$53:$E$85,5,FALSE)*'Inputs-System'!$C$29*(1+'Inputs-System'!$C$43)), $C12 = "3",('Inputs-System'!$C$26*'Coincidence Factors'!$B$6*(1+'Inputs-System'!$C$18))*'Inputs-Proposals'!$D$28*(VLOOKUP(DB$3,Capacity!$A$53:$E$85,4,FALSE)*(1+'Inputs-System'!$C$42)+VLOOKUP(DB$3,Capacity!$A$53:$E$85,5,FALSE)*'Inputs-System'!$C$29*(1+'Inputs-System'!$C$43)), $C12 = "0", 0), 0)</f>
        <v>0</v>
      </c>
      <c r="DF12" s="44">
        <v>0</v>
      </c>
      <c r="DG12" s="342">
        <f>IFERROR(_xlfn.IFS($C12="1", 'Inputs-System'!$C$30*'Coincidence Factors'!$B$6*'Inputs-Proposals'!$D$17*'Inputs-Proposals'!$D$19*(VLOOKUP(DB$3,'Non-Embedded Emissions'!$A$56:$D$90,2,FALSE)+VLOOKUP(DB$3,'Non-Embedded Emissions'!$A$143:$D$174,2,FALSE)+VLOOKUP(DB$3,'Non-Embedded Emissions'!$A$230:$D$259,2,FALSE)), $C12 = "2", 'Inputs-System'!$C$30*'Coincidence Factors'!$B$6*'Inputs-Proposals'!$D$23*'Inputs-Proposals'!$D$25*(VLOOKUP(DB$3,'Non-Embedded Emissions'!$A$56:$D$90,2,FALSE)+VLOOKUP(DB$3,'Non-Embedded Emissions'!$A$143:$D$174,2,FALSE)+VLOOKUP(DB$3,'Non-Embedded Emissions'!$A$230:$D$259,2,FALSE)), $C12 = "3", 'Inputs-System'!$C$30*'Coincidence Factors'!$B$6*'Inputs-Proposals'!$D$29*'Inputs-Proposals'!$D$31*(VLOOKUP(DB$3,'Non-Embedded Emissions'!$A$56:$D$90,2,FALSE)+VLOOKUP(DB$3,'Non-Embedded Emissions'!$A$143:$D$174,2,FALSE)+VLOOKUP(DB$3,'Non-Embedded Emissions'!$A$230:$D$259,2,FALSE)), $C12 = "0", 0), 0)</f>
        <v>0</v>
      </c>
      <c r="DH12" s="45">
        <f>IFERROR(_xlfn.IFS($C12="1",('Inputs-System'!$C$30*'Coincidence Factors'!$B$6*(1+'Inputs-System'!$C$18)*(1+'Inputs-System'!$C$41)*('Inputs-Proposals'!$D$17*'Inputs-Proposals'!$D$19*(1-'Inputs-Proposals'!$D$20^(DH$3-'Inputs-System'!$C$7)))*(VLOOKUP(DH$3,Energy!$A$51:$K$83,5,FALSE))), $C12 = "2",('Inputs-System'!$C$30*'Coincidence Factors'!$B$6)*(1+'Inputs-System'!$C$18)*(1+'Inputs-System'!$C$41)*('Inputs-Proposals'!$D$23*'Inputs-Proposals'!$D$25*(1-'Inputs-Proposals'!$D$26^(DH$3-'Inputs-System'!$C$7)))*(VLOOKUP(DH$3,Energy!$A$51:$K$83,5,FALSE)), $C12= "3", ('Inputs-System'!$C$30*'Coincidence Factors'!$B$6*(1+'Inputs-System'!$C$18)*(1+'Inputs-System'!$C$41)*('Inputs-Proposals'!$D$29*'Inputs-Proposals'!$D$31*(1-'Inputs-Proposals'!$D$32^(DH$3-'Inputs-System'!$C$7)))*(VLOOKUP(DH$3,Energy!$A$51:$K$83,5,FALSE))), $C12= "0", 0), 0)</f>
        <v>0</v>
      </c>
      <c r="DI12" s="44">
        <f>IFERROR(_xlfn.IFS($C12="1",('Inputs-System'!$C$30*'Coincidence Factors'!$B$6*(1+'Inputs-System'!$C$18)*(1+'Inputs-System'!$C$41))*'Inputs-Proposals'!$D$17*'Inputs-Proposals'!$D$19*(1-'Inputs-Proposals'!$D$20^(DH$3-'Inputs-System'!$C$7))*(VLOOKUP(DH$3,'Embedded Emissions'!$A$47:$B$78,2,FALSE)+VLOOKUP(DH$3,'Embedded Emissions'!$A$129:$B$158,2,FALSE)), $C12 = "2",('Inputs-System'!$C$30*'Coincidence Factors'!$B$6*(1+'Inputs-System'!$C$18)*(1+'Inputs-System'!$C$41))*'Inputs-Proposals'!$D$23*'Inputs-Proposals'!$D$25*(1-'Inputs-Proposals'!$D$20^(DH$3-'Inputs-System'!$C$7))*(VLOOKUP(DH$3,'Embedded Emissions'!$A$47:$B$78,2,FALSE)+VLOOKUP(DH$3,'Embedded Emissions'!$A$129:$B$158,2,FALSE)), $C12 = "3", ('Inputs-System'!$C$30*'Coincidence Factors'!$B$6*(1+'Inputs-System'!$C$18)*(1+'Inputs-System'!$C$41))*'Inputs-Proposals'!$D$29*'Inputs-Proposals'!$D$31*(1-'Inputs-Proposals'!$D$20^(DH$3-'Inputs-System'!$C$7))*(VLOOKUP(DH$3,'Embedded Emissions'!$A$47:$B$78,2,FALSE)+VLOOKUP(DH$3,'Embedded Emissions'!$A$129:$B$158,2,FALSE)), $C12 = "0", 0), 0)</f>
        <v>0</v>
      </c>
      <c r="DJ12" s="44">
        <f>IFERROR(_xlfn.IFS($C12="1",( 'Inputs-System'!$C$30*'Coincidence Factors'!$B$6*(1+'Inputs-System'!$C$18)*(1+'Inputs-System'!$C$41))*('Inputs-Proposals'!$D$17*'Inputs-Proposals'!$D$19*(1-'Inputs-Proposals'!$D$20)^(DH$3-'Inputs-System'!$C$7))*(VLOOKUP(DH$3,DRIPE!$A$54:$I$82,5,FALSE)+VLOOKUP(DH$3,DRIPE!$A$54:$I$82,9,FALSE))+ ('Inputs-System'!$C$26*'Coincidence Factors'!$B$6*(1+'Inputs-System'!$C$18)*(1+'Inputs-System'!$C$42))*'Inputs-Proposals'!$D$16*VLOOKUP(DH$3,DRIPE!$A$54:$I$82,8,FALSE), $C12 = "2",( 'Inputs-System'!$C$30*'Coincidence Factors'!$B$6*(1+'Inputs-System'!$C$18)*(1+'Inputs-System'!$C$41))*('Inputs-Proposals'!$D$23*'Inputs-Proposals'!$D$25*(1-'Inputs-Proposals'!$D$26)^(DH$3-'Inputs-System'!$C$7))*(VLOOKUP(DH$3,DRIPE!$A$54:$I$82,5,FALSE)+VLOOKUP(DH$3,DRIPE!$A$54:$I$82,9,FALSE))+ ('Inputs-System'!$C$26*'Coincidence Factors'!$B$6*(1+'Inputs-System'!$C$18)*(1+'Inputs-System'!$C$42))*'Inputs-Proposals'!$D$22*VLOOKUP(DH$3,DRIPE!$A$54:$I$82,8,FALSE), $C12= "3", ( 'Inputs-System'!$C$30*'Coincidence Factors'!$B$6*(1+'Inputs-System'!$C$18)*(1+'Inputs-System'!$C$41))*('Inputs-Proposals'!$D$29*'Inputs-Proposals'!$D$31*(1-'Inputs-Proposals'!$D$32)^(DH$3-'Inputs-System'!$C$7))*(VLOOKUP(DH$3,DRIPE!$A$54:$I$82,5,FALSE)+VLOOKUP(DH$3,DRIPE!$A$54:$I$82,9,FALSE))+ ('Inputs-System'!$C$26*'Coincidence Factors'!$B$6*(1+'Inputs-System'!$C$18)*(1+'Inputs-System'!$C$42))*'Inputs-Proposals'!$D$28*VLOOKUP(DH$3,DRIPE!$A$54:$I$82,8,FALSE), $C12 = "0", 0), 0)</f>
        <v>0</v>
      </c>
      <c r="DK12" s="45">
        <f>IFERROR(_xlfn.IFS($C12="1",('Inputs-System'!$C$26*'Coincidence Factors'!$B$6*(1+'Inputs-System'!$C$18))*'Inputs-Proposals'!$D$16*(VLOOKUP(DH$3,Capacity!$A$53:$E$85,4,FALSE)*(1+'Inputs-System'!$C$42)+VLOOKUP(DH$3,Capacity!$A$53:$E$85,5,FALSE)*'Inputs-System'!$C$29*(1+'Inputs-System'!$C$43)), $C12 = "2", ('Inputs-System'!$C$26*'Coincidence Factors'!$B$6*(1+'Inputs-System'!$C$18))*'Inputs-Proposals'!$D$22*(VLOOKUP(DH$3,Capacity!$A$53:$E$85,4,FALSE)*(1+'Inputs-System'!$C$42)+VLOOKUP(DH$3,Capacity!$A$53:$E$85,5,FALSE)*'Inputs-System'!$C$29*(1+'Inputs-System'!$C$43)), $C12 = "3",('Inputs-System'!$C$26*'Coincidence Factors'!$B$6*(1+'Inputs-System'!$C$18))*'Inputs-Proposals'!$D$28*(VLOOKUP(DH$3,Capacity!$A$53:$E$85,4,FALSE)*(1+'Inputs-System'!$C$42)+VLOOKUP(DH$3,Capacity!$A$53:$E$85,5,FALSE)*'Inputs-System'!$C$29*(1+'Inputs-System'!$C$43)), $C12 = "0", 0), 0)</f>
        <v>0</v>
      </c>
      <c r="DL12" s="44">
        <v>0</v>
      </c>
      <c r="DM12" s="342">
        <f>IFERROR(_xlfn.IFS($C12="1", 'Inputs-System'!$C$30*'Coincidence Factors'!$B$6*'Inputs-Proposals'!$D$17*'Inputs-Proposals'!$D$19*(VLOOKUP(DH$3,'Non-Embedded Emissions'!$A$56:$D$90,2,FALSE)+VLOOKUP(DH$3,'Non-Embedded Emissions'!$A$143:$D$174,2,FALSE)+VLOOKUP(DH$3,'Non-Embedded Emissions'!$A$230:$D$259,2,FALSE)), $C12 = "2", 'Inputs-System'!$C$30*'Coincidence Factors'!$B$6*'Inputs-Proposals'!$D$23*'Inputs-Proposals'!$D$25*(VLOOKUP(DH$3,'Non-Embedded Emissions'!$A$56:$D$90,2,FALSE)+VLOOKUP(DH$3,'Non-Embedded Emissions'!$A$143:$D$174,2,FALSE)+VLOOKUP(DH$3,'Non-Embedded Emissions'!$A$230:$D$259,2,FALSE)), $C12 = "3", 'Inputs-System'!$C$30*'Coincidence Factors'!$B$6*'Inputs-Proposals'!$D$29*'Inputs-Proposals'!$D$31*(VLOOKUP(DH$3,'Non-Embedded Emissions'!$A$56:$D$90,2,FALSE)+VLOOKUP(DH$3,'Non-Embedded Emissions'!$A$143:$D$174,2,FALSE)+VLOOKUP(DH$3,'Non-Embedded Emissions'!$A$230:$D$259,2,FALSE)), $C12 = "0", 0), 0)</f>
        <v>0</v>
      </c>
      <c r="DN12" s="45">
        <f>IFERROR(_xlfn.IFS($C12="1",('Inputs-System'!$C$30*'Coincidence Factors'!$B$6*(1+'Inputs-System'!$C$18)*(1+'Inputs-System'!$C$41)*('Inputs-Proposals'!$D$17*'Inputs-Proposals'!$D$19*(1-'Inputs-Proposals'!$D$20^(DN$3-'Inputs-System'!$C$7)))*(VLOOKUP(DN$3,Energy!$A$51:$K$83,5,FALSE))), $C12 = "2",('Inputs-System'!$C$30*'Coincidence Factors'!$B$6)*(1+'Inputs-System'!$C$18)*(1+'Inputs-System'!$C$41)*('Inputs-Proposals'!$D$23*'Inputs-Proposals'!$D$25*(1-'Inputs-Proposals'!$D$26^(DN$3-'Inputs-System'!$C$7)))*(VLOOKUP(DN$3,Energy!$A$51:$K$83,5,FALSE)), $C12= "3", ('Inputs-System'!$C$30*'Coincidence Factors'!$B$6*(1+'Inputs-System'!$C$18)*(1+'Inputs-System'!$C$41)*('Inputs-Proposals'!$D$29*'Inputs-Proposals'!$D$31*(1-'Inputs-Proposals'!$D$32^(DN$3-'Inputs-System'!$C$7)))*(VLOOKUP(DN$3,Energy!$A$51:$K$83,5,FALSE))), $C12= "0", 0), 0)</f>
        <v>0</v>
      </c>
      <c r="DO12" s="44">
        <f>IFERROR(_xlfn.IFS($C12="1",('Inputs-System'!$C$30*'Coincidence Factors'!$B$6*(1+'Inputs-System'!$C$18)*(1+'Inputs-System'!$C$41))*'Inputs-Proposals'!$D$17*'Inputs-Proposals'!$D$19*(1-'Inputs-Proposals'!$D$20^(DN$3-'Inputs-System'!$C$7))*(VLOOKUP(DN$3,'Embedded Emissions'!$A$47:$B$78,2,FALSE)+VLOOKUP(DN$3,'Embedded Emissions'!$A$129:$B$158,2,FALSE)), $C12 = "2",('Inputs-System'!$C$30*'Coincidence Factors'!$B$6*(1+'Inputs-System'!$C$18)*(1+'Inputs-System'!$C$41))*'Inputs-Proposals'!$D$23*'Inputs-Proposals'!$D$25*(1-'Inputs-Proposals'!$D$20^(DN$3-'Inputs-System'!$C$7))*(VLOOKUP(DN$3,'Embedded Emissions'!$A$47:$B$78,2,FALSE)+VLOOKUP(DN$3,'Embedded Emissions'!$A$129:$B$158,2,FALSE)), $C12 = "3", ('Inputs-System'!$C$30*'Coincidence Factors'!$B$6*(1+'Inputs-System'!$C$18)*(1+'Inputs-System'!$C$41))*'Inputs-Proposals'!$D$29*'Inputs-Proposals'!$D$31*(1-'Inputs-Proposals'!$D$20^(DN$3-'Inputs-System'!$C$7))*(VLOOKUP(DN$3,'Embedded Emissions'!$A$47:$B$78,2,FALSE)+VLOOKUP(DN$3,'Embedded Emissions'!$A$129:$B$158,2,FALSE)), $C12 = "0", 0), 0)</f>
        <v>0</v>
      </c>
      <c r="DP12" s="44">
        <f>IFERROR(_xlfn.IFS($C12="1",( 'Inputs-System'!$C$30*'Coincidence Factors'!$B$6*(1+'Inputs-System'!$C$18)*(1+'Inputs-System'!$C$41))*('Inputs-Proposals'!$D$17*'Inputs-Proposals'!$D$19*(1-'Inputs-Proposals'!$D$20)^(DN$3-'Inputs-System'!$C$7))*(VLOOKUP(DN$3,DRIPE!$A$54:$I$82,5,FALSE)+VLOOKUP(DN$3,DRIPE!$A$54:$I$82,9,FALSE))+ ('Inputs-System'!$C$26*'Coincidence Factors'!$B$6*(1+'Inputs-System'!$C$18)*(1+'Inputs-System'!$C$42))*'Inputs-Proposals'!$D$16*VLOOKUP(DN$3,DRIPE!$A$54:$I$82,8,FALSE), $C12 = "2",( 'Inputs-System'!$C$30*'Coincidence Factors'!$B$6*(1+'Inputs-System'!$C$18)*(1+'Inputs-System'!$C$41))*('Inputs-Proposals'!$D$23*'Inputs-Proposals'!$D$25*(1-'Inputs-Proposals'!$D$26)^(DN$3-'Inputs-System'!$C$7))*(VLOOKUP(DN$3,DRIPE!$A$54:$I$82,5,FALSE)+VLOOKUP(DN$3,DRIPE!$A$54:$I$82,9,FALSE))+ ('Inputs-System'!$C$26*'Coincidence Factors'!$B$6*(1+'Inputs-System'!$C$18)*(1+'Inputs-System'!$C$42))*'Inputs-Proposals'!$D$22*VLOOKUP(DN$3,DRIPE!$A$54:$I$82,8,FALSE), $C12= "3", ( 'Inputs-System'!$C$30*'Coincidence Factors'!$B$6*(1+'Inputs-System'!$C$18)*(1+'Inputs-System'!$C$41))*('Inputs-Proposals'!$D$29*'Inputs-Proposals'!$D$31*(1-'Inputs-Proposals'!$D$32)^(DN$3-'Inputs-System'!$C$7))*(VLOOKUP(DN$3,DRIPE!$A$54:$I$82,5,FALSE)+VLOOKUP(DN$3,DRIPE!$A$54:$I$82,9,FALSE))+ ('Inputs-System'!$C$26*'Coincidence Factors'!$B$6*(1+'Inputs-System'!$C$18)*(1+'Inputs-System'!$C$42))*'Inputs-Proposals'!$D$28*VLOOKUP(DN$3,DRIPE!$A$54:$I$82,8,FALSE), $C12 = "0", 0), 0)</f>
        <v>0</v>
      </c>
      <c r="DQ12" s="45">
        <f>IFERROR(_xlfn.IFS($C12="1",('Inputs-System'!$C$26*'Coincidence Factors'!$B$6*(1+'Inputs-System'!$C$18))*'Inputs-Proposals'!$D$16*(VLOOKUP(DN$3,Capacity!$A$53:$E$85,4,FALSE)*(1+'Inputs-System'!$C$42)+VLOOKUP(DN$3,Capacity!$A$53:$E$85,5,FALSE)*'Inputs-System'!$C$29*(1+'Inputs-System'!$C$43)), $C12 = "2", ('Inputs-System'!$C$26*'Coincidence Factors'!$B$6*(1+'Inputs-System'!$C$18))*'Inputs-Proposals'!$D$22*(VLOOKUP(DN$3,Capacity!$A$53:$E$85,4,FALSE)*(1+'Inputs-System'!$C$42)+VLOOKUP(DN$3,Capacity!$A$53:$E$85,5,FALSE)*'Inputs-System'!$C$29*(1+'Inputs-System'!$C$43)), $C12 = "3",('Inputs-System'!$C$26*'Coincidence Factors'!$B$6*(1+'Inputs-System'!$C$18))*'Inputs-Proposals'!$D$28*(VLOOKUP(DN$3,Capacity!$A$53:$E$85,4,FALSE)*(1+'Inputs-System'!$C$42)+VLOOKUP(DN$3,Capacity!$A$53:$E$85,5,FALSE)*'Inputs-System'!$C$29*(1+'Inputs-System'!$C$43)), $C12 = "0", 0), 0)</f>
        <v>0</v>
      </c>
      <c r="DR12" s="44">
        <v>0</v>
      </c>
      <c r="DS12" s="342">
        <f>IFERROR(_xlfn.IFS($C12="1", 'Inputs-System'!$C$30*'Coincidence Factors'!$B$6*'Inputs-Proposals'!$D$17*'Inputs-Proposals'!$D$19*(VLOOKUP(DN$3,'Non-Embedded Emissions'!$A$56:$D$90,2,FALSE)+VLOOKUP(DN$3,'Non-Embedded Emissions'!$A$143:$D$174,2,FALSE)+VLOOKUP(DN$3,'Non-Embedded Emissions'!$A$230:$D$259,2,FALSE)), $C12 = "2", 'Inputs-System'!$C$30*'Coincidence Factors'!$B$6*'Inputs-Proposals'!$D$23*'Inputs-Proposals'!$D$25*(VLOOKUP(DN$3,'Non-Embedded Emissions'!$A$56:$D$90,2,FALSE)+VLOOKUP(DN$3,'Non-Embedded Emissions'!$A$143:$D$174,2,FALSE)+VLOOKUP(DN$3,'Non-Embedded Emissions'!$A$230:$D$259,2,FALSE)), $C12 = "3", 'Inputs-System'!$C$30*'Coincidence Factors'!$B$6*'Inputs-Proposals'!$D$29*'Inputs-Proposals'!$D$31*(VLOOKUP(DN$3,'Non-Embedded Emissions'!$A$56:$D$90,2,FALSE)+VLOOKUP(DN$3,'Non-Embedded Emissions'!$A$143:$D$174,2,FALSE)+VLOOKUP(DN$3,'Non-Embedded Emissions'!$A$230:$D$259,2,FALSE)), $C12 = "0", 0), 0)</f>
        <v>0</v>
      </c>
      <c r="DT12" s="45">
        <f>IFERROR(_xlfn.IFS($C12="1",('Inputs-System'!$C$30*'Coincidence Factors'!$B$6*(1+'Inputs-System'!$C$18)*(1+'Inputs-System'!$C$41)*('Inputs-Proposals'!$D$17*'Inputs-Proposals'!$D$19*(1-'Inputs-Proposals'!$D$20^(DT$3-'Inputs-System'!$C$7)))*(VLOOKUP(DT$3,Energy!$A$51:$K$83,5,FALSE))), $C12 = "2",('Inputs-System'!$C$30*'Coincidence Factors'!$B$6)*(1+'Inputs-System'!$C$18)*(1+'Inputs-System'!$C$41)*('Inputs-Proposals'!$D$23*'Inputs-Proposals'!$D$25*(1-'Inputs-Proposals'!$D$26^(DT$3-'Inputs-System'!$C$7)))*(VLOOKUP(DT$3,Energy!$A$51:$K$83,5,FALSE)), $C12= "3", ('Inputs-System'!$C$30*'Coincidence Factors'!$B$6*(1+'Inputs-System'!$C$18)*(1+'Inputs-System'!$C$41)*('Inputs-Proposals'!$D$29*'Inputs-Proposals'!$D$31*(1-'Inputs-Proposals'!$D$32^(DT$3-'Inputs-System'!$C$7)))*(VLOOKUP(DT$3,Energy!$A$51:$K$83,5,FALSE))), $C12= "0", 0), 0)</f>
        <v>0</v>
      </c>
      <c r="DU12" s="44">
        <f>IFERROR(_xlfn.IFS($C12="1",('Inputs-System'!$C$30*'Coincidence Factors'!$B$6*(1+'Inputs-System'!$C$18)*(1+'Inputs-System'!$C$41))*'Inputs-Proposals'!$D$17*'Inputs-Proposals'!$D$19*(1-'Inputs-Proposals'!$D$20^(DT$3-'Inputs-System'!$C$7))*(VLOOKUP(DT$3,'Embedded Emissions'!$A$47:$B$78,2,FALSE)+VLOOKUP(DT$3,'Embedded Emissions'!$A$129:$B$158,2,FALSE)), $C12 = "2",('Inputs-System'!$C$30*'Coincidence Factors'!$B$6*(1+'Inputs-System'!$C$18)*(1+'Inputs-System'!$C$41))*'Inputs-Proposals'!$D$23*'Inputs-Proposals'!$D$25*(1-'Inputs-Proposals'!$D$20^(DT$3-'Inputs-System'!$C$7))*(VLOOKUP(DT$3,'Embedded Emissions'!$A$47:$B$78,2,FALSE)+VLOOKUP(DT$3,'Embedded Emissions'!$A$129:$B$158,2,FALSE)), $C12 = "3", ('Inputs-System'!$C$30*'Coincidence Factors'!$B$6*(1+'Inputs-System'!$C$18)*(1+'Inputs-System'!$C$41))*'Inputs-Proposals'!$D$29*'Inputs-Proposals'!$D$31*(1-'Inputs-Proposals'!$D$20^(DT$3-'Inputs-System'!$C$7))*(VLOOKUP(DT$3,'Embedded Emissions'!$A$47:$B$78,2,FALSE)+VLOOKUP(DT$3,'Embedded Emissions'!$A$129:$B$158,2,FALSE)), $C12 = "0", 0), 0)</f>
        <v>0</v>
      </c>
      <c r="DV12" s="44">
        <f>IFERROR(_xlfn.IFS($C12="1",( 'Inputs-System'!$C$30*'Coincidence Factors'!$B$6*(1+'Inputs-System'!$C$18)*(1+'Inputs-System'!$C$41))*('Inputs-Proposals'!$D$17*'Inputs-Proposals'!$D$19*(1-'Inputs-Proposals'!$D$20)^(DT$3-'Inputs-System'!$C$7))*(VLOOKUP(DT$3,DRIPE!$A$54:$I$82,5,FALSE)+VLOOKUP(DT$3,DRIPE!$A$54:$I$82,9,FALSE))+ ('Inputs-System'!$C$26*'Coincidence Factors'!$B$6*(1+'Inputs-System'!$C$18)*(1+'Inputs-System'!$C$42))*'Inputs-Proposals'!$D$16*VLOOKUP(DT$3,DRIPE!$A$54:$I$82,8,FALSE), $C12 = "2",( 'Inputs-System'!$C$30*'Coincidence Factors'!$B$6*(1+'Inputs-System'!$C$18)*(1+'Inputs-System'!$C$41))*('Inputs-Proposals'!$D$23*'Inputs-Proposals'!$D$25*(1-'Inputs-Proposals'!$D$26)^(DT$3-'Inputs-System'!$C$7))*(VLOOKUP(DT$3,DRIPE!$A$54:$I$82,5,FALSE)+VLOOKUP(DT$3,DRIPE!$A$54:$I$82,9,FALSE))+ ('Inputs-System'!$C$26*'Coincidence Factors'!$B$6*(1+'Inputs-System'!$C$18)*(1+'Inputs-System'!$C$42))*'Inputs-Proposals'!$D$22*VLOOKUP(DT$3,DRIPE!$A$54:$I$82,8,FALSE), $C12= "3", ( 'Inputs-System'!$C$30*'Coincidence Factors'!$B$6*(1+'Inputs-System'!$C$18)*(1+'Inputs-System'!$C$41))*('Inputs-Proposals'!$D$29*'Inputs-Proposals'!$D$31*(1-'Inputs-Proposals'!$D$32)^(DT$3-'Inputs-System'!$C$7))*(VLOOKUP(DT$3,DRIPE!$A$54:$I$82,5,FALSE)+VLOOKUP(DT$3,DRIPE!$A$54:$I$82,9,FALSE))+ ('Inputs-System'!$C$26*'Coincidence Factors'!$B$6*(1+'Inputs-System'!$C$18)*(1+'Inputs-System'!$C$42))*'Inputs-Proposals'!$D$28*VLOOKUP(DT$3,DRIPE!$A$54:$I$82,8,FALSE), $C12 = "0", 0), 0)</f>
        <v>0</v>
      </c>
      <c r="DW12" s="45">
        <f>IFERROR(_xlfn.IFS($C12="1",('Inputs-System'!$C$26*'Coincidence Factors'!$B$6*(1+'Inputs-System'!$C$18))*'Inputs-Proposals'!$D$16*(VLOOKUP(DT$3,Capacity!$A$53:$E$85,4,FALSE)*(1+'Inputs-System'!$C$42)+VLOOKUP(DT$3,Capacity!$A$53:$E$85,5,FALSE)*'Inputs-System'!$C$29*(1+'Inputs-System'!$C$43)), $C12 = "2", ('Inputs-System'!$C$26*'Coincidence Factors'!$B$6*(1+'Inputs-System'!$C$18))*'Inputs-Proposals'!$D$22*(VLOOKUP(DT$3,Capacity!$A$53:$E$85,4,FALSE)*(1+'Inputs-System'!$C$42)+VLOOKUP(DT$3,Capacity!$A$53:$E$85,5,FALSE)*'Inputs-System'!$C$29*(1+'Inputs-System'!$C$43)), $C12 = "3",('Inputs-System'!$C$26*'Coincidence Factors'!$B$6*(1+'Inputs-System'!$C$18))*'Inputs-Proposals'!$D$28*(VLOOKUP(DT$3,Capacity!$A$53:$E$85,4,FALSE)*(1+'Inputs-System'!$C$42)+VLOOKUP(DT$3,Capacity!$A$53:$E$85,5,FALSE)*'Inputs-System'!$C$29*(1+'Inputs-System'!$C$43)), $C12 = "0", 0), 0)</f>
        <v>0</v>
      </c>
      <c r="DX12" s="44">
        <v>0</v>
      </c>
      <c r="DY12" s="342">
        <f>IFERROR(_xlfn.IFS($C12="1", 'Inputs-System'!$C$30*'Coincidence Factors'!$B$6*'Inputs-Proposals'!$D$17*'Inputs-Proposals'!$D$19*(VLOOKUP(DT$3,'Non-Embedded Emissions'!$A$56:$D$90,2,FALSE)+VLOOKUP(DT$3,'Non-Embedded Emissions'!$A$143:$D$174,2,FALSE)+VLOOKUP(DT$3,'Non-Embedded Emissions'!$A$230:$D$259,2,FALSE)), $C12 = "2", 'Inputs-System'!$C$30*'Coincidence Factors'!$B$6*'Inputs-Proposals'!$D$23*'Inputs-Proposals'!$D$25*(VLOOKUP(DT$3,'Non-Embedded Emissions'!$A$56:$D$90,2,FALSE)+VLOOKUP(DT$3,'Non-Embedded Emissions'!$A$143:$D$174,2,FALSE)+VLOOKUP(DT$3,'Non-Embedded Emissions'!$A$230:$D$259,2,FALSE)), $C12 = "3", 'Inputs-System'!$C$30*'Coincidence Factors'!$B$6*'Inputs-Proposals'!$D$29*'Inputs-Proposals'!$D$31*(VLOOKUP(DT$3,'Non-Embedded Emissions'!$A$56:$D$90,2,FALSE)+VLOOKUP(DT$3,'Non-Embedded Emissions'!$A$143:$D$174,2,FALSE)+VLOOKUP(DT$3,'Non-Embedded Emissions'!$A$230:$D$259,2,FALSE)), $C12 = "0", 0), 0)</f>
        <v>0</v>
      </c>
      <c r="DZ12" s="45">
        <f>IFERROR(_xlfn.IFS($C12="1",('Inputs-System'!$C$30*'Coincidence Factors'!$B$6*(1+'Inputs-System'!$C$18)*(1+'Inputs-System'!$C$41)*('Inputs-Proposals'!$D$17*'Inputs-Proposals'!$D$19*(1-'Inputs-Proposals'!$D$20^(DZ$3-'Inputs-System'!$C$7)))*(VLOOKUP(DZ$3,Energy!$A$51:$K$83,5,FALSE))), $C12 = "2",('Inputs-System'!$C$30*'Coincidence Factors'!$B$6)*(1+'Inputs-System'!$C$18)*(1+'Inputs-System'!$C$41)*('Inputs-Proposals'!$D$23*'Inputs-Proposals'!$D$25*(1-'Inputs-Proposals'!$D$26^(DZ$3-'Inputs-System'!$C$7)))*(VLOOKUP(DZ$3,Energy!$A$51:$K$83,5,FALSE)), $C12= "3", ('Inputs-System'!$C$30*'Coincidence Factors'!$B$6*(1+'Inputs-System'!$C$18)*(1+'Inputs-System'!$C$41)*('Inputs-Proposals'!$D$29*'Inputs-Proposals'!$D$31*(1-'Inputs-Proposals'!$D$32^(DZ$3-'Inputs-System'!$C$7)))*(VLOOKUP(DZ$3,Energy!$A$51:$K$83,5,FALSE))), $C12= "0", 0), 0)</f>
        <v>0</v>
      </c>
      <c r="EA12" s="44">
        <f>IFERROR(_xlfn.IFS($C12="1",('Inputs-System'!$C$30*'Coincidence Factors'!$B$6*(1+'Inputs-System'!$C$18)*(1+'Inputs-System'!$C$41))*'Inputs-Proposals'!$D$17*'Inputs-Proposals'!$D$19*(1-'Inputs-Proposals'!$D$20^(DZ$3-'Inputs-System'!$C$7))*(VLOOKUP(DZ$3,'Embedded Emissions'!$A$47:$B$78,2,FALSE)+VLOOKUP(DZ$3,'Embedded Emissions'!$A$129:$B$158,2,FALSE)), $C12 = "2",('Inputs-System'!$C$30*'Coincidence Factors'!$B$6*(1+'Inputs-System'!$C$18)*(1+'Inputs-System'!$C$41))*'Inputs-Proposals'!$D$23*'Inputs-Proposals'!$D$25*(1-'Inputs-Proposals'!$D$20^(DZ$3-'Inputs-System'!$C$7))*(VLOOKUP(DZ$3,'Embedded Emissions'!$A$47:$B$78,2,FALSE)+VLOOKUP(DZ$3,'Embedded Emissions'!$A$129:$B$158,2,FALSE)), $C12 = "3", ('Inputs-System'!$C$30*'Coincidence Factors'!$B$6*(1+'Inputs-System'!$C$18)*(1+'Inputs-System'!$C$41))*'Inputs-Proposals'!$D$29*'Inputs-Proposals'!$D$31*(1-'Inputs-Proposals'!$D$20^(DZ$3-'Inputs-System'!$C$7))*(VLOOKUP(DZ$3,'Embedded Emissions'!$A$47:$B$78,2,FALSE)+VLOOKUP(DZ$3,'Embedded Emissions'!$A$129:$B$158,2,FALSE)), $C12 = "0", 0), 0)</f>
        <v>0</v>
      </c>
      <c r="EB12" s="44">
        <f>IFERROR(_xlfn.IFS($C12="1",( 'Inputs-System'!$C$30*'Coincidence Factors'!$B$6*(1+'Inputs-System'!$C$18)*(1+'Inputs-System'!$C$41))*('Inputs-Proposals'!$D$17*'Inputs-Proposals'!$D$19*(1-'Inputs-Proposals'!$D$20)^(DZ$3-'Inputs-System'!$C$7))*(VLOOKUP(DZ$3,DRIPE!$A$54:$I$82,5,FALSE)+VLOOKUP(DZ$3,DRIPE!$A$54:$I$82,9,FALSE))+ ('Inputs-System'!$C$26*'Coincidence Factors'!$B$6*(1+'Inputs-System'!$C$18)*(1+'Inputs-System'!$C$42))*'Inputs-Proposals'!$D$16*VLOOKUP(DZ$3,DRIPE!$A$54:$I$82,8,FALSE), $C12 = "2",( 'Inputs-System'!$C$30*'Coincidence Factors'!$B$6*(1+'Inputs-System'!$C$18)*(1+'Inputs-System'!$C$41))*('Inputs-Proposals'!$D$23*'Inputs-Proposals'!$D$25*(1-'Inputs-Proposals'!$D$26)^(DZ$3-'Inputs-System'!$C$7))*(VLOOKUP(DZ$3,DRIPE!$A$54:$I$82,5,FALSE)+VLOOKUP(DZ$3,DRIPE!$A$54:$I$82,9,FALSE))+ ('Inputs-System'!$C$26*'Coincidence Factors'!$B$6*(1+'Inputs-System'!$C$18)*(1+'Inputs-System'!$C$42))*'Inputs-Proposals'!$D$22*VLOOKUP(DZ$3,DRIPE!$A$54:$I$82,8,FALSE), $C12= "3", ( 'Inputs-System'!$C$30*'Coincidence Factors'!$B$6*(1+'Inputs-System'!$C$18)*(1+'Inputs-System'!$C$41))*('Inputs-Proposals'!$D$29*'Inputs-Proposals'!$D$31*(1-'Inputs-Proposals'!$D$32)^(DZ$3-'Inputs-System'!$C$7))*(VLOOKUP(DZ$3,DRIPE!$A$54:$I$82,5,FALSE)+VLOOKUP(DZ$3,DRIPE!$A$54:$I$82,9,FALSE))+ ('Inputs-System'!$C$26*'Coincidence Factors'!$B$6*(1+'Inputs-System'!$C$18)*(1+'Inputs-System'!$C$42))*'Inputs-Proposals'!$D$28*VLOOKUP(DZ$3,DRIPE!$A$54:$I$82,8,FALSE), $C12 = "0", 0), 0)</f>
        <v>0</v>
      </c>
      <c r="EC12" s="45">
        <f>IFERROR(_xlfn.IFS($C12="1",('Inputs-System'!$C$26*'Coincidence Factors'!$B$6*(1+'Inputs-System'!$C$18))*'Inputs-Proposals'!$D$16*(VLOOKUP(DZ$3,Capacity!$A$53:$E$85,4,FALSE)*(1+'Inputs-System'!$C$42)+VLOOKUP(DZ$3,Capacity!$A$53:$E$85,5,FALSE)*'Inputs-System'!$C$29*(1+'Inputs-System'!$C$43)), $C12 = "2", ('Inputs-System'!$C$26*'Coincidence Factors'!$B$6*(1+'Inputs-System'!$C$18))*'Inputs-Proposals'!$D$22*(VLOOKUP(DZ$3,Capacity!$A$53:$E$85,4,FALSE)*(1+'Inputs-System'!$C$42)+VLOOKUP(DZ$3,Capacity!$A$53:$E$85,5,FALSE)*'Inputs-System'!$C$29*(1+'Inputs-System'!$C$43)), $C12 = "3",('Inputs-System'!$C$26*'Coincidence Factors'!$B$6*(1+'Inputs-System'!$C$18))*'Inputs-Proposals'!$D$28*(VLOOKUP(DZ$3,Capacity!$A$53:$E$85,4,FALSE)*(1+'Inputs-System'!$C$42)+VLOOKUP(DZ$3,Capacity!$A$53:$E$85,5,FALSE)*'Inputs-System'!$C$29*(1+'Inputs-System'!$C$43)), $C12 = "0", 0), 0)</f>
        <v>0</v>
      </c>
      <c r="ED12" s="44">
        <v>0</v>
      </c>
      <c r="EE12" s="342">
        <f>IFERROR(_xlfn.IFS($C12="1", 'Inputs-System'!$C$30*'Coincidence Factors'!$B$6*'Inputs-Proposals'!$D$17*'Inputs-Proposals'!$D$19*(VLOOKUP(DZ$3,'Non-Embedded Emissions'!$A$56:$D$90,2,FALSE)+VLOOKUP(DZ$3,'Non-Embedded Emissions'!$A$143:$D$174,2,FALSE)+VLOOKUP(DZ$3,'Non-Embedded Emissions'!$A$230:$D$259,2,FALSE)), $C12 = "2", 'Inputs-System'!$C$30*'Coincidence Factors'!$B$6*'Inputs-Proposals'!$D$23*'Inputs-Proposals'!$D$25*(VLOOKUP(DZ$3,'Non-Embedded Emissions'!$A$56:$D$90,2,FALSE)+VLOOKUP(DZ$3,'Non-Embedded Emissions'!$A$143:$D$174,2,FALSE)+VLOOKUP(DZ$3,'Non-Embedded Emissions'!$A$230:$D$259,2,FALSE)), $C12 = "3", 'Inputs-System'!$C$30*'Coincidence Factors'!$B$6*'Inputs-Proposals'!$D$29*'Inputs-Proposals'!$D$31*(VLOOKUP(DZ$3,'Non-Embedded Emissions'!$A$56:$D$90,2,FALSE)+VLOOKUP(DZ$3,'Non-Embedded Emissions'!$A$143:$D$174,2,FALSE)+VLOOKUP(DZ$3,'Non-Embedded Emissions'!$A$230:$D$259,2,FALSE)), $C12 = "0", 0), 0)</f>
        <v>0</v>
      </c>
    </row>
    <row r="13" spans="1:135" x14ac:dyDescent="0.35">
      <c r="A13" s="708"/>
      <c r="B13" s="3" t="s">
        <v>159</v>
      </c>
      <c r="C13" s="3" t="str">
        <f>IFERROR(_xlfn.IFS('Benefits Calc'!B13='Inputs-Proposals'!$D$15, "1", 'Benefits Calc'!B13='Inputs-Proposals'!$D$21, "2", 'Benefits Calc'!B13='Inputs-Proposals'!$D$27, "3"), "0")</f>
        <v>0</v>
      </c>
      <c r="D13" s="323">
        <f t="shared" si="0"/>
        <v>0</v>
      </c>
      <c r="E13" s="44">
        <f t="shared" si="1"/>
        <v>0</v>
      </c>
      <c r="F13" s="44">
        <f t="shared" si="2"/>
        <v>0</v>
      </c>
      <c r="G13" s="44">
        <f t="shared" si="3"/>
        <v>0</v>
      </c>
      <c r="H13" s="44">
        <f t="shared" si="4"/>
        <v>0</v>
      </c>
      <c r="I13" s="44">
        <f t="shared" si="5"/>
        <v>0</v>
      </c>
      <c r="J13" s="323">
        <f>NPV('Inputs-System'!$C$20,P13+V13+AB13+AH13+AN13+AT13+AZ13+BF13+BL13+BR13+BX13+CD13+CJ13+CP13+CV13+DB13+DH13+DN13+DT13+DZ13)</f>
        <v>0</v>
      </c>
      <c r="K13" s="44">
        <f>NPV('Inputs-System'!$C$20,Q13+W13+AC13+AI13+AO13+AU13+BA13+BG13+BM13+BS13+BY13+CE13+CK13+CQ13+CW13+DC13+DI13+DO13+DU13+EA13)</f>
        <v>0</v>
      </c>
      <c r="L13" s="44">
        <f>NPV('Inputs-System'!$C$20,R13+X13+AD13+AJ13+AP13+AV13+BB13+BH13+BN13+BT13+BZ13+CF13+CL13+CR13+CX13+DD13+DJ13+DP13+DV13+EB13)</f>
        <v>0</v>
      </c>
      <c r="M13" s="44">
        <f>NPV('Inputs-System'!$C$20,S13+Y13+AE13+AK13+AQ13+AW13+BC13+BI13+BO13+BU13+CA13+CG13+CM13+CS13+CY13+DE13+DK13+DQ13+DW13+EC13)</f>
        <v>0</v>
      </c>
      <c r="N13" s="44">
        <f>NPV('Inputs-System'!$C$20,T13+Z13+AF13+AL13+AR13+AX13+BD13+BJ13+BP13+BV13+CB13+CH13+CN13+CT13+CZ13+DF13+DL13+DR13+DX13+ED13)</f>
        <v>0</v>
      </c>
      <c r="O13" s="44">
        <f>NPV('Inputs-System'!$C$20,U13+AA13+AG13+AM13+AS13+AY13+BE13+BK13+BQ13+BW13+CC13+CI13+CO13+CU13+DA13+DG13+DM13+DS13+DY13+EE13)</f>
        <v>0</v>
      </c>
      <c r="P13" s="347">
        <f>IFERROR(_xlfn.IFS($C13="1",('Inputs-System'!$C$30*'Coincidence Factors'!$B$7*(1+'Inputs-System'!$C$18)*(1+'Inputs-System'!$C$41)*('Inputs-Proposals'!$D$17*'Inputs-Proposals'!$D$19*('Inputs-Proposals'!$D$20))*(VLOOKUP(P$3,Energy!$A$51:$K$83,5,FALSE))), $C13 = "2",('Inputs-System'!$C$30*'Coincidence Factors'!$B$7)*(1+'Inputs-System'!$C$18)*(1+'Inputs-System'!$C$41)*('Inputs-Proposals'!$D$23*'Inputs-Proposals'!$D$25*('Inputs-Proposals'!$D$26))*(VLOOKUP(P$3,Energy!$A$51:$K$83,5,FALSE)), $C13= "3", ('Inputs-System'!$C$30*'Coincidence Factors'!$B$7*(1+'Inputs-System'!$C$18)*(1+'Inputs-System'!$C$41)*('Inputs-Proposals'!$D$29*'Inputs-Proposals'!$D$31*('Inputs-Proposals'!$D$32))*(VLOOKUP(P$3,Energy!$A$51:$K$83,5,FALSE))), $C13= "0", 0), 0)</f>
        <v>0</v>
      </c>
      <c r="Q13" s="44">
        <f>IFERROR(_xlfn.IFS($C13="1",'Inputs-System'!$C$30*'Coincidence Factors'!$B$7*(1+'Inputs-System'!$C$18)*(1+'Inputs-System'!$C$41)*'Inputs-Proposals'!$D$17*'Inputs-Proposals'!$D$19*('Inputs-Proposals'!$D$20)*(VLOOKUP(P$3,'Embedded Emissions'!$A$47:$B$78,2,FALSE)+VLOOKUP(P$3,'Embedded Emissions'!$A$129:$B$158,2,FALSE)), $C13 = "2",'Inputs-System'!$C$30*'Coincidence Factors'!$B$7*(1+'Inputs-System'!$C$18)*(1+'Inputs-System'!$C$41)*'Inputs-Proposals'!$D$23*'Inputs-Proposals'!$D$25*('Inputs-Proposals'!$D$20)*(VLOOKUP(P$3,'Embedded Emissions'!$A$47:$B$78,2,FALSE)+VLOOKUP(P$3,'Embedded Emissions'!$A$129:$B$158,2,FALSE)), $C13 = "3", 'Inputs-System'!$C$30*'Coincidence Factors'!$B$7*(1+'Inputs-System'!$C$18)*(1+'Inputs-System'!$C$41)*'Inputs-Proposals'!$D$29*'Inputs-Proposals'!$D$31*('Inputs-Proposals'!$D$20)*(VLOOKUP(P$3,'Embedded Emissions'!$A$47:$B$78,2,FALSE)+VLOOKUP(P$3,'Embedded Emissions'!$A$129:$B$158,2,FALSE)), $C13 = "0", 0), 0)</f>
        <v>0</v>
      </c>
      <c r="R13" s="44">
        <f>IFERROR(_xlfn.IFS($C13="1",( 'Inputs-System'!$C$30*'Coincidence Factors'!$B$7*(1+'Inputs-System'!$C$18)*(1+'Inputs-System'!$C$41))*('Inputs-Proposals'!$D$17*'Inputs-Proposals'!$D$19*('Inputs-Proposals'!$D$20))*(VLOOKUP(P$3,DRIPE!$A$54:$I$82,5,FALSE)+VLOOKUP(P$3,DRIPE!$A$54:$I$82,9,FALSE))+ ('Inputs-System'!$C$26*'Coincidence Factors'!$B$7*(1+'Inputs-System'!$C$18)*(1+'Inputs-System'!$C$42))*'Inputs-Proposals'!$D$16*VLOOKUP(P$3,DRIPE!$A$54:$I$82,8,FALSE), $C13 = "2",( 'Inputs-System'!$C$30*'Coincidence Factors'!$B$7*(1+'Inputs-System'!$C$18)*(1+'Inputs-System'!$C$41))*('Inputs-Proposals'!$D$23*'Inputs-Proposals'!$D$25*('Inputs-Proposals'!$D$26))*(VLOOKUP(P$3,DRIPE!$A$54:$I$82,5,FALSE)+VLOOKUP(P$3,DRIPE!$A$54:$I$82,12,FALSE))+ ('Inputs-System'!$C$26*'Coincidence Factors'!$B$7*(1+'Inputs-System'!$C$18)*(1+'Inputs-System'!$C$42))*'Inputs-Proposals'!$D$22*VLOOKUP(P$3,DRIPE!$A$54:$I$82,8,FALSE), $C13= "3", ( 'Inputs-System'!$C$30*'Coincidence Factors'!$B$7*(1+'Inputs-System'!$C$18)*(1+'Inputs-System'!$C$41))*('Inputs-Proposals'!$D$29*'Inputs-Proposals'!$D$31*('Inputs-Proposals'!$D$32))*(VLOOKUP(P$3,DRIPE!$A$54:$I$82,5,FALSE)+VLOOKUP(P$3,DRIPE!$A$54:$I$82,12,FALSE))+ ('Inputs-System'!$C$26*'Coincidence Factors'!$B$7*(1+'Inputs-System'!$C$18)*(1+'Inputs-System'!$C$42))*'Inputs-Proposals'!$D$28*VLOOKUP(P$3,DRIPE!$A$54:$I$82,8,FALSE), $C13 = "0", 0), 0)</f>
        <v>0</v>
      </c>
      <c r="S13" s="45">
        <f>IFERROR(_xlfn.IFS($C13="1",('Inputs-System'!$C$26*'Coincidence Factors'!$B$7*(1+'Inputs-System'!$C$18))*'Inputs-Proposals'!$D$16*(VLOOKUP(P$3,Capacity!$A$53:$E$85,4,FALSE)*(1+'Inputs-System'!$C$42)+VLOOKUP(P$3,Capacity!$A$53:$E$85,5,FALSE)*'Inputs-System'!$C$29*(1+'Inputs-System'!$C$43)), $C13 = "2", ('Inputs-System'!$C$26*'Coincidence Factors'!$B$7*(1+'Inputs-System'!$C$18))*'Inputs-Proposals'!$D$22*(VLOOKUP(P$3,Capacity!$A$53:$E$85,4,FALSE)*(1+'Inputs-System'!$C$42)+VLOOKUP(P$3,Capacity!$A$53:$E$85,5,FALSE)*'Inputs-System'!$C$29*(1+'Inputs-System'!$C$43)), $C13 = "3",('Inputs-System'!$C$26*'Coincidence Factors'!$B$7*(1+'Inputs-System'!$C$18))*'Inputs-Proposals'!$D$28*(VLOOKUP(P$3,Capacity!$A$53:$E$85,4,FALSE)*(1+'Inputs-System'!$C$42)+VLOOKUP(P$3,Capacity!$A$53:$E$85,5,FALSE)*'Inputs-System'!$C$29*(1+'Inputs-System'!$C$43)), $C13 = "0", 0), 0)</f>
        <v>0</v>
      </c>
      <c r="T13" s="44">
        <v>0</v>
      </c>
      <c r="U13" s="342">
        <f>IFERROR(_xlfn.IFS($C13="1", 'Inputs-System'!$C$30*'Coincidence Factors'!$B$7*'Inputs-Proposals'!$D$17*'Inputs-Proposals'!$D$19*(VLOOKUP(P$3,'Non-Embedded Emissions'!$A$56:$D$90,2,FALSE)+VLOOKUP(P$3,'Non-Embedded Emissions'!$A$143:$D$174,2,FALSE)+VLOOKUP(P$3,'Non-Embedded Emissions'!$A$230:$D$259,2,FALSE)), $C13 = "2", 'Inputs-System'!$C$30*'Coincidence Factors'!$B$7*'Inputs-Proposals'!$D$23*'Inputs-Proposals'!$D$25*(VLOOKUP(P$3,'Non-Embedded Emissions'!$A$56:$D$90,2,FALSE)+VLOOKUP(P$3,'Non-Embedded Emissions'!$A$143:$D$174,2,FALSE)+VLOOKUP(P$3,'Non-Embedded Emissions'!$A$230:$D$259,2,FALSE)), $C13 = "3", 'Inputs-System'!$C$30*'Coincidence Factors'!$B$7*'Inputs-Proposals'!$D$29*'Inputs-Proposals'!$D$31*(VLOOKUP(P$3,'Non-Embedded Emissions'!$A$56:$D$90,2,FALSE)+VLOOKUP(P$3,'Non-Embedded Emissions'!$A$143:$D$174,2,FALSE)+VLOOKUP(P$3,'Non-Embedded Emissions'!$A$230:$D$259,2,FALSE)), $C13 = "0", 0), 0)</f>
        <v>0</v>
      </c>
      <c r="V13" s="45">
        <f>IFERROR(_xlfn.IFS($C13="1",('Inputs-System'!$C$30*'Coincidence Factors'!$B$7*(1+'Inputs-System'!$C$18)*(1+'Inputs-System'!$C$41)*('Inputs-Proposals'!$D$17*'Inputs-Proposals'!$D$19*('Inputs-Proposals'!$D$20))*(VLOOKUP(V$3,Energy!$A$51:$K$83,5,FALSE))), $C13 = "2",('Inputs-System'!$C$30*'Coincidence Factors'!$B$7)*(1+'Inputs-System'!$C$18)*(1+'Inputs-System'!$C$41)*('Inputs-Proposals'!$D$23*'Inputs-Proposals'!$D$25*('Inputs-Proposals'!$D$26))*(VLOOKUP(V$3,Energy!$A$51:$K$83,5,FALSE)), $C13= "3", ('Inputs-System'!$C$30*'Coincidence Factors'!$B$7*(1+'Inputs-System'!$C$18)*(1+'Inputs-System'!$C$41)*('Inputs-Proposals'!$D$29*'Inputs-Proposals'!$D$31*('Inputs-Proposals'!$D$32))*(VLOOKUP(V$3,Energy!$A$51:$K$83,5,FALSE))), $C13= "0", 0), 0)</f>
        <v>0</v>
      </c>
      <c r="W13" s="44">
        <f>IFERROR(_xlfn.IFS($C13="1",'Inputs-System'!$C$30*'Coincidence Factors'!$B$7*(1+'Inputs-System'!$C$18)*(1+'Inputs-System'!$C$41)*'Inputs-Proposals'!$D$17*'Inputs-Proposals'!$D$19*('Inputs-Proposals'!$D$20)*(VLOOKUP(V$3,'Embedded Emissions'!$A$47:$B$78,2,FALSE)+VLOOKUP(V$3,'Embedded Emissions'!$A$129:$B$158,2,FALSE)), $C13 = "2",'Inputs-System'!$C$30*'Coincidence Factors'!$B$7*(1+'Inputs-System'!$C$18)*(1+'Inputs-System'!$C$41)*'Inputs-Proposals'!$D$23*'Inputs-Proposals'!$D$25*('Inputs-Proposals'!$D$20)*(VLOOKUP(V$3,'Embedded Emissions'!$A$47:$B$78,2,FALSE)+VLOOKUP(V$3,'Embedded Emissions'!$A$129:$B$158,2,FALSE)), $C13 = "3", 'Inputs-System'!$C$30*'Coincidence Factors'!$B$7*(1+'Inputs-System'!$C$18)*(1+'Inputs-System'!$C$41)*'Inputs-Proposals'!$D$29*'Inputs-Proposals'!$D$31*('Inputs-Proposals'!$D$20)*(VLOOKUP(V$3,'Embedded Emissions'!$A$47:$B$78,2,FALSE)+VLOOKUP(V$3,'Embedded Emissions'!$A$129:$B$158,2,FALSE)), $C13 = "0", 0), 0)</f>
        <v>0</v>
      </c>
      <c r="X13" s="44">
        <f>IFERROR(_xlfn.IFS($C13="1",( 'Inputs-System'!$C$30*'Coincidence Factors'!$B$7*(1+'Inputs-System'!$C$18)*(1+'Inputs-System'!$C$41))*('Inputs-Proposals'!$D$17*'Inputs-Proposals'!$D$19*('Inputs-Proposals'!$D$20))*(VLOOKUP(V$3,DRIPE!$A$54:$I$82,5,FALSE)+VLOOKUP(V$3,DRIPE!$A$54:$I$82,9,FALSE))+ ('Inputs-System'!$C$26*'Coincidence Factors'!$B$7*(1+'Inputs-System'!$C$18)*(1+'Inputs-System'!$C$42))*'Inputs-Proposals'!$D$16*VLOOKUP(V$3,DRIPE!$A$54:$I$82,8,FALSE), $C13 = "2",( 'Inputs-System'!$C$30*'Coincidence Factors'!$B$7*(1+'Inputs-System'!$C$18)*(1+'Inputs-System'!$C$41))*('Inputs-Proposals'!$D$23*'Inputs-Proposals'!$D$25*('Inputs-Proposals'!$D$26))*(VLOOKUP(V$3,DRIPE!$A$54:$I$82,5,FALSE)+VLOOKUP(V$3,DRIPE!$A$54:$I$82,12,FALSE))+ ('Inputs-System'!$C$26*'Coincidence Factors'!$B$7*(1+'Inputs-System'!$C$18)*(1+'Inputs-System'!$C$42))*'Inputs-Proposals'!$D$22*VLOOKUP(V$3,DRIPE!$A$54:$I$82,8,FALSE), $C13= "3", ( 'Inputs-System'!$C$30*'Coincidence Factors'!$B$7*(1+'Inputs-System'!$C$18)*(1+'Inputs-System'!$C$41))*('Inputs-Proposals'!$D$29*'Inputs-Proposals'!$D$31*('Inputs-Proposals'!$D$32))*(VLOOKUP(V$3,DRIPE!$A$54:$I$82,5,FALSE)+VLOOKUP(V$3,DRIPE!$A$54:$I$82,12,FALSE))+ ('Inputs-System'!$C$26*'Coincidence Factors'!$B$7*(1+'Inputs-System'!$C$18)*(1+'Inputs-System'!$C$42))*'Inputs-Proposals'!$D$28*VLOOKUP(V$3,DRIPE!$A$54:$I$82,8,FALSE), $C13 = "0", 0), 0)</f>
        <v>0</v>
      </c>
      <c r="Y13" s="45">
        <f>IFERROR(_xlfn.IFS($C13="1",('Inputs-System'!$C$26*'Coincidence Factors'!$B$7*(1+'Inputs-System'!$C$18))*'Inputs-Proposals'!$D$16*(VLOOKUP(V$3,Capacity!$A$53:$E$85,4,FALSE)*(1+'Inputs-System'!$C$42)+VLOOKUP(V$3,Capacity!$A$53:$E$85,5,FALSE)*'Inputs-System'!$C$29*(1+'Inputs-System'!$C$43)), $C13 = "2", ('Inputs-System'!$C$26*'Coincidence Factors'!$B$7*(1+'Inputs-System'!$C$18))*'Inputs-Proposals'!$D$22*(VLOOKUP(V$3,Capacity!$A$53:$E$85,4,FALSE)*(1+'Inputs-System'!$C$42)+VLOOKUP(V$3,Capacity!$A$53:$E$85,5,FALSE)*'Inputs-System'!$C$29*(1+'Inputs-System'!$C$43)), $C13 = "3",('Inputs-System'!$C$26*'Coincidence Factors'!$B$7*(1+'Inputs-System'!$C$18))*'Inputs-Proposals'!$D$28*(VLOOKUP(V$3,Capacity!$A$53:$E$85,4,FALSE)*(1+'Inputs-System'!$C$42)+VLOOKUP(V$3,Capacity!$A$53:$E$85,5,FALSE)*'Inputs-System'!$C$29*(1+'Inputs-System'!$C$43)), $C13 = "0", 0), 0)</f>
        <v>0</v>
      </c>
      <c r="Z13" s="44">
        <v>0</v>
      </c>
      <c r="AA13" s="342">
        <f>IFERROR(_xlfn.IFS($C13="1", 'Inputs-System'!$C$30*'Coincidence Factors'!$B$7*'Inputs-Proposals'!$D$17*'Inputs-Proposals'!$D$19*(VLOOKUP(V$3,'Non-Embedded Emissions'!$A$56:$D$90,2,FALSE)+VLOOKUP(V$3,'Non-Embedded Emissions'!$A$143:$D$174,2,FALSE)+VLOOKUP(V$3,'Non-Embedded Emissions'!$A$230:$D$259,2,FALSE)), $C13 = "2", 'Inputs-System'!$C$30*'Coincidence Factors'!$B$7*'Inputs-Proposals'!$D$23*'Inputs-Proposals'!$D$25*(VLOOKUP(V$3,'Non-Embedded Emissions'!$A$56:$D$90,2,FALSE)+VLOOKUP(V$3,'Non-Embedded Emissions'!$A$143:$D$174,2,FALSE)+VLOOKUP(V$3,'Non-Embedded Emissions'!$A$230:$D$259,2,FALSE)), $C13 = "3", 'Inputs-System'!$C$30*'Coincidence Factors'!$B$7*'Inputs-Proposals'!$D$29*'Inputs-Proposals'!$D$31*(VLOOKUP(V$3,'Non-Embedded Emissions'!$A$56:$D$90,2,FALSE)+VLOOKUP(V$3,'Non-Embedded Emissions'!$A$143:$D$174,2,FALSE)+VLOOKUP(V$3,'Non-Embedded Emissions'!$A$230:$D$259,2,FALSE)), $C13 = "0", 0), 0)</f>
        <v>0</v>
      </c>
      <c r="AB13" s="45">
        <f>IFERROR(_xlfn.IFS($C13="1",('Inputs-System'!$C$30*'Coincidence Factors'!$B$7*(1+'Inputs-System'!$C$18)*(1+'Inputs-System'!$C$41)*('Inputs-Proposals'!$D$17*'Inputs-Proposals'!$D$19*('Inputs-Proposals'!$D$20))*(VLOOKUP(AB$3,Energy!$A$51:$K$83,5,FALSE))), $C13 = "2",('Inputs-System'!$C$30*'Coincidence Factors'!$B$7)*(1+'Inputs-System'!$C$18)*(1+'Inputs-System'!$C$41)*('Inputs-Proposals'!$D$23*'Inputs-Proposals'!$D$25*('Inputs-Proposals'!$D$26))*(VLOOKUP(AB$3,Energy!$A$51:$K$83,5,FALSE)), $C13= "3", ('Inputs-System'!$C$30*'Coincidence Factors'!$B$7*(1+'Inputs-System'!$C$18)*(1+'Inputs-System'!$C$41)*('Inputs-Proposals'!$D$29*'Inputs-Proposals'!$D$31*('Inputs-Proposals'!$D$32))*(VLOOKUP(AB$3,Energy!$A$51:$K$83,5,FALSE))), $C13= "0", 0), 0)</f>
        <v>0</v>
      </c>
      <c r="AC13" s="44">
        <f>IFERROR(_xlfn.IFS($C13="1",'Inputs-System'!$C$30*'Coincidence Factors'!$B$7*(1+'Inputs-System'!$C$18)*(1+'Inputs-System'!$C$41)*'Inputs-Proposals'!$D$17*'Inputs-Proposals'!$D$19*('Inputs-Proposals'!$D$20)*(VLOOKUP(AB$3,'Embedded Emissions'!$A$47:$B$78,2,FALSE)+VLOOKUP(AB$3,'Embedded Emissions'!$A$129:$B$158,2,FALSE)), $C13 = "2",'Inputs-System'!$C$30*'Coincidence Factors'!$B$7*(1+'Inputs-System'!$C$18)*(1+'Inputs-System'!$C$41)*'Inputs-Proposals'!$D$23*'Inputs-Proposals'!$D$25*('Inputs-Proposals'!$D$20)*(VLOOKUP(AB$3,'Embedded Emissions'!$A$47:$B$78,2,FALSE)+VLOOKUP(AB$3,'Embedded Emissions'!$A$129:$B$158,2,FALSE)), $C13 = "3", 'Inputs-System'!$C$30*'Coincidence Factors'!$B$7*(1+'Inputs-System'!$C$18)*(1+'Inputs-System'!$C$41)*'Inputs-Proposals'!$D$29*'Inputs-Proposals'!$D$31*('Inputs-Proposals'!$D$20)*(VLOOKUP(AB$3,'Embedded Emissions'!$A$47:$B$78,2,FALSE)+VLOOKUP(AB$3,'Embedded Emissions'!$A$129:$B$158,2,FALSE)), $C13 = "0", 0), 0)</f>
        <v>0</v>
      </c>
      <c r="AD13" s="44">
        <f>IFERROR(_xlfn.IFS($C13="1",( 'Inputs-System'!$C$30*'Coincidence Factors'!$B$7*(1+'Inputs-System'!$C$18)*(1+'Inputs-System'!$C$41))*('Inputs-Proposals'!$D$17*'Inputs-Proposals'!$D$19*('Inputs-Proposals'!$D$20))*(VLOOKUP(AB$3,DRIPE!$A$54:$I$82,5,FALSE)+VLOOKUP(AB$3,DRIPE!$A$54:$I$82,9,FALSE))+ ('Inputs-System'!$C$26*'Coincidence Factors'!$B$7*(1+'Inputs-System'!$C$18)*(1+'Inputs-System'!$C$42))*'Inputs-Proposals'!$D$16*VLOOKUP(AB$3,DRIPE!$A$54:$I$82,8,FALSE), $C13 = "2",( 'Inputs-System'!$C$30*'Coincidence Factors'!$B$7*(1+'Inputs-System'!$C$18)*(1+'Inputs-System'!$C$41))*('Inputs-Proposals'!$D$23*'Inputs-Proposals'!$D$25*('Inputs-Proposals'!$D$26))*(VLOOKUP(AB$3,DRIPE!$A$54:$I$82,5,FALSE)+VLOOKUP(AB$3,DRIPE!$A$54:$I$82,12,FALSE))+ ('Inputs-System'!$C$26*'Coincidence Factors'!$B$7*(1+'Inputs-System'!$C$18)*(1+'Inputs-System'!$C$42))*'Inputs-Proposals'!$D$22*VLOOKUP(AB$3,DRIPE!$A$54:$I$82,8,FALSE), $C13= "3", ( 'Inputs-System'!$C$30*'Coincidence Factors'!$B$7*(1+'Inputs-System'!$C$18)*(1+'Inputs-System'!$C$41))*('Inputs-Proposals'!$D$29*'Inputs-Proposals'!$D$31*('Inputs-Proposals'!$D$32))*(VLOOKUP(AB$3,DRIPE!$A$54:$I$82,5,FALSE)+VLOOKUP(AB$3,DRIPE!$A$54:$I$82,12,FALSE))+ ('Inputs-System'!$C$26*'Coincidence Factors'!$B$7*(1+'Inputs-System'!$C$18)*(1+'Inputs-System'!$C$42))*'Inputs-Proposals'!$D$28*VLOOKUP(AB$3,DRIPE!$A$54:$I$82,8,FALSE), $C13 = "0", 0), 0)</f>
        <v>0</v>
      </c>
      <c r="AE13" s="45">
        <f>IFERROR(_xlfn.IFS($C13="1",('Inputs-System'!$C$26*'Coincidence Factors'!$B$7*(1+'Inputs-System'!$C$18))*'Inputs-Proposals'!$D$16*(VLOOKUP(AB$3,Capacity!$A$53:$E$85,4,FALSE)*(1+'Inputs-System'!$C$42)+VLOOKUP(AB$3,Capacity!$A$53:$E$85,5,FALSE)*'Inputs-System'!$C$29*(1+'Inputs-System'!$C$43)), $C13 = "2", ('Inputs-System'!$C$26*'Coincidence Factors'!$B$7*(1+'Inputs-System'!$C$18))*'Inputs-Proposals'!$D$22*(VLOOKUP(AB$3,Capacity!$A$53:$E$85,4,FALSE)*(1+'Inputs-System'!$C$42)+VLOOKUP(AB$3,Capacity!$A$53:$E$85,5,FALSE)*'Inputs-System'!$C$29*(1+'Inputs-System'!$C$43)), $C13 = "3",('Inputs-System'!$C$26*'Coincidence Factors'!$B$7*(1+'Inputs-System'!$C$18))*'Inputs-Proposals'!$D$28*(VLOOKUP(AB$3,Capacity!$A$53:$E$85,4,FALSE)*(1+'Inputs-System'!$C$42)+VLOOKUP(AB$3,Capacity!$A$53:$E$85,5,FALSE)*'Inputs-System'!$C$29*(1+'Inputs-System'!$C$43)), $C13 = "0", 0), 0)</f>
        <v>0</v>
      </c>
      <c r="AF13" s="44">
        <v>0</v>
      </c>
      <c r="AG13" s="342">
        <f>IFERROR(_xlfn.IFS($C13="1", 'Inputs-System'!$C$30*'Coincidence Factors'!$B$7*'Inputs-Proposals'!$D$17*'Inputs-Proposals'!$D$19*(VLOOKUP(AB$3,'Non-Embedded Emissions'!$A$56:$D$90,2,FALSE)+VLOOKUP(AB$3,'Non-Embedded Emissions'!$A$143:$D$174,2,FALSE)+VLOOKUP(AB$3,'Non-Embedded Emissions'!$A$230:$D$259,2,FALSE)), $C13 = "2", 'Inputs-System'!$C$30*'Coincidence Factors'!$B$7*'Inputs-Proposals'!$D$23*'Inputs-Proposals'!$D$25*(VLOOKUP(AB$3,'Non-Embedded Emissions'!$A$56:$D$90,2,FALSE)+VLOOKUP(AB$3,'Non-Embedded Emissions'!$A$143:$D$174,2,FALSE)+VLOOKUP(AB$3,'Non-Embedded Emissions'!$A$230:$D$259,2,FALSE)), $C13 = "3", 'Inputs-System'!$C$30*'Coincidence Factors'!$B$7*'Inputs-Proposals'!$D$29*'Inputs-Proposals'!$D$31*(VLOOKUP(AB$3,'Non-Embedded Emissions'!$A$56:$D$90,2,FALSE)+VLOOKUP(AB$3,'Non-Embedded Emissions'!$A$143:$D$174,2,FALSE)+VLOOKUP(AB$3,'Non-Embedded Emissions'!$A$230:$D$259,2,FALSE)), $C13 = "0", 0), 0)</f>
        <v>0</v>
      </c>
      <c r="AH13" s="45">
        <f>IFERROR(_xlfn.IFS($C13="1",('Inputs-System'!$C$30*'Coincidence Factors'!$B$7*(1+'Inputs-System'!$C$18)*(1+'Inputs-System'!$C$41)*('Inputs-Proposals'!$D$17*'Inputs-Proposals'!$D$19*('Inputs-Proposals'!$D$20))*(VLOOKUP(AH$3,Energy!$A$51:$K$83,5,FALSE))), $C13 = "2",('Inputs-System'!$C$30*'Coincidence Factors'!$B$7)*(1+'Inputs-System'!$C$18)*(1+'Inputs-System'!$C$41)*('Inputs-Proposals'!$D$23*'Inputs-Proposals'!$D$25*('Inputs-Proposals'!$D$26))*(VLOOKUP(AH$3,Energy!$A$51:$K$83,5,FALSE)), $C13= "3", ('Inputs-System'!$C$30*'Coincidence Factors'!$B$7*(1+'Inputs-System'!$C$18)*(1+'Inputs-System'!$C$41)*('Inputs-Proposals'!$D$29*'Inputs-Proposals'!$D$31*('Inputs-Proposals'!$D$32))*(VLOOKUP(AH$3,Energy!$A$51:$K$83,5,FALSE))), $C13= "0", 0), 0)</f>
        <v>0</v>
      </c>
      <c r="AI13" s="44">
        <f>IFERROR(_xlfn.IFS($C13="1",'Inputs-System'!$C$30*'Coincidence Factors'!$B$7*(1+'Inputs-System'!$C$18)*(1+'Inputs-System'!$C$41)*'Inputs-Proposals'!$D$17*'Inputs-Proposals'!$D$19*('Inputs-Proposals'!$D$20)*(VLOOKUP(AH$3,'Embedded Emissions'!$A$47:$B$78,2,FALSE)+VLOOKUP(AH$3,'Embedded Emissions'!$A$129:$B$158,2,FALSE)), $C13 = "2",'Inputs-System'!$C$30*'Coincidence Factors'!$B$7*(1+'Inputs-System'!$C$18)*(1+'Inputs-System'!$C$41)*'Inputs-Proposals'!$D$23*'Inputs-Proposals'!$D$25*('Inputs-Proposals'!$D$20)*(VLOOKUP(AH$3,'Embedded Emissions'!$A$47:$B$78,2,FALSE)+VLOOKUP(AH$3,'Embedded Emissions'!$A$129:$B$158,2,FALSE)), $C13 = "3", 'Inputs-System'!$C$30*'Coincidence Factors'!$B$7*(1+'Inputs-System'!$C$18)*(1+'Inputs-System'!$C$41)*'Inputs-Proposals'!$D$29*'Inputs-Proposals'!$D$31*('Inputs-Proposals'!$D$20)*(VLOOKUP(AH$3,'Embedded Emissions'!$A$47:$B$78,2,FALSE)+VLOOKUP(AH$3,'Embedded Emissions'!$A$129:$B$158,2,FALSE)), $C13 = "0", 0), 0)</f>
        <v>0</v>
      </c>
      <c r="AJ13" s="44">
        <f>IFERROR(_xlfn.IFS($C13="1",( 'Inputs-System'!$C$30*'Coincidence Factors'!$B$7*(1+'Inputs-System'!$C$18)*(1+'Inputs-System'!$C$41))*('Inputs-Proposals'!$D$17*'Inputs-Proposals'!$D$19*('Inputs-Proposals'!$D$20))*(VLOOKUP(AH$3,DRIPE!$A$54:$I$82,5,FALSE)+VLOOKUP(AH$3,DRIPE!$A$54:$I$82,9,FALSE))+ ('Inputs-System'!$C$26*'Coincidence Factors'!$B$7*(1+'Inputs-System'!$C$18)*(1+'Inputs-System'!$C$42))*'Inputs-Proposals'!$D$16*VLOOKUP(AH$3,DRIPE!$A$54:$I$82,8,FALSE), $C13 = "2",( 'Inputs-System'!$C$30*'Coincidence Factors'!$B$7*(1+'Inputs-System'!$C$18)*(1+'Inputs-System'!$C$41))*('Inputs-Proposals'!$D$23*'Inputs-Proposals'!$D$25*('Inputs-Proposals'!$D$26))*(VLOOKUP(AH$3,DRIPE!$A$54:$I$82,5,FALSE)+VLOOKUP(AH$3,DRIPE!$A$54:$I$82,12,FALSE))+ ('Inputs-System'!$C$26*'Coincidence Factors'!$B$7*(1+'Inputs-System'!$C$18)*(1+'Inputs-System'!$C$42))*'Inputs-Proposals'!$D$22*VLOOKUP(AH$3,DRIPE!$A$54:$I$82,8,FALSE), $C13= "3", ( 'Inputs-System'!$C$30*'Coincidence Factors'!$B$7*(1+'Inputs-System'!$C$18)*(1+'Inputs-System'!$C$41))*('Inputs-Proposals'!$D$29*'Inputs-Proposals'!$D$31*('Inputs-Proposals'!$D$32))*(VLOOKUP(AH$3,DRIPE!$A$54:$I$82,5,FALSE)+VLOOKUP(AH$3,DRIPE!$A$54:$I$82,12,FALSE))+ ('Inputs-System'!$C$26*'Coincidence Factors'!$B$7*(1+'Inputs-System'!$C$18)*(1+'Inputs-System'!$C$42))*'Inputs-Proposals'!$D$28*VLOOKUP(AH$3,DRIPE!$A$54:$I$82,8,FALSE), $C13 = "0", 0), 0)</f>
        <v>0</v>
      </c>
      <c r="AK13" s="45">
        <f>IFERROR(_xlfn.IFS($C13="1",('Inputs-System'!$C$26*'Coincidence Factors'!$B$7*(1+'Inputs-System'!$C$18))*'Inputs-Proposals'!$D$16*(VLOOKUP(AH$3,Capacity!$A$53:$E$85,4,FALSE)*(1+'Inputs-System'!$C$42)+VLOOKUP(AH$3,Capacity!$A$53:$E$85,5,FALSE)*'Inputs-System'!$C$29*(1+'Inputs-System'!$C$43)), $C13 = "2", ('Inputs-System'!$C$26*'Coincidence Factors'!$B$7*(1+'Inputs-System'!$C$18))*'Inputs-Proposals'!$D$22*(VLOOKUP(AH$3,Capacity!$A$53:$E$85,4,FALSE)*(1+'Inputs-System'!$C$42)+VLOOKUP(AH$3,Capacity!$A$53:$E$85,5,FALSE)*'Inputs-System'!$C$29*(1+'Inputs-System'!$C$43)), $C13 = "3",('Inputs-System'!$C$26*'Coincidence Factors'!$B$7*(1+'Inputs-System'!$C$18))*'Inputs-Proposals'!$D$28*(VLOOKUP(AH$3,Capacity!$A$53:$E$85,4,FALSE)*(1+'Inputs-System'!$C$42)+VLOOKUP(AH$3,Capacity!$A$53:$E$85,5,FALSE)*'Inputs-System'!$C$29*(1+'Inputs-System'!$C$43)), $C13 = "0", 0), 0)</f>
        <v>0</v>
      </c>
      <c r="AL13" s="44">
        <v>0</v>
      </c>
      <c r="AM13" s="342">
        <f>IFERROR(_xlfn.IFS($C13="1", 'Inputs-System'!$C$30*'Coincidence Factors'!$B$7*'Inputs-Proposals'!$D$17*'Inputs-Proposals'!$D$19*(VLOOKUP(AH$3,'Non-Embedded Emissions'!$A$56:$D$90,2,FALSE)+VLOOKUP(AH$3,'Non-Embedded Emissions'!$A$143:$D$174,2,FALSE)+VLOOKUP(AH$3,'Non-Embedded Emissions'!$A$230:$D$259,2,FALSE)), $C13 = "2", 'Inputs-System'!$C$30*'Coincidence Factors'!$B$7*'Inputs-Proposals'!$D$23*'Inputs-Proposals'!$D$25*(VLOOKUP(AH$3,'Non-Embedded Emissions'!$A$56:$D$90,2,FALSE)+VLOOKUP(AH$3,'Non-Embedded Emissions'!$A$143:$D$174,2,FALSE)+VLOOKUP(AH$3,'Non-Embedded Emissions'!$A$230:$D$259,2,FALSE)), $C13 = "3", 'Inputs-System'!$C$30*'Coincidence Factors'!$B$7*'Inputs-Proposals'!$D$29*'Inputs-Proposals'!$D$31*(VLOOKUP(AH$3,'Non-Embedded Emissions'!$A$56:$D$90,2,FALSE)+VLOOKUP(AH$3,'Non-Embedded Emissions'!$A$143:$D$174,2,FALSE)+VLOOKUP(AH$3,'Non-Embedded Emissions'!$A$230:$D$259,2,FALSE)), $C13 = "0", 0), 0)</f>
        <v>0</v>
      </c>
      <c r="AN13" s="45">
        <f>IFERROR(_xlfn.IFS($C13="1",('Inputs-System'!$C$30*'Coincidence Factors'!$B$7*(1+'Inputs-System'!$C$18)*(1+'Inputs-System'!$C$41)*('Inputs-Proposals'!$D$17*'Inputs-Proposals'!$D$19*('Inputs-Proposals'!$D$20))*(VLOOKUP(AN$3,Energy!$A$51:$K$83,5,FALSE))), $C13 = "2",('Inputs-System'!$C$30*'Coincidence Factors'!$B$7)*(1+'Inputs-System'!$C$18)*(1+'Inputs-System'!$C$41)*('Inputs-Proposals'!$D$23*'Inputs-Proposals'!$D$25*('Inputs-Proposals'!$D$26))*(VLOOKUP(AN$3,Energy!$A$51:$K$83,5,FALSE)), $C13= "3", ('Inputs-System'!$C$30*'Coincidence Factors'!$B$7*(1+'Inputs-System'!$C$18)*(1+'Inputs-System'!$C$41)*('Inputs-Proposals'!$D$29*'Inputs-Proposals'!$D$31*('Inputs-Proposals'!$D$32))*(VLOOKUP(AN$3,Energy!$A$51:$K$83,5,FALSE))), $C13= "0", 0), 0)</f>
        <v>0</v>
      </c>
      <c r="AO13" s="44">
        <f>IFERROR(_xlfn.IFS($C13="1",'Inputs-System'!$C$30*'Coincidence Factors'!$B$7*(1+'Inputs-System'!$C$18)*(1+'Inputs-System'!$C$41)*'Inputs-Proposals'!$D$17*'Inputs-Proposals'!$D$19*('Inputs-Proposals'!$D$20)*(VLOOKUP(AN$3,'Embedded Emissions'!$A$47:$B$78,2,FALSE)+VLOOKUP(AN$3,'Embedded Emissions'!$A$129:$B$158,2,FALSE)), $C13 = "2",'Inputs-System'!$C$30*'Coincidence Factors'!$B$7*(1+'Inputs-System'!$C$18)*(1+'Inputs-System'!$C$41)*'Inputs-Proposals'!$D$23*'Inputs-Proposals'!$D$25*('Inputs-Proposals'!$D$20)*(VLOOKUP(AN$3,'Embedded Emissions'!$A$47:$B$78,2,FALSE)+VLOOKUP(AN$3,'Embedded Emissions'!$A$129:$B$158,2,FALSE)), $C13 = "3", 'Inputs-System'!$C$30*'Coincidence Factors'!$B$7*(1+'Inputs-System'!$C$18)*(1+'Inputs-System'!$C$41)*'Inputs-Proposals'!$D$29*'Inputs-Proposals'!$D$31*('Inputs-Proposals'!$D$20)*(VLOOKUP(AN$3,'Embedded Emissions'!$A$47:$B$78,2,FALSE)+VLOOKUP(AN$3,'Embedded Emissions'!$A$129:$B$158,2,FALSE)), $C13 = "0", 0), 0)</f>
        <v>0</v>
      </c>
      <c r="AP13" s="44">
        <f>IFERROR(_xlfn.IFS($C13="1",( 'Inputs-System'!$C$30*'Coincidence Factors'!$B$7*(1+'Inputs-System'!$C$18)*(1+'Inputs-System'!$C$41))*('Inputs-Proposals'!$D$17*'Inputs-Proposals'!$D$19*('Inputs-Proposals'!$D$20))*(VLOOKUP(AN$3,DRIPE!$A$54:$I$82,5,FALSE)+VLOOKUP(AN$3,DRIPE!$A$54:$I$82,9,FALSE))+ ('Inputs-System'!$C$26*'Coincidence Factors'!$B$7*(1+'Inputs-System'!$C$18)*(1+'Inputs-System'!$C$42))*'Inputs-Proposals'!$D$16*VLOOKUP(AN$3,DRIPE!$A$54:$I$82,8,FALSE), $C13 = "2",( 'Inputs-System'!$C$30*'Coincidence Factors'!$B$7*(1+'Inputs-System'!$C$18)*(1+'Inputs-System'!$C$41))*('Inputs-Proposals'!$D$23*'Inputs-Proposals'!$D$25*('Inputs-Proposals'!$D$26))*(VLOOKUP(AN$3,DRIPE!$A$54:$I$82,5,FALSE)+VLOOKUP(AN$3,DRIPE!$A$54:$I$82,12,FALSE))+ ('Inputs-System'!$C$26*'Coincidence Factors'!$B$7*(1+'Inputs-System'!$C$18)*(1+'Inputs-System'!$C$42))*'Inputs-Proposals'!$D$22*VLOOKUP(AN$3,DRIPE!$A$54:$I$82,8,FALSE), $C13= "3", ( 'Inputs-System'!$C$30*'Coincidence Factors'!$B$7*(1+'Inputs-System'!$C$18)*(1+'Inputs-System'!$C$41))*('Inputs-Proposals'!$D$29*'Inputs-Proposals'!$D$31*('Inputs-Proposals'!$D$32))*(VLOOKUP(AN$3,DRIPE!$A$54:$I$82,5,FALSE)+VLOOKUP(AN$3,DRIPE!$A$54:$I$82,12,FALSE))+ ('Inputs-System'!$C$26*'Coincidence Factors'!$B$7*(1+'Inputs-System'!$C$18)*(1+'Inputs-System'!$C$42))*'Inputs-Proposals'!$D$28*VLOOKUP(AN$3,DRIPE!$A$54:$I$82,8,FALSE), $C13 = "0", 0), 0)</f>
        <v>0</v>
      </c>
      <c r="AQ13" s="45">
        <f>IFERROR(_xlfn.IFS($C13="1",('Inputs-System'!$C$26*'Coincidence Factors'!$B$7*(1+'Inputs-System'!$C$18))*'Inputs-Proposals'!$D$16*(VLOOKUP(AN$3,Capacity!$A$53:$E$85,4,FALSE)*(1+'Inputs-System'!$C$42)+VLOOKUP(AN$3,Capacity!$A$53:$E$85,5,FALSE)*'Inputs-System'!$C$29*(1+'Inputs-System'!$C$43)), $C13 = "2", ('Inputs-System'!$C$26*'Coincidence Factors'!$B$7*(1+'Inputs-System'!$C$18))*'Inputs-Proposals'!$D$22*(VLOOKUP(AN$3,Capacity!$A$53:$E$85,4,FALSE)*(1+'Inputs-System'!$C$42)+VLOOKUP(AN$3,Capacity!$A$53:$E$85,5,FALSE)*'Inputs-System'!$C$29*(1+'Inputs-System'!$C$43)), $C13 = "3",('Inputs-System'!$C$26*'Coincidence Factors'!$B$7*(1+'Inputs-System'!$C$18))*'Inputs-Proposals'!$D$28*(VLOOKUP(AN$3,Capacity!$A$53:$E$85,4,FALSE)*(1+'Inputs-System'!$C$42)+VLOOKUP(AN$3,Capacity!$A$53:$E$85,5,FALSE)*'Inputs-System'!$C$29*(1+'Inputs-System'!$C$43)), $C13 = "0", 0), 0)</f>
        <v>0</v>
      </c>
      <c r="AR13" s="44">
        <v>0</v>
      </c>
      <c r="AS13" s="342">
        <f>IFERROR(_xlfn.IFS($C13="1", 'Inputs-System'!$C$30*'Coincidence Factors'!$B$7*'Inputs-Proposals'!$D$17*'Inputs-Proposals'!$D$19*(VLOOKUP(AN$3,'Non-Embedded Emissions'!$A$56:$D$90,2,FALSE)+VLOOKUP(AN$3,'Non-Embedded Emissions'!$A$143:$D$174,2,FALSE)+VLOOKUP(AN$3,'Non-Embedded Emissions'!$A$230:$D$259,2,FALSE)), $C13 = "2", 'Inputs-System'!$C$30*'Coincidence Factors'!$B$7*'Inputs-Proposals'!$D$23*'Inputs-Proposals'!$D$25*(VLOOKUP(AN$3,'Non-Embedded Emissions'!$A$56:$D$90,2,FALSE)+VLOOKUP(AN$3,'Non-Embedded Emissions'!$A$143:$D$174,2,FALSE)+VLOOKUP(AN$3,'Non-Embedded Emissions'!$A$230:$D$259,2,FALSE)), $C13 = "3", 'Inputs-System'!$C$30*'Coincidence Factors'!$B$7*'Inputs-Proposals'!$D$29*'Inputs-Proposals'!$D$31*(VLOOKUP(AN$3,'Non-Embedded Emissions'!$A$56:$D$90,2,FALSE)+VLOOKUP(AN$3,'Non-Embedded Emissions'!$A$143:$D$174,2,FALSE)+VLOOKUP(AN$3,'Non-Embedded Emissions'!$A$230:$D$259,2,FALSE)), $C13 = "0", 0), 0)</f>
        <v>0</v>
      </c>
      <c r="AT13" s="45">
        <f>IFERROR(_xlfn.IFS($C13="1",('Inputs-System'!$C$30*'Coincidence Factors'!$B$7*(1+'Inputs-System'!$C$18)*(1+'Inputs-System'!$C$41)*('Inputs-Proposals'!$D$17*'Inputs-Proposals'!$D$19*('Inputs-Proposals'!$D$20))*(VLOOKUP(AT$3,Energy!$A$51:$K$83,5,FALSE))), $C13 = "2",('Inputs-System'!$C$30*'Coincidence Factors'!$B$7)*(1+'Inputs-System'!$C$18)*(1+'Inputs-System'!$C$41)*('Inputs-Proposals'!$D$23*'Inputs-Proposals'!$D$25*('Inputs-Proposals'!$D$26))*(VLOOKUP(AT$3,Energy!$A$51:$K$83,5,FALSE)), $C13= "3", ('Inputs-System'!$C$30*'Coincidence Factors'!$B$7*(1+'Inputs-System'!$C$18)*(1+'Inputs-System'!$C$41)*('Inputs-Proposals'!$D$29*'Inputs-Proposals'!$D$31*('Inputs-Proposals'!$D$32))*(VLOOKUP(AT$3,Energy!$A$51:$K$83,5,FALSE))), $C13= "0", 0), 0)</f>
        <v>0</v>
      </c>
      <c r="AU13" s="44">
        <f>IFERROR(_xlfn.IFS($C13="1",'Inputs-System'!$C$30*'Coincidence Factors'!$B$7*(1+'Inputs-System'!$C$18)*(1+'Inputs-System'!$C$41)*'Inputs-Proposals'!$D$17*'Inputs-Proposals'!$D$19*('Inputs-Proposals'!$D$20)*(VLOOKUP(AT$3,'Embedded Emissions'!$A$47:$B$78,2,FALSE)+VLOOKUP(AT$3,'Embedded Emissions'!$A$129:$B$158,2,FALSE)), $C13 = "2",'Inputs-System'!$C$30*'Coincidence Factors'!$B$7*(1+'Inputs-System'!$C$18)*(1+'Inputs-System'!$C$41)*'Inputs-Proposals'!$D$23*'Inputs-Proposals'!$D$25*('Inputs-Proposals'!$D$20)*(VLOOKUP(AT$3,'Embedded Emissions'!$A$47:$B$78,2,FALSE)+VLOOKUP(AT$3,'Embedded Emissions'!$A$129:$B$158,2,FALSE)), $C13 = "3", 'Inputs-System'!$C$30*'Coincidence Factors'!$B$7*(1+'Inputs-System'!$C$18)*(1+'Inputs-System'!$C$41)*'Inputs-Proposals'!$D$29*'Inputs-Proposals'!$D$31*('Inputs-Proposals'!$D$20)*(VLOOKUP(AT$3,'Embedded Emissions'!$A$47:$B$78,2,FALSE)+VLOOKUP(AT$3,'Embedded Emissions'!$A$129:$B$158,2,FALSE)), $C13 = "0", 0), 0)</f>
        <v>0</v>
      </c>
      <c r="AV13" s="44">
        <f>IFERROR(_xlfn.IFS($C13="1",( 'Inputs-System'!$C$30*'Coincidence Factors'!$B$7*(1+'Inputs-System'!$C$18)*(1+'Inputs-System'!$C$41))*('Inputs-Proposals'!$D$17*'Inputs-Proposals'!$D$19*('Inputs-Proposals'!$D$20))*(VLOOKUP(AT$3,DRIPE!$A$54:$I$82,5,FALSE)+VLOOKUP(AT$3,DRIPE!$A$54:$I$82,9,FALSE))+ ('Inputs-System'!$C$26*'Coincidence Factors'!$B$7*(1+'Inputs-System'!$C$18)*(1+'Inputs-System'!$C$42))*'Inputs-Proposals'!$D$16*VLOOKUP(AT$3,DRIPE!$A$54:$I$82,8,FALSE), $C13 = "2",( 'Inputs-System'!$C$30*'Coincidence Factors'!$B$7*(1+'Inputs-System'!$C$18)*(1+'Inputs-System'!$C$41))*('Inputs-Proposals'!$D$23*'Inputs-Proposals'!$D$25*('Inputs-Proposals'!$D$26))*(VLOOKUP(AT$3,DRIPE!$A$54:$I$82,5,FALSE)+VLOOKUP(AT$3,DRIPE!$A$54:$I$82,12,FALSE))+ ('Inputs-System'!$C$26*'Coincidence Factors'!$B$7*(1+'Inputs-System'!$C$18)*(1+'Inputs-System'!$C$42))*'Inputs-Proposals'!$D$22*VLOOKUP(AT$3,DRIPE!$A$54:$I$82,8,FALSE), $C13= "3", ( 'Inputs-System'!$C$30*'Coincidence Factors'!$B$7*(1+'Inputs-System'!$C$18)*(1+'Inputs-System'!$C$41))*('Inputs-Proposals'!$D$29*'Inputs-Proposals'!$D$31*('Inputs-Proposals'!$D$32))*(VLOOKUP(AT$3,DRIPE!$A$54:$I$82,5,FALSE)+VLOOKUP(AT$3,DRIPE!$A$54:$I$82,12,FALSE))+ ('Inputs-System'!$C$26*'Coincidence Factors'!$B$7*(1+'Inputs-System'!$C$18)*(1+'Inputs-System'!$C$42))*'Inputs-Proposals'!$D$28*VLOOKUP(AT$3,DRIPE!$A$54:$I$82,8,FALSE), $C13 = "0", 0), 0)</f>
        <v>0</v>
      </c>
      <c r="AW13" s="45">
        <f>IFERROR(_xlfn.IFS($C13="1",('Inputs-System'!$C$26*'Coincidence Factors'!$B$7*(1+'Inputs-System'!$C$18))*'Inputs-Proposals'!$D$16*(VLOOKUP(AT$3,Capacity!$A$53:$E$85,4,FALSE)*(1+'Inputs-System'!$C$42)+VLOOKUP(AT$3,Capacity!$A$53:$E$85,5,FALSE)*'Inputs-System'!$C$29*(1+'Inputs-System'!$C$43)), $C13 = "2", ('Inputs-System'!$C$26*'Coincidence Factors'!$B$7*(1+'Inputs-System'!$C$18))*'Inputs-Proposals'!$D$22*(VLOOKUP(AT$3,Capacity!$A$53:$E$85,4,FALSE)*(1+'Inputs-System'!$C$42)+VLOOKUP(AT$3,Capacity!$A$53:$E$85,5,FALSE)*'Inputs-System'!$C$29*(1+'Inputs-System'!$C$43)), $C13 = "3",('Inputs-System'!$C$26*'Coincidence Factors'!$B$7*(1+'Inputs-System'!$C$18))*'Inputs-Proposals'!$D$28*(VLOOKUP(AT$3,Capacity!$A$53:$E$85,4,FALSE)*(1+'Inputs-System'!$C$42)+VLOOKUP(AT$3,Capacity!$A$53:$E$85,5,FALSE)*'Inputs-System'!$C$29*(1+'Inputs-System'!$C$43)), $C13 = "0", 0), 0)</f>
        <v>0</v>
      </c>
      <c r="AX13" s="44">
        <v>0</v>
      </c>
      <c r="AY13" s="342">
        <f>IFERROR(_xlfn.IFS($C13="1", 'Inputs-System'!$C$30*'Coincidence Factors'!$B$7*'Inputs-Proposals'!$D$17*'Inputs-Proposals'!$D$19*(VLOOKUP(AT$3,'Non-Embedded Emissions'!$A$56:$D$90,2,FALSE)+VLOOKUP(AT$3,'Non-Embedded Emissions'!$A$143:$D$174,2,FALSE)+VLOOKUP(AT$3,'Non-Embedded Emissions'!$A$230:$D$259,2,FALSE)), $C13 = "2", 'Inputs-System'!$C$30*'Coincidence Factors'!$B$7*'Inputs-Proposals'!$D$23*'Inputs-Proposals'!$D$25*(VLOOKUP(AT$3,'Non-Embedded Emissions'!$A$56:$D$90,2,FALSE)+VLOOKUP(AT$3,'Non-Embedded Emissions'!$A$143:$D$174,2,FALSE)+VLOOKUP(AT$3,'Non-Embedded Emissions'!$A$230:$D$259,2,FALSE)), $C13 = "3", 'Inputs-System'!$C$30*'Coincidence Factors'!$B$7*'Inputs-Proposals'!$D$29*'Inputs-Proposals'!$D$31*(VLOOKUP(AT$3,'Non-Embedded Emissions'!$A$56:$D$90,2,FALSE)+VLOOKUP(AT$3,'Non-Embedded Emissions'!$A$143:$D$174,2,FALSE)+VLOOKUP(AT$3,'Non-Embedded Emissions'!$A$230:$D$259,2,FALSE)), $C13 = "0", 0), 0)</f>
        <v>0</v>
      </c>
      <c r="AZ13" s="45">
        <f>IFERROR(_xlfn.IFS($C13="1",('Inputs-System'!$C$30*'Coincidence Factors'!$B$7*(1+'Inputs-System'!$C$18)*(1+'Inputs-System'!$C$41)*('Inputs-Proposals'!$D$17*'Inputs-Proposals'!$D$19*('Inputs-Proposals'!$D$20))*(VLOOKUP(AZ$3,Energy!$A$51:$K$83,5,FALSE))), $C13 = "2",('Inputs-System'!$C$30*'Coincidence Factors'!$B$7)*(1+'Inputs-System'!$C$18)*(1+'Inputs-System'!$C$41)*('Inputs-Proposals'!$D$23*'Inputs-Proposals'!$D$25*('Inputs-Proposals'!$D$26))*(VLOOKUP(AZ$3,Energy!$A$51:$K$83,5,FALSE)), $C13= "3", ('Inputs-System'!$C$30*'Coincidence Factors'!$B$7*(1+'Inputs-System'!$C$18)*(1+'Inputs-System'!$C$41)*('Inputs-Proposals'!$D$29*'Inputs-Proposals'!$D$31*('Inputs-Proposals'!$D$32))*(VLOOKUP(AZ$3,Energy!$A$51:$K$83,5,FALSE))), $C13= "0", 0), 0)</f>
        <v>0</v>
      </c>
      <c r="BA13" s="44">
        <f>IFERROR(_xlfn.IFS($C13="1",'Inputs-System'!$C$30*'Coincidence Factors'!$B$7*(1+'Inputs-System'!$C$18)*(1+'Inputs-System'!$C$41)*'Inputs-Proposals'!$D$17*'Inputs-Proposals'!$D$19*('Inputs-Proposals'!$D$20)*(VLOOKUP(AZ$3,'Embedded Emissions'!$A$47:$B$78,2,FALSE)+VLOOKUP(AZ$3,'Embedded Emissions'!$A$129:$B$158,2,FALSE)), $C13 = "2",'Inputs-System'!$C$30*'Coincidence Factors'!$B$7*(1+'Inputs-System'!$C$18)*(1+'Inputs-System'!$C$41)*'Inputs-Proposals'!$D$23*'Inputs-Proposals'!$D$25*('Inputs-Proposals'!$D$20)*(VLOOKUP(AZ$3,'Embedded Emissions'!$A$47:$B$78,2,FALSE)+VLOOKUP(AZ$3,'Embedded Emissions'!$A$129:$B$158,2,FALSE)), $C13 = "3", 'Inputs-System'!$C$30*'Coincidence Factors'!$B$7*(1+'Inputs-System'!$C$18)*(1+'Inputs-System'!$C$41)*'Inputs-Proposals'!$D$29*'Inputs-Proposals'!$D$31*('Inputs-Proposals'!$D$20)*(VLOOKUP(AZ$3,'Embedded Emissions'!$A$47:$B$78,2,FALSE)+VLOOKUP(AZ$3,'Embedded Emissions'!$A$129:$B$158,2,FALSE)), $C13 = "0", 0), 0)</f>
        <v>0</v>
      </c>
      <c r="BB13" s="44">
        <f>IFERROR(_xlfn.IFS($C13="1",( 'Inputs-System'!$C$30*'Coincidence Factors'!$B$7*(1+'Inputs-System'!$C$18)*(1+'Inputs-System'!$C$41))*('Inputs-Proposals'!$D$17*'Inputs-Proposals'!$D$19*('Inputs-Proposals'!$D$20))*(VLOOKUP(AZ$3,DRIPE!$A$54:$I$82,5,FALSE)+VLOOKUP(AZ$3,DRIPE!$A$54:$I$82,9,FALSE))+ ('Inputs-System'!$C$26*'Coincidence Factors'!$B$7*(1+'Inputs-System'!$C$18)*(1+'Inputs-System'!$C$42))*'Inputs-Proposals'!$D$16*VLOOKUP(AZ$3,DRIPE!$A$54:$I$82,8,FALSE), $C13 = "2",( 'Inputs-System'!$C$30*'Coincidence Factors'!$B$7*(1+'Inputs-System'!$C$18)*(1+'Inputs-System'!$C$41))*('Inputs-Proposals'!$D$23*'Inputs-Proposals'!$D$25*('Inputs-Proposals'!$D$26))*(VLOOKUP(AZ$3,DRIPE!$A$54:$I$82,5,FALSE)+VLOOKUP(AZ$3,DRIPE!$A$54:$I$82,12,FALSE))+ ('Inputs-System'!$C$26*'Coincidence Factors'!$B$7*(1+'Inputs-System'!$C$18)*(1+'Inputs-System'!$C$42))*'Inputs-Proposals'!$D$22*VLOOKUP(AZ$3,DRIPE!$A$54:$I$82,8,FALSE), $C13= "3", ( 'Inputs-System'!$C$30*'Coincidence Factors'!$B$7*(1+'Inputs-System'!$C$18)*(1+'Inputs-System'!$C$41))*('Inputs-Proposals'!$D$29*'Inputs-Proposals'!$D$31*('Inputs-Proposals'!$D$32))*(VLOOKUP(AZ$3,DRIPE!$A$54:$I$82,5,FALSE)+VLOOKUP(AZ$3,DRIPE!$A$54:$I$82,12,FALSE))+ ('Inputs-System'!$C$26*'Coincidence Factors'!$B$7*(1+'Inputs-System'!$C$18)*(1+'Inputs-System'!$C$42))*'Inputs-Proposals'!$D$28*VLOOKUP(AZ$3,DRIPE!$A$54:$I$82,8,FALSE), $C13 = "0", 0), 0)</f>
        <v>0</v>
      </c>
      <c r="BC13" s="45">
        <f>IFERROR(_xlfn.IFS($C13="1",('Inputs-System'!$C$26*'Coincidence Factors'!$B$7*(1+'Inputs-System'!$C$18))*'Inputs-Proposals'!$D$16*(VLOOKUP(AZ$3,Capacity!$A$53:$E$85,4,FALSE)*(1+'Inputs-System'!$C$42)+VLOOKUP(AZ$3,Capacity!$A$53:$E$85,5,FALSE)*'Inputs-System'!$C$29*(1+'Inputs-System'!$C$43)), $C13 = "2", ('Inputs-System'!$C$26*'Coincidence Factors'!$B$7*(1+'Inputs-System'!$C$18))*'Inputs-Proposals'!$D$22*(VLOOKUP(AZ$3,Capacity!$A$53:$E$85,4,FALSE)*(1+'Inputs-System'!$C$42)+VLOOKUP(AZ$3,Capacity!$A$53:$E$85,5,FALSE)*'Inputs-System'!$C$29*(1+'Inputs-System'!$C$43)), $C13 = "3",('Inputs-System'!$C$26*'Coincidence Factors'!$B$7*(1+'Inputs-System'!$C$18))*'Inputs-Proposals'!$D$28*(VLOOKUP(AZ$3,Capacity!$A$53:$E$85,4,FALSE)*(1+'Inputs-System'!$C$42)+VLOOKUP(AZ$3,Capacity!$A$53:$E$85,5,FALSE)*'Inputs-System'!$C$29*(1+'Inputs-System'!$C$43)), $C13 = "0", 0), 0)</f>
        <v>0</v>
      </c>
      <c r="BD13" s="44">
        <v>0</v>
      </c>
      <c r="BE13" s="342">
        <f>IFERROR(_xlfn.IFS($C13="1", 'Inputs-System'!$C$30*'Coincidence Factors'!$B$7*'Inputs-Proposals'!$D$17*'Inputs-Proposals'!$D$19*(VLOOKUP(AZ$3,'Non-Embedded Emissions'!$A$56:$D$90,2,FALSE)+VLOOKUP(AZ$3,'Non-Embedded Emissions'!$A$143:$D$174,2,FALSE)+VLOOKUP(AZ$3,'Non-Embedded Emissions'!$A$230:$D$259,2,FALSE)), $C13 = "2", 'Inputs-System'!$C$30*'Coincidence Factors'!$B$7*'Inputs-Proposals'!$D$23*'Inputs-Proposals'!$D$25*(VLOOKUP(AZ$3,'Non-Embedded Emissions'!$A$56:$D$90,2,FALSE)+VLOOKUP(AZ$3,'Non-Embedded Emissions'!$A$143:$D$174,2,FALSE)+VLOOKUP(AZ$3,'Non-Embedded Emissions'!$A$230:$D$259,2,FALSE)), $C13 = "3", 'Inputs-System'!$C$30*'Coincidence Factors'!$B$7*'Inputs-Proposals'!$D$29*'Inputs-Proposals'!$D$31*(VLOOKUP(AZ$3,'Non-Embedded Emissions'!$A$56:$D$90,2,FALSE)+VLOOKUP(AZ$3,'Non-Embedded Emissions'!$A$143:$D$174,2,FALSE)+VLOOKUP(AZ$3,'Non-Embedded Emissions'!$A$230:$D$259,2,FALSE)), $C13 = "0", 0), 0)</f>
        <v>0</v>
      </c>
      <c r="BF13" s="45">
        <f>IFERROR(_xlfn.IFS($C13="1",('Inputs-System'!$C$30*'Coincidence Factors'!$B$7*(1+'Inputs-System'!$C$18)*(1+'Inputs-System'!$C$41)*('Inputs-Proposals'!$D$17*'Inputs-Proposals'!$D$19*('Inputs-Proposals'!$D$20))*(VLOOKUP(BF$3,Energy!$A$51:$K$83,5,FALSE))), $C13 = "2",('Inputs-System'!$C$30*'Coincidence Factors'!$B$7)*(1+'Inputs-System'!$C$18)*(1+'Inputs-System'!$C$41)*('Inputs-Proposals'!$D$23*'Inputs-Proposals'!$D$25*('Inputs-Proposals'!$D$26))*(VLOOKUP(BF$3,Energy!$A$51:$K$83,5,FALSE)), $C13= "3", ('Inputs-System'!$C$30*'Coincidence Factors'!$B$7*(1+'Inputs-System'!$C$18)*(1+'Inputs-System'!$C$41)*('Inputs-Proposals'!$D$29*'Inputs-Proposals'!$D$31*('Inputs-Proposals'!$D$32))*(VLOOKUP(BF$3,Energy!$A$51:$K$83,5,FALSE))), $C13= "0", 0), 0)</f>
        <v>0</v>
      </c>
      <c r="BG13" s="44">
        <f>IFERROR(_xlfn.IFS($C13="1",'Inputs-System'!$C$30*'Coincidence Factors'!$B$7*(1+'Inputs-System'!$C$18)*(1+'Inputs-System'!$C$41)*'Inputs-Proposals'!$D$17*'Inputs-Proposals'!$D$19*('Inputs-Proposals'!$D$20)*(VLOOKUP(BF$3,'Embedded Emissions'!$A$47:$B$78,2,FALSE)+VLOOKUP(BF$3,'Embedded Emissions'!$A$129:$B$158,2,FALSE)), $C13 = "2",'Inputs-System'!$C$30*'Coincidence Factors'!$B$7*(1+'Inputs-System'!$C$18)*(1+'Inputs-System'!$C$41)*'Inputs-Proposals'!$D$23*'Inputs-Proposals'!$D$25*('Inputs-Proposals'!$D$20)*(VLOOKUP(BF$3,'Embedded Emissions'!$A$47:$B$78,2,FALSE)+VLOOKUP(BF$3,'Embedded Emissions'!$A$129:$B$158,2,FALSE)), $C13 = "3", 'Inputs-System'!$C$30*'Coincidence Factors'!$B$7*(1+'Inputs-System'!$C$18)*(1+'Inputs-System'!$C$41)*'Inputs-Proposals'!$D$29*'Inputs-Proposals'!$D$31*('Inputs-Proposals'!$D$20)*(VLOOKUP(BF$3,'Embedded Emissions'!$A$47:$B$78,2,FALSE)+VLOOKUP(BF$3,'Embedded Emissions'!$A$129:$B$158,2,FALSE)), $C13 = "0", 0), 0)</f>
        <v>0</v>
      </c>
      <c r="BH13" s="44">
        <f>IFERROR(_xlfn.IFS($C13="1",( 'Inputs-System'!$C$30*'Coincidence Factors'!$B$7*(1+'Inputs-System'!$C$18)*(1+'Inputs-System'!$C$41))*('Inputs-Proposals'!$D$17*'Inputs-Proposals'!$D$19*('Inputs-Proposals'!$D$20))*(VLOOKUP(BF$3,DRIPE!$A$54:$I$82,5,FALSE)+VLOOKUP(BF$3,DRIPE!$A$54:$I$82,9,FALSE))+ ('Inputs-System'!$C$26*'Coincidence Factors'!$B$7*(1+'Inputs-System'!$C$18)*(1+'Inputs-System'!$C$42))*'Inputs-Proposals'!$D$16*VLOOKUP(BF$3,DRIPE!$A$54:$I$82,8,FALSE), $C13 = "2",( 'Inputs-System'!$C$30*'Coincidence Factors'!$B$7*(1+'Inputs-System'!$C$18)*(1+'Inputs-System'!$C$41))*('Inputs-Proposals'!$D$23*'Inputs-Proposals'!$D$25*('Inputs-Proposals'!$D$26))*(VLOOKUP(BF$3,DRIPE!$A$54:$I$82,5,FALSE)+VLOOKUP(BF$3,DRIPE!$A$54:$I$82,12,FALSE))+ ('Inputs-System'!$C$26*'Coincidence Factors'!$B$7*(1+'Inputs-System'!$C$18)*(1+'Inputs-System'!$C$42))*'Inputs-Proposals'!$D$22*VLOOKUP(BF$3,DRIPE!$A$54:$I$82,8,FALSE), $C13= "3", ( 'Inputs-System'!$C$30*'Coincidence Factors'!$B$7*(1+'Inputs-System'!$C$18)*(1+'Inputs-System'!$C$41))*('Inputs-Proposals'!$D$29*'Inputs-Proposals'!$D$31*('Inputs-Proposals'!$D$32))*(VLOOKUP(BF$3,DRIPE!$A$54:$I$82,5,FALSE)+VLOOKUP(BF$3,DRIPE!$A$54:$I$82,12,FALSE))+ ('Inputs-System'!$C$26*'Coincidence Factors'!$B$7*(1+'Inputs-System'!$C$18)*(1+'Inputs-System'!$C$42))*'Inputs-Proposals'!$D$28*VLOOKUP(BF$3,DRIPE!$A$54:$I$82,8,FALSE), $C13 = "0", 0), 0)</f>
        <v>0</v>
      </c>
      <c r="BI13" s="45">
        <f>IFERROR(_xlfn.IFS($C13="1",('Inputs-System'!$C$26*'Coincidence Factors'!$B$7*(1+'Inputs-System'!$C$18))*'Inputs-Proposals'!$D$16*(VLOOKUP(BF$3,Capacity!$A$53:$E$85,4,FALSE)*(1+'Inputs-System'!$C$42)+VLOOKUP(BF$3,Capacity!$A$53:$E$85,5,FALSE)*'Inputs-System'!$C$29*(1+'Inputs-System'!$C$43)), $C13 = "2", ('Inputs-System'!$C$26*'Coincidence Factors'!$B$7*(1+'Inputs-System'!$C$18))*'Inputs-Proposals'!$D$22*(VLOOKUP(BF$3,Capacity!$A$53:$E$85,4,FALSE)*(1+'Inputs-System'!$C$42)+VLOOKUP(BF$3,Capacity!$A$53:$E$85,5,FALSE)*'Inputs-System'!$C$29*(1+'Inputs-System'!$C$43)), $C13 = "3",('Inputs-System'!$C$26*'Coincidence Factors'!$B$7*(1+'Inputs-System'!$C$18))*'Inputs-Proposals'!$D$28*(VLOOKUP(BF$3,Capacity!$A$53:$E$85,4,FALSE)*(1+'Inputs-System'!$C$42)+VLOOKUP(BF$3,Capacity!$A$53:$E$85,5,FALSE)*'Inputs-System'!$C$29*(1+'Inputs-System'!$C$43)), $C13 = "0", 0), 0)</f>
        <v>0</v>
      </c>
      <c r="BJ13" s="44">
        <v>0</v>
      </c>
      <c r="BK13" s="342">
        <f>IFERROR(_xlfn.IFS($C13="1", 'Inputs-System'!$C$30*'Coincidence Factors'!$B$7*'Inputs-Proposals'!$D$17*'Inputs-Proposals'!$D$19*(VLOOKUP(BF$3,'Non-Embedded Emissions'!$A$56:$D$90,2,FALSE)+VLOOKUP(BF$3,'Non-Embedded Emissions'!$A$143:$D$174,2,FALSE)+VLOOKUP(BF$3,'Non-Embedded Emissions'!$A$230:$D$259,2,FALSE)), $C13 = "2", 'Inputs-System'!$C$30*'Coincidence Factors'!$B$7*'Inputs-Proposals'!$D$23*'Inputs-Proposals'!$D$25*(VLOOKUP(BF$3,'Non-Embedded Emissions'!$A$56:$D$90,2,FALSE)+VLOOKUP(BF$3,'Non-Embedded Emissions'!$A$143:$D$174,2,FALSE)+VLOOKUP(BF$3,'Non-Embedded Emissions'!$A$230:$D$259,2,FALSE)), $C13 = "3", 'Inputs-System'!$C$30*'Coincidence Factors'!$B$7*'Inputs-Proposals'!$D$29*'Inputs-Proposals'!$D$31*(VLOOKUP(BF$3,'Non-Embedded Emissions'!$A$56:$D$90,2,FALSE)+VLOOKUP(BF$3,'Non-Embedded Emissions'!$A$143:$D$174,2,FALSE)+VLOOKUP(BF$3,'Non-Embedded Emissions'!$A$230:$D$259,2,FALSE)), $C13 = "0", 0), 0)</f>
        <v>0</v>
      </c>
      <c r="BL13" s="45">
        <f>IFERROR(_xlfn.IFS($C13="1",('Inputs-System'!$C$30*'Coincidence Factors'!$B$7*(1+'Inputs-System'!$C$18)*(1+'Inputs-System'!$C$41)*('Inputs-Proposals'!$D$17*'Inputs-Proposals'!$D$19*('Inputs-Proposals'!$D$20))*(VLOOKUP(BL$3,Energy!$A$51:$K$83,5,FALSE))), $C13 = "2",('Inputs-System'!$C$30*'Coincidence Factors'!$B$7)*(1+'Inputs-System'!$C$18)*(1+'Inputs-System'!$C$41)*('Inputs-Proposals'!$D$23*'Inputs-Proposals'!$D$25*('Inputs-Proposals'!$D$26))*(VLOOKUP(BL$3,Energy!$A$51:$K$83,5,FALSE)), $C13= "3", ('Inputs-System'!$C$30*'Coincidence Factors'!$B$7*(1+'Inputs-System'!$C$18)*(1+'Inputs-System'!$C$41)*('Inputs-Proposals'!$D$29*'Inputs-Proposals'!$D$31*('Inputs-Proposals'!$D$32))*(VLOOKUP(BL$3,Energy!$A$51:$K$83,5,FALSE))), $C13= "0", 0), 0)</f>
        <v>0</v>
      </c>
      <c r="BM13" s="44">
        <f>IFERROR(_xlfn.IFS($C13="1",'Inputs-System'!$C$30*'Coincidence Factors'!$B$7*(1+'Inputs-System'!$C$18)*(1+'Inputs-System'!$C$41)*'Inputs-Proposals'!$D$17*'Inputs-Proposals'!$D$19*('Inputs-Proposals'!$D$20)*(VLOOKUP(BL$3,'Embedded Emissions'!$A$47:$B$78,2,FALSE)+VLOOKUP(BL$3,'Embedded Emissions'!$A$129:$B$158,2,FALSE)), $C13 = "2",'Inputs-System'!$C$30*'Coincidence Factors'!$B$7*(1+'Inputs-System'!$C$18)*(1+'Inputs-System'!$C$41)*'Inputs-Proposals'!$D$23*'Inputs-Proposals'!$D$25*('Inputs-Proposals'!$D$20)*(VLOOKUP(BL$3,'Embedded Emissions'!$A$47:$B$78,2,FALSE)+VLOOKUP(BL$3,'Embedded Emissions'!$A$129:$B$158,2,FALSE)), $C13 = "3", 'Inputs-System'!$C$30*'Coincidence Factors'!$B$7*(1+'Inputs-System'!$C$18)*(1+'Inputs-System'!$C$41)*'Inputs-Proposals'!$D$29*'Inputs-Proposals'!$D$31*('Inputs-Proposals'!$D$20)*(VLOOKUP(BL$3,'Embedded Emissions'!$A$47:$B$78,2,FALSE)+VLOOKUP(BL$3,'Embedded Emissions'!$A$129:$B$158,2,FALSE)), $C13 = "0", 0), 0)</f>
        <v>0</v>
      </c>
      <c r="BN13" s="44">
        <f>IFERROR(_xlfn.IFS($C13="1",( 'Inputs-System'!$C$30*'Coincidence Factors'!$B$7*(1+'Inputs-System'!$C$18)*(1+'Inputs-System'!$C$41))*('Inputs-Proposals'!$D$17*'Inputs-Proposals'!$D$19*('Inputs-Proposals'!$D$20))*(VLOOKUP(BL$3,DRIPE!$A$54:$I$82,5,FALSE)+VLOOKUP(BL$3,DRIPE!$A$54:$I$82,9,FALSE))+ ('Inputs-System'!$C$26*'Coincidence Factors'!$B$7*(1+'Inputs-System'!$C$18)*(1+'Inputs-System'!$C$42))*'Inputs-Proposals'!$D$16*VLOOKUP(BL$3,DRIPE!$A$54:$I$82,8,FALSE), $C13 = "2",( 'Inputs-System'!$C$30*'Coincidence Factors'!$B$7*(1+'Inputs-System'!$C$18)*(1+'Inputs-System'!$C$41))*('Inputs-Proposals'!$D$23*'Inputs-Proposals'!$D$25*('Inputs-Proposals'!$D$26))*(VLOOKUP(BL$3,DRIPE!$A$54:$I$82,5,FALSE)+VLOOKUP(BL$3,DRIPE!$A$54:$I$82,12,FALSE))+ ('Inputs-System'!$C$26*'Coincidence Factors'!$B$7*(1+'Inputs-System'!$C$18)*(1+'Inputs-System'!$C$42))*'Inputs-Proposals'!$D$22*VLOOKUP(BL$3,DRIPE!$A$54:$I$82,8,FALSE), $C13= "3", ( 'Inputs-System'!$C$30*'Coincidence Factors'!$B$7*(1+'Inputs-System'!$C$18)*(1+'Inputs-System'!$C$41))*('Inputs-Proposals'!$D$29*'Inputs-Proposals'!$D$31*('Inputs-Proposals'!$D$32))*(VLOOKUP(BL$3,DRIPE!$A$54:$I$82,5,FALSE)+VLOOKUP(BL$3,DRIPE!$A$54:$I$82,12,FALSE))+ ('Inputs-System'!$C$26*'Coincidence Factors'!$B$7*(1+'Inputs-System'!$C$18)*(1+'Inputs-System'!$C$42))*'Inputs-Proposals'!$D$28*VLOOKUP(BL$3,DRIPE!$A$54:$I$82,8,FALSE), $C13 = "0", 0), 0)</f>
        <v>0</v>
      </c>
      <c r="BO13" s="45">
        <f>IFERROR(_xlfn.IFS($C13="1",('Inputs-System'!$C$26*'Coincidence Factors'!$B$7*(1+'Inputs-System'!$C$18))*'Inputs-Proposals'!$D$16*(VLOOKUP(BL$3,Capacity!$A$53:$E$85,4,FALSE)*(1+'Inputs-System'!$C$42)+VLOOKUP(BL$3,Capacity!$A$53:$E$85,5,FALSE)*'Inputs-System'!$C$29*(1+'Inputs-System'!$C$43)), $C13 = "2", ('Inputs-System'!$C$26*'Coincidence Factors'!$B$7*(1+'Inputs-System'!$C$18))*'Inputs-Proposals'!$D$22*(VLOOKUP(BL$3,Capacity!$A$53:$E$85,4,FALSE)*(1+'Inputs-System'!$C$42)+VLOOKUP(BL$3,Capacity!$A$53:$E$85,5,FALSE)*'Inputs-System'!$C$29*(1+'Inputs-System'!$C$43)), $C13 = "3",('Inputs-System'!$C$26*'Coincidence Factors'!$B$7*(1+'Inputs-System'!$C$18))*'Inputs-Proposals'!$D$28*(VLOOKUP(BL$3,Capacity!$A$53:$E$85,4,FALSE)*(1+'Inputs-System'!$C$42)+VLOOKUP(BL$3,Capacity!$A$53:$E$85,5,FALSE)*'Inputs-System'!$C$29*(1+'Inputs-System'!$C$43)), $C13 = "0", 0), 0)</f>
        <v>0</v>
      </c>
      <c r="BP13" s="44">
        <v>0</v>
      </c>
      <c r="BQ13" s="342">
        <f>IFERROR(_xlfn.IFS($C13="1", 'Inputs-System'!$C$30*'Coincidence Factors'!$B$7*'Inputs-Proposals'!$D$17*'Inputs-Proposals'!$D$19*(VLOOKUP(BL$3,'Non-Embedded Emissions'!$A$56:$D$90,2,FALSE)+VLOOKUP(BL$3,'Non-Embedded Emissions'!$A$143:$D$174,2,FALSE)+VLOOKUP(BL$3,'Non-Embedded Emissions'!$A$230:$D$259,2,FALSE)), $C13 = "2", 'Inputs-System'!$C$30*'Coincidence Factors'!$B$7*'Inputs-Proposals'!$D$23*'Inputs-Proposals'!$D$25*(VLOOKUP(BL$3,'Non-Embedded Emissions'!$A$56:$D$90,2,FALSE)+VLOOKUP(BL$3,'Non-Embedded Emissions'!$A$143:$D$174,2,FALSE)+VLOOKUP(BL$3,'Non-Embedded Emissions'!$A$230:$D$259,2,FALSE)), $C13 = "3", 'Inputs-System'!$C$30*'Coincidence Factors'!$B$7*'Inputs-Proposals'!$D$29*'Inputs-Proposals'!$D$31*(VLOOKUP(BL$3,'Non-Embedded Emissions'!$A$56:$D$90,2,FALSE)+VLOOKUP(BL$3,'Non-Embedded Emissions'!$A$143:$D$174,2,FALSE)+VLOOKUP(BL$3,'Non-Embedded Emissions'!$A$230:$D$259,2,FALSE)), $C13 = "0", 0), 0)</f>
        <v>0</v>
      </c>
      <c r="BR13" s="45">
        <f>IFERROR(_xlfn.IFS($C13="1",('Inputs-System'!$C$30*'Coincidence Factors'!$B$7*(1+'Inputs-System'!$C$18)*(1+'Inputs-System'!$C$41)*('Inputs-Proposals'!$D$17*'Inputs-Proposals'!$D$19*('Inputs-Proposals'!$D$20))*(VLOOKUP(BR$3,Energy!$A$51:$K$83,5,FALSE))), $C13 = "2",('Inputs-System'!$C$30*'Coincidence Factors'!$B$7)*(1+'Inputs-System'!$C$18)*(1+'Inputs-System'!$C$41)*('Inputs-Proposals'!$D$23*'Inputs-Proposals'!$D$25*('Inputs-Proposals'!$D$26))*(VLOOKUP(BR$3,Energy!$A$51:$K$83,5,FALSE)), $C13= "3", ('Inputs-System'!$C$30*'Coincidence Factors'!$B$7*(1+'Inputs-System'!$C$18)*(1+'Inputs-System'!$C$41)*('Inputs-Proposals'!$D$29*'Inputs-Proposals'!$D$31*('Inputs-Proposals'!$D$32))*(VLOOKUP(BR$3,Energy!$A$51:$K$83,5,FALSE))), $C13= "0", 0), 0)</f>
        <v>0</v>
      </c>
      <c r="BS13" s="44">
        <f>IFERROR(_xlfn.IFS($C13="1",'Inputs-System'!$C$30*'Coincidence Factors'!$B$7*(1+'Inputs-System'!$C$18)*(1+'Inputs-System'!$C$41)*'Inputs-Proposals'!$D$17*'Inputs-Proposals'!$D$19*('Inputs-Proposals'!$D$20)*(VLOOKUP(BR$3,'Embedded Emissions'!$A$47:$B$78,2,FALSE)+VLOOKUP(BR$3,'Embedded Emissions'!$A$129:$B$158,2,FALSE)), $C13 = "2",'Inputs-System'!$C$30*'Coincidence Factors'!$B$7*(1+'Inputs-System'!$C$18)*(1+'Inputs-System'!$C$41)*'Inputs-Proposals'!$D$23*'Inputs-Proposals'!$D$25*('Inputs-Proposals'!$D$20)*(VLOOKUP(BR$3,'Embedded Emissions'!$A$47:$B$78,2,FALSE)+VLOOKUP(BR$3,'Embedded Emissions'!$A$129:$B$158,2,FALSE)), $C13 = "3", 'Inputs-System'!$C$30*'Coincidence Factors'!$B$7*(1+'Inputs-System'!$C$18)*(1+'Inputs-System'!$C$41)*'Inputs-Proposals'!$D$29*'Inputs-Proposals'!$D$31*('Inputs-Proposals'!$D$20)*(VLOOKUP(BR$3,'Embedded Emissions'!$A$47:$B$78,2,FALSE)+VLOOKUP(BR$3,'Embedded Emissions'!$A$129:$B$158,2,FALSE)), $C13 = "0", 0), 0)</f>
        <v>0</v>
      </c>
      <c r="BT13" s="44">
        <f>IFERROR(_xlfn.IFS($C13="1",( 'Inputs-System'!$C$30*'Coincidence Factors'!$B$7*(1+'Inputs-System'!$C$18)*(1+'Inputs-System'!$C$41))*('Inputs-Proposals'!$D$17*'Inputs-Proposals'!$D$19*('Inputs-Proposals'!$D$20))*(VLOOKUP(BR$3,DRIPE!$A$54:$I$82,5,FALSE)+VLOOKUP(BR$3,DRIPE!$A$54:$I$82,9,FALSE))+ ('Inputs-System'!$C$26*'Coincidence Factors'!$B$7*(1+'Inputs-System'!$C$18)*(1+'Inputs-System'!$C$42))*'Inputs-Proposals'!$D$16*VLOOKUP(BR$3,DRIPE!$A$54:$I$82,8,FALSE), $C13 = "2",( 'Inputs-System'!$C$30*'Coincidence Factors'!$B$7*(1+'Inputs-System'!$C$18)*(1+'Inputs-System'!$C$41))*('Inputs-Proposals'!$D$23*'Inputs-Proposals'!$D$25*('Inputs-Proposals'!$D$26))*(VLOOKUP(BR$3,DRIPE!$A$54:$I$82,5,FALSE)+VLOOKUP(BR$3,DRIPE!$A$54:$I$82,12,FALSE))+ ('Inputs-System'!$C$26*'Coincidence Factors'!$B$7*(1+'Inputs-System'!$C$18)*(1+'Inputs-System'!$C$42))*'Inputs-Proposals'!$D$22*VLOOKUP(BR$3,DRIPE!$A$54:$I$82,8,FALSE), $C13= "3", ( 'Inputs-System'!$C$30*'Coincidence Factors'!$B$7*(1+'Inputs-System'!$C$18)*(1+'Inputs-System'!$C$41))*('Inputs-Proposals'!$D$29*'Inputs-Proposals'!$D$31*('Inputs-Proposals'!$D$32))*(VLOOKUP(BR$3,DRIPE!$A$54:$I$82,5,FALSE)+VLOOKUP(BR$3,DRIPE!$A$54:$I$82,12,FALSE))+ ('Inputs-System'!$C$26*'Coincidence Factors'!$B$7*(1+'Inputs-System'!$C$18)*(1+'Inputs-System'!$C$42))*'Inputs-Proposals'!$D$28*VLOOKUP(BR$3,DRIPE!$A$54:$I$82,8,FALSE), $C13 = "0", 0), 0)</f>
        <v>0</v>
      </c>
      <c r="BU13" s="45">
        <f>IFERROR(_xlfn.IFS($C13="1",('Inputs-System'!$C$26*'Coincidence Factors'!$B$7*(1+'Inputs-System'!$C$18))*'Inputs-Proposals'!$D$16*(VLOOKUP(BR$3,Capacity!$A$53:$E$85,4,FALSE)*(1+'Inputs-System'!$C$42)+VLOOKUP(BR$3,Capacity!$A$53:$E$85,5,FALSE)*'Inputs-System'!$C$29*(1+'Inputs-System'!$C$43)), $C13 = "2", ('Inputs-System'!$C$26*'Coincidence Factors'!$B$7*(1+'Inputs-System'!$C$18))*'Inputs-Proposals'!$D$22*(VLOOKUP(BR$3,Capacity!$A$53:$E$85,4,FALSE)*(1+'Inputs-System'!$C$42)+VLOOKUP(BR$3,Capacity!$A$53:$E$85,5,FALSE)*'Inputs-System'!$C$29*(1+'Inputs-System'!$C$43)), $C13 = "3",('Inputs-System'!$C$26*'Coincidence Factors'!$B$7*(1+'Inputs-System'!$C$18))*'Inputs-Proposals'!$D$28*(VLOOKUP(BR$3,Capacity!$A$53:$E$85,4,FALSE)*(1+'Inputs-System'!$C$42)+VLOOKUP(BR$3,Capacity!$A$53:$E$85,5,FALSE)*'Inputs-System'!$C$29*(1+'Inputs-System'!$C$43)), $C13 = "0", 0), 0)</f>
        <v>0</v>
      </c>
      <c r="BV13" s="44">
        <v>0</v>
      </c>
      <c r="BW13" s="342">
        <f>IFERROR(_xlfn.IFS($C13="1", 'Inputs-System'!$C$30*'Coincidence Factors'!$B$7*'Inputs-Proposals'!$D$17*'Inputs-Proposals'!$D$19*(VLOOKUP(BR$3,'Non-Embedded Emissions'!$A$56:$D$90,2,FALSE)+VLOOKUP(BR$3,'Non-Embedded Emissions'!$A$143:$D$174,2,FALSE)+VLOOKUP(BR$3,'Non-Embedded Emissions'!$A$230:$D$259,2,FALSE)), $C13 = "2", 'Inputs-System'!$C$30*'Coincidence Factors'!$B$7*'Inputs-Proposals'!$D$23*'Inputs-Proposals'!$D$25*(VLOOKUP(BR$3,'Non-Embedded Emissions'!$A$56:$D$90,2,FALSE)+VLOOKUP(BR$3,'Non-Embedded Emissions'!$A$143:$D$174,2,FALSE)+VLOOKUP(BR$3,'Non-Embedded Emissions'!$A$230:$D$259,2,FALSE)), $C13 = "3", 'Inputs-System'!$C$30*'Coincidence Factors'!$B$7*'Inputs-Proposals'!$D$29*'Inputs-Proposals'!$D$31*(VLOOKUP(BR$3,'Non-Embedded Emissions'!$A$56:$D$90,2,FALSE)+VLOOKUP(BR$3,'Non-Embedded Emissions'!$A$143:$D$174,2,FALSE)+VLOOKUP(BR$3,'Non-Embedded Emissions'!$A$230:$D$259,2,FALSE)), $C13 = "0", 0), 0)</f>
        <v>0</v>
      </c>
      <c r="BX13" s="45">
        <f>IFERROR(_xlfn.IFS($C13="1",('Inputs-System'!$C$30*'Coincidence Factors'!$B$7*(1+'Inputs-System'!$C$18)*(1+'Inputs-System'!$C$41)*('Inputs-Proposals'!$D$17*'Inputs-Proposals'!$D$19*('Inputs-Proposals'!$D$20))*(VLOOKUP(BX$3,Energy!$A$51:$K$83,5,FALSE))), $C13 = "2",('Inputs-System'!$C$30*'Coincidence Factors'!$B$7)*(1+'Inputs-System'!$C$18)*(1+'Inputs-System'!$C$41)*('Inputs-Proposals'!$D$23*'Inputs-Proposals'!$D$25*('Inputs-Proposals'!$D$26))*(VLOOKUP(BX$3,Energy!$A$51:$K$83,5,FALSE)), $C13= "3", ('Inputs-System'!$C$30*'Coincidence Factors'!$B$7*(1+'Inputs-System'!$C$18)*(1+'Inputs-System'!$C$41)*('Inputs-Proposals'!$D$29*'Inputs-Proposals'!$D$31*('Inputs-Proposals'!$D$32))*(VLOOKUP(BX$3,Energy!$A$51:$K$83,5,FALSE))), $C13= "0", 0), 0)</f>
        <v>0</v>
      </c>
      <c r="BY13" s="44">
        <f>IFERROR(_xlfn.IFS($C13="1",'Inputs-System'!$C$30*'Coincidence Factors'!$B$7*(1+'Inputs-System'!$C$18)*(1+'Inputs-System'!$C$41)*'Inputs-Proposals'!$D$17*'Inputs-Proposals'!$D$19*('Inputs-Proposals'!$D$20)*(VLOOKUP(BX$3,'Embedded Emissions'!$A$47:$B$78,2,FALSE)+VLOOKUP(BX$3,'Embedded Emissions'!$A$129:$B$158,2,FALSE)), $C13 = "2",'Inputs-System'!$C$30*'Coincidence Factors'!$B$7*(1+'Inputs-System'!$C$18)*(1+'Inputs-System'!$C$41)*'Inputs-Proposals'!$D$23*'Inputs-Proposals'!$D$25*('Inputs-Proposals'!$D$20)*(VLOOKUP(BX$3,'Embedded Emissions'!$A$47:$B$78,2,FALSE)+VLOOKUP(BX$3,'Embedded Emissions'!$A$129:$B$158,2,FALSE)), $C13 = "3", 'Inputs-System'!$C$30*'Coincidence Factors'!$B$7*(1+'Inputs-System'!$C$18)*(1+'Inputs-System'!$C$41)*'Inputs-Proposals'!$D$29*'Inputs-Proposals'!$D$31*('Inputs-Proposals'!$D$20)*(VLOOKUP(BX$3,'Embedded Emissions'!$A$47:$B$78,2,FALSE)+VLOOKUP(BX$3,'Embedded Emissions'!$A$129:$B$158,2,FALSE)), $C13 = "0", 0), 0)</f>
        <v>0</v>
      </c>
      <c r="BZ13" s="44">
        <f>IFERROR(_xlfn.IFS($C13="1",( 'Inputs-System'!$C$30*'Coincidence Factors'!$B$7*(1+'Inputs-System'!$C$18)*(1+'Inputs-System'!$C$41))*('Inputs-Proposals'!$D$17*'Inputs-Proposals'!$D$19*('Inputs-Proposals'!$D$20))*(VLOOKUP(BX$3,DRIPE!$A$54:$I$82,5,FALSE)+VLOOKUP(BX$3,DRIPE!$A$54:$I$82,9,FALSE))+ ('Inputs-System'!$C$26*'Coincidence Factors'!$B$7*(1+'Inputs-System'!$C$18)*(1+'Inputs-System'!$C$42))*'Inputs-Proposals'!$D$16*VLOOKUP(BX$3,DRIPE!$A$54:$I$82,8,FALSE), $C13 = "2",( 'Inputs-System'!$C$30*'Coincidence Factors'!$B$7*(1+'Inputs-System'!$C$18)*(1+'Inputs-System'!$C$41))*('Inputs-Proposals'!$D$23*'Inputs-Proposals'!$D$25*('Inputs-Proposals'!$D$26))*(VLOOKUP(BX$3,DRIPE!$A$54:$I$82,5,FALSE)+VLOOKUP(BX$3,DRIPE!$A$54:$I$82,12,FALSE))+ ('Inputs-System'!$C$26*'Coincidence Factors'!$B$7*(1+'Inputs-System'!$C$18)*(1+'Inputs-System'!$C$42))*'Inputs-Proposals'!$D$22*VLOOKUP(BX$3,DRIPE!$A$54:$I$82,8,FALSE), $C13= "3", ( 'Inputs-System'!$C$30*'Coincidence Factors'!$B$7*(1+'Inputs-System'!$C$18)*(1+'Inputs-System'!$C$41))*('Inputs-Proposals'!$D$29*'Inputs-Proposals'!$D$31*('Inputs-Proposals'!$D$32))*(VLOOKUP(BX$3,DRIPE!$A$54:$I$82,5,FALSE)+VLOOKUP(BX$3,DRIPE!$A$54:$I$82,12,FALSE))+ ('Inputs-System'!$C$26*'Coincidence Factors'!$B$7*(1+'Inputs-System'!$C$18)*(1+'Inputs-System'!$C$42))*'Inputs-Proposals'!$D$28*VLOOKUP(BX$3,DRIPE!$A$54:$I$82,8,FALSE), $C13 = "0", 0), 0)</f>
        <v>0</v>
      </c>
      <c r="CA13" s="45">
        <f>IFERROR(_xlfn.IFS($C13="1",('Inputs-System'!$C$26*'Coincidence Factors'!$B$7*(1+'Inputs-System'!$C$18))*'Inputs-Proposals'!$D$16*(VLOOKUP(BX$3,Capacity!$A$53:$E$85,4,FALSE)*(1+'Inputs-System'!$C$42)+VLOOKUP(BX$3,Capacity!$A$53:$E$85,5,FALSE)*'Inputs-System'!$C$29*(1+'Inputs-System'!$C$43)), $C13 = "2", ('Inputs-System'!$C$26*'Coincidence Factors'!$B$7*(1+'Inputs-System'!$C$18))*'Inputs-Proposals'!$D$22*(VLOOKUP(BX$3,Capacity!$A$53:$E$85,4,FALSE)*(1+'Inputs-System'!$C$42)+VLOOKUP(BX$3,Capacity!$A$53:$E$85,5,FALSE)*'Inputs-System'!$C$29*(1+'Inputs-System'!$C$43)), $C13 = "3",('Inputs-System'!$C$26*'Coincidence Factors'!$B$7*(1+'Inputs-System'!$C$18))*'Inputs-Proposals'!$D$28*(VLOOKUP(BX$3,Capacity!$A$53:$E$85,4,FALSE)*(1+'Inputs-System'!$C$42)+VLOOKUP(BX$3,Capacity!$A$53:$E$85,5,FALSE)*'Inputs-System'!$C$29*(1+'Inputs-System'!$C$43)), $C13 = "0", 0), 0)</f>
        <v>0</v>
      </c>
      <c r="CB13" s="44">
        <v>0</v>
      </c>
      <c r="CC13" s="342">
        <f>IFERROR(_xlfn.IFS($C13="1", 'Inputs-System'!$C$30*'Coincidence Factors'!$B$7*'Inputs-Proposals'!$D$17*'Inputs-Proposals'!$D$19*(VLOOKUP(BX$3,'Non-Embedded Emissions'!$A$56:$D$90,2,FALSE)+VLOOKUP(BX$3,'Non-Embedded Emissions'!$A$143:$D$174,2,FALSE)+VLOOKUP(BX$3,'Non-Embedded Emissions'!$A$230:$D$259,2,FALSE)), $C13 = "2", 'Inputs-System'!$C$30*'Coincidence Factors'!$B$7*'Inputs-Proposals'!$D$23*'Inputs-Proposals'!$D$25*(VLOOKUP(BX$3,'Non-Embedded Emissions'!$A$56:$D$90,2,FALSE)+VLOOKUP(BX$3,'Non-Embedded Emissions'!$A$143:$D$174,2,FALSE)+VLOOKUP(BX$3,'Non-Embedded Emissions'!$A$230:$D$259,2,FALSE)), $C13 = "3", 'Inputs-System'!$C$30*'Coincidence Factors'!$B$7*'Inputs-Proposals'!$D$29*'Inputs-Proposals'!$D$31*(VLOOKUP(BX$3,'Non-Embedded Emissions'!$A$56:$D$90,2,FALSE)+VLOOKUP(BX$3,'Non-Embedded Emissions'!$A$143:$D$174,2,FALSE)+VLOOKUP(BX$3,'Non-Embedded Emissions'!$A$230:$D$259,2,FALSE)), $C13 = "0", 0), 0)</f>
        <v>0</v>
      </c>
      <c r="CD13" s="45">
        <f>IFERROR(_xlfn.IFS($C13="1",('Inputs-System'!$C$30*'Coincidence Factors'!$B$7*(1+'Inputs-System'!$C$18)*(1+'Inputs-System'!$C$41)*('Inputs-Proposals'!$D$17*'Inputs-Proposals'!$D$19*('Inputs-Proposals'!$D$20))*(VLOOKUP(CD$3,Energy!$A$51:$K$83,5,FALSE))), $C13 = "2",('Inputs-System'!$C$30*'Coincidence Factors'!$B$7)*(1+'Inputs-System'!$C$18)*(1+'Inputs-System'!$C$41)*('Inputs-Proposals'!$D$23*'Inputs-Proposals'!$D$25*('Inputs-Proposals'!$D$26))*(VLOOKUP(CD$3,Energy!$A$51:$K$83,5,FALSE)), $C13= "3", ('Inputs-System'!$C$30*'Coincidence Factors'!$B$7*(1+'Inputs-System'!$C$18)*(1+'Inputs-System'!$C$41)*('Inputs-Proposals'!$D$29*'Inputs-Proposals'!$D$31*('Inputs-Proposals'!$D$32))*(VLOOKUP(CD$3,Energy!$A$51:$K$83,5,FALSE))), $C13= "0", 0), 0)</f>
        <v>0</v>
      </c>
      <c r="CE13" s="44">
        <f>IFERROR(_xlfn.IFS($C13="1",'Inputs-System'!$C$30*'Coincidence Factors'!$B$7*(1+'Inputs-System'!$C$18)*(1+'Inputs-System'!$C$41)*'Inputs-Proposals'!$D$17*'Inputs-Proposals'!$D$19*('Inputs-Proposals'!$D$20)*(VLOOKUP(CD$3,'Embedded Emissions'!$A$47:$B$78,2,FALSE)+VLOOKUP(CD$3,'Embedded Emissions'!$A$129:$B$158,2,FALSE)), $C13 = "2",'Inputs-System'!$C$30*'Coincidence Factors'!$B$7*(1+'Inputs-System'!$C$18)*(1+'Inputs-System'!$C$41)*'Inputs-Proposals'!$D$23*'Inputs-Proposals'!$D$25*('Inputs-Proposals'!$D$20)*(VLOOKUP(CD$3,'Embedded Emissions'!$A$47:$B$78,2,FALSE)+VLOOKUP(CD$3,'Embedded Emissions'!$A$129:$B$158,2,FALSE)), $C13 = "3", 'Inputs-System'!$C$30*'Coincidence Factors'!$B$7*(1+'Inputs-System'!$C$18)*(1+'Inputs-System'!$C$41)*'Inputs-Proposals'!$D$29*'Inputs-Proposals'!$D$31*('Inputs-Proposals'!$D$20)*(VLOOKUP(CD$3,'Embedded Emissions'!$A$47:$B$78,2,FALSE)+VLOOKUP(CD$3,'Embedded Emissions'!$A$129:$B$158,2,FALSE)), $C13 = "0", 0), 0)</f>
        <v>0</v>
      </c>
      <c r="CF13" s="44">
        <f>IFERROR(_xlfn.IFS($C13="1",( 'Inputs-System'!$C$30*'Coincidence Factors'!$B$7*(1+'Inputs-System'!$C$18)*(1+'Inputs-System'!$C$41))*('Inputs-Proposals'!$D$17*'Inputs-Proposals'!$D$19*('Inputs-Proposals'!$D$20))*(VLOOKUP(CD$3,DRIPE!$A$54:$I$82,5,FALSE)+VLOOKUP(CD$3,DRIPE!$A$54:$I$82,9,FALSE))+ ('Inputs-System'!$C$26*'Coincidence Factors'!$B$7*(1+'Inputs-System'!$C$18)*(1+'Inputs-System'!$C$42))*'Inputs-Proposals'!$D$16*VLOOKUP(CD$3,DRIPE!$A$54:$I$82,8,FALSE), $C13 = "2",( 'Inputs-System'!$C$30*'Coincidence Factors'!$B$7*(1+'Inputs-System'!$C$18)*(1+'Inputs-System'!$C$41))*('Inputs-Proposals'!$D$23*'Inputs-Proposals'!$D$25*('Inputs-Proposals'!$D$26))*(VLOOKUP(CD$3,DRIPE!$A$54:$I$82,5,FALSE)+VLOOKUP(CD$3,DRIPE!$A$54:$I$82,12,FALSE))+ ('Inputs-System'!$C$26*'Coincidence Factors'!$B$7*(1+'Inputs-System'!$C$18)*(1+'Inputs-System'!$C$42))*'Inputs-Proposals'!$D$22*VLOOKUP(CD$3,DRIPE!$A$54:$I$82,8,FALSE), $C13= "3", ( 'Inputs-System'!$C$30*'Coincidence Factors'!$B$7*(1+'Inputs-System'!$C$18)*(1+'Inputs-System'!$C$41))*('Inputs-Proposals'!$D$29*'Inputs-Proposals'!$D$31*('Inputs-Proposals'!$D$32))*(VLOOKUP(CD$3,DRIPE!$A$54:$I$82,5,FALSE)+VLOOKUP(CD$3,DRIPE!$A$54:$I$82,12,FALSE))+ ('Inputs-System'!$C$26*'Coincidence Factors'!$B$7*(1+'Inputs-System'!$C$18)*(1+'Inputs-System'!$C$42))*'Inputs-Proposals'!$D$28*VLOOKUP(CD$3,DRIPE!$A$54:$I$82,8,FALSE), $C13 = "0", 0), 0)</f>
        <v>0</v>
      </c>
      <c r="CG13" s="45">
        <f>IFERROR(_xlfn.IFS($C13="1",('Inputs-System'!$C$26*'Coincidence Factors'!$B$7*(1+'Inputs-System'!$C$18))*'Inputs-Proposals'!$D$16*(VLOOKUP(CD$3,Capacity!$A$53:$E$85,4,FALSE)*(1+'Inputs-System'!$C$42)+VLOOKUP(CD$3,Capacity!$A$53:$E$85,5,FALSE)*'Inputs-System'!$C$29*(1+'Inputs-System'!$C$43)), $C13 = "2", ('Inputs-System'!$C$26*'Coincidence Factors'!$B$7*(1+'Inputs-System'!$C$18))*'Inputs-Proposals'!$D$22*(VLOOKUP(CD$3,Capacity!$A$53:$E$85,4,FALSE)*(1+'Inputs-System'!$C$42)+VLOOKUP(CD$3,Capacity!$A$53:$E$85,5,FALSE)*'Inputs-System'!$C$29*(1+'Inputs-System'!$C$43)), $C13 = "3",('Inputs-System'!$C$26*'Coincidence Factors'!$B$7*(1+'Inputs-System'!$C$18))*'Inputs-Proposals'!$D$28*(VLOOKUP(CD$3,Capacity!$A$53:$E$85,4,FALSE)*(1+'Inputs-System'!$C$42)+VLOOKUP(CD$3,Capacity!$A$53:$E$85,5,FALSE)*'Inputs-System'!$C$29*(1+'Inputs-System'!$C$43)), $C13 = "0", 0), 0)</f>
        <v>0</v>
      </c>
      <c r="CH13" s="44">
        <v>0</v>
      </c>
      <c r="CI13" s="342">
        <f>IFERROR(_xlfn.IFS($C13="1", 'Inputs-System'!$C$30*'Coincidence Factors'!$B$7*'Inputs-Proposals'!$D$17*'Inputs-Proposals'!$D$19*(VLOOKUP(CD$3,'Non-Embedded Emissions'!$A$56:$D$90,2,FALSE)+VLOOKUP(CD$3,'Non-Embedded Emissions'!$A$143:$D$174,2,FALSE)+VLOOKUP(CD$3,'Non-Embedded Emissions'!$A$230:$D$259,2,FALSE)), $C13 = "2", 'Inputs-System'!$C$30*'Coincidence Factors'!$B$7*'Inputs-Proposals'!$D$23*'Inputs-Proposals'!$D$25*(VLOOKUP(CD$3,'Non-Embedded Emissions'!$A$56:$D$90,2,FALSE)+VLOOKUP(CD$3,'Non-Embedded Emissions'!$A$143:$D$174,2,FALSE)+VLOOKUP(CD$3,'Non-Embedded Emissions'!$A$230:$D$259,2,FALSE)), $C13 = "3", 'Inputs-System'!$C$30*'Coincidence Factors'!$B$7*'Inputs-Proposals'!$D$29*'Inputs-Proposals'!$D$31*(VLOOKUP(CD$3,'Non-Embedded Emissions'!$A$56:$D$90,2,FALSE)+VLOOKUP(CD$3,'Non-Embedded Emissions'!$A$143:$D$174,2,FALSE)+VLOOKUP(CD$3,'Non-Embedded Emissions'!$A$230:$D$259,2,FALSE)), $C13 = "0", 0), 0)</f>
        <v>0</v>
      </c>
      <c r="CJ13" s="45">
        <f>IFERROR(_xlfn.IFS($C13="1",('Inputs-System'!$C$30*'Coincidence Factors'!$B$7*(1+'Inputs-System'!$C$18)*(1+'Inputs-System'!$C$41)*('Inputs-Proposals'!$D$17*'Inputs-Proposals'!$D$19*('Inputs-Proposals'!$D$20))*(VLOOKUP(CJ$3,Energy!$A$51:$K$83,5,FALSE))), $C13 = "2",('Inputs-System'!$C$30*'Coincidence Factors'!$B$7)*(1+'Inputs-System'!$C$18)*(1+'Inputs-System'!$C$41)*('Inputs-Proposals'!$D$23*'Inputs-Proposals'!$D$25*('Inputs-Proposals'!$D$26))*(VLOOKUP(CJ$3,Energy!$A$51:$K$83,5,FALSE)), $C13= "3", ('Inputs-System'!$C$30*'Coincidence Factors'!$B$7*(1+'Inputs-System'!$C$18)*(1+'Inputs-System'!$C$41)*('Inputs-Proposals'!$D$29*'Inputs-Proposals'!$D$31*('Inputs-Proposals'!$D$32))*(VLOOKUP(CJ$3,Energy!$A$51:$K$83,5,FALSE))), $C13= "0", 0), 0)</f>
        <v>0</v>
      </c>
      <c r="CK13" s="44">
        <f>IFERROR(_xlfn.IFS($C13="1",'Inputs-System'!$C$30*'Coincidence Factors'!$B$7*(1+'Inputs-System'!$C$18)*(1+'Inputs-System'!$C$41)*'Inputs-Proposals'!$D$17*'Inputs-Proposals'!$D$19*('Inputs-Proposals'!$D$20)*(VLOOKUP(CJ$3,'Embedded Emissions'!$A$47:$B$78,2,FALSE)+VLOOKUP(CJ$3,'Embedded Emissions'!$A$129:$B$158,2,FALSE)), $C13 = "2",'Inputs-System'!$C$30*'Coincidence Factors'!$B$7*(1+'Inputs-System'!$C$18)*(1+'Inputs-System'!$C$41)*'Inputs-Proposals'!$D$23*'Inputs-Proposals'!$D$25*('Inputs-Proposals'!$D$20)*(VLOOKUP(CJ$3,'Embedded Emissions'!$A$47:$B$78,2,FALSE)+VLOOKUP(CJ$3,'Embedded Emissions'!$A$129:$B$158,2,FALSE)), $C13 = "3", 'Inputs-System'!$C$30*'Coincidence Factors'!$B$7*(1+'Inputs-System'!$C$18)*(1+'Inputs-System'!$C$41)*'Inputs-Proposals'!$D$29*'Inputs-Proposals'!$D$31*('Inputs-Proposals'!$D$20)*(VLOOKUP(CJ$3,'Embedded Emissions'!$A$47:$B$78,2,FALSE)+VLOOKUP(CJ$3,'Embedded Emissions'!$A$129:$B$158,2,FALSE)), $C13 = "0", 0), 0)</f>
        <v>0</v>
      </c>
      <c r="CL13" s="44">
        <f>IFERROR(_xlfn.IFS($C13="1",( 'Inputs-System'!$C$30*'Coincidence Factors'!$B$7*(1+'Inputs-System'!$C$18)*(1+'Inputs-System'!$C$41))*('Inputs-Proposals'!$D$17*'Inputs-Proposals'!$D$19*('Inputs-Proposals'!$D$20))*(VLOOKUP(CJ$3,DRIPE!$A$54:$I$82,5,FALSE)+VLOOKUP(CJ$3,DRIPE!$A$54:$I$82,9,FALSE))+ ('Inputs-System'!$C$26*'Coincidence Factors'!$B$7*(1+'Inputs-System'!$C$18)*(1+'Inputs-System'!$C$42))*'Inputs-Proposals'!$D$16*VLOOKUP(CJ$3,DRIPE!$A$54:$I$82,8,FALSE), $C13 = "2",( 'Inputs-System'!$C$30*'Coincidence Factors'!$B$7*(1+'Inputs-System'!$C$18)*(1+'Inputs-System'!$C$41))*('Inputs-Proposals'!$D$23*'Inputs-Proposals'!$D$25*('Inputs-Proposals'!$D$26))*(VLOOKUP(CJ$3,DRIPE!$A$54:$I$82,5,FALSE)+VLOOKUP(CJ$3,DRIPE!$A$54:$I$82,12,FALSE))+ ('Inputs-System'!$C$26*'Coincidence Factors'!$B$7*(1+'Inputs-System'!$C$18)*(1+'Inputs-System'!$C$42))*'Inputs-Proposals'!$D$22*VLOOKUP(CJ$3,DRIPE!$A$54:$I$82,8,FALSE), $C13= "3", ( 'Inputs-System'!$C$30*'Coincidence Factors'!$B$7*(1+'Inputs-System'!$C$18)*(1+'Inputs-System'!$C$41))*('Inputs-Proposals'!$D$29*'Inputs-Proposals'!$D$31*('Inputs-Proposals'!$D$32))*(VLOOKUP(CJ$3,DRIPE!$A$54:$I$82,5,FALSE)+VLOOKUP(CJ$3,DRIPE!$A$54:$I$82,12,FALSE))+ ('Inputs-System'!$C$26*'Coincidence Factors'!$B$7*(1+'Inputs-System'!$C$18)*(1+'Inputs-System'!$C$42))*'Inputs-Proposals'!$D$28*VLOOKUP(CJ$3,DRIPE!$A$54:$I$82,8,FALSE), $C13 = "0", 0), 0)</f>
        <v>0</v>
      </c>
      <c r="CM13" s="45">
        <f>IFERROR(_xlfn.IFS($C13="1",('Inputs-System'!$C$26*'Coincidence Factors'!$B$7*(1+'Inputs-System'!$C$18))*'Inputs-Proposals'!$D$16*(VLOOKUP(CJ$3,Capacity!$A$53:$E$85,4,FALSE)*(1+'Inputs-System'!$C$42)+VLOOKUP(CJ$3,Capacity!$A$53:$E$85,5,FALSE)*'Inputs-System'!$C$29*(1+'Inputs-System'!$C$43)), $C13 = "2", ('Inputs-System'!$C$26*'Coincidence Factors'!$B$7*(1+'Inputs-System'!$C$18))*'Inputs-Proposals'!$D$22*(VLOOKUP(CJ$3,Capacity!$A$53:$E$85,4,FALSE)*(1+'Inputs-System'!$C$42)+VLOOKUP(CJ$3,Capacity!$A$53:$E$85,5,FALSE)*'Inputs-System'!$C$29*(1+'Inputs-System'!$C$43)), $C13 = "3",('Inputs-System'!$C$26*'Coincidence Factors'!$B$7*(1+'Inputs-System'!$C$18))*'Inputs-Proposals'!$D$28*(VLOOKUP(CJ$3,Capacity!$A$53:$E$85,4,FALSE)*(1+'Inputs-System'!$C$42)+VLOOKUP(CJ$3,Capacity!$A$53:$E$85,5,FALSE)*'Inputs-System'!$C$29*(1+'Inputs-System'!$C$43)), $C13 = "0", 0), 0)</f>
        <v>0</v>
      </c>
      <c r="CN13" s="44">
        <v>0</v>
      </c>
      <c r="CO13" s="342">
        <f>IFERROR(_xlfn.IFS($C13="1", 'Inputs-System'!$C$30*'Coincidence Factors'!$B$7*'Inputs-Proposals'!$D$17*'Inputs-Proposals'!$D$19*(VLOOKUP(CJ$3,'Non-Embedded Emissions'!$A$56:$D$90,2,FALSE)+VLOOKUP(CJ$3,'Non-Embedded Emissions'!$A$143:$D$174,2,FALSE)+VLOOKUP(CJ$3,'Non-Embedded Emissions'!$A$230:$D$259,2,FALSE)), $C13 = "2", 'Inputs-System'!$C$30*'Coincidence Factors'!$B$7*'Inputs-Proposals'!$D$23*'Inputs-Proposals'!$D$25*(VLOOKUP(CJ$3,'Non-Embedded Emissions'!$A$56:$D$90,2,FALSE)+VLOOKUP(CJ$3,'Non-Embedded Emissions'!$A$143:$D$174,2,FALSE)+VLOOKUP(CJ$3,'Non-Embedded Emissions'!$A$230:$D$259,2,FALSE)), $C13 = "3", 'Inputs-System'!$C$30*'Coincidence Factors'!$B$7*'Inputs-Proposals'!$D$29*'Inputs-Proposals'!$D$31*(VLOOKUP(CJ$3,'Non-Embedded Emissions'!$A$56:$D$90,2,FALSE)+VLOOKUP(CJ$3,'Non-Embedded Emissions'!$A$143:$D$174,2,FALSE)+VLOOKUP(CJ$3,'Non-Embedded Emissions'!$A$230:$D$259,2,FALSE)), $C13 = "0", 0), 0)</f>
        <v>0</v>
      </c>
      <c r="CP13" s="45">
        <f>IFERROR(_xlfn.IFS($C13="1",('Inputs-System'!$C$30*'Coincidence Factors'!$B$7*(1+'Inputs-System'!$C$18)*(1+'Inputs-System'!$C$41)*('Inputs-Proposals'!$D$17*'Inputs-Proposals'!$D$19*('Inputs-Proposals'!$D$20))*(VLOOKUP(CP$3,Energy!$A$51:$K$83,5,FALSE))), $C13 = "2",('Inputs-System'!$C$30*'Coincidence Factors'!$B$7)*(1+'Inputs-System'!$C$18)*(1+'Inputs-System'!$C$41)*('Inputs-Proposals'!$D$23*'Inputs-Proposals'!$D$25*('Inputs-Proposals'!$D$26))*(VLOOKUP(CP$3,Energy!$A$51:$K$83,5,FALSE)), $C13= "3", ('Inputs-System'!$C$30*'Coincidence Factors'!$B$7*(1+'Inputs-System'!$C$18)*(1+'Inputs-System'!$C$41)*('Inputs-Proposals'!$D$29*'Inputs-Proposals'!$D$31*('Inputs-Proposals'!$D$32))*(VLOOKUP(CP$3,Energy!$A$51:$K$83,5,FALSE))), $C13= "0", 0), 0)</f>
        <v>0</v>
      </c>
      <c r="CQ13" s="44">
        <f>IFERROR(_xlfn.IFS($C13="1",'Inputs-System'!$C$30*'Coincidence Factors'!$B$7*(1+'Inputs-System'!$C$18)*(1+'Inputs-System'!$C$41)*'Inputs-Proposals'!$D$17*'Inputs-Proposals'!$D$19*('Inputs-Proposals'!$D$20)*(VLOOKUP(CP$3,'Embedded Emissions'!$A$47:$B$78,2,FALSE)+VLOOKUP(CP$3,'Embedded Emissions'!$A$129:$B$158,2,FALSE)), $C13 = "2",'Inputs-System'!$C$30*'Coincidence Factors'!$B$7*(1+'Inputs-System'!$C$18)*(1+'Inputs-System'!$C$41)*'Inputs-Proposals'!$D$23*'Inputs-Proposals'!$D$25*('Inputs-Proposals'!$D$20)*(VLOOKUP(CP$3,'Embedded Emissions'!$A$47:$B$78,2,FALSE)+VLOOKUP(CP$3,'Embedded Emissions'!$A$129:$B$158,2,FALSE)), $C13 = "3", 'Inputs-System'!$C$30*'Coincidence Factors'!$B$7*(1+'Inputs-System'!$C$18)*(1+'Inputs-System'!$C$41)*'Inputs-Proposals'!$D$29*'Inputs-Proposals'!$D$31*('Inputs-Proposals'!$D$20)*(VLOOKUP(CP$3,'Embedded Emissions'!$A$47:$B$78,2,FALSE)+VLOOKUP(CP$3,'Embedded Emissions'!$A$129:$B$158,2,FALSE)), $C13 = "0", 0), 0)</f>
        <v>0</v>
      </c>
      <c r="CR13" s="44">
        <f>IFERROR(_xlfn.IFS($C13="1",( 'Inputs-System'!$C$30*'Coincidence Factors'!$B$7*(1+'Inputs-System'!$C$18)*(1+'Inputs-System'!$C$41))*('Inputs-Proposals'!$D$17*'Inputs-Proposals'!$D$19*('Inputs-Proposals'!$D$20))*(VLOOKUP(CP$3,DRIPE!$A$54:$I$82,5,FALSE)+VLOOKUP(CP$3,DRIPE!$A$54:$I$82,9,FALSE))+ ('Inputs-System'!$C$26*'Coincidence Factors'!$B$7*(1+'Inputs-System'!$C$18)*(1+'Inputs-System'!$C$42))*'Inputs-Proposals'!$D$16*VLOOKUP(CP$3,DRIPE!$A$54:$I$82,8,FALSE), $C13 = "2",( 'Inputs-System'!$C$30*'Coincidence Factors'!$B$7*(1+'Inputs-System'!$C$18)*(1+'Inputs-System'!$C$41))*('Inputs-Proposals'!$D$23*'Inputs-Proposals'!$D$25*('Inputs-Proposals'!$D$26))*(VLOOKUP(CP$3,DRIPE!$A$54:$I$82,5,FALSE)+VLOOKUP(CP$3,DRIPE!$A$54:$I$82,12,FALSE))+ ('Inputs-System'!$C$26*'Coincidence Factors'!$B$7*(1+'Inputs-System'!$C$18)*(1+'Inputs-System'!$C$42))*'Inputs-Proposals'!$D$22*VLOOKUP(CP$3,DRIPE!$A$54:$I$82,8,FALSE), $C13= "3", ( 'Inputs-System'!$C$30*'Coincidence Factors'!$B$7*(1+'Inputs-System'!$C$18)*(1+'Inputs-System'!$C$41))*('Inputs-Proposals'!$D$29*'Inputs-Proposals'!$D$31*('Inputs-Proposals'!$D$32))*(VLOOKUP(CP$3,DRIPE!$A$54:$I$82,5,FALSE)+VLOOKUP(CP$3,DRIPE!$A$54:$I$82,12,FALSE))+ ('Inputs-System'!$C$26*'Coincidence Factors'!$B$7*(1+'Inputs-System'!$C$18)*(1+'Inputs-System'!$C$42))*'Inputs-Proposals'!$D$28*VLOOKUP(CP$3,DRIPE!$A$54:$I$82,8,FALSE), $C13 = "0", 0), 0)</f>
        <v>0</v>
      </c>
      <c r="CS13" s="45">
        <f>IFERROR(_xlfn.IFS($C13="1",('Inputs-System'!$C$26*'Coincidence Factors'!$B$7*(1+'Inputs-System'!$C$18))*'Inputs-Proposals'!$D$16*(VLOOKUP(CP$3,Capacity!$A$53:$E$85,4,FALSE)*(1+'Inputs-System'!$C$42)+VLOOKUP(CP$3,Capacity!$A$53:$E$85,5,FALSE)*'Inputs-System'!$C$29*(1+'Inputs-System'!$C$43)), $C13 = "2", ('Inputs-System'!$C$26*'Coincidence Factors'!$B$7*(1+'Inputs-System'!$C$18))*'Inputs-Proposals'!$D$22*(VLOOKUP(CP$3,Capacity!$A$53:$E$85,4,FALSE)*(1+'Inputs-System'!$C$42)+VLOOKUP(CP$3,Capacity!$A$53:$E$85,5,FALSE)*'Inputs-System'!$C$29*(1+'Inputs-System'!$C$43)), $C13 = "3",('Inputs-System'!$C$26*'Coincidence Factors'!$B$7*(1+'Inputs-System'!$C$18))*'Inputs-Proposals'!$D$28*(VLOOKUP(CP$3,Capacity!$A$53:$E$85,4,FALSE)*(1+'Inputs-System'!$C$42)+VLOOKUP(CP$3,Capacity!$A$53:$E$85,5,FALSE)*'Inputs-System'!$C$29*(1+'Inputs-System'!$C$43)), $C13 = "0", 0), 0)</f>
        <v>0</v>
      </c>
      <c r="CT13" s="44">
        <v>0</v>
      </c>
      <c r="CU13" s="342">
        <f>IFERROR(_xlfn.IFS($C13="1", 'Inputs-System'!$C$30*'Coincidence Factors'!$B$7*'Inputs-Proposals'!$D$17*'Inputs-Proposals'!$D$19*(VLOOKUP(CP$3,'Non-Embedded Emissions'!$A$56:$D$90,2,FALSE)+VLOOKUP(CP$3,'Non-Embedded Emissions'!$A$143:$D$174,2,FALSE)+VLOOKUP(CP$3,'Non-Embedded Emissions'!$A$230:$D$259,2,FALSE)), $C13 = "2", 'Inputs-System'!$C$30*'Coincidence Factors'!$B$7*'Inputs-Proposals'!$D$23*'Inputs-Proposals'!$D$25*(VLOOKUP(CP$3,'Non-Embedded Emissions'!$A$56:$D$90,2,FALSE)+VLOOKUP(CP$3,'Non-Embedded Emissions'!$A$143:$D$174,2,FALSE)+VLOOKUP(CP$3,'Non-Embedded Emissions'!$A$230:$D$259,2,FALSE)), $C13 = "3", 'Inputs-System'!$C$30*'Coincidence Factors'!$B$7*'Inputs-Proposals'!$D$29*'Inputs-Proposals'!$D$31*(VLOOKUP(CP$3,'Non-Embedded Emissions'!$A$56:$D$90,2,FALSE)+VLOOKUP(CP$3,'Non-Embedded Emissions'!$A$143:$D$174,2,FALSE)+VLOOKUP(CP$3,'Non-Embedded Emissions'!$A$230:$D$259,2,FALSE)), $C13 = "0", 0), 0)</f>
        <v>0</v>
      </c>
      <c r="CV13" s="45">
        <f>IFERROR(_xlfn.IFS($C13="1",('Inputs-System'!$C$30*'Coincidence Factors'!$B$7*(1+'Inputs-System'!$C$18)*(1+'Inputs-System'!$C$41)*('Inputs-Proposals'!$D$17*'Inputs-Proposals'!$D$19*('Inputs-Proposals'!$D$20))*(VLOOKUP(CV$3,Energy!$A$51:$K$83,5,FALSE))), $C13 = "2",('Inputs-System'!$C$30*'Coincidence Factors'!$B$7)*(1+'Inputs-System'!$C$18)*(1+'Inputs-System'!$C$41)*('Inputs-Proposals'!$D$23*'Inputs-Proposals'!$D$25*('Inputs-Proposals'!$D$26))*(VLOOKUP(CV$3,Energy!$A$51:$K$83,5,FALSE)), $C13= "3", ('Inputs-System'!$C$30*'Coincidence Factors'!$B$7*(1+'Inputs-System'!$C$18)*(1+'Inputs-System'!$C$41)*('Inputs-Proposals'!$D$29*'Inputs-Proposals'!$D$31*('Inputs-Proposals'!$D$32))*(VLOOKUP(CV$3,Energy!$A$51:$K$83,5,FALSE))), $C13= "0", 0), 0)</f>
        <v>0</v>
      </c>
      <c r="CW13" s="44">
        <f>IFERROR(_xlfn.IFS($C13="1",'Inputs-System'!$C$30*'Coincidence Factors'!$B$7*(1+'Inputs-System'!$C$18)*(1+'Inputs-System'!$C$41)*'Inputs-Proposals'!$D$17*'Inputs-Proposals'!$D$19*('Inputs-Proposals'!$D$20)*(VLOOKUP(CV$3,'Embedded Emissions'!$A$47:$B$78,2,FALSE)+VLOOKUP(CV$3,'Embedded Emissions'!$A$129:$B$158,2,FALSE)), $C13 = "2",'Inputs-System'!$C$30*'Coincidence Factors'!$B$7*(1+'Inputs-System'!$C$18)*(1+'Inputs-System'!$C$41)*'Inputs-Proposals'!$D$23*'Inputs-Proposals'!$D$25*('Inputs-Proposals'!$D$20)*(VLOOKUP(CV$3,'Embedded Emissions'!$A$47:$B$78,2,FALSE)+VLOOKUP(CV$3,'Embedded Emissions'!$A$129:$B$158,2,FALSE)), $C13 = "3", 'Inputs-System'!$C$30*'Coincidence Factors'!$B$7*(1+'Inputs-System'!$C$18)*(1+'Inputs-System'!$C$41)*'Inputs-Proposals'!$D$29*'Inputs-Proposals'!$D$31*('Inputs-Proposals'!$D$20)*(VLOOKUP(CV$3,'Embedded Emissions'!$A$47:$B$78,2,FALSE)+VLOOKUP(CV$3,'Embedded Emissions'!$A$129:$B$158,2,FALSE)), $C13 = "0", 0), 0)</f>
        <v>0</v>
      </c>
      <c r="CX13" s="44">
        <f>IFERROR(_xlfn.IFS($C13="1",( 'Inputs-System'!$C$30*'Coincidence Factors'!$B$7*(1+'Inputs-System'!$C$18)*(1+'Inputs-System'!$C$41))*('Inputs-Proposals'!$D$17*'Inputs-Proposals'!$D$19*('Inputs-Proposals'!$D$20))*(VLOOKUP(CV$3,DRIPE!$A$54:$I$82,5,FALSE)+VLOOKUP(CV$3,DRIPE!$A$54:$I$82,9,FALSE))+ ('Inputs-System'!$C$26*'Coincidence Factors'!$B$7*(1+'Inputs-System'!$C$18)*(1+'Inputs-System'!$C$42))*'Inputs-Proposals'!$D$16*VLOOKUP(CV$3,DRIPE!$A$54:$I$82,8,FALSE), $C13 = "2",( 'Inputs-System'!$C$30*'Coincidence Factors'!$B$7*(1+'Inputs-System'!$C$18)*(1+'Inputs-System'!$C$41))*('Inputs-Proposals'!$D$23*'Inputs-Proposals'!$D$25*('Inputs-Proposals'!$D$26))*(VLOOKUP(CV$3,DRIPE!$A$54:$I$82,5,FALSE)+VLOOKUP(CV$3,DRIPE!$A$54:$I$82,12,FALSE))+ ('Inputs-System'!$C$26*'Coincidence Factors'!$B$7*(1+'Inputs-System'!$C$18)*(1+'Inputs-System'!$C$42))*'Inputs-Proposals'!$D$22*VLOOKUP(CV$3,DRIPE!$A$54:$I$82,8,FALSE), $C13= "3", ( 'Inputs-System'!$C$30*'Coincidence Factors'!$B$7*(1+'Inputs-System'!$C$18)*(1+'Inputs-System'!$C$41))*('Inputs-Proposals'!$D$29*'Inputs-Proposals'!$D$31*('Inputs-Proposals'!$D$32))*(VLOOKUP(CV$3,DRIPE!$A$54:$I$82,5,FALSE)+VLOOKUP(CV$3,DRIPE!$A$54:$I$82,12,FALSE))+ ('Inputs-System'!$C$26*'Coincidence Factors'!$B$7*(1+'Inputs-System'!$C$18)*(1+'Inputs-System'!$C$42))*'Inputs-Proposals'!$D$28*VLOOKUP(CV$3,DRIPE!$A$54:$I$82,8,FALSE), $C13 = "0", 0), 0)</f>
        <v>0</v>
      </c>
      <c r="CY13" s="45">
        <f>IFERROR(_xlfn.IFS($C13="1",('Inputs-System'!$C$26*'Coincidence Factors'!$B$7*(1+'Inputs-System'!$C$18))*'Inputs-Proposals'!$D$16*(VLOOKUP(CV$3,Capacity!$A$53:$E$85,4,FALSE)*(1+'Inputs-System'!$C$42)+VLOOKUP(CV$3,Capacity!$A$53:$E$85,5,FALSE)*'Inputs-System'!$C$29*(1+'Inputs-System'!$C$43)), $C13 = "2", ('Inputs-System'!$C$26*'Coincidence Factors'!$B$7*(1+'Inputs-System'!$C$18))*'Inputs-Proposals'!$D$22*(VLOOKUP(CV$3,Capacity!$A$53:$E$85,4,FALSE)*(1+'Inputs-System'!$C$42)+VLOOKUP(CV$3,Capacity!$A$53:$E$85,5,FALSE)*'Inputs-System'!$C$29*(1+'Inputs-System'!$C$43)), $C13 = "3",('Inputs-System'!$C$26*'Coincidence Factors'!$B$7*(1+'Inputs-System'!$C$18))*'Inputs-Proposals'!$D$28*(VLOOKUP(CV$3,Capacity!$A$53:$E$85,4,FALSE)*(1+'Inputs-System'!$C$42)+VLOOKUP(CV$3,Capacity!$A$53:$E$85,5,FALSE)*'Inputs-System'!$C$29*(1+'Inputs-System'!$C$43)), $C13 = "0", 0), 0)</f>
        <v>0</v>
      </c>
      <c r="CZ13" s="44">
        <v>0</v>
      </c>
      <c r="DA13" s="342">
        <f>IFERROR(_xlfn.IFS($C13="1", 'Inputs-System'!$C$30*'Coincidence Factors'!$B$7*'Inputs-Proposals'!$D$17*'Inputs-Proposals'!$D$19*(VLOOKUP(CV$3,'Non-Embedded Emissions'!$A$56:$D$90,2,FALSE)+VLOOKUP(CV$3,'Non-Embedded Emissions'!$A$143:$D$174,2,FALSE)+VLOOKUP(CV$3,'Non-Embedded Emissions'!$A$230:$D$259,2,FALSE)), $C13 = "2", 'Inputs-System'!$C$30*'Coincidence Factors'!$B$7*'Inputs-Proposals'!$D$23*'Inputs-Proposals'!$D$25*(VLOOKUP(CV$3,'Non-Embedded Emissions'!$A$56:$D$90,2,FALSE)+VLOOKUP(CV$3,'Non-Embedded Emissions'!$A$143:$D$174,2,FALSE)+VLOOKUP(CV$3,'Non-Embedded Emissions'!$A$230:$D$259,2,FALSE)), $C13 = "3", 'Inputs-System'!$C$30*'Coincidence Factors'!$B$7*'Inputs-Proposals'!$D$29*'Inputs-Proposals'!$D$31*(VLOOKUP(CV$3,'Non-Embedded Emissions'!$A$56:$D$90,2,FALSE)+VLOOKUP(CV$3,'Non-Embedded Emissions'!$A$143:$D$174,2,FALSE)+VLOOKUP(CV$3,'Non-Embedded Emissions'!$A$230:$D$259,2,FALSE)), $C13 = "0", 0), 0)</f>
        <v>0</v>
      </c>
      <c r="DB13" s="45">
        <f>IFERROR(_xlfn.IFS($C13="1",('Inputs-System'!$C$30*'Coincidence Factors'!$B$7*(1+'Inputs-System'!$C$18)*(1+'Inputs-System'!$C$41)*('Inputs-Proposals'!$D$17*'Inputs-Proposals'!$D$19*('Inputs-Proposals'!$D$20))*(VLOOKUP(DB$3,Energy!$A$51:$K$83,5,FALSE))), $C13 = "2",('Inputs-System'!$C$30*'Coincidence Factors'!$B$7)*(1+'Inputs-System'!$C$18)*(1+'Inputs-System'!$C$41)*('Inputs-Proposals'!$D$23*'Inputs-Proposals'!$D$25*('Inputs-Proposals'!$D$26))*(VLOOKUP(DB$3,Energy!$A$51:$K$83,5,FALSE)), $C13= "3", ('Inputs-System'!$C$30*'Coincidence Factors'!$B$7*(1+'Inputs-System'!$C$18)*(1+'Inputs-System'!$C$41)*('Inputs-Proposals'!$D$29*'Inputs-Proposals'!$D$31*('Inputs-Proposals'!$D$32))*(VLOOKUP(DB$3,Energy!$A$51:$K$83,5,FALSE))), $C13= "0", 0), 0)</f>
        <v>0</v>
      </c>
      <c r="DC13" s="44">
        <f>IFERROR(_xlfn.IFS($C13="1",'Inputs-System'!$C$30*'Coincidence Factors'!$B$7*(1+'Inputs-System'!$C$18)*(1+'Inputs-System'!$C$41)*'Inputs-Proposals'!$D$17*'Inputs-Proposals'!$D$19*('Inputs-Proposals'!$D$20)*(VLOOKUP(DB$3,'Embedded Emissions'!$A$47:$B$78,2,FALSE)+VLOOKUP(DB$3,'Embedded Emissions'!$A$129:$B$158,2,FALSE)), $C13 = "2",'Inputs-System'!$C$30*'Coincidence Factors'!$B$7*(1+'Inputs-System'!$C$18)*(1+'Inputs-System'!$C$41)*'Inputs-Proposals'!$D$23*'Inputs-Proposals'!$D$25*('Inputs-Proposals'!$D$20)*(VLOOKUP(DB$3,'Embedded Emissions'!$A$47:$B$78,2,FALSE)+VLOOKUP(DB$3,'Embedded Emissions'!$A$129:$B$158,2,FALSE)), $C13 = "3", 'Inputs-System'!$C$30*'Coincidence Factors'!$B$7*(1+'Inputs-System'!$C$18)*(1+'Inputs-System'!$C$41)*'Inputs-Proposals'!$D$29*'Inputs-Proposals'!$D$31*('Inputs-Proposals'!$D$20)*(VLOOKUP(DB$3,'Embedded Emissions'!$A$47:$B$78,2,FALSE)+VLOOKUP(DB$3,'Embedded Emissions'!$A$129:$B$158,2,FALSE)), $C13 = "0", 0), 0)</f>
        <v>0</v>
      </c>
      <c r="DD13" s="44">
        <f>IFERROR(_xlfn.IFS($C13="1",( 'Inputs-System'!$C$30*'Coincidence Factors'!$B$7*(1+'Inputs-System'!$C$18)*(1+'Inputs-System'!$C$41))*('Inputs-Proposals'!$D$17*'Inputs-Proposals'!$D$19*('Inputs-Proposals'!$D$20))*(VLOOKUP(DB$3,DRIPE!$A$54:$I$82,5,FALSE)+VLOOKUP(DB$3,DRIPE!$A$54:$I$82,9,FALSE))+ ('Inputs-System'!$C$26*'Coincidence Factors'!$B$7*(1+'Inputs-System'!$C$18)*(1+'Inputs-System'!$C$42))*'Inputs-Proposals'!$D$16*VLOOKUP(DB$3,DRIPE!$A$54:$I$82,8,FALSE), $C13 = "2",( 'Inputs-System'!$C$30*'Coincidence Factors'!$B$7*(1+'Inputs-System'!$C$18)*(1+'Inputs-System'!$C$41))*('Inputs-Proposals'!$D$23*'Inputs-Proposals'!$D$25*('Inputs-Proposals'!$D$26))*(VLOOKUP(DB$3,DRIPE!$A$54:$I$82,5,FALSE)+VLOOKUP(DB$3,DRIPE!$A$54:$I$82,12,FALSE))+ ('Inputs-System'!$C$26*'Coincidence Factors'!$B$7*(1+'Inputs-System'!$C$18)*(1+'Inputs-System'!$C$42))*'Inputs-Proposals'!$D$22*VLOOKUP(DB$3,DRIPE!$A$54:$I$82,8,FALSE), $C13= "3", ( 'Inputs-System'!$C$30*'Coincidence Factors'!$B$7*(1+'Inputs-System'!$C$18)*(1+'Inputs-System'!$C$41))*('Inputs-Proposals'!$D$29*'Inputs-Proposals'!$D$31*('Inputs-Proposals'!$D$32))*(VLOOKUP(DB$3,DRIPE!$A$54:$I$82,5,FALSE)+VLOOKUP(DB$3,DRIPE!$A$54:$I$82,12,FALSE))+ ('Inputs-System'!$C$26*'Coincidence Factors'!$B$7*(1+'Inputs-System'!$C$18)*(1+'Inputs-System'!$C$42))*'Inputs-Proposals'!$D$28*VLOOKUP(DB$3,DRIPE!$A$54:$I$82,8,FALSE), $C13 = "0", 0), 0)</f>
        <v>0</v>
      </c>
      <c r="DE13" s="45">
        <f>IFERROR(_xlfn.IFS($C13="1",('Inputs-System'!$C$26*'Coincidence Factors'!$B$7*(1+'Inputs-System'!$C$18))*'Inputs-Proposals'!$D$16*(VLOOKUP(DB$3,Capacity!$A$53:$E$85,4,FALSE)*(1+'Inputs-System'!$C$42)+VLOOKUP(DB$3,Capacity!$A$53:$E$85,5,FALSE)*'Inputs-System'!$C$29*(1+'Inputs-System'!$C$43)), $C13 = "2", ('Inputs-System'!$C$26*'Coincidence Factors'!$B$7*(1+'Inputs-System'!$C$18))*'Inputs-Proposals'!$D$22*(VLOOKUP(DB$3,Capacity!$A$53:$E$85,4,FALSE)*(1+'Inputs-System'!$C$42)+VLOOKUP(DB$3,Capacity!$A$53:$E$85,5,FALSE)*'Inputs-System'!$C$29*(1+'Inputs-System'!$C$43)), $C13 = "3",('Inputs-System'!$C$26*'Coincidence Factors'!$B$7*(1+'Inputs-System'!$C$18))*'Inputs-Proposals'!$D$28*(VLOOKUP(DB$3,Capacity!$A$53:$E$85,4,FALSE)*(1+'Inputs-System'!$C$42)+VLOOKUP(DB$3,Capacity!$A$53:$E$85,5,FALSE)*'Inputs-System'!$C$29*(1+'Inputs-System'!$C$43)), $C13 = "0", 0), 0)</f>
        <v>0</v>
      </c>
      <c r="DF13" s="44">
        <v>0</v>
      </c>
      <c r="DG13" s="342">
        <f>IFERROR(_xlfn.IFS($C13="1", 'Inputs-System'!$C$30*'Coincidence Factors'!$B$7*'Inputs-Proposals'!$D$17*'Inputs-Proposals'!$D$19*(VLOOKUP(DB$3,'Non-Embedded Emissions'!$A$56:$D$90,2,FALSE)+VLOOKUP(DB$3,'Non-Embedded Emissions'!$A$143:$D$174,2,FALSE)+VLOOKUP(DB$3,'Non-Embedded Emissions'!$A$230:$D$259,2,FALSE)), $C13 = "2", 'Inputs-System'!$C$30*'Coincidence Factors'!$B$7*'Inputs-Proposals'!$D$23*'Inputs-Proposals'!$D$25*(VLOOKUP(DB$3,'Non-Embedded Emissions'!$A$56:$D$90,2,FALSE)+VLOOKUP(DB$3,'Non-Embedded Emissions'!$A$143:$D$174,2,FALSE)+VLOOKUP(DB$3,'Non-Embedded Emissions'!$A$230:$D$259,2,FALSE)), $C13 = "3", 'Inputs-System'!$C$30*'Coincidence Factors'!$B$7*'Inputs-Proposals'!$D$29*'Inputs-Proposals'!$D$31*(VLOOKUP(DB$3,'Non-Embedded Emissions'!$A$56:$D$90,2,FALSE)+VLOOKUP(DB$3,'Non-Embedded Emissions'!$A$143:$D$174,2,FALSE)+VLOOKUP(DB$3,'Non-Embedded Emissions'!$A$230:$D$259,2,FALSE)), $C13 = "0", 0), 0)</f>
        <v>0</v>
      </c>
      <c r="DH13" s="45">
        <f>IFERROR(_xlfn.IFS($C13="1",('Inputs-System'!$C$30*'Coincidence Factors'!$B$7*(1+'Inputs-System'!$C$18)*(1+'Inputs-System'!$C$41)*('Inputs-Proposals'!$D$17*'Inputs-Proposals'!$D$19*('Inputs-Proposals'!$D$20))*(VLOOKUP(DH$3,Energy!$A$51:$K$83,5,FALSE))), $C13 = "2",('Inputs-System'!$C$30*'Coincidence Factors'!$B$7)*(1+'Inputs-System'!$C$18)*(1+'Inputs-System'!$C$41)*('Inputs-Proposals'!$D$23*'Inputs-Proposals'!$D$25*('Inputs-Proposals'!$D$26))*(VLOOKUP(DH$3,Energy!$A$51:$K$83,5,FALSE)), $C13= "3", ('Inputs-System'!$C$30*'Coincidence Factors'!$B$7*(1+'Inputs-System'!$C$18)*(1+'Inputs-System'!$C$41)*('Inputs-Proposals'!$D$29*'Inputs-Proposals'!$D$31*('Inputs-Proposals'!$D$32))*(VLOOKUP(DH$3,Energy!$A$51:$K$83,5,FALSE))), $C13= "0", 0), 0)</f>
        <v>0</v>
      </c>
      <c r="DI13" s="44">
        <f>IFERROR(_xlfn.IFS($C13="1",'Inputs-System'!$C$30*'Coincidence Factors'!$B$7*(1+'Inputs-System'!$C$18)*(1+'Inputs-System'!$C$41)*'Inputs-Proposals'!$D$17*'Inputs-Proposals'!$D$19*('Inputs-Proposals'!$D$20)*(VLOOKUP(DH$3,'Embedded Emissions'!$A$47:$B$78,2,FALSE)+VLOOKUP(DH$3,'Embedded Emissions'!$A$129:$B$158,2,FALSE)), $C13 = "2",'Inputs-System'!$C$30*'Coincidence Factors'!$B$7*(1+'Inputs-System'!$C$18)*(1+'Inputs-System'!$C$41)*'Inputs-Proposals'!$D$23*'Inputs-Proposals'!$D$25*('Inputs-Proposals'!$D$20)*(VLOOKUP(DH$3,'Embedded Emissions'!$A$47:$B$78,2,FALSE)+VLOOKUP(DH$3,'Embedded Emissions'!$A$129:$B$158,2,FALSE)), $C13 = "3", 'Inputs-System'!$C$30*'Coincidence Factors'!$B$7*(1+'Inputs-System'!$C$18)*(1+'Inputs-System'!$C$41)*'Inputs-Proposals'!$D$29*'Inputs-Proposals'!$D$31*('Inputs-Proposals'!$D$20)*(VLOOKUP(DH$3,'Embedded Emissions'!$A$47:$B$78,2,FALSE)+VLOOKUP(DH$3,'Embedded Emissions'!$A$129:$B$158,2,FALSE)), $C13 = "0", 0), 0)</f>
        <v>0</v>
      </c>
      <c r="DJ13" s="44">
        <f>IFERROR(_xlfn.IFS($C13="1",( 'Inputs-System'!$C$30*'Coincidence Factors'!$B$7*(1+'Inputs-System'!$C$18)*(1+'Inputs-System'!$C$41))*('Inputs-Proposals'!$D$17*'Inputs-Proposals'!$D$19*('Inputs-Proposals'!$D$20))*(VLOOKUP(DH$3,DRIPE!$A$54:$I$82,5,FALSE)+VLOOKUP(DH$3,DRIPE!$A$54:$I$82,9,FALSE))+ ('Inputs-System'!$C$26*'Coincidence Factors'!$B$7*(1+'Inputs-System'!$C$18)*(1+'Inputs-System'!$C$42))*'Inputs-Proposals'!$D$16*VLOOKUP(DH$3,DRIPE!$A$54:$I$82,8,FALSE), $C13 = "2",( 'Inputs-System'!$C$30*'Coincidence Factors'!$B$7*(1+'Inputs-System'!$C$18)*(1+'Inputs-System'!$C$41))*('Inputs-Proposals'!$D$23*'Inputs-Proposals'!$D$25*('Inputs-Proposals'!$D$26))*(VLOOKUP(DH$3,DRIPE!$A$54:$I$82,5,FALSE)+VLOOKUP(DH$3,DRIPE!$A$54:$I$82,12,FALSE))+ ('Inputs-System'!$C$26*'Coincidence Factors'!$B$7*(1+'Inputs-System'!$C$18)*(1+'Inputs-System'!$C$42))*'Inputs-Proposals'!$D$22*VLOOKUP(DH$3,DRIPE!$A$54:$I$82,8,FALSE), $C13= "3", ( 'Inputs-System'!$C$30*'Coincidence Factors'!$B$7*(1+'Inputs-System'!$C$18)*(1+'Inputs-System'!$C$41))*('Inputs-Proposals'!$D$29*'Inputs-Proposals'!$D$31*('Inputs-Proposals'!$D$32))*(VLOOKUP(DH$3,DRIPE!$A$54:$I$82,5,FALSE)+VLOOKUP(DH$3,DRIPE!$A$54:$I$82,12,FALSE))+ ('Inputs-System'!$C$26*'Coincidence Factors'!$B$7*(1+'Inputs-System'!$C$18)*(1+'Inputs-System'!$C$42))*'Inputs-Proposals'!$D$28*VLOOKUP(DH$3,DRIPE!$A$54:$I$82,8,FALSE), $C13 = "0", 0), 0)</f>
        <v>0</v>
      </c>
      <c r="DK13" s="45">
        <f>IFERROR(_xlfn.IFS($C13="1",('Inputs-System'!$C$26*'Coincidence Factors'!$B$7*(1+'Inputs-System'!$C$18))*'Inputs-Proposals'!$D$16*(VLOOKUP(DH$3,Capacity!$A$53:$E$85,4,FALSE)*(1+'Inputs-System'!$C$42)+VLOOKUP(DH$3,Capacity!$A$53:$E$85,5,FALSE)*'Inputs-System'!$C$29*(1+'Inputs-System'!$C$43)), $C13 = "2", ('Inputs-System'!$C$26*'Coincidence Factors'!$B$7*(1+'Inputs-System'!$C$18))*'Inputs-Proposals'!$D$22*(VLOOKUP(DH$3,Capacity!$A$53:$E$85,4,FALSE)*(1+'Inputs-System'!$C$42)+VLOOKUP(DH$3,Capacity!$A$53:$E$85,5,FALSE)*'Inputs-System'!$C$29*(1+'Inputs-System'!$C$43)), $C13 = "3",('Inputs-System'!$C$26*'Coincidence Factors'!$B$7*(1+'Inputs-System'!$C$18))*'Inputs-Proposals'!$D$28*(VLOOKUP(DH$3,Capacity!$A$53:$E$85,4,FALSE)*(1+'Inputs-System'!$C$42)+VLOOKUP(DH$3,Capacity!$A$53:$E$85,5,FALSE)*'Inputs-System'!$C$29*(1+'Inputs-System'!$C$43)), $C13 = "0", 0), 0)</f>
        <v>0</v>
      </c>
      <c r="DL13" s="44">
        <v>0</v>
      </c>
      <c r="DM13" s="342">
        <f>IFERROR(_xlfn.IFS($C13="1", 'Inputs-System'!$C$30*'Coincidence Factors'!$B$7*'Inputs-Proposals'!$D$17*'Inputs-Proposals'!$D$19*(VLOOKUP(DH$3,'Non-Embedded Emissions'!$A$56:$D$90,2,FALSE)+VLOOKUP(DH$3,'Non-Embedded Emissions'!$A$143:$D$174,2,FALSE)+VLOOKUP(DH$3,'Non-Embedded Emissions'!$A$230:$D$259,2,FALSE)), $C13 = "2", 'Inputs-System'!$C$30*'Coincidence Factors'!$B$7*'Inputs-Proposals'!$D$23*'Inputs-Proposals'!$D$25*(VLOOKUP(DH$3,'Non-Embedded Emissions'!$A$56:$D$90,2,FALSE)+VLOOKUP(DH$3,'Non-Embedded Emissions'!$A$143:$D$174,2,FALSE)+VLOOKUP(DH$3,'Non-Embedded Emissions'!$A$230:$D$259,2,FALSE)), $C13 = "3", 'Inputs-System'!$C$30*'Coincidence Factors'!$B$7*'Inputs-Proposals'!$D$29*'Inputs-Proposals'!$D$31*(VLOOKUP(DH$3,'Non-Embedded Emissions'!$A$56:$D$90,2,FALSE)+VLOOKUP(DH$3,'Non-Embedded Emissions'!$A$143:$D$174,2,FALSE)+VLOOKUP(DH$3,'Non-Embedded Emissions'!$A$230:$D$259,2,FALSE)), $C13 = "0", 0), 0)</f>
        <v>0</v>
      </c>
      <c r="DN13" s="45">
        <f>IFERROR(_xlfn.IFS($C13="1",('Inputs-System'!$C$30*'Coincidence Factors'!$B$7*(1+'Inputs-System'!$C$18)*(1+'Inputs-System'!$C$41)*('Inputs-Proposals'!$D$17*'Inputs-Proposals'!$D$19*('Inputs-Proposals'!$D$20))*(VLOOKUP(DN$3,Energy!$A$51:$K$83,5,FALSE))), $C13 = "2",('Inputs-System'!$C$30*'Coincidence Factors'!$B$7)*(1+'Inputs-System'!$C$18)*(1+'Inputs-System'!$C$41)*('Inputs-Proposals'!$D$23*'Inputs-Proposals'!$D$25*('Inputs-Proposals'!$D$26))*(VLOOKUP(DN$3,Energy!$A$51:$K$83,5,FALSE)), $C13= "3", ('Inputs-System'!$C$30*'Coincidence Factors'!$B$7*(1+'Inputs-System'!$C$18)*(1+'Inputs-System'!$C$41)*('Inputs-Proposals'!$D$29*'Inputs-Proposals'!$D$31*('Inputs-Proposals'!$D$32))*(VLOOKUP(DN$3,Energy!$A$51:$K$83,5,FALSE))), $C13= "0", 0), 0)</f>
        <v>0</v>
      </c>
      <c r="DO13" s="44">
        <f>IFERROR(_xlfn.IFS($C13="1",'Inputs-System'!$C$30*'Coincidence Factors'!$B$7*(1+'Inputs-System'!$C$18)*(1+'Inputs-System'!$C$41)*'Inputs-Proposals'!$D$17*'Inputs-Proposals'!$D$19*('Inputs-Proposals'!$D$20)*(VLOOKUP(DN$3,'Embedded Emissions'!$A$47:$B$78,2,FALSE)+VLOOKUP(DN$3,'Embedded Emissions'!$A$129:$B$158,2,FALSE)), $C13 = "2",'Inputs-System'!$C$30*'Coincidence Factors'!$B$7*(1+'Inputs-System'!$C$18)*(1+'Inputs-System'!$C$41)*'Inputs-Proposals'!$D$23*'Inputs-Proposals'!$D$25*('Inputs-Proposals'!$D$20)*(VLOOKUP(DN$3,'Embedded Emissions'!$A$47:$B$78,2,FALSE)+VLOOKUP(DN$3,'Embedded Emissions'!$A$129:$B$158,2,FALSE)), $C13 = "3", 'Inputs-System'!$C$30*'Coincidence Factors'!$B$7*(1+'Inputs-System'!$C$18)*(1+'Inputs-System'!$C$41)*'Inputs-Proposals'!$D$29*'Inputs-Proposals'!$D$31*('Inputs-Proposals'!$D$20)*(VLOOKUP(DN$3,'Embedded Emissions'!$A$47:$B$78,2,FALSE)+VLOOKUP(DN$3,'Embedded Emissions'!$A$129:$B$158,2,FALSE)), $C13 = "0", 0), 0)</f>
        <v>0</v>
      </c>
      <c r="DP13" s="44">
        <f>IFERROR(_xlfn.IFS($C13="1",( 'Inputs-System'!$C$30*'Coincidence Factors'!$B$7*(1+'Inputs-System'!$C$18)*(1+'Inputs-System'!$C$41))*('Inputs-Proposals'!$D$17*'Inputs-Proposals'!$D$19*('Inputs-Proposals'!$D$20))*(VLOOKUP(DN$3,DRIPE!$A$54:$I$82,5,FALSE)+VLOOKUP(DN$3,DRIPE!$A$54:$I$82,9,FALSE))+ ('Inputs-System'!$C$26*'Coincidence Factors'!$B$7*(1+'Inputs-System'!$C$18)*(1+'Inputs-System'!$C$42))*'Inputs-Proposals'!$D$16*VLOOKUP(DN$3,DRIPE!$A$54:$I$82,8,FALSE), $C13 = "2",( 'Inputs-System'!$C$30*'Coincidence Factors'!$B$7*(1+'Inputs-System'!$C$18)*(1+'Inputs-System'!$C$41))*('Inputs-Proposals'!$D$23*'Inputs-Proposals'!$D$25*('Inputs-Proposals'!$D$26))*(VLOOKUP(DN$3,DRIPE!$A$54:$I$82,5,FALSE)+VLOOKUP(DN$3,DRIPE!$A$54:$I$82,12,FALSE))+ ('Inputs-System'!$C$26*'Coincidence Factors'!$B$7*(1+'Inputs-System'!$C$18)*(1+'Inputs-System'!$C$42))*'Inputs-Proposals'!$D$22*VLOOKUP(DN$3,DRIPE!$A$54:$I$82,8,FALSE), $C13= "3", ( 'Inputs-System'!$C$30*'Coincidence Factors'!$B$7*(1+'Inputs-System'!$C$18)*(1+'Inputs-System'!$C$41))*('Inputs-Proposals'!$D$29*'Inputs-Proposals'!$D$31*('Inputs-Proposals'!$D$32))*(VLOOKUP(DN$3,DRIPE!$A$54:$I$82,5,FALSE)+VLOOKUP(DN$3,DRIPE!$A$54:$I$82,12,FALSE))+ ('Inputs-System'!$C$26*'Coincidence Factors'!$B$7*(1+'Inputs-System'!$C$18)*(1+'Inputs-System'!$C$42))*'Inputs-Proposals'!$D$28*VLOOKUP(DN$3,DRIPE!$A$54:$I$82,8,FALSE), $C13 = "0", 0), 0)</f>
        <v>0</v>
      </c>
      <c r="DQ13" s="45">
        <f>IFERROR(_xlfn.IFS($C13="1",('Inputs-System'!$C$26*'Coincidence Factors'!$B$7*(1+'Inputs-System'!$C$18))*'Inputs-Proposals'!$D$16*(VLOOKUP(DN$3,Capacity!$A$53:$E$85,4,FALSE)*(1+'Inputs-System'!$C$42)+VLOOKUP(DN$3,Capacity!$A$53:$E$85,5,FALSE)*'Inputs-System'!$C$29*(1+'Inputs-System'!$C$43)), $C13 = "2", ('Inputs-System'!$C$26*'Coincidence Factors'!$B$7*(1+'Inputs-System'!$C$18))*'Inputs-Proposals'!$D$22*(VLOOKUP(DN$3,Capacity!$A$53:$E$85,4,FALSE)*(1+'Inputs-System'!$C$42)+VLOOKUP(DN$3,Capacity!$A$53:$E$85,5,FALSE)*'Inputs-System'!$C$29*(1+'Inputs-System'!$C$43)), $C13 = "3",('Inputs-System'!$C$26*'Coincidence Factors'!$B$7*(1+'Inputs-System'!$C$18))*'Inputs-Proposals'!$D$28*(VLOOKUP(DN$3,Capacity!$A$53:$E$85,4,FALSE)*(1+'Inputs-System'!$C$42)+VLOOKUP(DN$3,Capacity!$A$53:$E$85,5,FALSE)*'Inputs-System'!$C$29*(1+'Inputs-System'!$C$43)), $C13 = "0", 0), 0)</f>
        <v>0</v>
      </c>
      <c r="DR13" s="44">
        <v>0</v>
      </c>
      <c r="DS13" s="342">
        <f>IFERROR(_xlfn.IFS($C13="1", 'Inputs-System'!$C$30*'Coincidence Factors'!$B$7*'Inputs-Proposals'!$D$17*'Inputs-Proposals'!$D$19*(VLOOKUP(DN$3,'Non-Embedded Emissions'!$A$56:$D$90,2,FALSE)+VLOOKUP(DN$3,'Non-Embedded Emissions'!$A$143:$D$174,2,FALSE)+VLOOKUP(DN$3,'Non-Embedded Emissions'!$A$230:$D$259,2,FALSE)), $C13 = "2", 'Inputs-System'!$C$30*'Coincidence Factors'!$B$7*'Inputs-Proposals'!$D$23*'Inputs-Proposals'!$D$25*(VLOOKUP(DN$3,'Non-Embedded Emissions'!$A$56:$D$90,2,FALSE)+VLOOKUP(DN$3,'Non-Embedded Emissions'!$A$143:$D$174,2,FALSE)+VLOOKUP(DN$3,'Non-Embedded Emissions'!$A$230:$D$259,2,FALSE)), $C13 = "3", 'Inputs-System'!$C$30*'Coincidence Factors'!$B$7*'Inputs-Proposals'!$D$29*'Inputs-Proposals'!$D$31*(VLOOKUP(DN$3,'Non-Embedded Emissions'!$A$56:$D$90,2,FALSE)+VLOOKUP(DN$3,'Non-Embedded Emissions'!$A$143:$D$174,2,FALSE)+VLOOKUP(DN$3,'Non-Embedded Emissions'!$A$230:$D$259,2,FALSE)), $C13 = "0", 0), 0)</f>
        <v>0</v>
      </c>
      <c r="DT13" s="45">
        <f>IFERROR(_xlfn.IFS($C13="1",('Inputs-System'!$C$30*'Coincidence Factors'!$B$7*(1+'Inputs-System'!$C$18)*(1+'Inputs-System'!$C$41)*('Inputs-Proposals'!$D$17*'Inputs-Proposals'!$D$19*('Inputs-Proposals'!$D$20))*(VLOOKUP(DT$3,Energy!$A$51:$K$83,5,FALSE))), $C13 = "2",('Inputs-System'!$C$30*'Coincidence Factors'!$B$7)*(1+'Inputs-System'!$C$18)*(1+'Inputs-System'!$C$41)*('Inputs-Proposals'!$D$23*'Inputs-Proposals'!$D$25*('Inputs-Proposals'!$D$26))*(VLOOKUP(DT$3,Energy!$A$51:$K$83,5,FALSE)), $C13= "3", ('Inputs-System'!$C$30*'Coincidence Factors'!$B$7*(1+'Inputs-System'!$C$18)*(1+'Inputs-System'!$C$41)*('Inputs-Proposals'!$D$29*'Inputs-Proposals'!$D$31*('Inputs-Proposals'!$D$32))*(VLOOKUP(DT$3,Energy!$A$51:$K$83,5,FALSE))), $C13= "0", 0), 0)</f>
        <v>0</v>
      </c>
      <c r="DU13" s="44">
        <f>IFERROR(_xlfn.IFS($C13="1",'Inputs-System'!$C$30*'Coincidence Factors'!$B$7*(1+'Inputs-System'!$C$18)*(1+'Inputs-System'!$C$41)*'Inputs-Proposals'!$D$17*'Inputs-Proposals'!$D$19*('Inputs-Proposals'!$D$20)*(VLOOKUP(DT$3,'Embedded Emissions'!$A$47:$B$78,2,FALSE)+VLOOKUP(DT$3,'Embedded Emissions'!$A$129:$B$158,2,FALSE)), $C13 = "2",'Inputs-System'!$C$30*'Coincidence Factors'!$B$7*(1+'Inputs-System'!$C$18)*(1+'Inputs-System'!$C$41)*'Inputs-Proposals'!$D$23*'Inputs-Proposals'!$D$25*('Inputs-Proposals'!$D$20)*(VLOOKUP(DT$3,'Embedded Emissions'!$A$47:$B$78,2,FALSE)+VLOOKUP(DT$3,'Embedded Emissions'!$A$129:$B$158,2,FALSE)), $C13 = "3", 'Inputs-System'!$C$30*'Coincidence Factors'!$B$7*(1+'Inputs-System'!$C$18)*(1+'Inputs-System'!$C$41)*'Inputs-Proposals'!$D$29*'Inputs-Proposals'!$D$31*('Inputs-Proposals'!$D$20)*(VLOOKUP(DT$3,'Embedded Emissions'!$A$47:$B$78,2,FALSE)+VLOOKUP(DT$3,'Embedded Emissions'!$A$129:$B$158,2,FALSE)), $C13 = "0", 0), 0)</f>
        <v>0</v>
      </c>
      <c r="DV13" s="44">
        <f>IFERROR(_xlfn.IFS($C13="1",( 'Inputs-System'!$C$30*'Coincidence Factors'!$B$7*(1+'Inputs-System'!$C$18)*(1+'Inputs-System'!$C$41))*('Inputs-Proposals'!$D$17*'Inputs-Proposals'!$D$19*('Inputs-Proposals'!$D$20))*(VLOOKUP(DT$3,DRIPE!$A$54:$I$82,5,FALSE)+VLOOKUP(DT$3,DRIPE!$A$54:$I$82,9,FALSE))+ ('Inputs-System'!$C$26*'Coincidence Factors'!$B$7*(1+'Inputs-System'!$C$18)*(1+'Inputs-System'!$C$42))*'Inputs-Proposals'!$D$16*VLOOKUP(DT$3,DRIPE!$A$54:$I$82,8,FALSE), $C13 = "2",( 'Inputs-System'!$C$30*'Coincidence Factors'!$B$7*(1+'Inputs-System'!$C$18)*(1+'Inputs-System'!$C$41))*('Inputs-Proposals'!$D$23*'Inputs-Proposals'!$D$25*('Inputs-Proposals'!$D$26))*(VLOOKUP(DT$3,DRIPE!$A$54:$I$82,5,FALSE)+VLOOKUP(DT$3,DRIPE!$A$54:$I$82,12,FALSE))+ ('Inputs-System'!$C$26*'Coincidence Factors'!$B$7*(1+'Inputs-System'!$C$18)*(1+'Inputs-System'!$C$42))*'Inputs-Proposals'!$D$22*VLOOKUP(DT$3,DRIPE!$A$54:$I$82,8,FALSE), $C13= "3", ( 'Inputs-System'!$C$30*'Coincidence Factors'!$B$7*(1+'Inputs-System'!$C$18)*(1+'Inputs-System'!$C$41))*('Inputs-Proposals'!$D$29*'Inputs-Proposals'!$D$31*('Inputs-Proposals'!$D$32))*(VLOOKUP(DT$3,DRIPE!$A$54:$I$82,5,FALSE)+VLOOKUP(DT$3,DRIPE!$A$54:$I$82,12,FALSE))+ ('Inputs-System'!$C$26*'Coincidence Factors'!$B$7*(1+'Inputs-System'!$C$18)*(1+'Inputs-System'!$C$42))*'Inputs-Proposals'!$D$28*VLOOKUP(DT$3,DRIPE!$A$54:$I$82,8,FALSE), $C13 = "0", 0), 0)</f>
        <v>0</v>
      </c>
      <c r="DW13" s="45">
        <f>IFERROR(_xlfn.IFS($C13="1",('Inputs-System'!$C$26*'Coincidence Factors'!$B$7*(1+'Inputs-System'!$C$18))*'Inputs-Proposals'!$D$16*(VLOOKUP(DT$3,Capacity!$A$53:$E$85,4,FALSE)*(1+'Inputs-System'!$C$42)+VLOOKUP(DT$3,Capacity!$A$53:$E$85,5,FALSE)*'Inputs-System'!$C$29*(1+'Inputs-System'!$C$43)), $C13 = "2", ('Inputs-System'!$C$26*'Coincidence Factors'!$B$7*(1+'Inputs-System'!$C$18))*'Inputs-Proposals'!$D$22*(VLOOKUP(DT$3,Capacity!$A$53:$E$85,4,FALSE)*(1+'Inputs-System'!$C$42)+VLOOKUP(DT$3,Capacity!$A$53:$E$85,5,FALSE)*'Inputs-System'!$C$29*(1+'Inputs-System'!$C$43)), $C13 = "3",('Inputs-System'!$C$26*'Coincidence Factors'!$B$7*(1+'Inputs-System'!$C$18))*'Inputs-Proposals'!$D$28*(VLOOKUP(DT$3,Capacity!$A$53:$E$85,4,FALSE)*(1+'Inputs-System'!$C$42)+VLOOKUP(DT$3,Capacity!$A$53:$E$85,5,FALSE)*'Inputs-System'!$C$29*(1+'Inputs-System'!$C$43)), $C13 = "0", 0), 0)</f>
        <v>0</v>
      </c>
      <c r="DX13" s="44">
        <v>0</v>
      </c>
      <c r="DY13" s="342">
        <f>IFERROR(_xlfn.IFS($C13="1", 'Inputs-System'!$C$30*'Coincidence Factors'!$B$7*'Inputs-Proposals'!$D$17*'Inputs-Proposals'!$D$19*(VLOOKUP(DT$3,'Non-Embedded Emissions'!$A$56:$D$90,2,FALSE)+VLOOKUP(DT$3,'Non-Embedded Emissions'!$A$143:$D$174,2,FALSE)+VLOOKUP(DT$3,'Non-Embedded Emissions'!$A$230:$D$259,2,FALSE)), $C13 = "2", 'Inputs-System'!$C$30*'Coincidence Factors'!$B$7*'Inputs-Proposals'!$D$23*'Inputs-Proposals'!$D$25*(VLOOKUP(DT$3,'Non-Embedded Emissions'!$A$56:$D$90,2,FALSE)+VLOOKUP(DT$3,'Non-Embedded Emissions'!$A$143:$D$174,2,FALSE)+VLOOKUP(DT$3,'Non-Embedded Emissions'!$A$230:$D$259,2,FALSE)), $C13 = "3", 'Inputs-System'!$C$30*'Coincidence Factors'!$B$7*'Inputs-Proposals'!$D$29*'Inputs-Proposals'!$D$31*(VLOOKUP(DT$3,'Non-Embedded Emissions'!$A$56:$D$90,2,FALSE)+VLOOKUP(DT$3,'Non-Embedded Emissions'!$A$143:$D$174,2,FALSE)+VLOOKUP(DT$3,'Non-Embedded Emissions'!$A$230:$D$259,2,FALSE)), $C13 = "0", 0), 0)</f>
        <v>0</v>
      </c>
      <c r="DZ13" s="45">
        <f>IFERROR(_xlfn.IFS($C13="1",('Inputs-System'!$C$30*'Coincidence Factors'!$B$7*(1+'Inputs-System'!$C$18)*(1+'Inputs-System'!$C$41)*('Inputs-Proposals'!$D$17*'Inputs-Proposals'!$D$19*('Inputs-Proposals'!$D$20))*(VLOOKUP(DZ$3,Energy!$A$51:$K$83,5,FALSE))), $C13 = "2",('Inputs-System'!$C$30*'Coincidence Factors'!$B$7)*(1+'Inputs-System'!$C$18)*(1+'Inputs-System'!$C$41)*('Inputs-Proposals'!$D$23*'Inputs-Proposals'!$D$25*('Inputs-Proposals'!$D$26))*(VLOOKUP(DZ$3,Energy!$A$51:$K$83,5,FALSE)), $C13= "3", ('Inputs-System'!$C$30*'Coincidence Factors'!$B$7*(1+'Inputs-System'!$C$18)*(1+'Inputs-System'!$C$41)*('Inputs-Proposals'!$D$29*'Inputs-Proposals'!$D$31*('Inputs-Proposals'!$D$32))*(VLOOKUP(DZ$3,Energy!$A$51:$K$83,5,FALSE))), $C13= "0", 0), 0)</f>
        <v>0</v>
      </c>
      <c r="EA13" s="44">
        <f>IFERROR(_xlfn.IFS($C13="1",'Inputs-System'!$C$30*'Coincidence Factors'!$B$7*(1+'Inputs-System'!$C$18)*(1+'Inputs-System'!$C$41)*'Inputs-Proposals'!$D$17*'Inputs-Proposals'!$D$19*('Inputs-Proposals'!$D$20)*(VLOOKUP(DZ$3,'Embedded Emissions'!$A$47:$B$78,2,FALSE)+VLOOKUP(DZ$3,'Embedded Emissions'!$A$129:$B$158,2,FALSE)), $C13 = "2",'Inputs-System'!$C$30*'Coincidence Factors'!$B$7*(1+'Inputs-System'!$C$18)*(1+'Inputs-System'!$C$41)*'Inputs-Proposals'!$D$23*'Inputs-Proposals'!$D$25*('Inputs-Proposals'!$D$20)*(VLOOKUP(DZ$3,'Embedded Emissions'!$A$47:$B$78,2,FALSE)+VLOOKUP(DZ$3,'Embedded Emissions'!$A$129:$B$158,2,FALSE)), $C13 = "3", 'Inputs-System'!$C$30*'Coincidence Factors'!$B$7*(1+'Inputs-System'!$C$18)*(1+'Inputs-System'!$C$41)*'Inputs-Proposals'!$D$29*'Inputs-Proposals'!$D$31*('Inputs-Proposals'!$D$20)*(VLOOKUP(DZ$3,'Embedded Emissions'!$A$47:$B$78,2,FALSE)+VLOOKUP(DZ$3,'Embedded Emissions'!$A$129:$B$158,2,FALSE)), $C13 = "0", 0), 0)</f>
        <v>0</v>
      </c>
      <c r="EB13" s="44">
        <f>IFERROR(_xlfn.IFS($C13="1",( 'Inputs-System'!$C$30*'Coincidence Factors'!$B$7*(1+'Inputs-System'!$C$18)*(1+'Inputs-System'!$C$41))*('Inputs-Proposals'!$D$17*'Inputs-Proposals'!$D$19*('Inputs-Proposals'!$D$20))*(VLOOKUP(DZ$3,DRIPE!$A$54:$I$82,5,FALSE)+VLOOKUP(DZ$3,DRIPE!$A$54:$I$82,9,FALSE))+ ('Inputs-System'!$C$26*'Coincidence Factors'!$B$7*(1+'Inputs-System'!$C$18)*(1+'Inputs-System'!$C$42))*'Inputs-Proposals'!$D$16*VLOOKUP(DZ$3,DRIPE!$A$54:$I$82,8,FALSE), $C13 = "2",( 'Inputs-System'!$C$30*'Coincidence Factors'!$B$7*(1+'Inputs-System'!$C$18)*(1+'Inputs-System'!$C$41))*('Inputs-Proposals'!$D$23*'Inputs-Proposals'!$D$25*('Inputs-Proposals'!$D$26))*(VLOOKUP(DZ$3,DRIPE!$A$54:$I$82,5,FALSE)+VLOOKUP(DZ$3,DRIPE!$A$54:$I$82,12,FALSE))+ ('Inputs-System'!$C$26*'Coincidence Factors'!$B$7*(1+'Inputs-System'!$C$18)*(1+'Inputs-System'!$C$42))*'Inputs-Proposals'!$D$22*VLOOKUP(DZ$3,DRIPE!$A$54:$I$82,8,FALSE), $C13= "3", ( 'Inputs-System'!$C$30*'Coincidence Factors'!$B$7*(1+'Inputs-System'!$C$18)*(1+'Inputs-System'!$C$41))*('Inputs-Proposals'!$D$29*'Inputs-Proposals'!$D$31*('Inputs-Proposals'!$D$32))*(VLOOKUP(DZ$3,DRIPE!$A$54:$I$82,5,FALSE)+VLOOKUP(DZ$3,DRIPE!$A$54:$I$82,12,FALSE))+ ('Inputs-System'!$C$26*'Coincidence Factors'!$B$7*(1+'Inputs-System'!$C$18)*(1+'Inputs-System'!$C$42))*'Inputs-Proposals'!$D$28*VLOOKUP(DZ$3,DRIPE!$A$54:$I$82,8,FALSE), $C13 = "0", 0), 0)</f>
        <v>0</v>
      </c>
      <c r="EC13" s="45">
        <f>IFERROR(_xlfn.IFS($C13="1",('Inputs-System'!$C$26*'Coincidence Factors'!$B$7*(1+'Inputs-System'!$C$18))*'Inputs-Proposals'!$D$16*(VLOOKUP(DZ$3,Capacity!$A$53:$E$85,4,FALSE)*(1+'Inputs-System'!$C$42)+VLOOKUP(DZ$3,Capacity!$A$53:$E$85,5,FALSE)*'Inputs-System'!$C$29*(1+'Inputs-System'!$C$43)), $C13 = "2", ('Inputs-System'!$C$26*'Coincidence Factors'!$B$7*(1+'Inputs-System'!$C$18))*'Inputs-Proposals'!$D$22*(VLOOKUP(DZ$3,Capacity!$A$53:$E$85,4,FALSE)*(1+'Inputs-System'!$C$42)+VLOOKUP(DZ$3,Capacity!$A$53:$E$85,5,FALSE)*'Inputs-System'!$C$29*(1+'Inputs-System'!$C$43)), $C13 = "3",('Inputs-System'!$C$26*'Coincidence Factors'!$B$7*(1+'Inputs-System'!$C$18))*'Inputs-Proposals'!$D$28*(VLOOKUP(DZ$3,Capacity!$A$53:$E$85,4,FALSE)*(1+'Inputs-System'!$C$42)+VLOOKUP(DZ$3,Capacity!$A$53:$E$85,5,FALSE)*'Inputs-System'!$C$29*(1+'Inputs-System'!$C$43)), $C13 = "0", 0), 0)</f>
        <v>0</v>
      </c>
      <c r="ED13" s="44">
        <v>0</v>
      </c>
      <c r="EE13" s="342">
        <f>IFERROR(_xlfn.IFS($C13="1", 'Inputs-System'!$C$30*'Coincidence Factors'!$B$7*'Inputs-Proposals'!$D$17*'Inputs-Proposals'!$D$19*(VLOOKUP(DZ$3,'Non-Embedded Emissions'!$A$56:$D$90,2,FALSE)+VLOOKUP(DZ$3,'Non-Embedded Emissions'!$A$143:$D$174,2,FALSE)+VLOOKUP(DZ$3,'Non-Embedded Emissions'!$A$230:$D$259,2,FALSE)), $C13 = "2", 'Inputs-System'!$C$30*'Coincidence Factors'!$B$7*'Inputs-Proposals'!$D$23*'Inputs-Proposals'!$D$25*(VLOOKUP(DZ$3,'Non-Embedded Emissions'!$A$56:$D$90,2,FALSE)+VLOOKUP(DZ$3,'Non-Embedded Emissions'!$A$143:$D$174,2,FALSE)+VLOOKUP(DZ$3,'Non-Embedded Emissions'!$A$230:$D$259,2,FALSE)), $C13 = "3", 'Inputs-System'!$C$30*'Coincidence Factors'!$B$7*'Inputs-Proposals'!$D$29*'Inputs-Proposals'!$D$31*(VLOOKUP(DZ$3,'Non-Embedded Emissions'!$A$56:$D$90,2,FALSE)+VLOOKUP(DZ$3,'Non-Embedded Emissions'!$A$143:$D$174,2,FALSE)+VLOOKUP(DZ$3,'Non-Embedded Emissions'!$A$230:$D$259,2,FALSE)), $C13 = "0", 0), 0)</f>
        <v>0</v>
      </c>
    </row>
    <row r="14" spans="1:135" x14ac:dyDescent="0.35">
      <c r="A14" s="708"/>
      <c r="B14" s="3" t="s">
        <v>160</v>
      </c>
      <c r="C14" s="3" t="str">
        <f>IFERROR(_xlfn.IFS('Benefits Calc'!B14='Inputs-Proposals'!$D$15, "1", 'Benefits Calc'!B14='Inputs-Proposals'!$D$21, "2", 'Benefits Calc'!B14='Inputs-Proposals'!$D$27, "3"), "0")</f>
        <v>0</v>
      </c>
      <c r="D14" s="323">
        <f t="shared" si="0"/>
        <v>0</v>
      </c>
      <c r="E14" s="44">
        <f t="shared" si="1"/>
        <v>0</v>
      </c>
      <c r="F14" s="44">
        <f t="shared" si="2"/>
        <v>0</v>
      </c>
      <c r="G14" s="44">
        <f t="shared" si="3"/>
        <v>0</v>
      </c>
      <c r="H14" s="44">
        <f t="shared" si="4"/>
        <v>0</v>
      </c>
      <c r="I14" s="44">
        <f t="shared" si="5"/>
        <v>0</v>
      </c>
      <c r="J14" s="323">
        <f>NPV('Inputs-System'!$C$20,P14+V14+AB14+AH14+AN14+AT14+AZ14+BF14+BL14+BR14+BX14+CD14+CJ14+CP14+CV14+DB14+DH14+DN14+DT14+DZ14)</f>
        <v>0</v>
      </c>
      <c r="K14" s="44">
        <f>NPV('Inputs-System'!$C$20,Q14+W14+AC14+AI14+AO14+AU14+BA14+BG14+BM14+BS14+BY14+CE14+CK14+CQ14+CW14+DC14+DI14+DO14+DU14+EA14)</f>
        <v>0</v>
      </c>
      <c r="L14" s="44">
        <f>NPV('Inputs-System'!$C$20,R14+X14+AD14+AJ14+AP14+AV14+BB14+BH14+BN14+BT14+BZ14+CF14+CL14+CR14+CX14+DD14+DJ14+DP14+DV14+EB14)</f>
        <v>0</v>
      </c>
      <c r="M14" s="44">
        <f>NPV('Inputs-System'!$C$20,S14+Y14+AE14+AK14+AQ14+AW14+BC14+BI14+BO14+BU14+CA14+CG14+CM14+CS14+CY14+DE14+DK14+DQ14+DW14+EC14)</f>
        <v>0</v>
      </c>
      <c r="N14" s="44">
        <f>NPV('Inputs-System'!$C$20,T14+Z14+AF14+AL14+AR14+AX14+BD14+BJ14+BP14+BV14+CB14+CH14+CN14+CT14+CZ14+DF14+DL14+DR14+DX14+ED14)</f>
        <v>0</v>
      </c>
      <c r="O14" s="44">
        <f>NPV('Inputs-System'!$C$20,U14+AA14+AG14+AM14+AS14+AY14+BE14+BK14+BQ14+BW14+CC14+CI14+CO14+CU14+DA14+DG14+DM14+DS14+DY14+EE14)</f>
        <v>0</v>
      </c>
      <c r="P14" s="347">
        <f>IFERROR(_xlfn.IFS($C14="1",('Inputs-System'!$C$30*'Coincidence Factors'!$B$8*(1+'Inputs-System'!$C$18)*(1+'Inputs-System'!$C$41)*('Inputs-Proposals'!$D$17*'Inputs-Proposals'!$D$19*('Inputs-Proposals'!$D$20))*(VLOOKUP(P$3,Energy!$A$51:$K$83,5,FALSE))), $C14 = "2",('Inputs-System'!$C$30*'Coincidence Factors'!$B$8)*(1+'Inputs-System'!$C$18)*(1+'Inputs-System'!$C$41)*('Inputs-Proposals'!$D$23*'Inputs-Proposals'!$D$25*('Inputs-Proposals'!$D$26))*(VLOOKUP(P$3,Energy!$A$51:$K$83,5,FALSE)), $C14= "3", ('Inputs-System'!$C$30*'Coincidence Factors'!$B$8*(1+'Inputs-System'!$C$18)*(1+'Inputs-System'!$C$41)*('Inputs-Proposals'!$D$29*'Inputs-Proposals'!$D$31*('Inputs-Proposals'!$D$32))*(VLOOKUP(P$3,Energy!$A$51:$K$83,5,FALSE))), $C14= "0", 0), 0)</f>
        <v>0</v>
      </c>
      <c r="Q14" s="44">
        <f>IFERROR(_xlfn.IFS($C14="1",'Inputs-System'!$C$30*'Coincidence Factors'!$B$8*(1+'Inputs-System'!$C$18)*(1+'Inputs-System'!$C$41)*'Inputs-Proposals'!$D$17*'Inputs-Proposals'!$D$19*('Inputs-Proposals'!$D$20)*(VLOOKUP(P$3,'Embedded Emissions'!$A$47:$B$78,2,FALSE)+VLOOKUP(P$3,'Embedded Emissions'!$A$129:$B$158,2,FALSE)), $C14 = "2", 'Inputs-System'!$C$30*'Coincidence Factors'!$B$8*(1+'Inputs-System'!$C$18)*(1+'Inputs-System'!$C$41)*'Inputs-Proposals'!$D$23*'Inputs-Proposals'!$D$25*('Inputs-Proposals'!$D$20)*(VLOOKUP(P$3,'Embedded Emissions'!$A$47:$B$78,2,FALSE)+VLOOKUP(P$3,'Embedded Emissions'!$A$129:$B$158,2,FALSE)), $C14 = "3",'Inputs-System'!$C$30*'Coincidence Factors'!$B$8*(1+'Inputs-System'!$C$18)*(1+'Inputs-System'!$C$41)*'Inputs-Proposals'!$D$29*'Inputs-Proposals'!$D$31*('Inputs-Proposals'!$D$20)*(VLOOKUP(P$3,'Embedded Emissions'!$A$47:$B$78,2,FALSE)+VLOOKUP(P$3,'Embedded Emissions'!$A$129:$B$158,2,FALSE)), $C14 = "0", 0), 0)</f>
        <v>0</v>
      </c>
      <c r="R14" s="44">
        <f>IFERROR(_xlfn.IFS($C14="1",( 'Inputs-System'!$C$30*'Coincidence Factors'!$B$8*(1+'Inputs-System'!$C$18)*(1+'Inputs-System'!$C$41))*('Inputs-Proposals'!$D$17*'Inputs-Proposals'!$D$19*('Inputs-Proposals'!$D$20))*(VLOOKUP(P$3,DRIPE!$A$54:$I$82,5,FALSE)+VLOOKUP(P$3,DRIPE!$A$54:$I$82,9,FALSE))+ ('Inputs-System'!$C$26*'Coincidence Factors'!$B$8*(1+'Inputs-System'!$C$18)*(1+'Inputs-System'!$C$42))*'Inputs-Proposals'!$D$16*VLOOKUP(P$3,DRIPE!$A$54:$I$82,8,FALSE), $C14 = "2",( 'Inputs-System'!$C$30*'Coincidence Factors'!$B$8*(1+'Inputs-System'!$C$18)*(1+'Inputs-System'!$C$41))*('Inputs-Proposals'!$D$23*'Inputs-Proposals'!$D$25*('Inputs-Proposals'!$D$26))*(VLOOKUP(P$3,DRIPE!$A$54:$I$82,5,FALSE)+VLOOKUP(P$3,DRIPE!$A$54:$I$82,9,FALSE))+  ('Inputs-System'!$C$26*'Coincidence Factors'!$B$8*(1+'Inputs-System'!$C$18)*(1+'Inputs-System'!$C$42))*'Inputs-Proposals'!$D$22*VLOOKUP(P$3,DRIPE!$A$54:$I$82,8,FALSE), $C14= "3", ( 'Inputs-System'!$C$30*'Coincidence Factors'!$B$8*(1+'Inputs-System'!$C$18)*(1+'Inputs-System'!$C$41))*('Inputs-Proposals'!$D$29*'Inputs-Proposals'!$D$31*('Inputs-Proposals'!$D$32))*(VLOOKUP(P$3,DRIPE!$A$54:$I$82,5,FALSE)+VLOOKUP(P$3,DRIPE!$A$54:$I$82,9,FALSE))+  ('Inputs-System'!$C$26*'Coincidence Factors'!$B$8*(1+'Inputs-System'!$C$18)*(1+'Inputs-System'!$C$42))*'Inputs-Proposals'!$D$28*VLOOKUP(P$3,DRIPE!$A$54:$I$82,8,FALSE), $C14 = "0", 0), 0)</f>
        <v>0</v>
      </c>
      <c r="S14" s="45">
        <f>IFERROR(_xlfn.IFS($C14="1",('Inputs-System'!$C$30*'Coincidence Factors'!$B$8*(1+'Inputs-System'!$C$18))*'Inputs-Proposals'!$D$16*(VLOOKUP(P$3,Capacity!$A$53:$E$85,4,FALSE)*(1+'Inputs-System'!$C$42)+VLOOKUP(P$3,Capacity!$A$53:$E$85,5,FALSE)*'Inputs-System'!$C$29*(1+'Inputs-System'!$C$43)), $C14 = "2", ('Inputs-System'!$C$30*'Coincidence Factors'!$B$8*(1+'Inputs-System'!$C$18))*'Inputs-Proposals'!$D$22*(VLOOKUP(P$3,Capacity!$A$53:$E$85,4,FALSE)*(1+'Inputs-System'!$C$42)+VLOOKUP(P$3,Capacity!$A$53:$E$85,5,FALSE)*'Inputs-System'!$C$29*(1+'Inputs-System'!$C$43)), $C14 = "3",('Inputs-System'!$C$30*'Coincidence Factors'!$B$8*(1+'Inputs-System'!$C$18))*'Inputs-Proposals'!$D$28*(VLOOKUP(P$3,Capacity!$A$53:$E$85,4,FALSE)*(1+'Inputs-System'!$C$42)+VLOOKUP(P$3,Capacity!$A$53:$E$85,5,FALSE)*'Inputs-System'!$C$29*(1+'Inputs-System'!$C$43)), $C14 = "0", 0), 0)</f>
        <v>0</v>
      </c>
      <c r="T14" s="44">
        <v>0</v>
      </c>
      <c r="U14" s="342">
        <f>IFERROR(_xlfn.IFS($C14="1", 'Inputs-System'!$C$30*'Coincidence Factors'!$B$8*'Inputs-Proposals'!$D$17*'Inputs-Proposals'!$D$19*(VLOOKUP(P$3,'Non-Embedded Emissions'!$A$56:$D$90,2,FALSE)+VLOOKUP(P$3,'Non-Embedded Emissions'!$A$143:$D$174,2,FALSE)+VLOOKUP(P$3,'Non-Embedded Emissions'!$A$230:$D$259,2,FALSE)), $C14 = "2", 'Inputs-System'!$C$30*'Coincidence Factors'!$B$8*'Inputs-Proposals'!$D$23*'Inputs-Proposals'!$D$25*(VLOOKUP(P$3,'Non-Embedded Emissions'!$A$56:$D$90,2,FALSE)+VLOOKUP(P$3,'Non-Embedded Emissions'!$A$143:$D$174,2,FALSE)+VLOOKUP(P$3,'Non-Embedded Emissions'!$A$230:$D$259,2,FALSE)), $C14 = "3", 'Inputs-System'!$C$30*'Coincidence Factors'!$B$8*'Inputs-Proposals'!$D$29*'Inputs-Proposals'!$D$31*(VLOOKUP(P$3,'Non-Embedded Emissions'!$A$56:$D$90,2,FALSE)+VLOOKUP(P$3,'Non-Embedded Emissions'!$A$143:$D$174,2,FALSE)+VLOOKUP(P$3,'Non-Embedded Emissions'!$A$230:$D$259,2,FALSE)), $C14 = "0", 0), 0)</f>
        <v>0</v>
      </c>
      <c r="V14" s="45">
        <f>IFERROR(_xlfn.IFS($C14="1",('Inputs-System'!$C$30*'Coincidence Factors'!$B$8*(1+'Inputs-System'!$C$18)*(1+'Inputs-System'!$C$41)*('Inputs-Proposals'!$D$17*'Inputs-Proposals'!$D$19*('Inputs-Proposals'!$D$20))*(VLOOKUP(V$3,Energy!$A$51:$K$83,5,FALSE))), $C14 = "2",('Inputs-System'!$C$30*'Coincidence Factors'!$B$8)*(1+'Inputs-System'!$C$18)*(1+'Inputs-System'!$C$41)*('Inputs-Proposals'!$D$23*'Inputs-Proposals'!$D$25*('Inputs-Proposals'!$D$26))*(VLOOKUP(V$3,Energy!$A$51:$K$83,5,FALSE)), $C14= "3", ('Inputs-System'!$C$30*'Coincidence Factors'!$B$8*(1+'Inputs-System'!$C$18)*(1+'Inputs-System'!$C$41)*('Inputs-Proposals'!$D$29*'Inputs-Proposals'!$D$31*('Inputs-Proposals'!$D$32))*(VLOOKUP(V$3,Energy!$A$51:$K$83,5,FALSE))), $C14= "0", 0), 0)</f>
        <v>0</v>
      </c>
      <c r="W14" s="44">
        <f>IFERROR(_xlfn.IFS($C14="1",'Inputs-System'!$C$30*'Coincidence Factors'!$B$8*(1+'Inputs-System'!$C$18)*(1+'Inputs-System'!$C$41)*'Inputs-Proposals'!$D$17*'Inputs-Proposals'!$D$19*('Inputs-Proposals'!$D$20)*(VLOOKUP(V$3,'Embedded Emissions'!$A$47:$B$78,2,FALSE)+VLOOKUP(V$3,'Embedded Emissions'!$A$129:$B$158,2,FALSE)), $C14 = "2", 'Inputs-System'!$C$30*'Coincidence Factors'!$B$8*(1+'Inputs-System'!$C$18)*(1+'Inputs-System'!$C$41)*'Inputs-Proposals'!$D$23*'Inputs-Proposals'!$D$25*('Inputs-Proposals'!$D$20)*(VLOOKUP(V$3,'Embedded Emissions'!$A$47:$B$78,2,FALSE)+VLOOKUP(V$3,'Embedded Emissions'!$A$129:$B$158,2,FALSE)), $C14 = "3",'Inputs-System'!$C$30*'Coincidence Factors'!$B$8*(1+'Inputs-System'!$C$18)*(1+'Inputs-System'!$C$41)*'Inputs-Proposals'!$D$29*'Inputs-Proposals'!$D$31*('Inputs-Proposals'!$D$20)*(VLOOKUP(V$3,'Embedded Emissions'!$A$47:$B$78,2,FALSE)+VLOOKUP(V$3,'Embedded Emissions'!$A$129:$B$158,2,FALSE)), $C14 = "0", 0), 0)</f>
        <v>0</v>
      </c>
      <c r="X14" s="44">
        <f>IFERROR(_xlfn.IFS($C14="1",( 'Inputs-System'!$C$30*'Coincidence Factors'!$B$8*(1+'Inputs-System'!$C$18)*(1+'Inputs-System'!$C$41))*('Inputs-Proposals'!$D$17*'Inputs-Proposals'!$D$19*('Inputs-Proposals'!$D$20))*(VLOOKUP(V$3,DRIPE!$A$54:$I$82,5,FALSE)+VLOOKUP(V$3,DRIPE!$A$54:$I$82,9,FALSE))+ ('Inputs-System'!$C$26*'Coincidence Factors'!$B$8*(1+'Inputs-System'!$C$18)*(1+'Inputs-System'!$C$42))*'Inputs-Proposals'!$D$16*VLOOKUP(V$3,DRIPE!$A$54:$I$82,8,FALSE), $C14 = "2",( 'Inputs-System'!$C$30*'Coincidence Factors'!$B$8*(1+'Inputs-System'!$C$18)*(1+'Inputs-System'!$C$41))*('Inputs-Proposals'!$D$23*'Inputs-Proposals'!$D$25*('Inputs-Proposals'!$D$26))*(VLOOKUP(V$3,DRIPE!$A$54:$I$82,5,FALSE)+VLOOKUP(V$3,DRIPE!$A$54:$I$82,9,FALSE))+  ('Inputs-System'!$C$26*'Coincidence Factors'!$B$8*(1+'Inputs-System'!$C$18)*(1+'Inputs-System'!$C$42))*'Inputs-Proposals'!$D$22*VLOOKUP(V$3,DRIPE!$A$54:$I$82,8,FALSE), $C14= "3", ( 'Inputs-System'!$C$30*'Coincidence Factors'!$B$8*(1+'Inputs-System'!$C$18)*(1+'Inputs-System'!$C$41))*('Inputs-Proposals'!$D$29*'Inputs-Proposals'!$D$31*('Inputs-Proposals'!$D$32))*(VLOOKUP(V$3,DRIPE!$A$54:$I$82,5,FALSE)+VLOOKUP(V$3,DRIPE!$A$54:$I$82,9,FALSE))+  ('Inputs-System'!$C$26*'Coincidence Factors'!$B$8*(1+'Inputs-System'!$C$18)*(1+'Inputs-System'!$C$42))*'Inputs-Proposals'!$D$28*VLOOKUP(V$3,DRIPE!$A$54:$I$82,8,FALSE), $C14 = "0", 0), 0)</f>
        <v>0</v>
      </c>
      <c r="Y14" s="45">
        <f>IFERROR(_xlfn.IFS($C14="1",('Inputs-System'!$C$30*'Coincidence Factors'!$B$8*(1+'Inputs-System'!$C$18))*'Inputs-Proposals'!$D$16*(VLOOKUP(V$3,Capacity!$A$53:$E$85,4,FALSE)*(1+'Inputs-System'!$C$42)+VLOOKUP(V$3,Capacity!$A$53:$E$85,5,FALSE)*'Inputs-System'!$C$29*(1+'Inputs-System'!$C$43)), $C14 = "2", ('Inputs-System'!$C$30*'Coincidence Factors'!$B$8*(1+'Inputs-System'!$C$18))*'Inputs-Proposals'!$D$22*(VLOOKUP(V$3,Capacity!$A$53:$E$85,4,FALSE)*(1+'Inputs-System'!$C$42)+VLOOKUP(V$3,Capacity!$A$53:$E$85,5,FALSE)*'Inputs-System'!$C$29*(1+'Inputs-System'!$C$43)), $C14 = "3",('Inputs-System'!$C$30*'Coincidence Factors'!$B$8*(1+'Inputs-System'!$C$18))*'Inputs-Proposals'!$D$28*(VLOOKUP(V$3,Capacity!$A$53:$E$85,4,FALSE)*(1+'Inputs-System'!$C$42)+VLOOKUP(V$3,Capacity!$A$53:$E$85,5,FALSE)*'Inputs-System'!$C$29*(1+'Inputs-System'!$C$43)), $C14 = "0", 0), 0)</f>
        <v>0</v>
      </c>
      <c r="Z14" s="44">
        <v>0</v>
      </c>
      <c r="AA14" s="342">
        <f>IFERROR(_xlfn.IFS($C14="1", 'Inputs-System'!$C$30*'Coincidence Factors'!$B$8*'Inputs-Proposals'!$D$17*'Inputs-Proposals'!$D$19*(VLOOKUP(V$3,'Non-Embedded Emissions'!$A$56:$D$90,2,FALSE)+VLOOKUP(V$3,'Non-Embedded Emissions'!$A$143:$D$174,2,FALSE)+VLOOKUP(V$3,'Non-Embedded Emissions'!$A$230:$D$259,2,FALSE)), $C14 = "2", 'Inputs-System'!$C$30*'Coincidence Factors'!$B$8*'Inputs-Proposals'!$D$23*'Inputs-Proposals'!$D$25*(VLOOKUP(V$3,'Non-Embedded Emissions'!$A$56:$D$90,2,FALSE)+VLOOKUP(V$3,'Non-Embedded Emissions'!$A$143:$D$174,2,FALSE)+VLOOKUP(V$3,'Non-Embedded Emissions'!$A$230:$D$259,2,FALSE)), $C14 = "3", 'Inputs-System'!$C$30*'Coincidence Factors'!$B$8*'Inputs-Proposals'!$D$29*'Inputs-Proposals'!$D$31*(VLOOKUP(V$3,'Non-Embedded Emissions'!$A$56:$D$90,2,FALSE)+VLOOKUP(V$3,'Non-Embedded Emissions'!$A$143:$D$174,2,FALSE)+VLOOKUP(V$3,'Non-Embedded Emissions'!$A$230:$D$259,2,FALSE)), $C14 = "0", 0), 0)</f>
        <v>0</v>
      </c>
      <c r="AB14" s="45">
        <f>IFERROR(_xlfn.IFS($C14="1",('Inputs-System'!$C$30*'Coincidence Factors'!$B$8*(1+'Inputs-System'!$C$18)*(1+'Inputs-System'!$C$41)*('Inputs-Proposals'!$D$17*'Inputs-Proposals'!$D$19*('Inputs-Proposals'!$D$20))*(VLOOKUP(AB$3,Energy!$A$51:$K$83,5,FALSE))), $C14 = "2",('Inputs-System'!$C$30*'Coincidence Factors'!$B$8)*(1+'Inputs-System'!$C$18)*(1+'Inputs-System'!$C$41)*('Inputs-Proposals'!$D$23*'Inputs-Proposals'!$D$25*('Inputs-Proposals'!$D$26))*(VLOOKUP(AB$3,Energy!$A$51:$K$83,5,FALSE)), $C14= "3", ('Inputs-System'!$C$30*'Coincidence Factors'!$B$8*(1+'Inputs-System'!$C$18)*(1+'Inputs-System'!$C$41)*('Inputs-Proposals'!$D$29*'Inputs-Proposals'!$D$31*('Inputs-Proposals'!$D$32))*(VLOOKUP(AB$3,Energy!$A$51:$K$83,5,FALSE))), $C14= "0", 0), 0)</f>
        <v>0</v>
      </c>
      <c r="AC14" s="44">
        <f>IFERROR(_xlfn.IFS($C14="1",'Inputs-System'!$C$30*'Coincidence Factors'!$B$8*(1+'Inputs-System'!$C$18)*(1+'Inputs-System'!$C$41)*'Inputs-Proposals'!$D$17*'Inputs-Proposals'!$D$19*('Inputs-Proposals'!$D$20)*(VLOOKUP(AB$3,'Embedded Emissions'!$A$47:$B$78,2,FALSE)+VLOOKUP(AB$3,'Embedded Emissions'!$A$129:$B$158,2,FALSE)), $C14 = "2", 'Inputs-System'!$C$30*'Coincidence Factors'!$B$8*(1+'Inputs-System'!$C$18)*(1+'Inputs-System'!$C$41)*'Inputs-Proposals'!$D$23*'Inputs-Proposals'!$D$25*('Inputs-Proposals'!$D$20)*(VLOOKUP(AB$3,'Embedded Emissions'!$A$47:$B$78,2,FALSE)+VLOOKUP(AB$3,'Embedded Emissions'!$A$129:$B$158,2,FALSE)), $C14 = "3",'Inputs-System'!$C$30*'Coincidence Factors'!$B$8*(1+'Inputs-System'!$C$18)*(1+'Inputs-System'!$C$41)*'Inputs-Proposals'!$D$29*'Inputs-Proposals'!$D$31*('Inputs-Proposals'!$D$20)*(VLOOKUP(AB$3,'Embedded Emissions'!$A$47:$B$78,2,FALSE)+VLOOKUP(AB$3,'Embedded Emissions'!$A$129:$B$158,2,FALSE)), $C14 = "0", 0), 0)</f>
        <v>0</v>
      </c>
      <c r="AD14" s="44">
        <f>IFERROR(_xlfn.IFS($C14="1",( 'Inputs-System'!$C$30*'Coincidence Factors'!$B$8*(1+'Inputs-System'!$C$18)*(1+'Inputs-System'!$C$41))*('Inputs-Proposals'!$D$17*'Inputs-Proposals'!$D$19*('Inputs-Proposals'!$D$20))*(VLOOKUP(AB$3,DRIPE!$A$54:$I$82,5,FALSE)+VLOOKUP(AB$3,DRIPE!$A$54:$I$82,9,FALSE))+ ('Inputs-System'!$C$26*'Coincidence Factors'!$B$8*(1+'Inputs-System'!$C$18)*(1+'Inputs-System'!$C$42))*'Inputs-Proposals'!$D$16*VLOOKUP(AB$3,DRIPE!$A$54:$I$82,8,FALSE), $C14 = "2",( 'Inputs-System'!$C$30*'Coincidence Factors'!$B$8*(1+'Inputs-System'!$C$18)*(1+'Inputs-System'!$C$41))*('Inputs-Proposals'!$D$23*'Inputs-Proposals'!$D$25*('Inputs-Proposals'!$D$26))*(VLOOKUP(AB$3,DRIPE!$A$54:$I$82,5,FALSE)+VLOOKUP(AB$3,DRIPE!$A$54:$I$82,9,FALSE))+  ('Inputs-System'!$C$26*'Coincidence Factors'!$B$8*(1+'Inputs-System'!$C$18)*(1+'Inputs-System'!$C$42))*'Inputs-Proposals'!$D$22*VLOOKUP(AB$3,DRIPE!$A$54:$I$82,8,FALSE), $C14= "3", ( 'Inputs-System'!$C$30*'Coincidence Factors'!$B$8*(1+'Inputs-System'!$C$18)*(1+'Inputs-System'!$C$41))*('Inputs-Proposals'!$D$29*'Inputs-Proposals'!$D$31*('Inputs-Proposals'!$D$32))*(VLOOKUP(AB$3,DRIPE!$A$54:$I$82,5,FALSE)+VLOOKUP(AB$3,DRIPE!$A$54:$I$82,9,FALSE))+  ('Inputs-System'!$C$26*'Coincidence Factors'!$B$8*(1+'Inputs-System'!$C$18)*(1+'Inputs-System'!$C$42))*'Inputs-Proposals'!$D$28*VLOOKUP(AB$3,DRIPE!$A$54:$I$82,8,FALSE), $C14 = "0", 0), 0)</f>
        <v>0</v>
      </c>
      <c r="AE14" s="45">
        <f>IFERROR(_xlfn.IFS($C14="1",('Inputs-System'!$C$30*'Coincidence Factors'!$B$8*(1+'Inputs-System'!$C$18))*'Inputs-Proposals'!$D$16*(VLOOKUP(AB$3,Capacity!$A$53:$E$85,4,FALSE)*(1+'Inputs-System'!$C$42)+VLOOKUP(AB$3,Capacity!$A$53:$E$85,5,FALSE)*'Inputs-System'!$C$29*(1+'Inputs-System'!$C$43)), $C14 = "2", ('Inputs-System'!$C$30*'Coincidence Factors'!$B$8*(1+'Inputs-System'!$C$18))*'Inputs-Proposals'!$D$22*(VLOOKUP(AB$3,Capacity!$A$53:$E$85,4,FALSE)*(1+'Inputs-System'!$C$42)+VLOOKUP(AB$3,Capacity!$A$53:$E$85,5,FALSE)*'Inputs-System'!$C$29*(1+'Inputs-System'!$C$43)), $C14 = "3",('Inputs-System'!$C$30*'Coincidence Factors'!$B$8*(1+'Inputs-System'!$C$18))*'Inputs-Proposals'!$D$28*(VLOOKUP(AB$3,Capacity!$A$53:$E$85,4,FALSE)*(1+'Inputs-System'!$C$42)+VLOOKUP(AB$3,Capacity!$A$53:$E$85,5,FALSE)*'Inputs-System'!$C$29*(1+'Inputs-System'!$C$43)), $C14 = "0", 0), 0)</f>
        <v>0</v>
      </c>
      <c r="AF14" s="44">
        <v>0</v>
      </c>
      <c r="AG14" s="342">
        <f>IFERROR(_xlfn.IFS($C14="1", 'Inputs-System'!$C$30*'Coincidence Factors'!$B$8*'Inputs-Proposals'!$D$17*'Inputs-Proposals'!$D$19*(VLOOKUP(AB$3,'Non-Embedded Emissions'!$A$56:$D$90,2,FALSE)+VLOOKUP(AB$3,'Non-Embedded Emissions'!$A$143:$D$174,2,FALSE)+VLOOKUP(AB$3,'Non-Embedded Emissions'!$A$230:$D$259,2,FALSE)), $C14 = "2", 'Inputs-System'!$C$30*'Coincidence Factors'!$B$8*'Inputs-Proposals'!$D$23*'Inputs-Proposals'!$D$25*(VLOOKUP(AB$3,'Non-Embedded Emissions'!$A$56:$D$90,2,FALSE)+VLOOKUP(AB$3,'Non-Embedded Emissions'!$A$143:$D$174,2,FALSE)+VLOOKUP(AB$3,'Non-Embedded Emissions'!$A$230:$D$259,2,FALSE)), $C14 = "3", 'Inputs-System'!$C$30*'Coincidence Factors'!$B$8*'Inputs-Proposals'!$D$29*'Inputs-Proposals'!$D$31*(VLOOKUP(AB$3,'Non-Embedded Emissions'!$A$56:$D$90,2,FALSE)+VLOOKUP(AB$3,'Non-Embedded Emissions'!$A$143:$D$174,2,FALSE)+VLOOKUP(AB$3,'Non-Embedded Emissions'!$A$230:$D$259,2,FALSE)), $C14 = "0", 0), 0)</f>
        <v>0</v>
      </c>
      <c r="AH14" s="45">
        <f>IFERROR(_xlfn.IFS($C14="1",('Inputs-System'!$C$30*'Coincidence Factors'!$B$8*(1+'Inputs-System'!$C$18)*(1+'Inputs-System'!$C$41)*('Inputs-Proposals'!$D$17*'Inputs-Proposals'!$D$19*('Inputs-Proposals'!$D$20))*(VLOOKUP(AH$3,Energy!$A$51:$K$83,5,FALSE))), $C14 = "2",('Inputs-System'!$C$30*'Coincidence Factors'!$B$8)*(1+'Inputs-System'!$C$18)*(1+'Inputs-System'!$C$41)*('Inputs-Proposals'!$D$23*'Inputs-Proposals'!$D$25*('Inputs-Proposals'!$D$26))*(VLOOKUP(AH$3,Energy!$A$51:$K$83,5,FALSE)), $C14= "3", ('Inputs-System'!$C$30*'Coincidence Factors'!$B$8*(1+'Inputs-System'!$C$18)*(1+'Inputs-System'!$C$41)*('Inputs-Proposals'!$D$29*'Inputs-Proposals'!$D$31*('Inputs-Proposals'!$D$32))*(VLOOKUP(AH$3,Energy!$A$51:$K$83,5,FALSE))), $C14= "0", 0), 0)</f>
        <v>0</v>
      </c>
      <c r="AI14" s="44">
        <f>IFERROR(_xlfn.IFS($C14="1",'Inputs-System'!$C$30*'Coincidence Factors'!$B$8*(1+'Inputs-System'!$C$18)*(1+'Inputs-System'!$C$41)*'Inputs-Proposals'!$D$17*'Inputs-Proposals'!$D$19*('Inputs-Proposals'!$D$20)*(VLOOKUP(AH$3,'Embedded Emissions'!$A$47:$B$78,2,FALSE)+VLOOKUP(AH$3,'Embedded Emissions'!$A$129:$B$158,2,FALSE)), $C14 = "2", 'Inputs-System'!$C$30*'Coincidence Factors'!$B$8*(1+'Inputs-System'!$C$18)*(1+'Inputs-System'!$C$41)*'Inputs-Proposals'!$D$23*'Inputs-Proposals'!$D$25*('Inputs-Proposals'!$D$20)*(VLOOKUP(AH$3,'Embedded Emissions'!$A$47:$B$78,2,FALSE)+VLOOKUP(AH$3,'Embedded Emissions'!$A$129:$B$158,2,FALSE)), $C14 = "3",'Inputs-System'!$C$30*'Coincidence Factors'!$B$8*(1+'Inputs-System'!$C$18)*(1+'Inputs-System'!$C$41)*'Inputs-Proposals'!$D$29*'Inputs-Proposals'!$D$31*('Inputs-Proposals'!$D$20)*(VLOOKUP(AH$3,'Embedded Emissions'!$A$47:$B$78,2,FALSE)+VLOOKUP(AH$3,'Embedded Emissions'!$A$129:$B$158,2,FALSE)), $C14 = "0", 0), 0)</f>
        <v>0</v>
      </c>
      <c r="AJ14" s="44">
        <f>IFERROR(_xlfn.IFS($C14="1",( 'Inputs-System'!$C$30*'Coincidence Factors'!$B$8*(1+'Inputs-System'!$C$18)*(1+'Inputs-System'!$C$41))*('Inputs-Proposals'!$D$17*'Inputs-Proposals'!$D$19*('Inputs-Proposals'!$D$20))*(VLOOKUP(AH$3,DRIPE!$A$54:$I$82,5,FALSE)+VLOOKUP(AH$3,DRIPE!$A$54:$I$82,9,FALSE))+ ('Inputs-System'!$C$26*'Coincidence Factors'!$B$8*(1+'Inputs-System'!$C$18)*(1+'Inputs-System'!$C$42))*'Inputs-Proposals'!$D$16*VLOOKUP(AH$3,DRIPE!$A$54:$I$82,8,FALSE), $C14 = "2",( 'Inputs-System'!$C$30*'Coincidence Factors'!$B$8*(1+'Inputs-System'!$C$18)*(1+'Inputs-System'!$C$41))*('Inputs-Proposals'!$D$23*'Inputs-Proposals'!$D$25*('Inputs-Proposals'!$D$26))*(VLOOKUP(AH$3,DRIPE!$A$54:$I$82,5,FALSE)+VLOOKUP(AH$3,DRIPE!$A$54:$I$82,9,FALSE))+  ('Inputs-System'!$C$26*'Coincidence Factors'!$B$8*(1+'Inputs-System'!$C$18)*(1+'Inputs-System'!$C$42))*'Inputs-Proposals'!$D$22*VLOOKUP(AH$3,DRIPE!$A$54:$I$82,8,FALSE), $C14= "3", ( 'Inputs-System'!$C$30*'Coincidence Factors'!$B$8*(1+'Inputs-System'!$C$18)*(1+'Inputs-System'!$C$41))*('Inputs-Proposals'!$D$29*'Inputs-Proposals'!$D$31*('Inputs-Proposals'!$D$32))*(VLOOKUP(AH$3,DRIPE!$A$54:$I$82,5,FALSE)+VLOOKUP(AH$3,DRIPE!$A$54:$I$82,9,FALSE))+  ('Inputs-System'!$C$26*'Coincidence Factors'!$B$8*(1+'Inputs-System'!$C$18)*(1+'Inputs-System'!$C$42))*'Inputs-Proposals'!$D$28*VLOOKUP(AH$3,DRIPE!$A$54:$I$82,8,FALSE), $C14 = "0", 0), 0)</f>
        <v>0</v>
      </c>
      <c r="AK14" s="45">
        <f>IFERROR(_xlfn.IFS($C14="1",('Inputs-System'!$C$30*'Coincidence Factors'!$B$8*(1+'Inputs-System'!$C$18))*'Inputs-Proposals'!$D$16*(VLOOKUP(AH$3,Capacity!$A$53:$E$85,4,FALSE)*(1+'Inputs-System'!$C$42)+VLOOKUP(AH$3,Capacity!$A$53:$E$85,5,FALSE)*'Inputs-System'!$C$29*(1+'Inputs-System'!$C$43)), $C14 = "2", ('Inputs-System'!$C$30*'Coincidence Factors'!$B$8*(1+'Inputs-System'!$C$18))*'Inputs-Proposals'!$D$22*(VLOOKUP(AH$3,Capacity!$A$53:$E$85,4,FALSE)*(1+'Inputs-System'!$C$42)+VLOOKUP(AH$3,Capacity!$A$53:$E$85,5,FALSE)*'Inputs-System'!$C$29*(1+'Inputs-System'!$C$43)), $C14 = "3",('Inputs-System'!$C$30*'Coincidence Factors'!$B$8*(1+'Inputs-System'!$C$18))*'Inputs-Proposals'!$D$28*(VLOOKUP(AH$3,Capacity!$A$53:$E$85,4,FALSE)*(1+'Inputs-System'!$C$42)+VLOOKUP(AH$3,Capacity!$A$53:$E$85,5,FALSE)*'Inputs-System'!$C$29*(1+'Inputs-System'!$C$43)), $C14 = "0", 0), 0)</f>
        <v>0</v>
      </c>
      <c r="AL14" s="44">
        <v>0</v>
      </c>
      <c r="AM14" s="342">
        <f>IFERROR(_xlfn.IFS($C14="1", 'Inputs-System'!$C$30*'Coincidence Factors'!$B$8*'Inputs-Proposals'!$D$17*'Inputs-Proposals'!$D$19*(VLOOKUP(AH$3,'Non-Embedded Emissions'!$A$56:$D$90,2,FALSE)+VLOOKUP(AH$3,'Non-Embedded Emissions'!$A$143:$D$174,2,FALSE)+VLOOKUP(AH$3,'Non-Embedded Emissions'!$A$230:$D$259,2,FALSE)), $C14 = "2", 'Inputs-System'!$C$30*'Coincidence Factors'!$B$8*'Inputs-Proposals'!$D$23*'Inputs-Proposals'!$D$25*(VLOOKUP(AH$3,'Non-Embedded Emissions'!$A$56:$D$90,2,FALSE)+VLOOKUP(AH$3,'Non-Embedded Emissions'!$A$143:$D$174,2,FALSE)+VLOOKUP(AH$3,'Non-Embedded Emissions'!$A$230:$D$259,2,FALSE)), $C14 = "3", 'Inputs-System'!$C$30*'Coincidence Factors'!$B$8*'Inputs-Proposals'!$D$29*'Inputs-Proposals'!$D$31*(VLOOKUP(AH$3,'Non-Embedded Emissions'!$A$56:$D$90,2,FALSE)+VLOOKUP(AH$3,'Non-Embedded Emissions'!$A$143:$D$174,2,FALSE)+VLOOKUP(AH$3,'Non-Embedded Emissions'!$A$230:$D$259,2,FALSE)), $C14 = "0", 0), 0)</f>
        <v>0</v>
      </c>
      <c r="AN14" s="45">
        <f>IFERROR(_xlfn.IFS($C14="1",('Inputs-System'!$C$30*'Coincidence Factors'!$B$8*(1+'Inputs-System'!$C$18)*(1+'Inputs-System'!$C$41)*('Inputs-Proposals'!$D$17*'Inputs-Proposals'!$D$19*('Inputs-Proposals'!$D$20))*(VLOOKUP(AN$3,Energy!$A$51:$K$83,5,FALSE))), $C14 = "2",('Inputs-System'!$C$30*'Coincidence Factors'!$B$8)*(1+'Inputs-System'!$C$18)*(1+'Inputs-System'!$C$41)*('Inputs-Proposals'!$D$23*'Inputs-Proposals'!$D$25*('Inputs-Proposals'!$D$26))*(VLOOKUP(AN$3,Energy!$A$51:$K$83,5,FALSE)), $C14= "3", ('Inputs-System'!$C$30*'Coincidence Factors'!$B$8*(1+'Inputs-System'!$C$18)*(1+'Inputs-System'!$C$41)*('Inputs-Proposals'!$D$29*'Inputs-Proposals'!$D$31*('Inputs-Proposals'!$D$32))*(VLOOKUP(AN$3,Energy!$A$51:$K$83,5,FALSE))), $C14= "0", 0), 0)</f>
        <v>0</v>
      </c>
      <c r="AO14" s="44">
        <f>IFERROR(_xlfn.IFS($C14="1",'Inputs-System'!$C$30*'Coincidence Factors'!$B$8*(1+'Inputs-System'!$C$18)*(1+'Inputs-System'!$C$41)*'Inputs-Proposals'!$D$17*'Inputs-Proposals'!$D$19*('Inputs-Proposals'!$D$20)*(VLOOKUP(AN$3,'Embedded Emissions'!$A$47:$B$78,2,FALSE)+VLOOKUP(AN$3,'Embedded Emissions'!$A$129:$B$158,2,FALSE)), $C14 = "2", 'Inputs-System'!$C$30*'Coincidence Factors'!$B$8*(1+'Inputs-System'!$C$18)*(1+'Inputs-System'!$C$41)*'Inputs-Proposals'!$D$23*'Inputs-Proposals'!$D$25*('Inputs-Proposals'!$D$20)*(VLOOKUP(AN$3,'Embedded Emissions'!$A$47:$B$78,2,FALSE)+VLOOKUP(AN$3,'Embedded Emissions'!$A$129:$B$158,2,FALSE)), $C14 = "3",'Inputs-System'!$C$30*'Coincidence Factors'!$B$8*(1+'Inputs-System'!$C$18)*(1+'Inputs-System'!$C$41)*'Inputs-Proposals'!$D$29*'Inputs-Proposals'!$D$31*('Inputs-Proposals'!$D$20)*(VLOOKUP(AN$3,'Embedded Emissions'!$A$47:$B$78,2,FALSE)+VLOOKUP(AN$3,'Embedded Emissions'!$A$129:$B$158,2,FALSE)), $C14 = "0", 0), 0)</f>
        <v>0</v>
      </c>
      <c r="AP14" s="44">
        <f>IFERROR(_xlfn.IFS($C14="1",( 'Inputs-System'!$C$30*'Coincidence Factors'!$B$8*(1+'Inputs-System'!$C$18)*(1+'Inputs-System'!$C$41))*('Inputs-Proposals'!$D$17*'Inputs-Proposals'!$D$19*('Inputs-Proposals'!$D$20))*(VLOOKUP(AN$3,DRIPE!$A$54:$I$82,5,FALSE)+VLOOKUP(AN$3,DRIPE!$A$54:$I$82,9,FALSE))+ ('Inputs-System'!$C$26*'Coincidence Factors'!$B$8*(1+'Inputs-System'!$C$18)*(1+'Inputs-System'!$C$42))*'Inputs-Proposals'!$D$16*VLOOKUP(AN$3,DRIPE!$A$54:$I$82,8,FALSE), $C14 = "2",( 'Inputs-System'!$C$30*'Coincidence Factors'!$B$8*(1+'Inputs-System'!$C$18)*(1+'Inputs-System'!$C$41))*('Inputs-Proposals'!$D$23*'Inputs-Proposals'!$D$25*('Inputs-Proposals'!$D$26))*(VLOOKUP(AN$3,DRIPE!$A$54:$I$82,5,FALSE)+VLOOKUP(AN$3,DRIPE!$A$54:$I$82,9,FALSE))+  ('Inputs-System'!$C$26*'Coincidence Factors'!$B$8*(1+'Inputs-System'!$C$18)*(1+'Inputs-System'!$C$42))*'Inputs-Proposals'!$D$22*VLOOKUP(AN$3,DRIPE!$A$54:$I$82,8,FALSE), $C14= "3", ( 'Inputs-System'!$C$30*'Coincidence Factors'!$B$8*(1+'Inputs-System'!$C$18)*(1+'Inputs-System'!$C$41))*('Inputs-Proposals'!$D$29*'Inputs-Proposals'!$D$31*('Inputs-Proposals'!$D$32))*(VLOOKUP(AN$3,DRIPE!$A$54:$I$82,5,FALSE)+VLOOKUP(AN$3,DRIPE!$A$54:$I$82,9,FALSE))+  ('Inputs-System'!$C$26*'Coincidence Factors'!$B$8*(1+'Inputs-System'!$C$18)*(1+'Inputs-System'!$C$42))*'Inputs-Proposals'!$D$28*VLOOKUP(AN$3,DRIPE!$A$54:$I$82,8,FALSE), $C14 = "0", 0), 0)</f>
        <v>0</v>
      </c>
      <c r="AQ14" s="45">
        <f>IFERROR(_xlfn.IFS($C14="1",('Inputs-System'!$C$30*'Coincidence Factors'!$B$8*(1+'Inputs-System'!$C$18))*'Inputs-Proposals'!$D$16*(VLOOKUP(AN$3,Capacity!$A$53:$E$85,4,FALSE)*(1+'Inputs-System'!$C$42)+VLOOKUP(AN$3,Capacity!$A$53:$E$85,5,FALSE)*'Inputs-System'!$C$29*(1+'Inputs-System'!$C$43)), $C14 = "2", ('Inputs-System'!$C$30*'Coincidence Factors'!$B$8*(1+'Inputs-System'!$C$18))*'Inputs-Proposals'!$D$22*(VLOOKUP(AN$3,Capacity!$A$53:$E$85,4,FALSE)*(1+'Inputs-System'!$C$42)+VLOOKUP(AN$3,Capacity!$A$53:$E$85,5,FALSE)*'Inputs-System'!$C$29*(1+'Inputs-System'!$C$43)), $C14 = "3",('Inputs-System'!$C$30*'Coincidence Factors'!$B$8*(1+'Inputs-System'!$C$18))*'Inputs-Proposals'!$D$28*(VLOOKUP(AN$3,Capacity!$A$53:$E$85,4,FALSE)*(1+'Inputs-System'!$C$42)+VLOOKUP(AN$3,Capacity!$A$53:$E$85,5,FALSE)*'Inputs-System'!$C$29*(1+'Inputs-System'!$C$43)), $C14 = "0", 0), 0)</f>
        <v>0</v>
      </c>
      <c r="AR14" s="44">
        <v>0</v>
      </c>
      <c r="AS14" s="342">
        <f>IFERROR(_xlfn.IFS($C14="1", 'Inputs-System'!$C$30*'Coincidence Factors'!$B$8*'Inputs-Proposals'!$D$17*'Inputs-Proposals'!$D$19*(VLOOKUP(AN$3,'Non-Embedded Emissions'!$A$56:$D$90,2,FALSE)+VLOOKUP(AN$3,'Non-Embedded Emissions'!$A$143:$D$174,2,FALSE)+VLOOKUP(AN$3,'Non-Embedded Emissions'!$A$230:$D$259,2,FALSE)), $C14 = "2", 'Inputs-System'!$C$30*'Coincidence Factors'!$B$8*'Inputs-Proposals'!$D$23*'Inputs-Proposals'!$D$25*(VLOOKUP(AN$3,'Non-Embedded Emissions'!$A$56:$D$90,2,FALSE)+VLOOKUP(AN$3,'Non-Embedded Emissions'!$A$143:$D$174,2,FALSE)+VLOOKUP(AN$3,'Non-Embedded Emissions'!$A$230:$D$259,2,FALSE)), $C14 = "3", 'Inputs-System'!$C$30*'Coincidence Factors'!$B$8*'Inputs-Proposals'!$D$29*'Inputs-Proposals'!$D$31*(VLOOKUP(AN$3,'Non-Embedded Emissions'!$A$56:$D$90,2,FALSE)+VLOOKUP(AN$3,'Non-Embedded Emissions'!$A$143:$D$174,2,FALSE)+VLOOKUP(AN$3,'Non-Embedded Emissions'!$A$230:$D$259,2,FALSE)), $C14 = "0", 0), 0)</f>
        <v>0</v>
      </c>
      <c r="AT14" s="45">
        <f>IFERROR(_xlfn.IFS($C14="1",('Inputs-System'!$C$30*'Coincidence Factors'!$B$8*(1+'Inputs-System'!$C$18)*(1+'Inputs-System'!$C$41)*('Inputs-Proposals'!$D$17*'Inputs-Proposals'!$D$19*('Inputs-Proposals'!$D$20))*(VLOOKUP(AT$3,Energy!$A$51:$K$83,5,FALSE))), $C14 = "2",('Inputs-System'!$C$30*'Coincidence Factors'!$B$8)*(1+'Inputs-System'!$C$18)*(1+'Inputs-System'!$C$41)*('Inputs-Proposals'!$D$23*'Inputs-Proposals'!$D$25*('Inputs-Proposals'!$D$26))*(VLOOKUP(AT$3,Energy!$A$51:$K$83,5,FALSE)), $C14= "3", ('Inputs-System'!$C$30*'Coincidence Factors'!$B$8*(1+'Inputs-System'!$C$18)*(1+'Inputs-System'!$C$41)*('Inputs-Proposals'!$D$29*'Inputs-Proposals'!$D$31*('Inputs-Proposals'!$D$32))*(VLOOKUP(AT$3,Energy!$A$51:$K$83,5,FALSE))), $C14= "0", 0), 0)</f>
        <v>0</v>
      </c>
      <c r="AU14" s="44">
        <f>IFERROR(_xlfn.IFS($C14="1",'Inputs-System'!$C$30*'Coincidence Factors'!$B$8*(1+'Inputs-System'!$C$18)*(1+'Inputs-System'!$C$41)*'Inputs-Proposals'!$D$17*'Inputs-Proposals'!$D$19*('Inputs-Proposals'!$D$20)*(VLOOKUP(AT$3,'Embedded Emissions'!$A$47:$B$78,2,FALSE)+VLOOKUP(AT$3,'Embedded Emissions'!$A$129:$B$158,2,FALSE)), $C14 = "2", 'Inputs-System'!$C$30*'Coincidence Factors'!$B$8*(1+'Inputs-System'!$C$18)*(1+'Inputs-System'!$C$41)*'Inputs-Proposals'!$D$23*'Inputs-Proposals'!$D$25*('Inputs-Proposals'!$D$20)*(VLOOKUP(AT$3,'Embedded Emissions'!$A$47:$B$78,2,FALSE)+VLOOKUP(AT$3,'Embedded Emissions'!$A$129:$B$158,2,FALSE)), $C14 = "3",'Inputs-System'!$C$30*'Coincidence Factors'!$B$8*(1+'Inputs-System'!$C$18)*(1+'Inputs-System'!$C$41)*'Inputs-Proposals'!$D$29*'Inputs-Proposals'!$D$31*('Inputs-Proposals'!$D$20)*(VLOOKUP(AT$3,'Embedded Emissions'!$A$47:$B$78,2,FALSE)+VLOOKUP(AT$3,'Embedded Emissions'!$A$129:$B$158,2,FALSE)), $C14 = "0", 0), 0)</f>
        <v>0</v>
      </c>
      <c r="AV14" s="44">
        <f>IFERROR(_xlfn.IFS($C14="1",( 'Inputs-System'!$C$30*'Coincidence Factors'!$B$8*(1+'Inputs-System'!$C$18)*(1+'Inputs-System'!$C$41))*('Inputs-Proposals'!$D$17*'Inputs-Proposals'!$D$19*('Inputs-Proposals'!$D$20))*(VLOOKUP(AT$3,DRIPE!$A$54:$I$82,5,FALSE)+VLOOKUP(AT$3,DRIPE!$A$54:$I$82,9,FALSE))+ ('Inputs-System'!$C$26*'Coincidence Factors'!$B$8*(1+'Inputs-System'!$C$18)*(1+'Inputs-System'!$C$42))*'Inputs-Proposals'!$D$16*VLOOKUP(AT$3,DRIPE!$A$54:$I$82,8,FALSE), $C14 = "2",( 'Inputs-System'!$C$30*'Coincidence Factors'!$B$8*(1+'Inputs-System'!$C$18)*(1+'Inputs-System'!$C$41))*('Inputs-Proposals'!$D$23*'Inputs-Proposals'!$D$25*('Inputs-Proposals'!$D$26))*(VLOOKUP(AT$3,DRIPE!$A$54:$I$82,5,FALSE)+VLOOKUP(AT$3,DRIPE!$A$54:$I$82,9,FALSE))+  ('Inputs-System'!$C$26*'Coincidence Factors'!$B$8*(1+'Inputs-System'!$C$18)*(1+'Inputs-System'!$C$42))*'Inputs-Proposals'!$D$22*VLOOKUP(AT$3,DRIPE!$A$54:$I$82,8,FALSE), $C14= "3", ( 'Inputs-System'!$C$30*'Coincidence Factors'!$B$8*(1+'Inputs-System'!$C$18)*(1+'Inputs-System'!$C$41))*('Inputs-Proposals'!$D$29*'Inputs-Proposals'!$D$31*('Inputs-Proposals'!$D$32))*(VLOOKUP(AT$3,DRIPE!$A$54:$I$82,5,FALSE)+VLOOKUP(AT$3,DRIPE!$A$54:$I$82,9,FALSE))+  ('Inputs-System'!$C$26*'Coincidence Factors'!$B$8*(1+'Inputs-System'!$C$18)*(1+'Inputs-System'!$C$42))*'Inputs-Proposals'!$D$28*VLOOKUP(AT$3,DRIPE!$A$54:$I$82,8,FALSE), $C14 = "0", 0), 0)</f>
        <v>0</v>
      </c>
      <c r="AW14" s="45">
        <f>IFERROR(_xlfn.IFS($C14="1",('Inputs-System'!$C$30*'Coincidence Factors'!$B$8*(1+'Inputs-System'!$C$18))*'Inputs-Proposals'!$D$16*(VLOOKUP(AT$3,Capacity!$A$53:$E$85,4,FALSE)*(1+'Inputs-System'!$C$42)+VLOOKUP(AT$3,Capacity!$A$53:$E$85,5,FALSE)*'Inputs-System'!$C$29*(1+'Inputs-System'!$C$43)), $C14 = "2", ('Inputs-System'!$C$30*'Coincidence Factors'!$B$8*(1+'Inputs-System'!$C$18))*'Inputs-Proposals'!$D$22*(VLOOKUP(AT$3,Capacity!$A$53:$E$85,4,FALSE)*(1+'Inputs-System'!$C$42)+VLOOKUP(AT$3,Capacity!$A$53:$E$85,5,FALSE)*'Inputs-System'!$C$29*(1+'Inputs-System'!$C$43)), $C14 = "3",('Inputs-System'!$C$30*'Coincidence Factors'!$B$8*(1+'Inputs-System'!$C$18))*'Inputs-Proposals'!$D$28*(VLOOKUP(AT$3,Capacity!$A$53:$E$85,4,FALSE)*(1+'Inputs-System'!$C$42)+VLOOKUP(AT$3,Capacity!$A$53:$E$85,5,FALSE)*'Inputs-System'!$C$29*(1+'Inputs-System'!$C$43)), $C14 = "0", 0), 0)</f>
        <v>0</v>
      </c>
      <c r="AX14" s="44">
        <v>0</v>
      </c>
      <c r="AY14" s="342">
        <f>IFERROR(_xlfn.IFS($C14="1", 'Inputs-System'!$C$30*'Coincidence Factors'!$B$8*'Inputs-Proposals'!$D$17*'Inputs-Proposals'!$D$19*(VLOOKUP(AT$3,'Non-Embedded Emissions'!$A$56:$D$90,2,FALSE)+VLOOKUP(AT$3,'Non-Embedded Emissions'!$A$143:$D$174,2,FALSE)+VLOOKUP(AT$3,'Non-Embedded Emissions'!$A$230:$D$259,2,FALSE)), $C14 = "2", 'Inputs-System'!$C$30*'Coincidence Factors'!$B$8*'Inputs-Proposals'!$D$23*'Inputs-Proposals'!$D$25*(VLOOKUP(AT$3,'Non-Embedded Emissions'!$A$56:$D$90,2,FALSE)+VLOOKUP(AT$3,'Non-Embedded Emissions'!$A$143:$D$174,2,FALSE)+VLOOKUP(AT$3,'Non-Embedded Emissions'!$A$230:$D$259,2,FALSE)), $C14 = "3", 'Inputs-System'!$C$30*'Coincidence Factors'!$B$8*'Inputs-Proposals'!$D$29*'Inputs-Proposals'!$D$31*(VLOOKUP(AT$3,'Non-Embedded Emissions'!$A$56:$D$90,2,FALSE)+VLOOKUP(AT$3,'Non-Embedded Emissions'!$A$143:$D$174,2,FALSE)+VLOOKUP(AT$3,'Non-Embedded Emissions'!$A$230:$D$259,2,FALSE)), $C14 = "0", 0), 0)</f>
        <v>0</v>
      </c>
      <c r="AZ14" s="45">
        <f>IFERROR(_xlfn.IFS($C14="1",('Inputs-System'!$C$30*'Coincidence Factors'!$B$8*(1+'Inputs-System'!$C$18)*(1+'Inputs-System'!$C$41)*('Inputs-Proposals'!$D$17*'Inputs-Proposals'!$D$19*('Inputs-Proposals'!$D$20))*(VLOOKUP(AZ$3,Energy!$A$51:$K$83,5,FALSE))), $C14 = "2",('Inputs-System'!$C$30*'Coincidence Factors'!$B$8)*(1+'Inputs-System'!$C$18)*(1+'Inputs-System'!$C$41)*('Inputs-Proposals'!$D$23*'Inputs-Proposals'!$D$25*('Inputs-Proposals'!$D$26))*(VLOOKUP(AZ$3,Energy!$A$51:$K$83,5,FALSE)), $C14= "3", ('Inputs-System'!$C$30*'Coincidence Factors'!$B$8*(1+'Inputs-System'!$C$18)*(1+'Inputs-System'!$C$41)*('Inputs-Proposals'!$D$29*'Inputs-Proposals'!$D$31*('Inputs-Proposals'!$D$32))*(VLOOKUP(AZ$3,Energy!$A$51:$K$83,5,FALSE))), $C14= "0", 0), 0)</f>
        <v>0</v>
      </c>
      <c r="BA14" s="44">
        <f>IFERROR(_xlfn.IFS($C14="1",'Inputs-System'!$C$30*'Coincidence Factors'!$B$8*(1+'Inputs-System'!$C$18)*(1+'Inputs-System'!$C$41)*'Inputs-Proposals'!$D$17*'Inputs-Proposals'!$D$19*('Inputs-Proposals'!$D$20)*(VLOOKUP(AZ$3,'Embedded Emissions'!$A$47:$B$78,2,FALSE)+VLOOKUP(AZ$3,'Embedded Emissions'!$A$129:$B$158,2,FALSE)), $C14 = "2", 'Inputs-System'!$C$30*'Coincidence Factors'!$B$8*(1+'Inputs-System'!$C$18)*(1+'Inputs-System'!$C$41)*'Inputs-Proposals'!$D$23*'Inputs-Proposals'!$D$25*('Inputs-Proposals'!$D$20)*(VLOOKUP(AZ$3,'Embedded Emissions'!$A$47:$B$78,2,FALSE)+VLOOKUP(AZ$3,'Embedded Emissions'!$A$129:$B$158,2,FALSE)), $C14 = "3",'Inputs-System'!$C$30*'Coincidence Factors'!$B$8*(1+'Inputs-System'!$C$18)*(1+'Inputs-System'!$C$41)*'Inputs-Proposals'!$D$29*'Inputs-Proposals'!$D$31*('Inputs-Proposals'!$D$20)*(VLOOKUP(AZ$3,'Embedded Emissions'!$A$47:$B$78,2,FALSE)+VLOOKUP(AZ$3,'Embedded Emissions'!$A$129:$B$158,2,FALSE)), $C14 = "0", 0), 0)</f>
        <v>0</v>
      </c>
      <c r="BB14" s="44">
        <f>IFERROR(_xlfn.IFS($C14="1",( 'Inputs-System'!$C$30*'Coincidence Factors'!$B$8*(1+'Inputs-System'!$C$18)*(1+'Inputs-System'!$C$41))*('Inputs-Proposals'!$D$17*'Inputs-Proposals'!$D$19*('Inputs-Proposals'!$D$20))*(VLOOKUP(AZ$3,DRIPE!$A$54:$I$82,5,FALSE)+VLOOKUP(AZ$3,DRIPE!$A$54:$I$82,9,FALSE))+ ('Inputs-System'!$C$26*'Coincidence Factors'!$B$8*(1+'Inputs-System'!$C$18)*(1+'Inputs-System'!$C$42))*'Inputs-Proposals'!$D$16*VLOOKUP(AZ$3,DRIPE!$A$54:$I$82,8,FALSE), $C14 = "2",( 'Inputs-System'!$C$30*'Coincidence Factors'!$B$8*(1+'Inputs-System'!$C$18)*(1+'Inputs-System'!$C$41))*('Inputs-Proposals'!$D$23*'Inputs-Proposals'!$D$25*('Inputs-Proposals'!$D$26))*(VLOOKUP(AZ$3,DRIPE!$A$54:$I$82,5,FALSE)+VLOOKUP(AZ$3,DRIPE!$A$54:$I$82,9,FALSE))+  ('Inputs-System'!$C$26*'Coincidence Factors'!$B$8*(1+'Inputs-System'!$C$18)*(1+'Inputs-System'!$C$42))*'Inputs-Proposals'!$D$22*VLOOKUP(AZ$3,DRIPE!$A$54:$I$82,8,FALSE), $C14= "3", ( 'Inputs-System'!$C$30*'Coincidence Factors'!$B$8*(1+'Inputs-System'!$C$18)*(1+'Inputs-System'!$C$41))*('Inputs-Proposals'!$D$29*'Inputs-Proposals'!$D$31*('Inputs-Proposals'!$D$32))*(VLOOKUP(AZ$3,DRIPE!$A$54:$I$82,5,FALSE)+VLOOKUP(AZ$3,DRIPE!$A$54:$I$82,9,FALSE))+  ('Inputs-System'!$C$26*'Coincidence Factors'!$B$8*(1+'Inputs-System'!$C$18)*(1+'Inputs-System'!$C$42))*'Inputs-Proposals'!$D$28*VLOOKUP(AZ$3,DRIPE!$A$54:$I$82,8,FALSE), $C14 = "0", 0), 0)</f>
        <v>0</v>
      </c>
      <c r="BC14" s="45">
        <f>IFERROR(_xlfn.IFS($C14="1",('Inputs-System'!$C$30*'Coincidence Factors'!$B$8*(1+'Inputs-System'!$C$18))*'Inputs-Proposals'!$D$16*(VLOOKUP(AZ$3,Capacity!$A$53:$E$85,4,FALSE)*(1+'Inputs-System'!$C$42)+VLOOKUP(AZ$3,Capacity!$A$53:$E$85,5,FALSE)*'Inputs-System'!$C$29*(1+'Inputs-System'!$C$43)), $C14 = "2", ('Inputs-System'!$C$30*'Coincidence Factors'!$B$8*(1+'Inputs-System'!$C$18))*'Inputs-Proposals'!$D$22*(VLOOKUP(AZ$3,Capacity!$A$53:$E$85,4,FALSE)*(1+'Inputs-System'!$C$42)+VLOOKUP(AZ$3,Capacity!$A$53:$E$85,5,FALSE)*'Inputs-System'!$C$29*(1+'Inputs-System'!$C$43)), $C14 = "3",('Inputs-System'!$C$30*'Coincidence Factors'!$B$8*(1+'Inputs-System'!$C$18))*'Inputs-Proposals'!$D$28*(VLOOKUP(AZ$3,Capacity!$A$53:$E$85,4,FALSE)*(1+'Inputs-System'!$C$42)+VLOOKUP(AZ$3,Capacity!$A$53:$E$85,5,FALSE)*'Inputs-System'!$C$29*(1+'Inputs-System'!$C$43)), $C14 = "0", 0), 0)</f>
        <v>0</v>
      </c>
      <c r="BD14" s="44">
        <v>0</v>
      </c>
      <c r="BE14" s="342">
        <f>IFERROR(_xlfn.IFS($C14="1", 'Inputs-System'!$C$30*'Coincidence Factors'!$B$8*'Inputs-Proposals'!$D$17*'Inputs-Proposals'!$D$19*(VLOOKUP(AZ$3,'Non-Embedded Emissions'!$A$56:$D$90,2,FALSE)+VLOOKUP(AZ$3,'Non-Embedded Emissions'!$A$143:$D$174,2,FALSE)+VLOOKUP(AZ$3,'Non-Embedded Emissions'!$A$230:$D$259,2,FALSE)), $C14 = "2", 'Inputs-System'!$C$30*'Coincidence Factors'!$B$8*'Inputs-Proposals'!$D$23*'Inputs-Proposals'!$D$25*(VLOOKUP(AZ$3,'Non-Embedded Emissions'!$A$56:$D$90,2,FALSE)+VLOOKUP(AZ$3,'Non-Embedded Emissions'!$A$143:$D$174,2,FALSE)+VLOOKUP(AZ$3,'Non-Embedded Emissions'!$A$230:$D$259,2,FALSE)), $C14 = "3", 'Inputs-System'!$C$30*'Coincidence Factors'!$B$8*'Inputs-Proposals'!$D$29*'Inputs-Proposals'!$D$31*(VLOOKUP(AZ$3,'Non-Embedded Emissions'!$A$56:$D$90,2,FALSE)+VLOOKUP(AZ$3,'Non-Embedded Emissions'!$A$143:$D$174,2,FALSE)+VLOOKUP(AZ$3,'Non-Embedded Emissions'!$A$230:$D$259,2,FALSE)), $C14 = "0", 0), 0)</f>
        <v>0</v>
      </c>
      <c r="BF14" s="45">
        <f>IFERROR(_xlfn.IFS($C14="1",('Inputs-System'!$C$30*'Coincidence Factors'!$B$8*(1+'Inputs-System'!$C$18)*(1+'Inputs-System'!$C$41)*('Inputs-Proposals'!$D$17*'Inputs-Proposals'!$D$19*('Inputs-Proposals'!$D$20))*(VLOOKUP(BF$3,Energy!$A$51:$K$83,5,FALSE))), $C14 = "2",('Inputs-System'!$C$30*'Coincidence Factors'!$B$8)*(1+'Inputs-System'!$C$18)*(1+'Inputs-System'!$C$41)*('Inputs-Proposals'!$D$23*'Inputs-Proposals'!$D$25*('Inputs-Proposals'!$D$26))*(VLOOKUP(BF$3,Energy!$A$51:$K$83,5,FALSE)), $C14= "3", ('Inputs-System'!$C$30*'Coincidence Factors'!$B$8*(1+'Inputs-System'!$C$18)*(1+'Inputs-System'!$C$41)*('Inputs-Proposals'!$D$29*'Inputs-Proposals'!$D$31*('Inputs-Proposals'!$D$32))*(VLOOKUP(BF$3,Energy!$A$51:$K$83,5,FALSE))), $C14= "0", 0), 0)</f>
        <v>0</v>
      </c>
      <c r="BG14" s="44">
        <f>IFERROR(_xlfn.IFS($C14="1",'Inputs-System'!$C$30*'Coincidence Factors'!$B$8*(1+'Inputs-System'!$C$18)*(1+'Inputs-System'!$C$41)*'Inputs-Proposals'!$D$17*'Inputs-Proposals'!$D$19*('Inputs-Proposals'!$D$20)*(VLOOKUP(BF$3,'Embedded Emissions'!$A$47:$B$78,2,FALSE)+VLOOKUP(BF$3,'Embedded Emissions'!$A$129:$B$158,2,FALSE)), $C14 = "2", 'Inputs-System'!$C$30*'Coincidence Factors'!$B$8*(1+'Inputs-System'!$C$18)*(1+'Inputs-System'!$C$41)*'Inputs-Proposals'!$D$23*'Inputs-Proposals'!$D$25*('Inputs-Proposals'!$D$20)*(VLOOKUP(BF$3,'Embedded Emissions'!$A$47:$B$78,2,FALSE)+VLOOKUP(BF$3,'Embedded Emissions'!$A$129:$B$158,2,FALSE)), $C14 = "3",'Inputs-System'!$C$30*'Coincidence Factors'!$B$8*(1+'Inputs-System'!$C$18)*(1+'Inputs-System'!$C$41)*'Inputs-Proposals'!$D$29*'Inputs-Proposals'!$D$31*('Inputs-Proposals'!$D$20)*(VLOOKUP(BF$3,'Embedded Emissions'!$A$47:$B$78,2,FALSE)+VLOOKUP(BF$3,'Embedded Emissions'!$A$129:$B$158,2,FALSE)), $C14 = "0", 0), 0)</f>
        <v>0</v>
      </c>
      <c r="BH14" s="44">
        <f>IFERROR(_xlfn.IFS($C14="1",( 'Inputs-System'!$C$30*'Coincidence Factors'!$B$8*(1+'Inputs-System'!$C$18)*(1+'Inputs-System'!$C$41))*('Inputs-Proposals'!$D$17*'Inputs-Proposals'!$D$19*('Inputs-Proposals'!$D$20))*(VLOOKUP(BF$3,DRIPE!$A$54:$I$82,5,FALSE)+VLOOKUP(BF$3,DRIPE!$A$54:$I$82,9,FALSE))+ ('Inputs-System'!$C$26*'Coincidence Factors'!$B$8*(1+'Inputs-System'!$C$18)*(1+'Inputs-System'!$C$42))*'Inputs-Proposals'!$D$16*VLOOKUP(BF$3,DRIPE!$A$54:$I$82,8,FALSE), $C14 = "2",( 'Inputs-System'!$C$30*'Coincidence Factors'!$B$8*(1+'Inputs-System'!$C$18)*(1+'Inputs-System'!$C$41))*('Inputs-Proposals'!$D$23*'Inputs-Proposals'!$D$25*('Inputs-Proposals'!$D$26))*(VLOOKUP(BF$3,DRIPE!$A$54:$I$82,5,FALSE)+VLOOKUP(BF$3,DRIPE!$A$54:$I$82,9,FALSE))+  ('Inputs-System'!$C$26*'Coincidence Factors'!$B$8*(1+'Inputs-System'!$C$18)*(1+'Inputs-System'!$C$42))*'Inputs-Proposals'!$D$22*VLOOKUP(BF$3,DRIPE!$A$54:$I$82,8,FALSE), $C14= "3", ( 'Inputs-System'!$C$30*'Coincidence Factors'!$B$8*(1+'Inputs-System'!$C$18)*(1+'Inputs-System'!$C$41))*('Inputs-Proposals'!$D$29*'Inputs-Proposals'!$D$31*('Inputs-Proposals'!$D$32))*(VLOOKUP(BF$3,DRIPE!$A$54:$I$82,5,FALSE)+VLOOKUP(BF$3,DRIPE!$A$54:$I$82,9,FALSE))+  ('Inputs-System'!$C$26*'Coincidence Factors'!$B$8*(1+'Inputs-System'!$C$18)*(1+'Inputs-System'!$C$42))*'Inputs-Proposals'!$D$28*VLOOKUP(BF$3,DRIPE!$A$54:$I$82,8,FALSE), $C14 = "0", 0), 0)</f>
        <v>0</v>
      </c>
      <c r="BI14" s="45">
        <f>IFERROR(_xlfn.IFS($C14="1",('Inputs-System'!$C$30*'Coincidence Factors'!$B$8*(1+'Inputs-System'!$C$18))*'Inputs-Proposals'!$D$16*(VLOOKUP(BF$3,Capacity!$A$53:$E$85,4,FALSE)*(1+'Inputs-System'!$C$42)+VLOOKUP(BF$3,Capacity!$A$53:$E$85,5,FALSE)*'Inputs-System'!$C$29*(1+'Inputs-System'!$C$43)), $C14 = "2", ('Inputs-System'!$C$30*'Coincidence Factors'!$B$8*(1+'Inputs-System'!$C$18))*'Inputs-Proposals'!$D$22*(VLOOKUP(BF$3,Capacity!$A$53:$E$85,4,FALSE)*(1+'Inputs-System'!$C$42)+VLOOKUP(BF$3,Capacity!$A$53:$E$85,5,FALSE)*'Inputs-System'!$C$29*(1+'Inputs-System'!$C$43)), $C14 = "3",('Inputs-System'!$C$30*'Coincidence Factors'!$B$8*(1+'Inputs-System'!$C$18))*'Inputs-Proposals'!$D$28*(VLOOKUP(BF$3,Capacity!$A$53:$E$85,4,FALSE)*(1+'Inputs-System'!$C$42)+VLOOKUP(BF$3,Capacity!$A$53:$E$85,5,FALSE)*'Inputs-System'!$C$29*(1+'Inputs-System'!$C$43)), $C14 = "0", 0), 0)</f>
        <v>0</v>
      </c>
      <c r="BJ14" s="44">
        <v>0</v>
      </c>
      <c r="BK14" s="342">
        <f>IFERROR(_xlfn.IFS($C14="1", 'Inputs-System'!$C$30*'Coincidence Factors'!$B$8*'Inputs-Proposals'!$D$17*'Inputs-Proposals'!$D$19*(VLOOKUP(BF$3,'Non-Embedded Emissions'!$A$56:$D$90,2,FALSE)+VLOOKUP(BF$3,'Non-Embedded Emissions'!$A$143:$D$174,2,FALSE)+VLOOKUP(BF$3,'Non-Embedded Emissions'!$A$230:$D$259,2,FALSE)), $C14 = "2", 'Inputs-System'!$C$30*'Coincidence Factors'!$B$8*'Inputs-Proposals'!$D$23*'Inputs-Proposals'!$D$25*(VLOOKUP(BF$3,'Non-Embedded Emissions'!$A$56:$D$90,2,FALSE)+VLOOKUP(BF$3,'Non-Embedded Emissions'!$A$143:$D$174,2,FALSE)+VLOOKUP(BF$3,'Non-Embedded Emissions'!$A$230:$D$259,2,FALSE)), $C14 = "3", 'Inputs-System'!$C$30*'Coincidence Factors'!$B$8*'Inputs-Proposals'!$D$29*'Inputs-Proposals'!$D$31*(VLOOKUP(BF$3,'Non-Embedded Emissions'!$A$56:$D$90,2,FALSE)+VLOOKUP(BF$3,'Non-Embedded Emissions'!$A$143:$D$174,2,FALSE)+VLOOKUP(BF$3,'Non-Embedded Emissions'!$A$230:$D$259,2,FALSE)), $C14 = "0", 0), 0)</f>
        <v>0</v>
      </c>
      <c r="BL14" s="45">
        <f>IFERROR(_xlfn.IFS($C14="1",('Inputs-System'!$C$30*'Coincidence Factors'!$B$8*(1+'Inputs-System'!$C$18)*(1+'Inputs-System'!$C$41)*('Inputs-Proposals'!$D$17*'Inputs-Proposals'!$D$19*('Inputs-Proposals'!$D$20))*(VLOOKUP(BL$3,Energy!$A$51:$K$83,5,FALSE))), $C14 = "2",('Inputs-System'!$C$30*'Coincidence Factors'!$B$8)*(1+'Inputs-System'!$C$18)*(1+'Inputs-System'!$C$41)*('Inputs-Proposals'!$D$23*'Inputs-Proposals'!$D$25*('Inputs-Proposals'!$D$26))*(VLOOKUP(BL$3,Energy!$A$51:$K$83,5,FALSE)), $C14= "3", ('Inputs-System'!$C$30*'Coincidence Factors'!$B$8*(1+'Inputs-System'!$C$18)*(1+'Inputs-System'!$C$41)*('Inputs-Proposals'!$D$29*'Inputs-Proposals'!$D$31*('Inputs-Proposals'!$D$32))*(VLOOKUP(BL$3,Energy!$A$51:$K$83,5,FALSE))), $C14= "0", 0), 0)</f>
        <v>0</v>
      </c>
      <c r="BM14" s="44">
        <f>IFERROR(_xlfn.IFS($C14="1",'Inputs-System'!$C$30*'Coincidence Factors'!$B$8*(1+'Inputs-System'!$C$18)*(1+'Inputs-System'!$C$41)*'Inputs-Proposals'!$D$17*'Inputs-Proposals'!$D$19*('Inputs-Proposals'!$D$20)*(VLOOKUP(BL$3,'Embedded Emissions'!$A$47:$B$78,2,FALSE)+VLOOKUP(BL$3,'Embedded Emissions'!$A$129:$B$158,2,FALSE)), $C14 = "2", 'Inputs-System'!$C$30*'Coincidence Factors'!$B$8*(1+'Inputs-System'!$C$18)*(1+'Inputs-System'!$C$41)*'Inputs-Proposals'!$D$23*'Inputs-Proposals'!$D$25*('Inputs-Proposals'!$D$20)*(VLOOKUP(BL$3,'Embedded Emissions'!$A$47:$B$78,2,FALSE)+VLOOKUP(BL$3,'Embedded Emissions'!$A$129:$B$158,2,FALSE)), $C14 = "3",'Inputs-System'!$C$30*'Coincidence Factors'!$B$8*(1+'Inputs-System'!$C$18)*(1+'Inputs-System'!$C$41)*'Inputs-Proposals'!$D$29*'Inputs-Proposals'!$D$31*('Inputs-Proposals'!$D$20)*(VLOOKUP(BL$3,'Embedded Emissions'!$A$47:$B$78,2,FALSE)+VLOOKUP(BL$3,'Embedded Emissions'!$A$129:$B$158,2,FALSE)), $C14 = "0", 0), 0)</f>
        <v>0</v>
      </c>
      <c r="BN14" s="44">
        <f>IFERROR(_xlfn.IFS($C14="1",( 'Inputs-System'!$C$30*'Coincidence Factors'!$B$8*(1+'Inputs-System'!$C$18)*(1+'Inputs-System'!$C$41))*('Inputs-Proposals'!$D$17*'Inputs-Proposals'!$D$19*('Inputs-Proposals'!$D$20))*(VLOOKUP(BL$3,DRIPE!$A$54:$I$82,5,FALSE)+VLOOKUP(BL$3,DRIPE!$A$54:$I$82,9,FALSE))+ ('Inputs-System'!$C$26*'Coincidence Factors'!$B$8*(1+'Inputs-System'!$C$18)*(1+'Inputs-System'!$C$42))*'Inputs-Proposals'!$D$16*VLOOKUP(BL$3,DRIPE!$A$54:$I$82,8,FALSE), $C14 = "2",( 'Inputs-System'!$C$30*'Coincidence Factors'!$B$8*(1+'Inputs-System'!$C$18)*(1+'Inputs-System'!$C$41))*('Inputs-Proposals'!$D$23*'Inputs-Proposals'!$D$25*('Inputs-Proposals'!$D$26))*(VLOOKUP(BL$3,DRIPE!$A$54:$I$82,5,FALSE)+VLOOKUP(BL$3,DRIPE!$A$54:$I$82,9,FALSE))+  ('Inputs-System'!$C$26*'Coincidence Factors'!$B$8*(1+'Inputs-System'!$C$18)*(1+'Inputs-System'!$C$42))*'Inputs-Proposals'!$D$22*VLOOKUP(BL$3,DRIPE!$A$54:$I$82,8,FALSE), $C14= "3", ( 'Inputs-System'!$C$30*'Coincidence Factors'!$B$8*(1+'Inputs-System'!$C$18)*(1+'Inputs-System'!$C$41))*('Inputs-Proposals'!$D$29*'Inputs-Proposals'!$D$31*('Inputs-Proposals'!$D$32))*(VLOOKUP(BL$3,DRIPE!$A$54:$I$82,5,FALSE)+VLOOKUP(BL$3,DRIPE!$A$54:$I$82,9,FALSE))+  ('Inputs-System'!$C$26*'Coincidence Factors'!$B$8*(1+'Inputs-System'!$C$18)*(1+'Inputs-System'!$C$42))*'Inputs-Proposals'!$D$28*VLOOKUP(BL$3,DRIPE!$A$54:$I$82,8,FALSE), $C14 = "0", 0), 0)</f>
        <v>0</v>
      </c>
      <c r="BO14" s="45">
        <f>IFERROR(_xlfn.IFS($C14="1",('Inputs-System'!$C$30*'Coincidence Factors'!$B$8*(1+'Inputs-System'!$C$18))*'Inputs-Proposals'!$D$16*(VLOOKUP(BL$3,Capacity!$A$53:$E$85,4,FALSE)*(1+'Inputs-System'!$C$42)+VLOOKUP(BL$3,Capacity!$A$53:$E$85,5,FALSE)*'Inputs-System'!$C$29*(1+'Inputs-System'!$C$43)), $C14 = "2", ('Inputs-System'!$C$30*'Coincidence Factors'!$B$8*(1+'Inputs-System'!$C$18))*'Inputs-Proposals'!$D$22*(VLOOKUP(BL$3,Capacity!$A$53:$E$85,4,FALSE)*(1+'Inputs-System'!$C$42)+VLOOKUP(BL$3,Capacity!$A$53:$E$85,5,FALSE)*'Inputs-System'!$C$29*(1+'Inputs-System'!$C$43)), $C14 = "3",('Inputs-System'!$C$30*'Coincidence Factors'!$B$8*(1+'Inputs-System'!$C$18))*'Inputs-Proposals'!$D$28*(VLOOKUP(BL$3,Capacity!$A$53:$E$85,4,FALSE)*(1+'Inputs-System'!$C$42)+VLOOKUP(BL$3,Capacity!$A$53:$E$85,5,FALSE)*'Inputs-System'!$C$29*(1+'Inputs-System'!$C$43)), $C14 = "0", 0), 0)</f>
        <v>0</v>
      </c>
      <c r="BP14" s="44">
        <v>0</v>
      </c>
      <c r="BQ14" s="342">
        <f>IFERROR(_xlfn.IFS($C14="1", 'Inputs-System'!$C$30*'Coincidence Factors'!$B$8*'Inputs-Proposals'!$D$17*'Inputs-Proposals'!$D$19*(VLOOKUP(BL$3,'Non-Embedded Emissions'!$A$56:$D$90,2,FALSE)+VLOOKUP(BL$3,'Non-Embedded Emissions'!$A$143:$D$174,2,FALSE)+VLOOKUP(BL$3,'Non-Embedded Emissions'!$A$230:$D$259,2,FALSE)), $C14 = "2", 'Inputs-System'!$C$30*'Coincidence Factors'!$B$8*'Inputs-Proposals'!$D$23*'Inputs-Proposals'!$D$25*(VLOOKUP(BL$3,'Non-Embedded Emissions'!$A$56:$D$90,2,FALSE)+VLOOKUP(BL$3,'Non-Embedded Emissions'!$A$143:$D$174,2,FALSE)+VLOOKUP(BL$3,'Non-Embedded Emissions'!$A$230:$D$259,2,FALSE)), $C14 = "3", 'Inputs-System'!$C$30*'Coincidence Factors'!$B$8*'Inputs-Proposals'!$D$29*'Inputs-Proposals'!$D$31*(VLOOKUP(BL$3,'Non-Embedded Emissions'!$A$56:$D$90,2,FALSE)+VLOOKUP(BL$3,'Non-Embedded Emissions'!$A$143:$D$174,2,FALSE)+VLOOKUP(BL$3,'Non-Embedded Emissions'!$A$230:$D$259,2,FALSE)), $C14 = "0", 0), 0)</f>
        <v>0</v>
      </c>
      <c r="BR14" s="45">
        <f>IFERROR(_xlfn.IFS($C14="1",('Inputs-System'!$C$30*'Coincidence Factors'!$B$8*(1+'Inputs-System'!$C$18)*(1+'Inputs-System'!$C$41)*('Inputs-Proposals'!$D$17*'Inputs-Proposals'!$D$19*('Inputs-Proposals'!$D$20))*(VLOOKUP(BR$3,Energy!$A$51:$K$83,5,FALSE))), $C14 = "2",('Inputs-System'!$C$30*'Coincidence Factors'!$B$8)*(1+'Inputs-System'!$C$18)*(1+'Inputs-System'!$C$41)*('Inputs-Proposals'!$D$23*'Inputs-Proposals'!$D$25*('Inputs-Proposals'!$D$26))*(VLOOKUP(BR$3,Energy!$A$51:$K$83,5,FALSE)), $C14= "3", ('Inputs-System'!$C$30*'Coincidence Factors'!$B$8*(1+'Inputs-System'!$C$18)*(1+'Inputs-System'!$C$41)*('Inputs-Proposals'!$D$29*'Inputs-Proposals'!$D$31*('Inputs-Proposals'!$D$32))*(VLOOKUP(BR$3,Energy!$A$51:$K$83,5,FALSE))), $C14= "0", 0), 0)</f>
        <v>0</v>
      </c>
      <c r="BS14" s="44">
        <f>IFERROR(_xlfn.IFS($C14="1",'Inputs-System'!$C$30*'Coincidence Factors'!$B$8*(1+'Inputs-System'!$C$18)*(1+'Inputs-System'!$C$41)*'Inputs-Proposals'!$D$17*'Inputs-Proposals'!$D$19*('Inputs-Proposals'!$D$20)*(VLOOKUP(BR$3,'Embedded Emissions'!$A$47:$B$78,2,FALSE)+VLOOKUP(BR$3,'Embedded Emissions'!$A$129:$B$158,2,FALSE)), $C14 = "2", 'Inputs-System'!$C$30*'Coincidence Factors'!$B$8*(1+'Inputs-System'!$C$18)*(1+'Inputs-System'!$C$41)*'Inputs-Proposals'!$D$23*'Inputs-Proposals'!$D$25*('Inputs-Proposals'!$D$20)*(VLOOKUP(BR$3,'Embedded Emissions'!$A$47:$B$78,2,FALSE)+VLOOKUP(BR$3,'Embedded Emissions'!$A$129:$B$158,2,FALSE)), $C14 = "3",'Inputs-System'!$C$30*'Coincidence Factors'!$B$8*(1+'Inputs-System'!$C$18)*(1+'Inputs-System'!$C$41)*'Inputs-Proposals'!$D$29*'Inputs-Proposals'!$D$31*('Inputs-Proposals'!$D$20)*(VLOOKUP(BR$3,'Embedded Emissions'!$A$47:$B$78,2,FALSE)+VLOOKUP(BR$3,'Embedded Emissions'!$A$129:$B$158,2,FALSE)), $C14 = "0", 0), 0)</f>
        <v>0</v>
      </c>
      <c r="BT14" s="44">
        <f>IFERROR(_xlfn.IFS($C14="1",( 'Inputs-System'!$C$30*'Coincidence Factors'!$B$8*(1+'Inputs-System'!$C$18)*(1+'Inputs-System'!$C$41))*('Inputs-Proposals'!$D$17*'Inputs-Proposals'!$D$19*('Inputs-Proposals'!$D$20))*(VLOOKUP(BR$3,DRIPE!$A$54:$I$82,5,FALSE)+VLOOKUP(BR$3,DRIPE!$A$54:$I$82,9,FALSE))+ ('Inputs-System'!$C$26*'Coincidence Factors'!$B$8*(1+'Inputs-System'!$C$18)*(1+'Inputs-System'!$C$42))*'Inputs-Proposals'!$D$16*VLOOKUP(BR$3,DRIPE!$A$54:$I$82,8,FALSE), $C14 = "2",( 'Inputs-System'!$C$30*'Coincidence Factors'!$B$8*(1+'Inputs-System'!$C$18)*(1+'Inputs-System'!$C$41))*('Inputs-Proposals'!$D$23*'Inputs-Proposals'!$D$25*('Inputs-Proposals'!$D$26))*(VLOOKUP(BR$3,DRIPE!$A$54:$I$82,5,FALSE)+VLOOKUP(BR$3,DRIPE!$A$54:$I$82,9,FALSE))+  ('Inputs-System'!$C$26*'Coincidence Factors'!$B$8*(1+'Inputs-System'!$C$18)*(1+'Inputs-System'!$C$42))*'Inputs-Proposals'!$D$22*VLOOKUP(BR$3,DRIPE!$A$54:$I$82,8,FALSE), $C14= "3", ( 'Inputs-System'!$C$30*'Coincidence Factors'!$B$8*(1+'Inputs-System'!$C$18)*(1+'Inputs-System'!$C$41))*('Inputs-Proposals'!$D$29*'Inputs-Proposals'!$D$31*('Inputs-Proposals'!$D$32))*(VLOOKUP(BR$3,DRIPE!$A$54:$I$82,5,FALSE)+VLOOKUP(BR$3,DRIPE!$A$54:$I$82,9,FALSE))+  ('Inputs-System'!$C$26*'Coincidence Factors'!$B$8*(1+'Inputs-System'!$C$18)*(1+'Inputs-System'!$C$42))*'Inputs-Proposals'!$D$28*VLOOKUP(BR$3,DRIPE!$A$54:$I$82,8,FALSE), $C14 = "0", 0), 0)</f>
        <v>0</v>
      </c>
      <c r="BU14" s="45">
        <f>IFERROR(_xlfn.IFS($C14="1",('Inputs-System'!$C$30*'Coincidence Factors'!$B$8*(1+'Inputs-System'!$C$18))*'Inputs-Proposals'!$D$16*(VLOOKUP(BR$3,Capacity!$A$53:$E$85,4,FALSE)*(1+'Inputs-System'!$C$42)+VLOOKUP(BR$3,Capacity!$A$53:$E$85,5,FALSE)*'Inputs-System'!$C$29*(1+'Inputs-System'!$C$43)), $C14 = "2", ('Inputs-System'!$C$30*'Coincidence Factors'!$B$8*(1+'Inputs-System'!$C$18))*'Inputs-Proposals'!$D$22*(VLOOKUP(BR$3,Capacity!$A$53:$E$85,4,FALSE)*(1+'Inputs-System'!$C$42)+VLOOKUP(BR$3,Capacity!$A$53:$E$85,5,FALSE)*'Inputs-System'!$C$29*(1+'Inputs-System'!$C$43)), $C14 = "3",('Inputs-System'!$C$30*'Coincidence Factors'!$B$8*(1+'Inputs-System'!$C$18))*'Inputs-Proposals'!$D$28*(VLOOKUP(BR$3,Capacity!$A$53:$E$85,4,FALSE)*(1+'Inputs-System'!$C$42)+VLOOKUP(BR$3,Capacity!$A$53:$E$85,5,FALSE)*'Inputs-System'!$C$29*(1+'Inputs-System'!$C$43)), $C14 = "0", 0), 0)</f>
        <v>0</v>
      </c>
      <c r="BV14" s="44">
        <v>0</v>
      </c>
      <c r="BW14" s="342">
        <f>IFERROR(_xlfn.IFS($C14="1", 'Inputs-System'!$C$30*'Coincidence Factors'!$B$8*'Inputs-Proposals'!$D$17*'Inputs-Proposals'!$D$19*(VLOOKUP(BR$3,'Non-Embedded Emissions'!$A$56:$D$90,2,FALSE)+VLOOKUP(BR$3,'Non-Embedded Emissions'!$A$143:$D$174,2,FALSE)+VLOOKUP(BR$3,'Non-Embedded Emissions'!$A$230:$D$259,2,FALSE)), $C14 = "2", 'Inputs-System'!$C$30*'Coincidence Factors'!$B$8*'Inputs-Proposals'!$D$23*'Inputs-Proposals'!$D$25*(VLOOKUP(BR$3,'Non-Embedded Emissions'!$A$56:$D$90,2,FALSE)+VLOOKUP(BR$3,'Non-Embedded Emissions'!$A$143:$D$174,2,FALSE)+VLOOKUP(BR$3,'Non-Embedded Emissions'!$A$230:$D$259,2,FALSE)), $C14 = "3", 'Inputs-System'!$C$30*'Coincidence Factors'!$B$8*'Inputs-Proposals'!$D$29*'Inputs-Proposals'!$D$31*(VLOOKUP(BR$3,'Non-Embedded Emissions'!$A$56:$D$90,2,FALSE)+VLOOKUP(BR$3,'Non-Embedded Emissions'!$A$143:$D$174,2,FALSE)+VLOOKUP(BR$3,'Non-Embedded Emissions'!$A$230:$D$259,2,FALSE)), $C14 = "0", 0), 0)</f>
        <v>0</v>
      </c>
      <c r="BX14" s="45">
        <f>IFERROR(_xlfn.IFS($C14="1",('Inputs-System'!$C$30*'Coincidence Factors'!$B$8*(1+'Inputs-System'!$C$18)*(1+'Inputs-System'!$C$41)*('Inputs-Proposals'!$D$17*'Inputs-Proposals'!$D$19*('Inputs-Proposals'!$D$20))*(VLOOKUP(BX$3,Energy!$A$51:$K$83,5,FALSE))), $C14 = "2",('Inputs-System'!$C$30*'Coincidence Factors'!$B$8)*(1+'Inputs-System'!$C$18)*(1+'Inputs-System'!$C$41)*('Inputs-Proposals'!$D$23*'Inputs-Proposals'!$D$25*('Inputs-Proposals'!$D$26))*(VLOOKUP(BX$3,Energy!$A$51:$K$83,5,FALSE)), $C14= "3", ('Inputs-System'!$C$30*'Coincidence Factors'!$B$8*(1+'Inputs-System'!$C$18)*(1+'Inputs-System'!$C$41)*('Inputs-Proposals'!$D$29*'Inputs-Proposals'!$D$31*('Inputs-Proposals'!$D$32))*(VLOOKUP(BX$3,Energy!$A$51:$K$83,5,FALSE))), $C14= "0", 0), 0)</f>
        <v>0</v>
      </c>
      <c r="BY14" s="44">
        <f>IFERROR(_xlfn.IFS($C14="1",'Inputs-System'!$C$30*'Coincidence Factors'!$B$8*(1+'Inputs-System'!$C$18)*(1+'Inputs-System'!$C$41)*'Inputs-Proposals'!$D$17*'Inputs-Proposals'!$D$19*('Inputs-Proposals'!$D$20)*(VLOOKUP(BX$3,'Embedded Emissions'!$A$47:$B$78,2,FALSE)+VLOOKUP(BX$3,'Embedded Emissions'!$A$129:$B$158,2,FALSE)), $C14 = "2", 'Inputs-System'!$C$30*'Coincidence Factors'!$B$8*(1+'Inputs-System'!$C$18)*(1+'Inputs-System'!$C$41)*'Inputs-Proposals'!$D$23*'Inputs-Proposals'!$D$25*('Inputs-Proposals'!$D$20)*(VLOOKUP(BX$3,'Embedded Emissions'!$A$47:$B$78,2,FALSE)+VLOOKUP(BX$3,'Embedded Emissions'!$A$129:$B$158,2,FALSE)), $C14 = "3",'Inputs-System'!$C$30*'Coincidence Factors'!$B$8*(1+'Inputs-System'!$C$18)*(1+'Inputs-System'!$C$41)*'Inputs-Proposals'!$D$29*'Inputs-Proposals'!$D$31*('Inputs-Proposals'!$D$20)*(VLOOKUP(BX$3,'Embedded Emissions'!$A$47:$B$78,2,FALSE)+VLOOKUP(BX$3,'Embedded Emissions'!$A$129:$B$158,2,FALSE)), $C14 = "0", 0), 0)</f>
        <v>0</v>
      </c>
      <c r="BZ14" s="44">
        <f>IFERROR(_xlfn.IFS($C14="1",( 'Inputs-System'!$C$30*'Coincidence Factors'!$B$8*(1+'Inputs-System'!$C$18)*(1+'Inputs-System'!$C$41))*('Inputs-Proposals'!$D$17*'Inputs-Proposals'!$D$19*('Inputs-Proposals'!$D$20))*(VLOOKUP(BX$3,DRIPE!$A$54:$I$82,5,FALSE)+VLOOKUP(BX$3,DRIPE!$A$54:$I$82,9,FALSE))+ ('Inputs-System'!$C$26*'Coincidence Factors'!$B$8*(1+'Inputs-System'!$C$18)*(1+'Inputs-System'!$C$42))*'Inputs-Proposals'!$D$16*VLOOKUP(BX$3,DRIPE!$A$54:$I$82,8,FALSE), $C14 = "2",( 'Inputs-System'!$C$30*'Coincidence Factors'!$B$8*(1+'Inputs-System'!$C$18)*(1+'Inputs-System'!$C$41))*('Inputs-Proposals'!$D$23*'Inputs-Proposals'!$D$25*('Inputs-Proposals'!$D$26))*(VLOOKUP(BX$3,DRIPE!$A$54:$I$82,5,FALSE)+VLOOKUP(BX$3,DRIPE!$A$54:$I$82,9,FALSE))+  ('Inputs-System'!$C$26*'Coincidence Factors'!$B$8*(1+'Inputs-System'!$C$18)*(1+'Inputs-System'!$C$42))*'Inputs-Proposals'!$D$22*VLOOKUP(BX$3,DRIPE!$A$54:$I$82,8,FALSE), $C14= "3", ( 'Inputs-System'!$C$30*'Coincidence Factors'!$B$8*(1+'Inputs-System'!$C$18)*(1+'Inputs-System'!$C$41))*('Inputs-Proposals'!$D$29*'Inputs-Proposals'!$D$31*('Inputs-Proposals'!$D$32))*(VLOOKUP(BX$3,DRIPE!$A$54:$I$82,5,FALSE)+VLOOKUP(BX$3,DRIPE!$A$54:$I$82,9,FALSE))+  ('Inputs-System'!$C$26*'Coincidence Factors'!$B$8*(1+'Inputs-System'!$C$18)*(1+'Inputs-System'!$C$42))*'Inputs-Proposals'!$D$28*VLOOKUP(BX$3,DRIPE!$A$54:$I$82,8,FALSE), $C14 = "0", 0), 0)</f>
        <v>0</v>
      </c>
      <c r="CA14" s="45">
        <f>IFERROR(_xlfn.IFS($C14="1",('Inputs-System'!$C$30*'Coincidence Factors'!$B$8*(1+'Inputs-System'!$C$18))*'Inputs-Proposals'!$D$16*(VLOOKUP(BX$3,Capacity!$A$53:$E$85,4,FALSE)*(1+'Inputs-System'!$C$42)+VLOOKUP(BX$3,Capacity!$A$53:$E$85,5,FALSE)*'Inputs-System'!$C$29*(1+'Inputs-System'!$C$43)), $C14 = "2", ('Inputs-System'!$C$30*'Coincidence Factors'!$B$8*(1+'Inputs-System'!$C$18))*'Inputs-Proposals'!$D$22*(VLOOKUP(BX$3,Capacity!$A$53:$E$85,4,FALSE)*(1+'Inputs-System'!$C$42)+VLOOKUP(BX$3,Capacity!$A$53:$E$85,5,FALSE)*'Inputs-System'!$C$29*(1+'Inputs-System'!$C$43)), $C14 = "3",('Inputs-System'!$C$30*'Coincidence Factors'!$B$8*(1+'Inputs-System'!$C$18))*'Inputs-Proposals'!$D$28*(VLOOKUP(BX$3,Capacity!$A$53:$E$85,4,FALSE)*(1+'Inputs-System'!$C$42)+VLOOKUP(BX$3,Capacity!$A$53:$E$85,5,FALSE)*'Inputs-System'!$C$29*(1+'Inputs-System'!$C$43)), $C14 = "0", 0), 0)</f>
        <v>0</v>
      </c>
      <c r="CB14" s="44">
        <v>0</v>
      </c>
      <c r="CC14" s="342">
        <f>IFERROR(_xlfn.IFS($C14="1", 'Inputs-System'!$C$30*'Coincidence Factors'!$B$8*'Inputs-Proposals'!$D$17*'Inputs-Proposals'!$D$19*(VLOOKUP(BX$3,'Non-Embedded Emissions'!$A$56:$D$90,2,FALSE)+VLOOKUP(BX$3,'Non-Embedded Emissions'!$A$143:$D$174,2,FALSE)+VLOOKUP(BX$3,'Non-Embedded Emissions'!$A$230:$D$259,2,FALSE)), $C14 = "2", 'Inputs-System'!$C$30*'Coincidence Factors'!$B$8*'Inputs-Proposals'!$D$23*'Inputs-Proposals'!$D$25*(VLOOKUP(BX$3,'Non-Embedded Emissions'!$A$56:$D$90,2,FALSE)+VLOOKUP(BX$3,'Non-Embedded Emissions'!$A$143:$D$174,2,FALSE)+VLOOKUP(BX$3,'Non-Embedded Emissions'!$A$230:$D$259,2,FALSE)), $C14 = "3", 'Inputs-System'!$C$30*'Coincidence Factors'!$B$8*'Inputs-Proposals'!$D$29*'Inputs-Proposals'!$D$31*(VLOOKUP(BX$3,'Non-Embedded Emissions'!$A$56:$D$90,2,FALSE)+VLOOKUP(BX$3,'Non-Embedded Emissions'!$A$143:$D$174,2,FALSE)+VLOOKUP(BX$3,'Non-Embedded Emissions'!$A$230:$D$259,2,FALSE)), $C14 = "0", 0), 0)</f>
        <v>0</v>
      </c>
      <c r="CD14" s="45">
        <f>IFERROR(_xlfn.IFS($C14="1",('Inputs-System'!$C$30*'Coincidence Factors'!$B$8*(1+'Inputs-System'!$C$18)*(1+'Inputs-System'!$C$41)*('Inputs-Proposals'!$D$17*'Inputs-Proposals'!$D$19*('Inputs-Proposals'!$D$20))*(VLOOKUP(CD$3,Energy!$A$51:$K$83,5,FALSE))), $C14 = "2",('Inputs-System'!$C$30*'Coincidence Factors'!$B$8)*(1+'Inputs-System'!$C$18)*(1+'Inputs-System'!$C$41)*('Inputs-Proposals'!$D$23*'Inputs-Proposals'!$D$25*('Inputs-Proposals'!$D$26))*(VLOOKUP(CD$3,Energy!$A$51:$K$83,5,FALSE)), $C14= "3", ('Inputs-System'!$C$30*'Coincidence Factors'!$B$8*(1+'Inputs-System'!$C$18)*(1+'Inputs-System'!$C$41)*('Inputs-Proposals'!$D$29*'Inputs-Proposals'!$D$31*('Inputs-Proposals'!$D$32))*(VLOOKUP(CD$3,Energy!$A$51:$K$83,5,FALSE))), $C14= "0", 0), 0)</f>
        <v>0</v>
      </c>
      <c r="CE14" s="44">
        <f>IFERROR(_xlfn.IFS($C14="1",'Inputs-System'!$C$30*'Coincidence Factors'!$B$8*(1+'Inputs-System'!$C$18)*(1+'Inputs-System'!$C$41)*'Inputs-Proposals'!$D$17*'Inputs-Proposals'!$D$19*('Inputs-Proposals'!$D$20)*(VLOOKUP(CD$3,'Embedded Emissions'!$A$47:$B$78,2,FALSE)+VLOOKUP(CD$3,'Embedded Emissions'!$A$129:$B$158,2,FALSE)), $C14 = "2", 'Inputs-System'!$C$30*'Coincidence Factors'!$B$8*(1+'Inputs-System'!$C$18)*(1+'Inputs-System'!$C$41)*'Inputs-Proposals'!$D$23*'Inputs-Proposals'!$D$25*('Inputs-Proposals'!$D$20)*(VLOOKUP(CD$3,'Embedded Emissions'!$A$47:$B$78,2,FALSE)+VLOOKUP(CD$3,'Embedded Emissions'!$A$129:$B$158,2,FALSE)), $C14 = "3",'Inputs-System'!$C$30*'Coincidence Factors'!$B$8*(1+'Inputs-System'!$C$18)*(1+'Inputs-System'!$C$41)*'Inputs-Proposals'!$D$29*'Inputs-Proposals'!$D$31*('Inputs-Proposals'!$D$20)*(VLOOKUP(CD$3,'Embedded Emissions'!$A$47:$B$78,2,FALSE)+VLOOKUP(CD$3,'Embedded Emissions'!$A$129:$B$158,2,FALSE)), $C14 = "0", 0), 0)</f>
        <v>0</v>
      </c>
      <c r="CF14" s="44">
        <f>IFERROR(_xlfn.IFS($C14="1",( 'Inputs-System'!$C$30*'Coincidence Factors'!$B$8*(1+'Inputs-System'!$C$18)*(1+'Inputs-System'!$C$41))*('Inputs-Proposals'!$D$17*'Inputs-Proposals'!$D$19*('Inputs-Proposals'!$D$20))*(VLOOKUP(CD$3,DRIPE!$A$54:$I$82,5,FALSE)+VLOOKUP(CD$3,DRIPE!$A$54:$I$82,9,FALSE))+ ('Inputs-System'!$C$26*'Coincidence Factors'!$B$8*(1+'Inputs-System'!$C$18)*(1+'Inputs-System'!$C$42))*'Inputs-Proposals'!$D$16*VLOOKUP(CD$3,DRIPE!$A$54:$I$82,8,FALSE), $C14 = "2",( 'Inputs-System'!$C$30*'Coincidence Factors'!$B$8*(1+'Inputs-System'!$C$18)*(1+'Inputs-System'!$C$41))*('Inputs-Proposals'!$D$23*'Inputs-Proposals'!$D$25*('Inputs-Proposals'!$D$26))*(VLOOKUP(CD$3,DRIPE!$A$54:$I$82,5,FALSE)+VLOOKUP(CD$3,DRIPE!$A$54:$I$82,9,FALSE))+  ('Inputs-System'!$C$26*'Coincidence Factors'!$B$8*(1+'Inputs-System'!$C$18)*(1+'Inputs-System'!$C$42))*'Inputs-Proposals'!$D$22*VLOOKUP(CD$3,DRIPE!$A$54:$I$82,8,FALSE), $C14= "3", ( 'Inputs-System'!$C$30*'Coincidence Factors'!$B$8*(1+'Inputs-System'!$C$18)*(1+'Inputs-System'!$C$41))*('Inputs-Proposals'!$D$29*'Inputs-Proposals'!$D$31*('Inputs-Proposals'!$D$32))*(VLOOKUP(CD$3,DRIPE!$A$54:$I$82,5,FALSE)+VLOOKUP(CD$3,DRIPE!$A$54:$I$82,9,FALSE))+  ('Inputs-System'!$C$26*'Coincidence Factors'!$B$8*(1+'Inputs-System'!$C$18)*(1+'Inputs-System'!$C$42))*'Inputs-Proposals'!$D$28*VLOOKUP(CD$3,DRIPE!$A$54:$I$82,8,FALSE), $C14 = "0", 0), 0)</f>
        <v>0</v>
      </c>
      <c r="CG14" s="45">
        <f>IFERROR(_xlfn.IFS($C14="1",('Inputs-System'!$C$30*'Coincidence Factors'!$B$8*(1+'Inputs-System'!$C$18))*'Inputs-Proposals'!$D$16*(VLOOKUP(CD$3,Capacity!$A$53:$E$85,4,FALSE)*(1+'Inputs-System'!$C$42)+VLOOKUP(CD$3,Capacity!$A$53:$E$85,5,FALSE)*'Inputs-System'!$C$29*(1+'Inputs-System'!$C$43)), $C14 = "2", ('Inputs-System'!$C$30*'Coincidence Factors'!$B$8*(1+'Inputs-System'!$C$18))*'Inputs-Proposals'!$D$22*(VLOOKUP(CD$3,Capacity!$A$53:$E$85,4,FALSE)*(1+'Inputs-System'!$C$42)+VLOOKUP(CD$3,Capacity!$A$53:$E$85,5,FALSE)*'Inputs-System'!$C$29*(1+'Inputs-System'!$C$43)), $C14 = "3",('Inputs-System'!$C$30*'Coincidence Factors'!$B$8*(1+'Inputs-System'!$C$18))*'Inputs-Proposals'!$D$28*(VLOOKUP(CD$3,Capacity!$A$53:$E$85,4,FALSE)*(1+'Inputs-System'!$C$42)+VLOOKUP(CD$3,Capacity!$A$53:$E$85,5,FALSE)*'Inputs-System'!$C$29*(1+'Inputs-System'!$C$43)), $C14 = "0", 0), 0)</f>
        <v>0</v>
      </c>
      <c r="CH14" s="44">
        <v>0</v>
      </c>
      <c r="CI14" s="342">
        <f>IFERROR(_xlfn.IFS($C14="1", 'Inputs-System'!$C$30*'Coincidence Factors'!$B$8*'Inputs-Proposals'!$D$17*'Inputs-Proposals'!$D$19*(VLOOKUP(CD$3,'Non-Embedded Emissions'!$A$56:$D$90,2,FALSE)+VLOOKUP(CD$3,'Non-Embedded Emissions'!$A$143:$D$174,2,FALSE)+VLOOKUP(CD$3,'Non-Embedded Emissions'!$A$230:$D$259,2,FALSE)), $C14 = "2", 'Inputs-System'!$C$30*'Coincidence Factors'!$B$8*'Inputs-Proposals'!$D$23*'Inputs-Proposals'!$D$25*(VLOOKUP(CD$3,'Non-Embedded Emissions'!$A$56:$D$90,2,FALSE)+VLOOKUP(CD$3,'Non-Embedded Emissions'!$A$143:$D$174,2,FALSE)+VLOOKUP(CD$3,'Non-Embedded Emissions'!$A$230:$D$259,2,FALSE)), $C14 = "3", 'Inputs-System'!$C$30*'Coincidence Factors'!$B$8*'Inputs-Proposals'!$D$29*'Inputs-Proposals'!$D$31*(VLOOKUP(CD$3,'Non-Embedded Emissions'!$A$56:$D$90,2,FALSE)+VLOOKUP(CD$3,'Non-Embedded Emissions'!$A$143:$D$174,2,FALSE)+VLOOKUP(CD$3,'Non-Embedded Emissions'!$A$230:$D$259,2,FALSE)), $C14 = "0", 0), 0)</f>
        <v>0</v>
      </c>
      <c r="CJ14" s="45">
        <f>IFERROR(_xlfn.IFS($C14="1",('Inputs-System'!$C$30*'Coincidence Factors'!$B$8*(1+'Inputs-System'!$C$18)*(1+'Inputs-System'!$C$41)*('Inputs-Proposals'!$D$17*'Inputs-Proposals'!$D$19*('Inputs-Proposals'!$D$20))*(VLOOKUP(CJ$3,Energy!$A$51:$K$83,5,FALSE))), $C14 = "2",('Inputs-System'!$C$30*'Coincidence Factors'!$B$8)*(1+'Inputs-System'!$C$18)*(1+'Inputs-System'!$C$41)*('Inputs-Proposals'!$D$23*'Inputs-Proposals'!$D$25*('Inputs-Proposals'!$D$26))*(VLOOKUP(CJ$3,Energy!$A$51:$K$83,5,FALSE)), $C14= "3", ('Inputs-System'!$C$30*'Coincidence Factors'!$B$8*(1+'Inputs-System'!$C$18)*(1+'Inputs-System'!$C$41)*('Inputs-Proposals'!$D$29*'Inputs-Proposals'!$D$31*('Inputs-Proposals'!$D$32))*(VLOOKUP(CJ$3,Energy!$A$51:$K$83,5,FALSE))), $C14= "0", 0), 0)</f>
        <v>0</v>
      </c>
      <c r="CK14" s="44">
        <f>IFERROR(_xlfn.IFS($C14="1",'Inputs-System'!$C$30*'Coincidence Factors'!$B$8*(1+'Inputs-System'!$C$18)*(1+'Inputs-System'!$C$41)*'Inputs-Proposals'!$D$17*'Inputs-Proposals'!$D$19*('Inputs-Proposals'!$D$20)*(VLOOKUP(CJ$3,'Embedded Emissions'!$A$47:$B$78,2,FALSE)+VLOOKUP(CJ$3,'Embedded Emissions'!$A$129:$B$158,2,FALSE)), $C14 = "2", 'Inputs-System'!$C$30*'Coincidence Factors'!$B$8*(1+'Inputs-System'!$C$18)*(1+'Inputs-System'!$C$41)*'Inputs-Proposals'!$D$23*'Inputs-Proposals'!$D$25*('Inputs-Proposals'!$D$20)*(VLOOKUP(CJ$3,'Embedded Emissions'!$A$47:$B$78,2,FALSE)+VLOOKUP(CJ$3,'Embedded Emissions'!$A$129:$B$158,2,FALSE)), $C14 = "3",'Inputs-System'!$C$30*'Coincidence Factors'!$B$8*(1+'Inputs-System'!$C$18)*(1+'Inputs-System'!$C$41)*'Inputs-Proposals'!$D$29*'Inputs-Proposals'!$D$31*('Inputs-Proposals'!$D$20)*(VLOOKUP(CJ$3,'Embedded Emissions'!$A$47:$B$78,2,FALSE)+VLOOKUP(CJ$3,'Embedded Emissions'!$A$129:$B$158,2,FALSE)), $C14 = "0", 0), 0)</f>
        <v>0</v>
      </c>
      <c r="CL14" s="44">
        <f>IFERROR(_xlfn.IFS($C14="1",( 'Inputs-System'!$C$30*'Coincidence Factors'!$B$8*(1+'Inputs-System'!$C$18)*(1+'Inputs-System'!$C$41))*('Inputs-Proposals'!$D$17*'Inputs-Proposals'!$D$19*('Inputs-Proposals'!$D$20))*(VLOOKUP(CJ$3,DRIPE!$A$54:$I$82,5,FALSE)+VLOOKUP(CJ$3,DRIPE!$A$54:$I$82,9,FALSE))+ ('Inputs-System'!$C$26*'Coincidence Factors'!$B$8*(1+'Inputs-System'!$C$18)*(1+'Inputs-System'!$C$42))*'Inputs-Proposals'!$D$16*VLOOKUP(CJ$3,DRIPE!$A$54:$I$82,8,FALSE), $C14 = "2",( 'Inputs-System'!$C$30*'Coincidence Factors'!$B$8*(1+'Inputs-System'!$C$18)*(1+'Inputs-System'!$C$41))*('Inputs-Proposals'!$D$23*'Inputs-Proposals'!$D$25*('Inputs-Proposals'!$D$26))*(VLOOKUP(CJ$3,DRIPE!$A$54:$I$82,5,FALSE)+VLOOKUP(CJ$3,DRIPE!$A$54:$I$82,9,FALSE))+  ('Inputs-System'!$C$26*'Coincidence Factors'!$B$8*(1+'Inputs-System'!$C$18)*(1+'Inputs-System'!$C$42))*'Inputs-Proposals'!$D$22*VLOOKUP(CJ$3,DRIPE!$A$54:$I$82,8,FALSE), $C14= "3", ( 'Inputs-System'!$C$30*'Coincidence Factors'!$B$8*(1+'Inputs-System'!$C$18)*(1+'Inputs-System'!$C$41))*('Inputs-Proposals'!$D$29*'Inputs-Proposals'!$D$31*('Inputs-Proposals'!$D$32))*(VLOOKUP(CJ$3,DRIPE!$A$54:$I$82,5,FALSE)+VLOOKUP(CJ$3,DRIPE!$A$54:$I$82,9,FALSE))+  ('Inputs-System'!$C$26*'Coincidence Factors'!$B$8*(1+'Inputs-System'!$C$18)*(1+'Inputs-System'!$C$42))*'Inputs-Proposals'!$D$28*VLOOKUP(CJ$3,DRIPE!$A$54:$I$82,8,FALSE), $C14 = "0", 0), 0)</f>
        <v>0</v>
      </c>
      <c r="CM14" s="45">
        <f>IFERROR(_xlfn.IFS($C14="1",('Inputs-System'!$C$30*'Coincidence Factors'!$B$8*(1+'Inputs-System'!$C$18))*'Inputs-Proposals'!$D$16*(VLOOKUP(CJ$3,Capacity!$A$53:$E$85,4,FALSE)*(1+'Inputs-System'!$C$42)+VLOOKUP(CJ$3,Capacity!$A$53:$E$85,5,FALSE)*'Inputs-System'!$C$29*(1+'Inputs-System'!$C$43)), $C14 = "2", ('Inputs-System'!$C$30*'Coincidence Factors'!$B$8*(1+'Inputs-System'!$C$18))*'Inputs-Proposals'!$D$22*(VLOOKUP(CJ$3,Capacity!$A$53:$E$85,4,FALSE)*(1+'Inputs-System'!$C$42)+VLOOKUP(CJ$3,Capacity!$A$53:$E$85,5,FALSE)*'Inputs-System'!$C$29*(1+'Inputs-System'!$C$43)), $C14 = "3",('Inputs-System'!$C$30*'Coincidence Factors'!$B$8*(1+'Inputs-System'!$C$18))*'Inputs-Proposals'!$D$28*(VLOOKUP(CJ$3,Capacity!$A$53:$E$85,4,FALSE)*(1+'Inputs-System'!$C$42)+VLOOKUP(CJ$3,Capacity!$A$53:$E$85,5,FALSE)*'Inputs-System'!$C$29*(1+'Inputs-System'!$C$43)), $C14 = "0", 0), 0)</f>
        <v>0</v>
      </c>
      <c r="CN14" s="44">
        <v>0</v>
      </c>
      <c r="CO14" s="342">
        <f>IFERROR(_xlfn.IFS($C14="1", 'Inputs-System'!$C$30*'Coincidence Factors'!$B$8*'Inputs-Proposals'!$D$17*'Inputs-Proposals'!$D$19*(VLOOKUP(CJ$3,'Non-Embedded Emissions'!$A$56:$D$90,2,FALSE)+VLOOKUP(CJ$3,'Non-Embedded Emissions'!$A$143:$D$174,2,FALSE)+VLOOKUP(CJ$3,'Non-Embedded Emissions'!$A$230:$D$259,2,FALSE)), $C14 = "2", 'Inputs-System'!$C$30*'Coincidence Factors'!$B$8*'Inputs-Proposals'!$D$23*'Inputs-Proposals'!$D$25*(VLOOKUP(CJ$3,'Non-Embedded Emissions'!$A$56:$D$90,2,FALSE)+VLOOKUP(CJ$3,'Non-Embedded Emissions'!$A$143:$D$174,2,FALSE)+VLOOKUP(CJ$3,'Non-Embedded Emissions'!$A$230:$D$259,2,FALSE)), $C14 = "3", 'Inputs-System'!$C$30*'Coincidence Factors'!$B$8*'Inputs-Proposals'!$D$29*'Inputs-Proposals'!$D$31*(VLOOKUP(CJ$3,'Non-Embedded Emissions'!$A$56:$D$90,2,FALSE)+VLOOKUP(CJ$3,'Non-Embedded Emissions'!$A$143:$D$174,2,FALSE)+VLOOKUP(CJ$3,'Non-Embedded Emissions'!$A$230:$D$259,2,FALSE)), $C14 = "0", 0), 0)</f>
        <v>0</v>
      </c>
      <c r="CP14" s="45">
        <f>IFERROR(_xlfn.IFS($C14="1",('Inputs-System'!$C$30*'Coincidence Factors'!$B$8*(1+'Inputs-System'!$C$18)*(1+'Inputs-System'!$C$41)*('Inputs-Proposals'!$D$17*'Inputs-Proposals'!$D$19*('Inputs-Proposals'!$D$20))*(VLOOKUP(CP$3,Energy!$A$51:$K$83,5,FALSE))), $C14 = "2",('Inputs-System'!$C$30*'Coincidence Factors'!$B$8)*(1+'Inputs-System'!$C$18)*(1+'Inputs-System'!$C$41)*('Inputs-Proposals'!$D$23*'Inputs-Proposals'!$D$25*('Inputs-Proposals'!$D$26))*(VLOOKUP(CP$3,Energy!$A$51:$K$83,5,FALSE)), $C14= "3", ('Inputs-System'!$C$30*'Coincidence Factors'!$B$8*(1+'Inputs-System'!$C$18)*(1+'Inputs-System'!$C$41)*('Inputs-Proposals'!$D$29*'Inputs-Proposals'!$D$31*('Inputs-Proposals'!$D$32))*(VLOOKUP(CP$3,Energy!$A$51:$K$83,5,FALSE))), $C14= "0", 0), 0)</f>
        <v>0</v>
      </c>
      <c r="CQ14" s="44">
        <f>IFERROR(_xlfn.IFS($C14="1",'Inputs-System'!$C$30*'Coincidence Factors'!$B$8*(1+'Inputs-System'!$C$18)*(1+'Inputs-System'!$C$41)*'Inputs-Proposals'!$D$17*'Inputs-Proposals'!$D$19*('Inputs-Proposals'!$D$20)*(VLOOKUP(CP$3,'Embedded Emissions'!$A$47:$B$78,2,FALSE)+VLOOKUP(CP$3,'Embedded Emissions'!$A$129:$B$158,2,FALSE)), $C14 = "2", 'Inputs-System'!$C$30*'Coincidence Factors'!$B$8*(1+'Inputs-System'!$C$18)*(1+'Inputs-System'!$C$41)*'Inputs-Proposals'!$D$23*'Inputs-Proposals'!$D$25*('Inputs-Proposals'!$D$20)*(VLOOKUP(CP$3,'Embedded Emissions'!$A$47:$B$78,2,FALSE)+VLOOKUP(CP$3,'Embedded Emissions'!$A$129:$B$158,2,FALSE)), $C14 = "3",'Inputs-System'!$C$30*'Coincidence Factors'!$B$8*(1+'Inputs-System'!$C$18)*(1+'Inputs-System'!$C$41)*'Inputs-Proposals'!$D$29*'Inputs-Proposals'!$D$31*('Inputs-Proposals'!$D$20)*(VLOOKUP(CP$3,'Embedded Emissions'!$A$47:$B$78,2,FALSE)+VLOOKUP(CP$3,'Embedded Emissions'!$A$129:$B$158,2,FALSE)), $C14 = "0", 0), 0)</f>
        <v>0</v>
      </c>
      <c r="CR14" s="44">
        <f>IFERROR(_xlfn.IFS($C14="1",( 'Inputs-System'!$C$30*'Coincidence Factors'!$B$8*(1+'Inputs-System'!$C$18)*(1+'Inputs-System'!$C$41))*('Inputs-Proposals'!$D$17*'Inputs-Proposals'!$D$19*('Inputs-Proposals'!$D$20))*(VLOOKUP(CP$3,DRIPE!$A$54:$I$82,5,FALSE)+VLOOKUP(CP$3,DRIPE!$A$54:$I$82,9,FALSE))+ ('Inputs-System'!$C$26*'Coincidence Factors'!$B$8*(1+'Inputs-System'!$C$18)*(1+'Inputs-System'!$C$42))*'Inputs-Proposals'!$D$16*VLOOKUP(CP$3,DRIPE!$A$54:$I$82,8,FALSE), $C14 = "2",( 'Inputs-System'!$C$30*'Coincidence Factors'!$B$8*(1+'Inputs-System'!$C$18)*(1+'Inputs-System'!$C$41))*('Inputs-Proposals'!$D$23*'Inputs-Proposals'!$D$25*('Inputs-Proposals'!$D$26))*(VLOOKUP(CP$3,DRIPE!$A$54:$I$82,5,FALSE)+VLOOKUP(CP$3,DRIPE!$A$54:$I$82,9,FALSE))+  ('Inputs-System'!$C$26*'Coincidence Factors'!$B$8*(1+'Inputs-System'!$C$18)*(1+'Inputs-System'!$C$42))*'Inputs-Proposals'!$D$22*VLOOKUP(CP$3,DRIPE!$A$54:$I$82,8,FALSE), $C14= "3", ( 'Inputs-System'!$C$30*'Coincidence Factors'!$B$8*(1+'Inputs-System'!$C$18)*(1+'Inputs-System'!$C$41))*('Inputs-Proposals'!$D$29*'Inputs-Proposals'!$D$31*('Inputs-Proposals'!$D$32))*(VLOOKUP(CP$3,DRIPE!$A$54:$I$82,5,FALSE)+VLOOKUP(CP$3,DRIPE!$A$54:$I$82,9,FALSE))+  ('Inputs-System'!$C$26*'Coincidence Factors'!$B$8*(1+'Inputs-System'!$C$18)*(1+'Inputs-System'!$C$42))*'Inputs-Proposals'!$D$28*VLOOKUP(CP$3,DRIPE!$A$54:$I$82,8,FALSE), $C14 = "0", 0), 0)</f>
        <v>0</v>
      </c>
      <c r="CS14" s="45">
        <f>IFERROR(_xlfn.IFS($C14="1",('Inputs-System'!$C$30*'Coincidence Factors'!$B$8*(1+'Inputs-System'!$C$18))*'Inputs-Proposals'!$D$16*(VLOOKUP(CP$3,Capacity!$A$53:$E$85,4,FALSE)*(1+'Inputs-System'!$C$42)+VLOOKUP(CP$3,Capacity!$A$53:$E$85,5,FALSE)*'Inputs-System'!$C$29*(1+'Inputs-System'!$C$43)), $C14 = "2", ('Inputs-System'!$C$30*'Coincidence Factors'!$B$8*(1+'Inputs-System'!$C$18))*'Inputs-Proposals'!$D$22*(VLOOKUP(CP$3,Capacity!$A$53:$E$85,4,FALSE)*(1+'Inputs-System'!$C$42)+VLOOKUP(CP$3,Capacity!$A$53:$E$85,5,FALSE)*'Inputs-System'!$C$29*(1+'Inputs-System'!$C$43)), $C14 = "3",('Inputs-System'!$C$30*'Coincidence Factors'!$B$8*(1+'Inputs-System'!$C$18))*'Inputs-Proposals'!$D$28*(VLOOKUP(CP$3,Capacity!$A$53:$E$85,4,FALSE)*(1+'Inputs-System'!$C$42)+VLOOKUP(CP$3,Capacity!$A$53:$E$85,5,FALSE)*'Inputs-System'!$C$29*(1+'Inputs-System'!$C$43)), $C14 = "0", 0), 0)</f>
        <v>0</v>
      </c>
      <c r="CT14" s="44">
        <v>0</v>
      </c>
      <c r="CU14" s="342">
        <f>IFERROR(_xlfn.IFS($C14="1", 'Inputs-System'!$C$30*'Coincidence Factors'!$B$8*'Inputs-Proposals'!$D$17*'Inputs-Proposals'!$D$19*(VLOOKUP(CP$3,'Non-Embedded Emissions'!$A$56:$D$90,2,FALSE)+VLOOKUP(CP$3,'Non-Embedded Emissions'!$A$143:$D$174,2,FALSE)+VLOOKUP(CP$3,'Non-Embedded Emissions'!$A$230:$D$259,2,FALSE)), $C14 = "2", 'Inputs-System'!$C$30*'Coincidence Factors'!$B$8*'Inputs-Proposals'!$D$23*'Inputs-Proposals'!$D$25*(VLOOKUP(CP$3,'Non-Embedded Emissions'!$A$56:$D$90,2,FALSE)+VLOOKUP(CP$3,'Non-Embedded Emissions'!$A$143:$D$174,2,FALSE)+VLOOKUP(CP$3,'Non-Embedded Emissions'!$A$230:$D$259,2,FALSE)), $C14 = "3", 'Inputs-System'!$C$30*'Coincidence Factors'!$B$8*'Inputs-Proposals'!$D$29*'Inputs-Proposals'!$D$31*(VLOOKUP(CP$3,'Non-Embedded Emissions'!$A$56:$D$90,2,FALSE)+VLOOKUP(CP$3,'Non-Embedded Emissions'!$A$143:$D$174,2,FALSE)+VLOOKUP(CP$3,'Non-Embedded Emissions'!$A$230:$D$259,2,FALSE)), $C14 = "0", 0), 0)</f>
        <v>0</v>
      </c>
      <c r="CV14" s="45">
        <f>IFERROR(_xlfn.IFS($C14="1",('Inputs-System'!$C$30*'Coincidence Factors'!$B$8*(1+'Inputs-System'!$C$18)*(1+'Inputs-System'!$C$41)*('Inputs-Proposals'!$D$17*'Inputs-Proposals'!$D$19*('Inputs-Proposals'!$D$20))*(VLOOKUP(CV$3,Energy!$A$51:$K$83,5,FALSE))), $C14 = "2",('Inputs-System'!$C$30*'Coincidence Factors'!$B$8)*(1+'Inputs-System'!$C$18)*(1+'Inputs-System'!$C$41)*('Inputs-Proposals'!$D$23*'Inputs-Proposals'!$D$25*('Inputs-Proposals'!$D$26))*(VLOOKUP(CV$3,Energy!$A$51:$K$83,5,FALSE)), $C14= "3", ('Inputs-System'!$C$30*'Coincidence Factors'!$B$8*(1+'Inputs-System'!$C$18)*(1+'Inputs-System'!$C$41)*('Inputs-Proposals'!$D$29*'Inputs-Proposals'!$D$31*('Inputs-Proposals'!$D$32))*(VLOOKUP(CV$3,Energy!$A$51:$K$83,5,FALSE))), $C14= "0", 0), 0)</f>
        <v>0</v>
      </c>
      <c r="CW14" s="44">
        <f>IFERROR(_xlfn.IFS($C14="1",'Inputs-System'!$C$30*'Coincidence Factors'!$B$8*(1+'Inputs-System'!$C$18)*(1+'Inputs-System'!$C$41)*'Inputs-Proposals'!$D$17*'Inputs-Proposals'!$D$19*('Inputs-Proposals'!$D$20)*(VLOOKUP(CV$3,'Embedded Emissions'!$A$47:$B$78,2,FALSE)+VLOOKUP(CV$3,'Embedded Emissions'!$A$129:$B$158,2,FALSE)), $C14 = "2", 'Inputs-System'!$C$30*'Coincidence Factors'!$B$8*(1+'Inputs-System'!$C$18)*(1+'Inputs-System'!$C$41)*'Inputs-Proposals'!$D$23*'Inputs-Proposals'!$D$25*('Inputs-Proposals'!$D$20)*(VLOOKUP(CV$3,'Embedded Emissions'!$A$47:$B$78,2,FALSE)+VLOOKUP(CV$3,'Embedded Emissions'!$A$129:$B$158,2,FALSE)), $C14 = "3",'Inputs-System'!$C$30*'Coincidence Factors'!$B$8*(1+'Inputs-System'!$C$18)*(1+'Inputs-System'!$C$41)*'Inputs-Proposals'!$D$29*'Inputs-Proposals'!$D$31*('Inputs-Proposals'!$D$20)*(VLOOKUP(CV$3,'Embedded Emissions'!$A$47:$B$78,2,FALSE)+VLOOKUP(CV$3,'Embedded Emissions'!$A$129:$B$158,2,FALSE)), $C14 = "0", 0), 0)</f>
        <v>0</v>
      </c>
      <c r="CX14" s="44">
        <f>IFERROR(_xlfn.IFS($C14="1",( 'Inputs-System'!$C$30*'Coincidence Factors'!$B$8*(1+'Inputs-System'!$C$18)*(1+'Inputs-System'!$C$41))*('Inputs-Proposals'!$D$17*'Inputs-Proposals'!$D$19*('Inputs-Proposals'!$D$20))*(VLOOKUP(CV$3,DRIPE!$A$54:$I$82,5,FALSE)+VLOOKUP(CV$3,DRIPE!$A$54:$I$82,9,FALSE))+ ('Inputs-System'!$C$26*'Coincidence Factors'!$B$8*(1+'Inputs-System'!$C$18)*(1+'Inputs-System'!$C$42))*'Inputs-Proposals'!$D$16*VLOOKUP(CV$3,DRIPE!$A$54:$I$82,8,FALSE), $C14 = "2",( 'Inputs-System'!$C$30*'Coincidence Factors'!$B$8*(1+'Inputs-System'!$C$18)*(1+'Inputs-System'!$C$41))*('Inputs-Proposals'!$D$23*'Inputs-Proposals'!$D$25*('Inputs-Proposals'!$D$26))*(VLOOKUP(CV$3,DRIPE!$A$54:$I$82,5,FALSE)+VLOOKUP(CV$3,DRIPE!$A$54:$I$82,9,FALSE))+  ('Inputs-System'!$C$26*'Coincidence Factors'!$B$8*(1+'Inputs-System'!$C$18)*(1+'Inputs-System'!$C$42))*'Inputs-Proposals'!$D$22*VLOOKUP(CV$3,DRIPE!$A$54:$I$82,8,FALSE), $C14= "3", ( 'Inputs-System'!$C$30*'Coincidence Factors'!$B$8*(1+'Inputs-System'!$C$18)*(1+'Inputs-System'!$C$41))*('Inputs-Proposals'!$D$29*'Inputs-Proposals'!$D$31*('Inputs-Proposals'!$D$32))*(VLOOKUP(CV$3,DRIPE!$A$54:$I$82,5,FALSE)+VLOOKUP(CV$3,DRIPE!$A$54:$I$82,9,FALSE))+  ('Inputs-System'!$C$26*'Coincidence Factors'!$B$8*(1+'Inputs-System'!$C$18)*(1+'Inputs-System'!$C$42))*'Inputs-Proposals'!$D$28*VLOOKUP(CV$3,DRIPE!$A$54:$I$82,8,FALSE), $C14 = "0", 0), 0)</f>
        <v>0</v>
      </c>
      <c r="CY14" s="45">
        <f>IFERROR(_xlfn.IFS($C14="1",('Inputs-System'!$C$30*'Coincidence Factors'!$B$8*(1+'Inputs-System'!$C$18))*'Inputs-Proposals'!$D$16*(VLOOKUP(CV$3,Capacity!$A$53:$E$85,4,FALSE)*(1+'Inputs-System'!$C$42)+VLOOKUP(CV$3,Capacity!$A$53:$E$85,5,FALSE)*'Inputs-System'!$C$29*(1+'Inputs-System'!$C$43)), $C14 = "2", ('Inputs-System'!$C$30*'Coincidence Factors'!$B$8*(1+'Inputs-System'!$C$18))*'Inputs-Proposals'!$D$22*(VLOOKUP(CV$3,Capacity!$A$53:$E$85,4,FALSE)*(1+'Inputs-System'!$C$42)+VLOOKUP(CV$3,Capacity!$A$53:$E$85,5,FALSE)*'Inputs-System'!$C$29*(1+'Inputs-System'!$C$43)), $C14 = "3",('Inputs-System'!$C$30*'Coincidence Factors'!$B$8*(1+'Inputs-System'!$C$18))*'Inputs-Proposals'!$D$28*(VLOOKUP(CV$3,Capacity!$A$53:$E$85,4,FALSE)*(1+'Inputs-System'!$C$42)+VLOOKUP(CV$3,Capacity!$A$53:$E$85,5,FALSE)*'Inputs-System'!$C$29*(1+'Inputs-System'!$C$43)), $C14 = "0", 0), 0)</f>
        <v>0</v>
      </c>
      <c r="CZ14" s="44">
        <v>0</v>
      </c>
      <c r="DA14" s="342">
        <f>IFERROR(_xlfn.IFS($C14="1", 'Inputs-System'!$C$30*'Coincidence Factors'!$B$8*'Inputs-Proposals'!$D$17*'Inputs-Proposals'!$D$19*(VLOOKUP(CV$3,'Non-Embedded Emissions'!$A$56:$D$90,2,FALSE)+VLOOKUP(CV$3,'Non-Embedded Emissions'!$A$143:$D$174,2,FALSE)+VLOOKUP(CV$3,'Non-Embedded Emissions'!$A$230:$D$259,2,FALSE)), $C14 = "2", 'Inputs-System'!$C$30*'Coincidence Factors'!$B$8*'Inputs-Proposals'!$D$23*'Inputs-Proposals'!$D$25*(VLOOKUP(CV$3,'Non-Embedded Emissions'!$A$56:$D$90,2,FALSE)+VLOOKUP(CV$3,'Non-Embedded Emissions'!$A$143:$D$174,2,FALSE)+VLOOKUP(CV$3,'Non-Embedded Emissions'!$A$230:$D$259,2,FALSE)), $C14 = "3", 'Inputs-System'!$C$30*'Coincidence Factors'!$B$8*'Inputs-Proposals'!$D$29*'Inputs-Proposals'!$D$31*(VLOOKUP(CV$3,'Non-Embedded Emissions'!$A$56:$D$90,2,FALSE)+VLOOKUP(CV$3,'Non-Embedded Emissions'!$A$143:$D$174,2,FALSE)+VLOOKUP(CV$3,'Non-Embedded Emissions'!$A$230:$D$259,2,FALSE)), $C14 = "0", 0), 0)</f>
        <v>0</v>
      </c>
      <c r="DB14" s="45">
        <f>IFERROR(_xlfn.IFS($C14="1",('Inputs-System'!$C$30*'Coincidence Factors'!$B$8*(1+'Inputs-System'!$C$18)*(1+'Inputs-System'!$C$41)*('Inputs-Proposals'!$D$17*'Inputs-Proposals'!$D$19*('Inputs-Proposals'!$D$20))*(VLOOKUP(DB$3,Energy!$A$51:$K$83,5,FALSE))), $C14 = "2",('Inputs-System'!$C$30*'Coincidence Factors'!$B$8)*(1+'Inputs-System'!$C$18)*(1+'Inputs-System'!$C$41)*('Inputs-Proposals'!$D$23*'Inputs-Proposals'!$D$25*('Inputs-Proposals'!$D$26))*(VLOOKUP(DB$3,Energy!$A$51:$K$83,5,FALSE)), $C14= "3", ('Inputs-System'!$C$30*'Coincidence Factors'!$B$8*(1+'Inputs-System'!$C$18)*(1+'Inputs-System'!$C$41)*('Inputs-Proposals'!$D$29*'Inputs-Proposals'!$D$31*('Inputs-Proposals'!$D$32))*(VLOOKUP(DB$3,Energy!$A$51:$K$83,5,FALSE))), $C14= "0", 0), 0)</f>
        <v>0</v>
      </c>
      <c r="DC14" s="44">
        <f>IFERROR(_xlfn.IFS($C14="1",'Inputs-System'!$C$30*'Coincidence Factors'!$B$8*(1+'Inputs-System'!$C$18)*(1+'Inputs-System'!$C$41)*'Inputs-Proposals'!$D$17*'Inputs-Proposals'!$D$19*('Inputs-Proposals'!$D$20)*(VLOOKUP(DB$3,'Embedded Emissions'!$A$47:$B$78,2,FALSE)+VLOOKUP(DB$3,'Embedded Emissions'!$A$129:$B$158,2,FALSE)), $C14 = "2", 'Inputs-System'!$C$30*'Coincidence Factors'!$B$8*(1+'Inputs-System'!$C$18)*(1+'Inputs-System'!$C$41)*'Inputs-Proposals'!$D$23*'Inputs-Proposals'!$D$25*('Inputs-Proposals'!$D$20)*(VLOOKUP(DB$3,'Embedded Emissions'!$A$47:$B$78,2,FALSE)+VLOOKUP(DB$3,'Embedded Emissions'!$A$129:$B$158,2,FALSE)), $C14 = "3",'Inputs-System'!$C$30*'Coincidence Factors'!$B$8*(1+'Inputs-System'!$C$18)*(1+'Inputs-System'!$C$41)*'Inputs-Proposals'!$D$29*'Inputs-Proposals'!$D$31*('Inputs-Proposals'!$D$20)*(VLOOKUP(DB$3,'Embedded Emissions'!$A$47:$B$78,2,FALSE)+VLOOKUP(DB$3,'Embedded Emissions'!$A$129:$B$158,2,FALSE)), $C14 = "0", 0), 0)</f>
        <v>0</v>
      </c>
      <c r="DD14" s="44">
        <f>IFERROR(_xlfn.IFS($C14="1",( 'Inputs-System'!$C$30*'Coincidence Factors'!$B$8*(1+'Inputs-System'!$C$18)*(1+'Inputs-System'!$C$41))*('Inputs-Proposals'!$D$17*'Inputs-Proposals'!$D$19*('Inputs-Proposals'!$D$20))*(VLOOKUP(DB$3,DRIPE!$A$54:$I$82,5,FALSE)+VLOOKUP(DB$3,DRIPE!$A$54:$I$82,9,FALSE))+ ('Inputs-System'!$C$26*'Coincidence Factors'!$B$8*(1+'Inputs-System'!$C$18)*(1+'Inputs-System'!$C$42))*'Inputs-Proposals'!$D$16*VLOOKUP(DB$3,DRIPE!$A$54:$I$82,8,FALSE), $C14 = "2",( 'Inputs-System'!$C$30*'Coincidence Factors'!$B$8*(1+'Inputs-System'!$C$18)*(1+'Inputs-System'!$C$41))*('Inputs-Proposals'!$D$23*'Inputs-Proposals'!$D$25*('Inputs-Proposals'!$D$26))*(VLOOKUP(DB$3,DRIPE!$A$54:$I$82,5,FALSE)+VLOOKUP(DB$3,DRIPE!$A$54:$I$82,9,FALSE))+  ('Inputs-System'!$C$26*'Coincidence Factors'!$B$8*(1+'Inputs-System'!$C$18)*(1+'Inputs-System'!$C$42))*'Inputs-Proposals'!$D$22*VLOOKUP(DB$3,DRIPE!$A$54:$I$82,8,FALSE), $C14= "3", ( 'Inputs-System'!$C$30*'Coincidence Factors'!$B$8*(1+'Inputs-System'!$C$18)*(1+'Inputs-System'!$C$41))*('Inputs-Proposals'!$D$29*'Inputs-Proposals'!$D$31*('Inputs-Proposals'!$D$32))*(VLOOKUP(DB$3,DRIPE!$A$54:$I$82,5,FALSE)+VLOOKUP(DB$3,DRIPE!$A$54:$I$82,9,FALSE))+  ('Inputs-System'!$C$26*'Coincidence Factors'!$B$8*(1+'Inputs-System'!$C$18)*(1+'Inputs-System'!$C$42))*'Inputs-Proposals'!$D$28*VLOOKUP(DB$3,DRIPE!$A$54:$I$82,8,FALSE), $C14 = "0", 0), 0)</f>
        <v>0</v>
      </c>
      <c r="DE14" s="45">
        <f>IFERROR(_xlfn.IFS($C14="1",('Inputs-System'!$C$30*'Coincidence Factors'!$B$8*(1+'Inputs-System'!$C$18))*'Inputs-Proposals'!$D$16*(VLOOKUP(DB$3,Capacity!$A$53:$E$85,4,FALSE)*(1+'Inputs-System'!$C$42)+VLOOKUP(DB$3,Capacity!$A$53:$E$85,5,FALSE)*'Inputs-System'!$C$29*(1+'Inputs-System'!$C$43)), $C14 = "2", ('Inputs-System'!$C$30*'Coincidence Factors'!$B$8*(1+'Inputs-System'!$C$18))*'Inputs-Proposals'!$D$22*(VLOOKUP(DB$3,Capacity!$A$53:$E$85,4,FALSE)*(1+'Inputs-System'!$C$42)+VLOOKUP(DB$3,Capacity!$A$53:$E$85,5,FALSE)*'Inputs-System'!$C$29*(1+'Inputs-System'!$C$43)), $C14 = "3",('Inputs-System'!$C$30*'Coincidence Factors'!$B$8*(1+'Inputs-System'!$C$18))*'Inputs-Proposals'!$D$28*(VLOOKUP(DB$3,Capacity!$A$53:$E$85,4,FALSE)*(1+'Inputs-System'!$C$42)+VLOOKUP(DB$3,Capacity!$A$53:$E$85,5,FALSE)*'Inputs-System'!$C$29*(1+'Inputs-System'!$C$43)), $C14 = "0", 0), 0)</f>
        <v>0</v>
      </c>
      <c r="DF14" s="44">
        <v>0</v>
      </c>
      <c r="DG14" s="342">
        <f>IFERROR(_xlfn.IFS($C14="1", 'Inputs-System'!$C$30*'Coincidence Factors'!$B$8*'Inputs-Proposals'!$D$17*'Inputs-Proposals'!$D$19*(VLOOKUP(DB$3,'Non-Embedded Emissions'!$A$56:$D$90,2,FALSE)+VLOOKUP(DB$3,'Non-Embedded Emissions'!$A$143:$D$174,2,FALSE)+VLOOKUP(DB$3,'Non-Embedded Emissions'!$A$230:$D$259,2,FALSE)), $C14 = "2", 'Inputs-System'!$C$30*'Coincidence Factors'!$B$8*'Inputs-Proposals'!$D$23*'Inputs-Proposals'!$D$25*(VLOOKUP(DB$3,'Non-Embedded Emissions'!$A$56:$D$90,2,FALSE)+VLOOKUP(DB$3,'Non-Embedded Emissions'!$A$143:$D$174,2,FALSE)+VLOOKUP(DB$3,'Non-Embedded Emissions'!$A$230:$D$259,2,FALSE)), $C14 = "3", 'Inputs-System'!$C$30*'Coincidence Factors'!$B$8*'Inputs-Proposals'!$D$29*'Inputs-Proposals'!$D$31*(VLOOKUP(DB$3,'Non-Embedded Emissions'!$A$56:$D$90,2,FALSE)+VLOOKUP(DB$3,'Non-Embedded Emissions'!$A$143:$D$174,2,FALSE)+VLOOKUP(DB$3,'Non-Embedded Emissions'!$A$230:$D$259,2,FALSE)), $C14 = "0", 0), 0)</f>
        <v>0</v>
      </c>
      <c r="DH14" s="45">
        <f>IFERROR(_xlfn.IFS($C14="1",('Inputs-System'!$C$30*'Coincidence Factors'!$B$8*(1+'Inputs-System'!$C$18)*(1+'Inputs-System'!$C$41)*('Inputs-Proposals'!$D$17*'Inputs-Proposals'!$D$19*('Inputs-Proposals'!$D$20))*(VLOOKUP(DH$3,Energy!$A$51:$K$83,5,FALSE))), $C14 = "2",('Inputs-System'!$C$30*'Coincidence Factors'!$B$8)*(1+'Inputs-System'!$C$18)*(1+'Inputs-System'!$C$41)*('Inputs-Proposals'!$D$23*'Inputs-Proposals'!$D$25*('Inputs-Proposals'!$D$26))*(VLOOKUP(DH$3,Energy!$A$51:$K$83,5,FALSE)), $C14= "3", ('Inputs-System'!$C$30*'Coincidence Factors'!$B$8*(1+'Inputs-System'!$C$18)*(1+'Inputs-System'!$C$41)*('Inputs-Proposals'!$D$29*'Inputs-Proposals'!$D$31*('Inputs-Proposals'!$D$32))*(VLOOKUP(DH$3,Energy!$A$51:$K$83,5,FALSE))), $C14= "0", 0), 0)</f>
        <v>0</v>
      </c>
      <c r="DI14" s="44">
        <f>IFERROR(_xlfn.IFS($C14="1",'Inputs-System'!$C$30*'Coincidence Factors'!$B$8*(1+'Inputs-System'!$C$18)*(1+'Inputs-System'!$C$41)*'Inputs-Proposals'!$D$17*'Inputs-Proposals'!$D$19*('Inputs-Proposals'!$D$20)*(VLOOKUP(DH$3,'Embedded Emissions'!$A$47:$B$78,2,FALSE)+VLOOKUP(DH$3,'Embedded Emissions'!$A$129:$B$158,2,FALSE)), $C14 = "2", 'Inputs-System'!$C$30*'Coincidence Factors'!$B$8*(1+'Inputs-System'!$C$18)*(1+'Inputs-System'!$C$41)*'Inputs-Proposals'!$D$23*'Inputs-Proposals'!$D$25*('Inputs-Proposals'!$D$20)*(VLOOKUP(DH$3,'Embedded Emissions'!$A$47:$B$78,2,FALSE)+VLOOKUP(DH$3,'Embedded Emissions'!$A$129:$B$158,2,FALSE)), $C14 = "3",'Inputs-System'!$C$30*'Coincidence Factors'!$B$8*(1+'Inputs-System'!$C$18)*(1+'Inputs-System'!$C$41)*'Inputs-Proposals'!$D$29*'Inputs-Proposals'!$D$31*('Inputs-Proposals'!$D$20)*(VLOOKUP(DH$3,'Embedded Emissions'!$A$47:$B$78,2,FALSE)+VLOOKUP(DH$3,'Embedded Emissions'!$A$129:$B$158,2,FALSE)), $C14 = "0", 0), 0)</f>
        <v>0</v>
      </c>
      <c r="DJ14" s="44">
        <f>IFERROR(_xlfn.IFS($C14="1",( 'Inputs-System'!$C$30*'Coincidence Factors'!$B$8*(1+'Inputs-System'!$C$18)*(1+'Inputs-System'!$C$41))*('Inputs-Proposals'!$D$17*'Inputs-Proposals'!$D$19*('Inputs-Proposals'!$D$20))*(VLOOKUP(DH$3,DRIPE!$A$54:$I$82,5,FALSE)+VLOOKUP(DH$3,DRIPE!$A$54:$I$82,9,FALSE))+ ('Inputs-System'!$C$26*'Coincidence Factors'!$B$8*(1+'Inputs-System'!$C$18)*(1+'Inputs-System'!$C$42))*'Inputs-Proposals'!$D$16*VLOOKUP(DH$3,DRIPE!$A$54:$I$82,8,FALSE), $C14 = "2",( 'Inputs-System'!$C$30*'Coincidence Factors'!$B$8*(1+'Inputs-System'!$C$18)*(1+'Inputs-System'!$C$41))*('Inputs-Proposals'!$D$23*'Inputs-Proposals'!$D$25*('Inputs-Proposals'!$D$26))*(VLOOKUP(DH$3,DRIPE!$A$54:$I$82,5,FALSE)+VLOOKUP(DH$3,DRIPE!$A$54:$I$82,9,FALSE))+  ('Inputs-System'!$C$26*'Coincidence Factors'!$B$8*(1+'Inputs-System'!$C$18)*(1+'Inputs-System'!$C$42))*'Inputs-Proposals'!$D$22*VLOOKUP(DH$3,DRIPE!$A$54:$I$82,8,FALSE), $C14= "3", ( 'Inputs-System'!$C$30*'Coincidence Factors'!$B$8*(1+'Inputs-System'!$C$18)*(1+'Inputs-System'!$C$41))*('Inputs-Proposals'!$D$29*'Inputs-Proposals'!$D$31*('Inputs-Proposals'!$D$32))*(VLOOKUP(DH$3,DRIPE!$A$54:$I$82,5,FALSE)+VLOOKUP(DH$3,DRIPE!$A$54:$I$82,9,FALSE))+  ('Inputs-System'!$C$26*'Coincidence Factors'!$B$8*(1+'Inputs-System'!$C$18)*(1+'Inputs-System'!$C$42))*'Inputs-Proposals'!$D$28*VLOOKUP(DH$3,DRIPE!$A$54:$I$82,8,FALSE), $C14 = "0", 0), 0)</f>
        <v>0</v>
      </c>
      <c r="DK14" s="45">
        <f>IFERROR(_xlfn.IFS($C14="1",('Inputs-System'!$C$30*'Coincidence Factors'!$B$8*(1+'Inputs-System'!$C$18))*'Inputs-Proposals'!$D$16*(VLOOKUP(DH$3,Capacity!$A$53:$E$85,4,FALSE)*(1+'Inputs-System'!$C$42)+VLOOKUP(DH$3,Capacity!$A$53:$E$85,5,FALSE)*'Inputs-System'!$C$29*(1+'Inputs-System'!$C$43)), $C14 = "2", ('Inputs-System'!$C$30*'Coincidence Factors'!$B$8*(1+'Inputs-System'!$C$18))*'Inputs-Proposals'!$D$22*(VLOOKUP(DH$3,Capacity!$A$53:$E$85,4,FALSE)*(1+'Inputs-System'!$C$42)+VLOOKUP(DH$3,Capacity!$A$53:$E$85,5,FALSE)*'Inputs-System'!$C$29*(1+'Inputs-System'!$C$43)), $C14 = "3",('Inputs-System'!$C$30*'Coincidence Factors'!$B$8*(1+'Inputs-System'!$C$18))*'Inputs-Proposals'!$D$28*(VLOOKUP(DH$3,Capacity!$A$53:$E$85,4,FALSE)*(1+'Inputs-System'!$C$42)+VLOOKUP(DH$3,Capacity!$A$53:$E$85,5,FALSE)*'Inputs-System'!$C$29*(1+'Inputs-System'!$C$43)), $C14 = "0", 0), 0)</f>
        <v>0</v>
      </c>
      <c r="DL14" s="44">
        <v>0</v>
      </c>
      <c r="DM14" s="342">
        <f>IFERROR(_xlfn.IFS($C14="1", 'Inputs-System'!$C$30*'Coincidence Factors'!$B$8*'Inputs-Proposals'!$D$17*'Inputs-Proposals'!$D$19*(VLOOKUP(DH$3,'Non-Embedded Emissions'!$A$56:$D$90,2,FALSE)+VLOOKUP(DH$3,'Non-Embedded Emissions'!$A$143:$D$174,2,FALSE)+VLOOKUP(DH$3,'Non-Embedded Emissions'!$A$230:$D$259,2,FALSE)), $C14 = "2", 'Inputs-System'!$C$30*'Coincidence Factors'!$B$8*'Inputs-Proposals'!$D$23*'Inputs-Proposals'!$D$25*(VLOOKUP(DH$3,'Non-Embedded Emissions'!$A$56:$D$90,2,FALSE)+VLOOKUP(DH$3,'Non-Embedded Emissions'!$A$143:$D$174,2,FALSE)+VLOOKUP(DH$3,'Non-Embedded Emissions'!$A$230:$D$259,2,FALSE)), $C14 = "3", 'Inputs-System'!$C$30*'Coincidence Factors'!$B$8*'Inputs-Proposals'!$D$29*'Inputs-Proposals'!$D$31*(VLOOKUP(DH$3,'Non-Embedded Emissions'!$A$56:$D$90,2,FALSE)+VLOOKUP(DH$3,'Non-Embedded Emissions'!$A$143:$D$174,2,FALSE)+VLOOKUP(DH$3,'Non-Embedded Emissions'!$A$230:$D$259,2,FALSE)), $C14 = "0", 0), 0)</f>
        <v>0</v>
      </c>
      <c r="DN14" s="45">
        <f>IFERROR(_xlfn.IFS($C14="1",('Inputs-System'!$C$30*'Coincidence Factors'!$B$8*(1+'Inputs-System'!$C$18)*(1+'Inputs-System'!$C$41)*('Inputs-Proposals'!$D$17*'Inputs-Proposals'!$D$19*('Inputs-Proposals'!$D$20))*(VLOOKUP(DN$3,Energy!$A$51:$K$83,5,FALSE))), $C14 = "2",('Inputs-System'!$C$30*'Coincidence Factors'!$B$8)*(1+'Inputs-System'!$C$18)*(1+'Inputs-System'!$C$41)*('Inputs-Proposals'!$D$23*'Inputs-Proposals'!$D$25*('Inputs-Proposals'!$D$26))*(VLOOKUP(DN$3,Energy!$A$51:$K$83,5,FALSE)), $C14= "3", ('Inputs-System'!$C$30*'Coincidence Factors'!$B$8*(1+'Inputs-System'!$C$18)*(1+'Inputs-System'!$C$41)*('Inputs-Proposals'!$D$29*'Inputs-Proposals'!$D$31*('Inputs-Proposals'!$D$32))*(VLOOKUP(DN$3,Energy!$A$51:$K$83,5,FALSE))), $C14= "0", 0), 0)</f>
        <v>0</v>
      </c>
      <c r="DO14" s="44">
        <f>IFERROR(_xlfn.IFS($C14="1",'Inputs-System'!$C$30*'Coincidence Factors'!$B$8*(1+'Inputs-System'!$C$18)*(1+'Inputs-System'!$C$41)*'Inputs-Proposals'!$D$17*'Inputs-Proposals'!$D$19*('Inputs-Proposals'!$D$20)*(VLOOKUP(DN$3,'Embedded Emissions'!$A$47:$B$78,2,FALSE)+VLOOKUP(DN$3,'Embedded Emissions'!$A$129:$B$158,2,FALSE)), $C14 = "2", 'Inputs-System'!$C$30*'Coincidence Factors'!$B$8*(1+'Inputs-System'!$C$18)*(1+'Inputs-System'!$C$41)*'Inputs-Proposals'!$D$23*'Inputs-Proposals'!$D$25*('Inputs-Proposals'!$D$20)*(VLOOKUP(DN$3,'Embedded Emissions'!$A$47:$B$78,2,FALSE)+VLOOKUP(DN$3,'Embedded Emissions'!$A$129:$B$158,2,FALSE)), $C14 = "3",'Inputs-System'!$C$30*'Coincidence Factors'!$B$8*(1+'Inputs-System'!$C$18)*(1+'Inputs-System'!$C$41)*'Inputs-Proposals'!$D$29*'Inputs-Proposals'!$D$31*('Inputs-Proposals'!$D$20)*(VLOOKUP(DN$3,'Embedded Emissions'!$A$47:$B$78,2,FALSE)+VLOOKUP(DN$3,'Embedded Emissions'!$A$129:$B$158,2,FALSE)), $C14 = "0", 0), 0)</f>
        <v>0</v>
      </c>
      <c r="DP14" s="44">
        <f>IFERROR(_xlfn.IFS($C14="1",( 'Inputs-System'!$C$30*'Coincidence Factors'!$B$8*(1+'Inputs-System'!$C$18)*(1+'Inputs-System'!$C$41))*('Inputs-Proposals'!$D$17*'Inputs-Proposals'!$D$19*('Inputs-Proposals'!$D$20))*(VLOOKUP(DN$3,DRIPE!$A$54:$I$82,5,FALSE)+VLOOKUP(DN$3,DRIPE!$A$54:$I$82,9,FALSE))+ ('Inputs-System'!$C$26*'Coincidence Factors'!$B$8*(1+'Inputs-System'!$C$18)*(1+'Inputs-System'!$C$42))*'Inputs-Proposals'!$D$16*VLOOKUP(DN$3,DRIPE!$A$54:$I$82,8,FALSE), $C14 = "2",( 'Inputs-System'!$C$30*'Coincidence Factors'!$B$8*(1+'Inputs-System'!$C$18)*(1+'Inputs-System'!$C$41))*('Inputs-Proposals'!$D$23*'Inputs-Proposals'!$D$25*('Inputs-Proposals'!$D$26))*(VLOOKUP(DN$3,DRIPE!$A$54:$I$82,5,FALSE)+VLOOKUP(DN$3,DRIPE!$A$54:$I$82,9,FALSE))+  ('Inputs-System'!$C$26*'Coincidence Factors'!$B$8*(1+'Inputs-System'!$C$18)*(1+'Inputs-System'!$C$42))*'Inputs-Proposals'!$D$22*VLOOKUP(DN$3,DRIPE!$A$54:$I$82,8,FALSE), $C14= "3", ( 'Inputs-System'!$C$30*'Coincidence Factors'!$B$8*(1+'Inputs-System'!$C$18)*(1+'Inputs-System'!$C$41))*('Inputs-Proposals'!$D$29*'Inputs-Proposals'!$D$31*('Inputs-Proposals'!$D$32))*(VLOOKUP(DN$3,DRIPE!$A$54:$I$82,5,FALSE)+VLOOKUP(DN$3,DRIPE!$A$54:$I$82,9,FALSE))+  ('Inputs-System'!$C$26*'Coincidence Factors'!$B$8*(1+'Inputs-System'!$C$18)*(1+'Inputs-System'!$C$42))*'Inputs-Proposals'!$D$28*VLOOKUP(DN$3,DRIPE!$A$54:$I$82,8,FALSE), $C14 = "0", 0), 0)</f>
        <v>0</v>
      </c>
      <c r="DQ14" s="45">
        <f>IFERROR(_xlfn.IFS($C14="1",('Inputs-System'!$C$30*'Coincidence Factors'!$B$8*(1+'Inputs-System'!$C$18))*'Inputs-Proposals'!$D$16*(VLOOKUP(DN$3,Capacity!$A$53:$E$85,4,FALSE)*(1+'Inputs-System'!$C$42)+VLOOKUP(DN$3,Capacity!$A$53:$E$85,5,FALSE)*'Inputs-System'!$C$29*(1+'Inputs-System'!$C$43)), $C14 = "2", ('Inputs-System'!$C$30*'Coincidence Factors'!$B$8*(1+'Inputs-System'!$C$18))*'Inputs-Proposals'!$D$22*(VLOOKUP(DN$3,Capacity!$A$53:$E$85,4,FALSE)*(1+'Inputs-System'!$C$42)+VLOOKUP(DN$3,Capacity!$A$53:$E$85,5,FALSE)*'Inputs-System'!$C$29*(1+'Inputs-System'!$C$43)), $C14 = "3",('Inputs-System'!$C$30*'Coincidence Factors'!$B$8*(1+'Inputs-System'!$C$18))*'Inputs-Proposals'!$D$28*(VLOOKUP(DN$3,Capacity!$A$53:$E$85,4,FALSE)*(1+'Inputs-System'!$C$42)+VLOOKUP(DN$3,Capacity!$A$53:$E$85,5,FALSE)*'Inputs-System'!$C$29*(1+'Inputs-System'!$C$43)), $C14 = "0", 0), 0)</f>
        <v>0</v>
      </c>
      <c r="DR14" s="44">
        <v>0</v>
      </c>
      <c r="DS14" s="342">
        <f>IFERROR(_xlfn.IFS($C14="1", 'Inputs-System'!$C$30*'Coincidence Factors'!$B$8*'Inputs-Proposals'!$D$17*'Inputs-Proposals'!$D$19*(VLOOKUP(DN$3,'Non-Embedded Emissions'!$A$56:$D$90,2,FALSE)+VLOOKUP(DN$3,'Non-Embedded Emissions'!$A$143:$D$174,2,FALSE)+VLOOKUP(DN$3,'Non-Embedded Emissions'!$A$230:$D$259,2,FALSE)), $C14 = "2", 'Inputs-System'!$C$30*'Coincidence Factors'!$B$8*'Inputs-Proposals'!$D$23*'Inputs-Proposals'!$D$25*(VLOOKUP(DN$3,'Non-Embedded Emissions'!$A$56:$D$90,2,FALSE)+VLOOKUP(DN$3,'Non-Embedded Emissions'!$A$143:$D$174,2,FALSE)+VLOOKUP(DN$3,'Non-Embedded Emissions'!$A$230:$D$259,2,FALSE)), $C14 = "3", 'Inputs-System'!$C$30*'Coincidence Factors'!$B$8*'Inputs-Proposals'!$D$29*'Inputs-Proposals'!$D$31*(VLOOKUP(DN$3,'Non-Embedded Emissions'!$A$56:$D$90,2,FALSE)+VLOOKUP(DN$3,'Non-Embedded Emissions'!$A$143:$D$174,2,FALSE)+VLOOKUP(DN$3,'Non-Embedded Emissions'!$A$230:$D$259,2,FALSE)), $C14 = "0", 0), 0)</f>
        <v>0</v>
      </c>
      <c r="DT14" s="45">
        <f>IFERROR(_xlfn.IFS($C14="1",('Inputs-System'!$C$30*'Coincidence Factors'!$B$8*(1+'Inputs-System'!$C$18)*(1+'Inputs-System'!$C$41)*('Inputs-Proposals'!$D$17*'Inputs-Proposals'!$D$19*('Inputs-Proposals'!$D$20))*(VLOOKUP(DT$3,Energy!$A$51:$K$83,5,FALSE))), $C14 = "2",('Inputs-System'!$C$30*'Coincidence Factors'!$B$8)*(1+'Inputs-System'!$C$18)*(1+'Inputs-System'!$C$41)*('Inputs-Proposals'!$D$23*'Inputs-Proposals'!$D$25*('Inputs-Proposals'!$D$26))*(VLOOKUP(DT$3,Energy!$A$51:$K$83,5,FALSE)), $C14= "3", ('Inputs-System'!$C$30*'Coincidence Factors'!$B$8*(1+'Inputs-System'!$C$18)*(1+'Inputs-System'!$C$41)*('Inputs-Proposals'!$D$29*'Inputs-Proposals'!$D$31*('Inputs-Proposals'!$D$32))*(VLOOKUP(DT$3,Energy!$A$51:$K$83,5,FALSE))), $C14= "0", 0), 0)</f>
        <v>0</v>
      </c>
      <c r="DU14" s="44">
        <f>IFERROR(_xlfn.IFS($C14="1",'Inputs-System'!$C$30*'Coincidence Factors'!$B$8*(1+'Inputs-System'!$C$18)*(1+'Inputs-System'!$C$41)*'Inputs-Proposals'!$D$17*'Inputs-Proposals'!$D$19*('Inputs-Proposals'!$D$20)*(VLOOKUP(DT$3,'Embedded Emissions'!$A$47:$B$78,2,FALSE)+VLOOKUP(DT$3,'Embedded Emissions'!$A$129:$B$158,2,FALSE)), $C14 = "2", 'Inputs-System'!$C$30*'Coincidence Factors'!$B$8*(1+'Inputs-System'!$C$18)*(1+'Inputs-System'!$C$41)*'Inputs-Proposals'!$D$23*'Inputs-Proposals'!$D$25*('Inputs-Proposals'!$D$20)*(VLOOKUP(DT$3,'Embedded Emissions'!$A$47:$B$78,2,FALSE)+VLOOKUP(DT$3,'Embedded Emissions'!$A$129:$B$158,2,FALSE)), $C14 = "3",'Inputs-System'!$C$30*'Coincidence Factors'!$B$8*(1+'Inputs-System'!$C$18)*(1+'Inputs-System'!$C$41)*'Inputs-Proposals'!$D$29*'Inputs-Proposals'!$D$31*('Inputs-Proposals'!$D$20)*(VLOOKUP(DT$3,'Embedded Emissions'!$A$47:$B$78,2,FALSE)+VLOOKUP(DT$3,'Embedded Emissions'!$A$129:$B$158,2,FALSE)), $C14 = "0", 0), 0)</f>
        <v>0</v>
      </c>
      <c r="DV14" s="44">
        <f>IFERROR(_xlfn.IFS($C14="1",( 'Inputs-System'!$C$30*'Coincidence Factors'!$B$8*(1+'Inputs-System'!$C$18)*(1+'Inputs-System'!$C$41))*('Inputs-Proposals'!$D$17*'Inputs-Proposals'!$D$19*('Inputs-Proposals'!$D$20))*(VLOOKUP(DT$3,DRIPE!$A$54:$I$82,5,FALSE)+VLOOKUP(DT$3,DRIPE!$A$54:$I$82,9,FALSE))+ ('Inputs-System'!$C$26*'Coincidence Factors'!$B$8*(1+'Inputs-System'!$C$18)*(1+'Inputs-System'!$C$42))*'Inputs-Proposals'!$D$16*VLOOKUP(DT$3,DRIPE!$A$54:$I$82,8,FALSE), $C14 = "2",( 'Inputs-System'!$C$30*'Coincidence Factors'!$B$8*(1+'Inputs-System'!$C$18)*(1+'Inputs-System'!$C$41))*('Inputs-Proposals'!$D$23*'Inputs-Proposals'!$D$25*('Inputs-Proposals'!$D$26))*(VLOOKUP(DT$3,DRIPE!$A$54:$I$82,5,FALSE)+VLOOKUP(DT$3,DRIPE!$A$54:$I$82,9,FALSE))+  ('Inputs-System'!$C$26*'Coincidence Factors'!$B$8*(1+'Inputs-System'!$C$18)*(1+'Inputs-System'!$C$42))*'Inputs-Proposals'!$D$22*VLOOKUP(DT$3,DRIPE!$A$54:$I$82,8,FALSE), $C14= "3", ( 'Inputs-System'!$C$30*'Coincidence Factors'!$B$8*(1+'Inputs-System'!$C$18)*(1+'Inputs-System'!$C$41))*('Inputs-Proposals'!$D$29*'Inputs-Proposals'!$D$31*('Inputs-Proposals'!$D$32))*(VLOOKUP(DT$3,DRIPE!$A$54:$I$82,5,FALSE)+VLOOKUP(DT$3,DRIPE!$A$54:$I$82,9,FALSE))+  ('Inputs-System'!$C$26*'Coincidence Factors'!$B$8*(1+'Inputs-System'!$C$18)*(1+'Inputs-System'!$C$42))*'Inputs-Proposals'!$D$28*VLOOKUP(DT$3,DRIPE!$A$54:$I$82,8,FALSE), $C14 = "0", 0), 0)</f>
        <v>0</v>
      </c>
      <c r="DW14" s="45">
        <f>IFERROR(_xlfn.IFS($C14="1",('Inputs-System'!$C$30*'Coincidence Factors'!$B$8*(1+'Inputs-System'!$C$18))*'Inputs-Proposals'!$D$16*(VLOOKUP(DT$3,Capacity!$A$53:$E$85,4,FALSE)*(1+'Inputs-System'!$C$42)+VLOOKUP(DT$3,Capacity!$A$53:$E$85,5,FALSE)*'Inputs-System'!$C$29*(1+'Inputs-System'!$C$43)), $C14 = "2", ('Inputs-System'!$C$30*'Coincidence Factors'!$B$8*(1+'Inputs-System'!$C$18))*'Inputs-Proposals'!$D$22*(VLOOKUP(DT$3,Capacity!$A$53:$E$85,4,FALSE)*(1+'Inputs-System'!$C$42)+VLOOKUP(DT$3,Capacity!$A$53:$E$85,5,FALSE)*'Inputs-System'!$C$29*(1+'Inputs-System'!$C$43)), $C14 = "3",('Inputs-System'!$C$30*'Coincidence Factors'!$B$8*(1+'Inputs-System'!$C$18))*'Inputs-Proposals'!$D$28*(VLOOKUP(DT$3,Capacity!$A$53:$E$85,4,FALSE)*(1+'Inputs-System'!$C$42)+VLOOKUP(DT$3,Capacity!$A$53:$E$85,5,FALSE)*'Inputs-System'!$C$29*(1+'Inputs-System'!$C$43)), $C14 = "0", 0), 0)</f>
        <v>0</v>
      </c>
      <c r="DX14" s="44">
        <v>0</v>
      </c>
      <c r="DY14" s="342">
        <f>IFERROR(_xlfn.IFS($C14="1", 'Inputs-System'!$C$30*'Coincidence Factors'!$B$8*'Inputs-Proposals'!$D$17*'Inputs-Proposals'!$D$19*(VLOOKUP(DT$3,'Non-Embedded Emissions'!$A$56:$D$90,2,FALSE)+VLOOKUP(DT$3,'Non-Embedded Emissions'!$A$143:$D$174,2,FALSE)+VLOOKUP(DT$3,'Non-Embedded Emissions'!$A$230:$D$259,2,FALSE)), $C14 = "2", 'Inputs-System'!$C$30*'Coincidence Factors'!$B$8*'Inputs-Proposals'!$D$23*'Inputs-Proposals'!$D$25*(VLOOKUP(DT$3,'Non-Embedded Emissions'!$A$56:$D$90,2,FALSE)+VLOOKUP(DT$3,'Non-Embedded Emissions'!$A$143:$D$174,2,FALSE)+VLOOKUP(DT$3,'Non-Embedded Emissions'!$A$230:$D$259,2,FALSE)), $C14 = "3", 'Inputs-System'!$C$30*'Coincidence Factors'!$B$8*'Inputs-Proposals'!$D$29*'Inputs-Proposals'!$D$31*(VLOOKUP(DT$3,'Non-Embedded Emissions'!$A$56:$D$90,2,FALSE)+VLOOKUP(DT$3,'Non-Embedded Emissions'!$A$143:$D$174,2,FALSE)+VLOOKUP(DT$3,'Non-Embedded Emissions'!$A$230:$D$259,2,FALSE)), $C14 = "0", 0), 0)</f>
        <v>0</v>
      </c>
      <c r="DZ14" s="45">
        <f>IFERROR(_xlfn.IFS($C14="1",('Inputs-System'!$C$30*'Coincidence Factors'!$B$8*(1+'Inputs-System'!$C$18)*(1+'Inputs-System'!$C$41)*('Inputs-Proposals'!$D$17*'Inputs-Proposals'!$D$19*('Inputs-Proposals'!$D$20))*(VLOOKUP(DZ$3,Energy!$A$51:$K$83,5,FALSE))), $C14 = "2",('Inputs-System'!$C$30*'Coincidence Factors'!$B$8)*(1+'Inputs-System'!$C$18)*(1+'Inputs-System'!$C$41)*('Inputs-Proposals'!$D$23*'Inputs-Proposals'!$D$25*('Inputs-Proposals'!$D$26))*(VLOOKUP(DZ$3,Energy!$A$51:$K$83,5,FALSE)), $C14= "3", ('Inputs-System'!$C$30*'Coincidence Factors'!$B$8*(1+'Inputs-System'!$C$18)*(1+'Inputs-System'!$C$41)*('Inputs-Proposals'!$D$29*'Inputs-Proposals'!$D$31*('Inputs-Proposals'!$D$32))*(VLOOKUP(DZ$3,Energy!$A$51:$K$83,5,FALSE))), $C14= "0", 0), 0)</f>
        <v>0</v>
      </c>
      <c r="EA14" s="44">
        <f>IFERROR(_xlfn.IFS($C14="1",'Inputs-System'!$C$30*'Coincidence Factors'!$B$8*(1+'Inputs-System'!$C$18)*(1+'Inputs-System'!$C$41)*'Inputs-Proposals'!$D$17*'Inputs-Proposals'!$D$19*('Inputs-Proposals'!$D$20)*(VLOOKUP(DZ$3,'Embedded Emissions'!$A$47:$B$78,2,FALSE)+VLOOKUP(DZ$3,'Embedded Emissions'!$A$129:$B$158,2,FALSE)), $C14 = "2", 'Inputs-System'!$C$30*'Coincidence Factors'!$B$8*(1+'Inputs-System'!$C$18)*(1+'Inputs-System'!$C$41)*'Inputs-Proposals'!$D$23*'Inputs-Proposals'!$D$25*('Inputs-Proposals'!$D$20)*(VLOOKUP(DZ$3,'Embedded Emissions'!$A$47:$B$78,2,FALSE)+VLOOKUP(DZ$3,'Embedded Emissions'!$A$129:$B$158,2,FALSE)), $C14 = "3",'Inputs-System'!$C$30*'Coincidence Factors'!$B$8*(1+'Inputs-System'!$C$18)*(1+'Inputs-System'!$C$41)*'Inputs-Proposals'!$D$29*'Inputs-Proposals'!$D$31*('Inputs-Proposals'!$D$20)*(VLOOKUP(DZ$3,'Embedded Emissions'!$A$47:$B$78,2,FALSE)+VLOOKUP(DZ$3,'Embedded Emissions'!$A$129:$B$158,2,FALSE)), $C14 = "0", 0), 0)</f>
        <v>0</v>
      </c>
      <c r="EB14" s="44">
        <f>IFERROR(_xlfn.IFS($C14="1",( 'Inputs-System'!$C$30*'Coincidence Factors'!$B$8*(1+'Inputs-System'!$C$18)*(1+'Inputs-System'!$C$41))*('Inputs-Proposals'!$D$17*'Inputs-Proposals'!$D$19*('Inputs-Proposals'!$D$20))*(VLOOKUP(DZ$3,DRIPE!$A$54:$I$82,5,FALSE)+VLOOKUP(DZ$3,DRIPE!$A$54:$I$82,9,FALSE))+ ('Inputs-System'!$C$26*'Coincidence Factors'!$B$8*(1+'Inputs-System'!$C$18)*(1+'Inputs-System'!$C$42))*'Inputs-Proposals'!$D$16*VLOOKUP(DZ$3,DRIPE!$A$54:$I$82,8,FALSE), $C14 = "2",( 'Inputs-System'!$C$30*'Coincidence Factors'!$B$8*(1+'Inputs-System'!$C$18)*(1+'Inputs-System'!$C$41))*('Inputs-Proposals'!$D$23*'Inputs-Proposals'!$D$25*('Inputs-Proposals'!$D$26))*(VLOOKUP(DZ$3,DRIPE!$A$54:$I$82,5,FALSE)+VLOOKUP(DZ$3,DRIPE!$A$54:$I$82,9,FALSE))+  ('Inputs-System'!$C$26*'Coincidence Factors'!$B$8*(1+'Inputs-System'!$C$18)*(1+'Inputs-System'!$C$42))*'Inputs-Proposals'!$D$22*VLOOKUP(DZ$3,DRIPE!$A$54:$I$82,8,FALSE), $C14= "3", ( 'Inputs-System'!$C$30*'Coincidence Factors'!$B$8*(1+'Inputs-System'!$C$18)*(1+'Inputs-System'!$C$41))*('Inputs-Proposals'!$D$29*'Inputs-Proposals'!$D$31*('Inputs-Proposals'!$D$32))*(VLOOKUP(DZ$3,DRIPE!$A$54:$I$82,5,FALSE)+VLOOKUP(DZ$3,DRIPE!$A$54:$I$82,9,FALSE))+  ('Inputs-System'!$C$26*'Coincidence Factors'!$B$8*(1+'Inputs-System'!$C$18)*(1+'Inputs-System'!$C$42))*'Inputs-Proposals'!$D$28*VLOOKUP(DZ$3,DRIPE!$A$54:$I$82,8,FALSE), $C14 = "0", 0), 0)</f>
        <v>0</v>
      </c>
      <c r="EC14" s="45">
        <f>IFERROR(_xlfn.IFS($C14="1",('Inputs-System'!$C$30*'Coincidence Factors'!$B$8*(1+'Inputs-System'!$C$18))*'Inputs-Proposals'!$D$16*(VLOOKUP(DZ$3,Capacity!$A$53:$E$85,4,FALSE)*(1+'Inputs-System'!$C$42)+VLOOKUP(DZ$3,Capacity!$A$53:$E$85,5,FALSE)*'Inputs-System'!$C$29*(1+'Inputs-System'!$C$43)), $C14 = "2", ('Inputs-System'!$C$30*'Coincidence Factors'!$B$8*(1+'Inputs-System'!$C$18))*'Inputs-Proposals'!$D$22*(VLOOKUP(DZ$3,Capacity!$A$53:$E$85,4,FALSE)*(1+'Inputs-System'!$C$42)+VLOOKUP(DZ$3,Capacity!$A$53:$E$85,5,FALSE)*'Inputs-System'!$C$29*(1+'Inputs-System'!$C$43)), $C14 = "3",('Inputs-System'!$C$30*'Coincidence Factors'!$B$8*(1+'Inputs-System'!$C$18))*'Inputs-Proposals'!$D$28*(VLOOKUP(DZ$3,Capacity!$A$53:$E$85,4,FALSE)*(1+'Inputs-System'!$C$42)+VLOOKUP(DZ$3,Capacity!$A$53:$E$85,5,FALSE)*'Inputs-System'!$C$29*(1+'Inputs-System'!$C$43)), $C14 = "0", 0), 0)</f>
        <v>0</v>
      </c>
      <c r="ED14" s="44">
        <v>0</v>
      </c>
      <c r="EE14" s="342">
        <f>IFERROR(_xlfn.IFS($C14="1", 'Inputs-System'!$C$30*'Coincidence Factors'!$B$8*'Inputs-Proposals'!$D$17*'Inputs-Proposals'!$D$19*(VLOOKUP(DZ$3,'Non-Embedded Emissions'!$A$56:$D$90,2,FALSE)+VLOOKUP(DZ$3,'Non-Embedded Emissions'!$A$143:$D$174,2,FALSE)+VLOOKUP(DZ$3,'Non-Embedded Emissions'!$A$230:$D$259,2,FALSE)), $C14 = "2", 'Inputs-System'!$C$30*'Coincidence Factors'!$B$8*'Inputs-Proposals'!$D$23*'Inputs-Proposals'!$D$25*(VLOOKUP(DZ$3,'Non-Embedded Emissions'!$A$56:$D$90,2,FALSE)+VLOOKUP(DZ$3,'Non-Embedded Emissions'!$A$143:$D$174,2,FALSE)+VLOOKUP(DZ$3,'Non-Embedded Emissions'!$A$230:$D$259,2,FALSE)), $C14 = "3", 'Inputs-System'!$C$30*'Coincidence Factors'!$B$8*'Inputs-Proposals'!$D$29*'Inputs-Proposals'!$D$31*(VLOOKUP(DZ$3,'Non-Embedded Emissions'!$A$56:$D$90,2,FALSE)+VLOOKUP(DZ$3,'Non-Embedded Emissions'!$A$143:$D$174,2,FALSE)+VLOOKUP(DZ$3,'Non-Embedded Emissions'!$A$230:$D$259,2,FALSE)), $C14 = "0", 0), 0)</f>
        <v>0</v>
      </c>
    </row>
    <row r="15" spans="1:135" x14ac:dyDescent="0.35">
      <c r="A15" s="708"/>
      <c r="B15" s="3" t="str">
        <f>B9</f>
        <v>Diesel GenSet</v>
      </c>
      <c r="C15" s="3" t="str">
        <f>IFERROR(_xlfn.IFS('Benefits Calc'!B15='Inputs-Proposals'!$D$15, "1", 'Benefits Calc'!B15='Inputs-Proposals'!$D$21, "2", 'Benefits Calc'!B15='Inputs-Proposals'!$D$27, "3"), "0")</f>
        <v>0</v>
      </c>
      <c r="D15" s="323">
        <f t="shared" ref="D15:D16" si="12">P15+V15+AB15+AH15+AN15+AT15+AZ15+BF15+BL15+BR15+BX15+CD15+CJ15+CP15+CV15+DB15+DH15+DN15+DT15+DZ15</f>
        <v>0</v>
      </c>
      <c r="E15" s="44">
        <f t="shared" ref="E15:E16" si="13">Q15+W15+AC15+AI15+AO15+AU15+BA15+BG15+BM15+BS15+BY15+CE15+CK15+CQ15+CW15+DC15+DI15+DO15+DU15+EA15</f>
        <v>0</v>
      </c>
      <c r="F15" s="44">
        <f t="shared" ref="F15:F16" si="14">R15+X15+AD15+AJ15+AP15+AV15+BB15+BH15+BN15+BT15+BZ15+CF15+CL15+CR15+CX15+DD15+DJ15+DP15+DV15+EB15</f>
        <v>0</v>
      </c>
      <c r="G15" s="44">
        <f t="shared" ref="G15:G16" si="15">S15+Y15+AE15+AK15+AQ15+AW15+BC15+BI15+BO15+BU15+CA15+CG15+CM15+CS15+CY15+DE15+DK15+DQ15+DW15+EC15</f>
        <v>0</v>
      </c>
      <c r="H15" s="44">
        <f t="shared" ref="H15:H16" si="16">T15+Z15+AF15+AL15+AR15+AX15+BD15+BJ15+BP15+BV15+CB15+CH15+CN15+CT15+CZ15+DF15+DL15+DR15+DX15+ED15</f>
        <v>0</v>
      </c>
      <c r="I15" s="44">
        <f t="shared" ref="I15:I16" si="17">U15+AA15+AG15+AM15+AS15+AY15+BE15+BK15+BQ15+BW15+CC15+CI15+CO15+CU15+DA15+DG15+DM15+DS15+DY15+EE15</f>
        <v>0</v>
      </c>
      <c r="J15" s="323">
        <f>NPV('Inputs-System'!$C$20,P15+V15+AB15+AH15+AN15+AT15+AZ15+BF15+BL15+BR15+BX15+CD15+CJ15+CP15+CV15+DB15+DH15+DN15+DT15+DZ15)</f>
        <v>0</v>
      </c>
      <c r="K15" s="44">
        <f>NPV('Inputs-System'!$C$20,Q15+W15+AC15+AI15+AO15+AU15+BA15+BG15+BM15+BS15+BY15+CE15+CK15+CQ15+CW15+DC15+DI15+DO15+DU15+EA15)</f>
        <v>0</v>
      </c>
      <c r="L15" s="44">
        <f>NPV('Inputs-System'!$C$20,R15+X15+AD15+AJ15+AP15+AV15+BB15+BH15+BN15+BT15+BZ15+CF15+CL15+CR15+CX15+DD15+DJ15+DP15+DV15+EB15)</f>
        <v>0</v>
      </c>
      <c r="M15" s="44">
        <f>NPV('Inputs-System'!$C$20,S15+Y15+AE15+AK15+AQ15+AW15+BC15+BI15+BO15+BU15+CA15+CG15+CM15+CS15+CY15+DE15+DK15+DQ15+DW15+EC15)</f>
        <v>0</v>
      </c>
      <c r="N15" s="44">
        <f>NPV('Inputs-System'!$C$20,T15+Z15+AF15+AL15+AR15+AX15+BD15+BJ15+BP15+BV15+CB15+CH15+CN15+CT15+CZ15+DF15+DL15+DR15+DX15+ED15)</f>
        <v>0</v>
      </c>
      <c r="O15" s="44">
        <f>NPV('Inputs-System'!$C$20,U15+AA15+AG15+AM15+AS15+AY15+BE15+BK15+BQ15+BW15+CC15+CI15+CO15+CU15+DA15+DG15+DM15+DS15+DY15+EE15)</f>
        <v>0</v>
      </c>
      <c r="P15" s="366">
        <f>IFERROR(_xlfn.IFS($C15="1",('Inputs-System'!$C$30*'Coincidence Factors'!$B$9*(1+'Inputs-System'!$C$18)*(1+'Inputs-System'!$C$41)*('Inputs-Proposals'!$D$17*'Inputs-Proposals'!$D$19*(1-'Inputs-Proposals'!$D$20^(P$3-'Inputs-System'!$C$7+1)))*(VLOOKUP(P$3,Energy!$A$51:$K$83,5,FALSE))), $C15 = "2",('Inputs-System'!$C$30*'Coincidence Factors'!$B$9)*(1+'Inputs-System'!$C$18)*(1+'Inputs-System'!$C$41)*('Inputs-Proposals'!$D$23*'Inputs-Proposals'!$D$25*(1-'Inputs-Proposals'!$D$26^(P$3-'Inputs-System'!$C$7+1)))*(VLOOKUP(P$3,Energy!$A$51:$K$83,5,FALSE)), $C15= "3", ('Inputs-System'!$C$30*'Coincidence Factors'!$B$9*(1+'Inputs-System'!$C$18)*(1+'Inputs-System'!$C$41)*('Inputs-Proposals'!$D$29*'Inputs-Proposals'!$D$31*(1-'Inputs-Proposals'!$D$32^(P$3-'Inputs-System'!$C$7+1)))*(VLOOKUP(P$3,Energy!$A$51:$K$83,5,FALSE))), $C15= "0", 0), 0)</f>
        <v>0</v>
      </c>
      <c r="Q15" s="44">
        <f>IFERROR(_xlfn.IFS($C15="1",('Inputs-System'!$C$30*'Coincidence Factors'!$B$9*(1+'Inputs-System'!$C$18)*(1+'Inputs-System'!$C$41))*'Inputs-Proposals'!$D$17*'Inputs-Proposals'!$D$19*(1-'Inputs-Proposals'!$D$20^(P$3-'Inputs-System'!$C$7+1))*(VLOOKUP(P$3,'Embedded Emissions'!$A$47:$B$78,2,FALSE)+VLOOKUP(P$3,'Embedded Emissions'!$A$129:$B$158,2,FALSE)), $C15 = "2",('Inputs-System'!$C$30*'Coincidence Factors'!$B$9*(1+'Inputs-System'!$C$18)*(1+'Inputs-System'!$C$41))*'Inputs-Proposals'!$D$23*'Inputs-Proposals'!$D$25*(1-'Inputs-Proposals'!$D$20^(P$3-'Inputs-System'!$C$7+1))*(VLOOKUP(P$3,'Embedded Emissions'!$A$47:$B$78,2,FALSE)+VLOOKUP(P$3,'Embedded Emissions'!$A$129:$B$158,2,FALSE)), $C15 = "3", ('Inputs-System'!$C$30*'Coincidence Factors'!$B$9*(1+'Inputs-System'!$C$18)*(1+'Inputs-System'!$C$41))*'Inputs-Proposals'!$D$29*'Inputs-Proposals'!$D$31*(1-'Inputs-Proposals'!$D$20^(P$3-'Inputs-System'!$C$7+1))*(VLOOKUP(P$3,'Embedded Emissions'!$A$47:$B$78,2,FALSE)+VLOOKUP(P$3,'Embedded Emissions'!$A$129:$B$158,2,FALSE)), $C15 = "0", 0), 0)</f>
        <v>0</v>
      </c>
      <c r="R15" s="44">
        <f>IFERROR(_xlfn.IFS($C15="1",( 'Inputs-System'!$C$30*'Coincidence Factors'!$B$9*(1+'Inputs-System'!$C$18)*(1+'Inputs-System'!$C$41))*('Inputs-Proposals'!$D$17*'Inputs-Proposals'!$D$19*(1-'Inputs-Proposals'!$D$20)^(P$3-'Inputs-System'!$C$7))*(VLOOKUP(P$3,DRIPE!$A$54:$I$82,5,FALSE)+VLOOKUP(P$3,DRIPE!$A$54:$I$82,9,FALSE))+ ('Inputs-System'!$C$26*'Coincidence Factors'!$B$6*(1+'Inputs-System'!$C$18)*(1+'Inputs-System'!$C$42))*'Inputs-Proposals'!$D$16*VLOOKUP(P$3,DRIPE!$A$54:$I$82,8,FALSE), $C15 = "2",( 'Inputs-System'!$C$30*'Coincidence Factors'!$B$9*(1+'Inputs-System'!$C$18)*(1+'Inputs-System'!$C$41))*('Inputs-Proposals'!$D$23*'Inputs-Proposals'!$D$25*(1-'Inputs-Proposals'!$D$26)^(P$3-'Inputs-System'!$C$7))*(VLOOKUP(P$3,DRIPE!$A$54:$I$82,5,FALSE)+VLOOKUP(P$3,DRIPE!$A$54:$I$82,9,FALSE))+ ('Inputs-System'!$C$26*'Coincidence Factors'!$B$6*(1+'Inputs-System'!$C$18)*(1+'Inputs-System'!$C$42))*'Inputs-Proposals'!$D$22*VLOOKUP(P$3,DRIPE!$A$54:$I$82,8,FALSE), $C15= "3", ( 'Inputs-System'!$C$30*'Coincidence Factors'!$B$9*(1+'Inputs-System'!$C$18)*(1+'Inputs-System'!$C$41))*('Inputs-Proposals'!$D$29*'Inputs-Proposals'!$D$31*(1-'Inputs-Proposals'!$D$32)^(P$3-'Inputs-System'!$C$7))*(VLOOKUP(P$3,DRIPE!$A$54:$I$82,5,FALSE)+VLOOKUP(P$3,DRIPE!$A$54:$I$82,9,FALSE))+ ('Inputs-System'!$C$26*'Coincidence Factors'!$B$6*(1+'Inputs-System'!$C$18)*(1+'Inputs-System'!$C$42))*'Inputs-Proposals'!$D$28*VLOOKUP(P$3,DRIPE!$A$54:$I$82,8,FALSE), $C15 = "0", 0), 0)</f>
        <v>0</v>
      </c>
      <c r="S15" s="45">
        <f>IFERROR(_xlfn.IFS($C15="1",('Inputs-System'!$C$26*'Coincidence Factors'!$B$9*(1+'Inputs-System'!$C$18)*(1+'Inputs-System'!$C$42))*'Inputs-Proposals'!$D$16*(VLOOKUP(P$3,Capacity!$A$53:$E$85,4,FALSE)*(1+'Inputs-System'!$C$42)+VLOOKUP(P$3,Capacity!$A$53:$E$85,5,FALSE)*(1+'Inputs-System'!$C$43)*'Inputs-System'!$C$29), $C15 = "2", ('Inputs-System'!$C$26*'Coincidence Factors'!$B$9*(1+'Inputs-System'!$C$18))*'Inputs-Proposals'!$D$22*(VLOOKUP(P$3,Capacity!$A$53:$E$85,4,FALSE)*(1+'Inputs-System'!$C$42)+VLOOKUP(P$3,Capacity!$A$53:$E$85,5,FALSE)*'Inputs-System'!$C$29*(1+'Inputs-System'!$C$43)), $C15 = "3", ('Inputs-System'!$C$26*'Coincidence Factors'!$B$9*(1+'Inputs-System'!$C$18))*'Inputs-Proposals'!$D$28*(VLOOKUP(P$3,Capacity!$A$53:$E$85,4,FALSE)*(1+'Inputs-System'!$C$42)+VLOOKUP(P$3,Capacity!$A$53:$E$85,5,FALSE)*'Inputs-System'!$C$29*(1+'Inputs-System'!$C$43)), $C15 = "0", 0), 0)</f>
        <v>0</v>
      </c>
      <c r="T15" s="44">
        <v>0</v>
      </c>
      <c r="U15" s="342">
        <f>IFERROR(_xlfn.IFS($C15="1", 'Inputs-System'!$C$30*'Coincidence Factors'!$B$9*'Inputs-Proposals'!$D$17*'Inputs-Proposals'!$D$19*(VLOOKUP(P$3,'Non-Embedded Emissions'!$A$56:$D$90,2,FALSE)-VLOOKUP(P$3,'Non-Embedded Emissions'!$F$57:$H$88,2,FALSE)+VLOOKUP(P$3,'Non-Embedded Emissions'!$A$143:$D$174,2,FALSE)-VLOOKUP(P$3,'Non-Embedded Emissions'!$F$143:$H$174,2,FALSE)+VLOOKUP(P$3,'Non-Embedded Emissions'!$A$230:$D$259,2,FALSE)), $C15 = "2", 'Inputs-System'!$C$30*'Coincidence Factors'!$B$9*'Inputs-Proposals'!$D$23*'Inputs-Proposals'!$D$25*(VLOOKUP(P$3,'Non-Embedded Emissions'!$A$56:$D$90,2,FALSE)-VLOOKUP(P$3,'Non-Embedded Emissions'!$F$57:$H$88,2,FALSE)+VLOOKUP(P$3,'Non-Embedded Emissions'!$A$143:$D$174,2,FALSE)-VLOOKUP(P$3,'Non-Embedded Emissions'!$F$143:$H$174,2,FALSE)+VLOOKUP(P$3,'Non-Embedded Emissions'!$A$230:$D$259,2,FALSE)), $C15 = "3", 'Inputs-System'!$C$30*'Coincidence Factors'!$B$9*'Inputs-Proposals'!$D$29*'Inputs-Proposals'!$D$31*(VLOOKUP(P$3,'Non-Embedded Emissions'!$A$56:$D$90,2,FALSE)-VLOOKUP(P$3,'Non-Embedded Emissions'!$F$57:$H$88,2,FALSE)+VLOOKUP(P$3,'Non-Embedded Emissions'!$A$143:$D$174,2,FALSE)-VLOOKUP(P$3,'Non-Embedded Emissions'!$F$143:$H$174,2,FALSE)+VLOOKUP(P$3,'Non-Embedded Emissions'!$A$230:$D$259,2,FALSE)), $C15 = "0", 0), 0)</f>
        <v>0</v>
      </c>
      <c r="V15" s="45">
        <f>IFERROR(_xlfn.IFS($C15="1",('Inputs-System'!$C$30*'Coincidence Factors'!$B$9*(1+'Inputs-System'!$C$18)*(1+'Inputs-System'!$C$41)*('Inputs-Proposals'!$D$17*'Inputs-Proposals'!$D$19*(1-'Inputs-Proposals'!$D$20^(V$3-'Inputs-System'!$C$7)))*(VLOOKUP(V$3,Energy!$A$51:$K$83,5,FALSE))), $C15 = "2",('Inputs-System'!$C$30*'Coincidence Factors'!$B$9)*(1+'Inputs-System'!$C$18)*(1+'Inputs-System'!$C$41)*('Inputs-Proposals'!$D$23*'Inputs-Proposals'!$D$25*(1-'Inputs-Proposals'!$D$26^(V$3-'Inputs-System'!$C$7)))*(VLOOKUP(V$3,Energy!$A$51:$K$83,5,FALSE)), $C15= "3", ('Inputs-System'!$C$30*'Coincidence Factors'!$B$9*(1+'Inputs-System'!$C$18)*(1+'Inputs-System'!$C$41)*('Inputs-Proposals'!$D$29*'Inputs-Proposals'!$D$31*(1-'Inputs-Proposals'!$D$32^(V$3-'Inputs-System'!$C$7)))*(VLOOKUP(V$3,Energy!$A$51:$K$83,5,FALSE))), $C15= "0", 0), 0)</f>
        <v>0</v>
      </c>
      <c r="W15" s="44">
        <f>IFERROR(_xlfn.IFS($C15="1",('Inputs-System'!$C$30*'Coincidence Factors'!$B$9*(1+'Inputs-System'!$C$18)*(1+'Inputs-System'!$C$41))*'Inputs-Proposals'!$D$17*'Inputs-Proposals'!$D$19*(1-'Inputs-Proposals'!$D$20^(V$3-'Inputs-System'!$C$7))*(VLOOKUP(V$3,'Embedded Emissions'!$A$47:$B$78,2,FALSE)+VLOOKUP(V$3,'Embedded Emissions'!$A$129:$B$158,2,FALSE)), $C15 = "2",('Inputs-System'!$C$30*'Coincidence Factors'!$B$9*(1+'Inputs-System'!$C$18)*(1+'Inputs-System'!$C$41))*'Inputs-Proposals'!$D$23*'Inputs-Proposals'!$D$25*(1-'Inputs-Proposals'!$D$20^(V$3-'Inputs-System'!$C$7))*(VLOOKUP(V$3,'Embedded Emissions'!$A$47:$B$78,2,FALSE)+VLOOKUP(V$3,'Embedded Emissions'!$A$129:$B$158,2,FALSE)), $C15 = "3", ('Inputs-System'!$C$30*'Coincidence Factors'!$B$9*(1+'Inputs-System'!$C$18)*(1+'Inputs-System'!$C$41))*'Inputs-Proposals'!$D$29*'Inputs-Proposals'!$D$31*(1-'Inputs-Proposals'!$D$20^(V$3-'Inputs-System'!$C$7))*(VLOOKUP(V$3,'Embedded Emissions'!$A$47:$B$78,2,FALSE)+VLOOKUP(V$3,'Embedded Emissions'!$A$129:$B$158,2,FALSE)), $C15 = "0", 0), 0)</f>
        <v>0</v>
      </c>
      <c r="X15" s="44">
        <f>IFERROR(_xlfn.IFS($C15="1",( 'Inputs-System'!$C$30*'Coincidence Factors'!$B$9*(1+'Inputs-System'!$C$18)*(1+'Inputs-System'!$C$41))*('Inputs-Proposals'!$D$17*'Inputs-Proposals'!$D$19*(1-'Inputs-Proposals'!$D$20)^(V$3-'Inputs-System'!$C$7))*(VLOOKUP(V$3,DRIPE!$A$54:$I$82,5,FALSE)+VLOOKUP(V$3,DRIPE!$A$54:$I$82,9,FALSE))+ ('Inputs-System'!$C$26*'Coincidence Factors'!$B$6*(1+'Inputs-System'!$C$18)*(1+'Inputs-System'!$C$42))*'Inputs-Proposals'!$D$16*VLOOKUP(V$3,DRIPE!$A$54:$I$82,8,FALSE), $C15 = "2",( 'Inputs-System'!$C$30*'Coincidence Factors'!$B$9*(1+'Inputs-System'!$C$18)*(1+'Inputs-System'!$C$41))*('Inputs-Proposals'!$D$23*'Inputs-Proposals'!$D$25*(1-'Inputs-Proposals'!$D$26)^(V$3-'Inputs-System'!$C$7))*(VLOOKUP(V$3,DRIPE!$A$54:$I$82,5,FALSE)+VLOOKUP(V$3,DRIPE!$A$54:$I$82,9,FALSE))+ ('Inputs-System'!$C$26*'Coincidence Factors'!$B$6*(1+'Inputs-System'!$C$18)*(1+'Inputs-System'!$C$42))*'Inputs-Proposals'!$D$22*VLOOKUP(V$3,DRIPE!$A$54:$I$82,8,FALSE), $C15= "3", ( 'Inputs-System'!$C$30*'Coincidence Factors'!$B$9*(1+'Inputs-System'!$C$18)*(1+'Inputs-System'!$C$41))*('Inputs-Proposals'!$D$29*'Inputs-Proposals'!$D$31*(1-'Inputs-Proposals'!$D$32)^(V$3-'Inputs-System'!$C$7))*(VLOOKUP(V$3,DRIPE!$A$54:$I$82,5,FALSE)+VLOOKUP(V$3,DRIPE!$A$54:$I$82,9,FALSE))+ ('Inputs-System'!$C$26*'Coincidence Factors'!$B$6*(1+'Inputs-System'!$C$18)*(1+'Inputs-System'!$C$42))*'Inputs-Proposals'!$D$28*VLOOKUP(V$3,DRIPE!$A$54:$I$82,8,FALSE), $C15 = "0", 0), 0)</f>
        <v>0</v>
      </c>
      <c r="Y15" s="45">
        <f>IFERROR(_xlfn.IFS($C15="1",('Inputs-System'!$C$26*'Coincidence Factors'!$B$9*(1+'Inputs-System'!$C$18)*(1+'Inputs-System'!$C$42))*'Inputs-Proposals'!$D$16*(VLOOKUP(V$3,Capacity!$A$53:$E$85,4,FALSE)*(1+'Inputs-System'!$C$42)+VLOOKUP(V$3,Capacity!$A$53:$E$85,5,FALSE)*(1+'Inputs-System'!$C$43)*'Inputs-System'!$C$29), $C15 = "2", ('Inputs-System'!$C$26*'Coincidence Factors'!$B$9*(1+'Inputs-System'!$C$18))*'Inputs-Proposals'!$D$22*(VLOOKUP(V$3,Capacity!$A$53:$E$85,4,FALSE)*(1+'Inputs-System'!$C$42)+VLOOKUP(V$3,Capacity!$A$53:$E$85,5,FALSE)*'Inputs-System'!$C$29*(1+'Inputs-System'!$C$43)), $C15 = "3", ('Inputs-System'!$C$26*'Coincidence Factors'!$B$9*(1+'Inputs-System'!$C$18))*'Inputs-Proposals'!$D$28*(VLOOKUP(V$3,Capacity!$A$53:$E$85,4,FALSE)*(1+'Inputs-System'!$C$42)+VLOOKUP(V$3,Capacity!$A$53:$E$85,5,FALSE)*'Inputs-System'!$C$29*(1+'Inputs-System'!$C$43)), $C15 = "0", 0), 0)</f>
        <v>0</v>
      </c>
      <c r="Z15" s="44">
        <v>0</v>
      </c>
      <c r="AA15" s="342">
        <f>IFERROR(_xlfn.IFS($C15="1", 'Inputs-System'!$C$30*'Coincidence Factors'!$B$9*'Inputs-Proposals'!$D$17*'Inputs-Proposals'!$D$19*(VLOOKUP(V$3,'Non-Embedded Emissions'!$A$56:$D$90,2,FALSE)-VLOOKUP(V$3,'Non-Embedded Emissions'!$F$57:$H$88,2,FALSE)+VLOOKUP(V$3,'Non-Embedded Emissions'!$A$143:$D$174,2,FALSE)-VLOOKUP(V$3,'Non-Embedded Emissions'!$F$143:$H$174,2,FALSE)+VLOOKUP(V$3,'Non-Embedded Emissions'!$A$230:$D$259,2,FALSE)), $C15 = "2", 'Inputs-System'!$C$30*'Coincidence Factors'!$B$9*'Inputs-Proposals'!$D$23*'Inputs-Proposals'!$D$25*(VLOOKUP(V$3,'Non-Embedded Emissions'!$A$56:$D$90,2,FALSE)-VLOOKUP(V$3,'Non-Embedded Emissions'!$F$57:$H$88,2,FALSE)+VLOOKUP(V$3,'Non-Embedded Emissions'!$A$143:$D$174,2,FALSE)-VLOOKUP(V$3,'Non-Embedded Emissions'!$F$143:$H$174,2,FALSE)+VLOOKUP(V$3,'Non-Embedded Emissions'!$A$230:$D$259,2,FALSE)), $C15 = "3", 'Inputs-System'!$C$30*'Coincidence Factors'!$B$9*'Inputs-Proposals'!$D$29*'Inputs-Proposals'!$D$31*(VLOOKUP(V$3,'Non-Embedded Emissions'!$A$56:$D$90,2,FALSE)-VLOOKUP(V$3,'Non-Embedded Emissions'!$F$57:$H$88,2,FALSE)+VLOOKUP(V$3,'Non-Embedded Emissions'!$A$143:$D$174,2,FALSE)-VLOOKUP(V$3,'Non-Embedded Emissions'!$F$143:$H$174,2,FALSE)+VLOOKUP(V$3,'Non-Embedded Emissions'!$A$230:$D$259,2,FALSE)), $C15 = "0", 0), 0)</f>
        <v>0</v>
      </c>
      <c r="AB15" s="45">
        <f>IFERROR(_xlfn.IFS($C15="1",('Inputs-System'!$C$30*'Coincidence Factors'!$B$9*(1+'Inputs-System'!$C$18)*(1+'Inputs-System'!$C$41)*('Inputs-Proposals'!$D$17*'Inputs-Proposals'!$D$19*(1-'Inputs-Proposals'!$D$20^(AB$3-'Inputs-System'!$C$7)))*(VLOOKUP(AB$3,Energy!$A$51:$K$83,5,FALSE))), $C15 = "2",('Inputs-System'!$C$30*'Coincidence Factors'!$B$9)*(1+'Inputs-System'!$C$18)*(1+'Inputs-System'!$C$41)*('Inputs-Proposals'!$D$23*'Inputs-Proposals'!$D$25*(1-'Inputs-Proposals'!$D$26^(AB$3-'Inputs-System'!$C$7)))*(VLOOKUP(AB$3,Energy!$A$51:$K$83,5,FALSE)), $C15= "3", ('Inputs-System'!$C$30*'Coincidence Factors'!$B$9*(1+'Inputs-System'!$C$18)*(1+'Inputs-System'!$C$41)*('Inputs-Proposals'!$D$29*'Inputs-Proposals'!$D$31*(1-'Inputs-Proposals'!$D$32^(AB$3-'Inputs-System'!$C$7)))*(VLOOKUP(AB$3,Energy!$A$51:$K$83,5,FALSE))), $C15= "0", 0), 0)</f>
        <v>0</v>
      </c>
      <c r="AC15" s="44">
        <f>IFERROR(_xlfn.IFS($C15="1",('Inputs-System'!$C$30*'Coincidence Factors'!$B$9*(1+'Inputs-System'!$C$18)*(1+'Inputs-System'!$C$41))*'Inputs-Proposals'!$D$17*'Inputs-Proposals'!$D$19*(1-'Inputs-Proposals'!$D$20^(AB$3-'Inputs-System'!$C$7))*(VLOOKUP(AB$3,'Embedded Emissions'!$A$47:$B$78,2,FALSE)+VLOOKUP(AB$3,'Embedded Emissions'!$A$129:$B$158,2,FALSE)), $C15 = "2",('Inputs-System'!$C$30*'Coincidence Factors'!$B$9*(1+'Inputs-System'!$C$18)*(1+'Inputs-System'!$C$41))*'Inputs-Proposals'!$D$23*'Inputs-Proposals'!$D$25*(1-'Inputs-Proposals'!$D$20^(AB$3-'Inputs-System'!$C$7))*(VLOOKUP(AB$3,'Embedded Emissions'!$A$47:$B$78,2,FALSE)+VLOOKUP(AB$3,'Embedded Emissions'!$A$129:$B$158,2,FALSE)), $C15 = "3", ('Inputs-System'!$C$30*'Coincidence Factors'!$B$9*(1+'Inputs-System'!$C$18)*(1+'Inputs-System'!$C$41))*'Inputs-Proposals'!$D$29*'Inputs-Proposals'!$D$31*(1-'Inputs-Proposals'!$D$20^(AB$3-'Inputs-System'!$C$7))*(VLOOKUP(AB$3,'Embedded Emissions'!$A$47:$B$78,2,FALSE)+VLOOKUP(AB$3,'Embedded Emissions'!$A$129:$B$158,2,FALSE)), $C15 = "0", 0), 0)</f>
        <v>0</v>
      </c>
      <c r="AD15" s="44">
        <f>IFERROR(_xlfn.IFS($C15="1",( 'Inputs-System'!$C$30*'Coincidence Factors'!$B$9*(1+'Inputs-System'!$C$18)*(1+'Inputs-System'!$C$41))*('Inputs-Proposals'!$D$17*'Inputs-Proposals'!$D$19*(1-'Inputs-Proposals'!$D$20)^(AB$3-'Inputs-System'!$C$7))*(VLOOKUP(AB$3,DRIPE!$A$54:$I$82,5,FALSE)+VLOOKUP(AB$3,DRIPE!$A$54:$I$82,9,FALSE))+ ('Inputs-System'!$C$26*'Coincidence Factors'!$B$6*(1+'Inputs-System'!$C$18)*(1+'Inputs-System'!$C$42))*'Inputs-Proposals'!$D$16*VLOOKUP(AB$3,DRIPE!$A$54:$I$82,8,FALSE), $C15 = "2",( 'Inputs-System'!$C$30*'Coincidence Factors'!$B$9*(1+'Inputs-System'!$C$18)*(1+'Inputs-System'!$C$41))*('Inputs-Proposals'!$D$23*'Inputs-Proposals'!$D$25*(1-'Inputs-Proposals'!$D$26)^(AB$3-'Inputs-System'!$C$7))*(VLOOKUP(AB$3,DRIPE!$A$54:$I$82,5,FALSE)+VLOOKUP(AB$3,DRIPE!$A$54:$I$82,9,FALSE))+ ('Inputs-System'!$C$26*'Coincidence Factors'!$B$6*(1+'Inputs-System'!$C$18)*(1+'Inputs-System'!$C$42))*'Inputs-Proposals'!$D$22*VLOOKUP(AB$3,DRIPE!$A$54:$I$82,8,FALSE), $C15= "3", ( 'Inputs-System'!$C$30*'Coincidence Factors'!$B$9*(1+'Inputs-System'!$C$18)*(1+'Inputs-System'!$C$41))*('Inputs-Proposals'!$D$29*'Inputs-Proposals'!$D$31*(1-'Inputs-Proposals'!$D$32)^(AB$3-'Inputs-System'!$C$7))*(VLOOKUP(AB$3,DRIPE!$A$54:$I$82,5,FALSE)+VLOOKUP(AB$3,DRIPE!$A$54:$I$82,9,FALSE))+ ('Inputs-System'!$C$26*'Coincidence Factors'!$B$6*(1+'Inputs-System'!$C$18)*(1+'Inputs-System'!$C$42))*'Inputs-Proposals'!$D$28*VLOOKUP(AB$3,DRIPE!$A$54:$I$82,8,FALSE), $C15 = "0", 0), 0)</f>
        <v>0</v>
      </c>
      <c r="AE15" s="45">
        <f>IFERROR(_xlfn.IFS($C15="1",('Inputs-System'!$C$26*'Coincidence Factors'!$B$9*(1+'Inputs-System'!$C$18)*(1+'Inputs-System'!$C$42))*'Inputs-Proposals'!$D$16*(VLOOKUP(AB$3,Capacity!$A$53:$E$85,4,FALSE)*(1+'Inputs-System'!$C$42)+VLOOKUP(AB$3,Capacity!$A$53:$E$85,5,FALSE)*(1+'Inputs-System'!$C$43)*'Inputs-System'!$C$29), $C15 = "2", ('Inputs-System'!$C$26*'Coincidence Factors'!$B$9*(1+'Inputs-System'!$C$18))*'Inputs-Proposals'!$D$22*(VLOOKUP(AB$3,Capacity!$A$53:$E$85,4,FALSE)*(1+'Inputs-System'!$C$42)+VLOOKUP(AB$3,Capacity!$A$53:$E$85,5,FALSE)*'Inputs-System'!$C$29*(1+'Inputs-System'!$C$43)), $C15 = "3", ('Inputs-System'!$C$26*'Coincidence Factors'!$B$9*(1+'Inputs-System'!$C$18))*'Inputs-Proposals'!$D$28*(VLOOKUP(AB$3,Capacity!$A$53:$E$85,4,FALSE)*(1+'Inputs-System'!$C$42)+VLOOKUP(AB$3,Capacity!$A$53:$E$85,5,FALSE)*'Inputs-System'!$C$29*(1+'Inputs-System'!$C$43)), $C15 = "0", 0), 0)</f>
        <v>0</v>
      </c>
      <c r="AF15" s="44">
        <v>0</v>
      </c>
      <c r="AG15" s="342">
        <f>IFERROR(_xlfn.IFS($C15="1", 'Inputs-System'!$C$30*'Coincidence Factors'!$B$9*'Inputs-Proposals'!$D$17*'Inputs-Proposals'!$D$19*(VLOOKUP(AB$3,'Non-Embedded Emissions'!$A$56:$D$90,2,FALSE)-VLOOKUP(AB$3,'Non-Embedded Emissions'!$F$57:$H$88,2,FALSE)+VLOOKUP(AB$3,'Non-Embedded Emissions'!$A$143:$D$174,2,FALSE)-VLOOKUP(AB$3,'Non-Embedded Emissions'!$F$143:$H$174,2,FALSE)+VLOOKUP(AB$3,'Non-Embedded Emissions'!$A$230:$D$259,2,FALSE)), $C15 = "2", 'Inputs-System'!$C$30*'Coincidence Factors'!$B$9*'Inputs-Proposals'!$D$23*'Inputs-Proposals'!$D$25*(VLOOKUP(AB$3,'Non-Embedded Emissions'!$A$56:$D$90,2,FALSE)-VLOOKUP(AB$3,'Non-Embedded Emissions'!$F$57:$H$88,2,FALSE)+VLOOKUP(AB$3,'Non-Embedded Emissions'!$A$143:$D$174,2,FALSE)-VLOOKUP(AB$3,'Non-Embedded Emissions'!$F$143:$H$174,2,FALSE)+VLOOKUP(AB$3,'Non-Embedded Emissions'!$A$230:$D$259,2,FALSE)), $C15 = "3", 'Inputs-System'!$C$30*'Coincidence Factors'!$B$9*'Inputs-Proposals'!$D$29*'Inputs-Proposals'!$D$31*(VLOOKUP(AB$3,'Non-Embedded Emissions'!$A$56:$D$90,2,FALSE)-VLOOKUP(AB$3,'Non-Embedded Emissions'!$F$57:$H$88,2,FALSE)+VLOOKUP(AB$3,'Non-Embedded Emissions'!$A$143:$D$174,2,FALSE)-VLOOKUP(AB$3,'Non-Embedded Emissions'!$F$143:$H$174,2,FALSE)+VLOOKUP(AB$3,'Non-Embedded Emissions'!$A$230:$D$259,2,FALSE)), $C15 = "0", 0), 0)</f>
        <v>0</v>
      </c>
      <c r="AH15" s="45">
        <f>IFERROR(_xlfn.IFS($C15="1",('Inputs-System'!$C$30*'Coincidence Factors'!$B$9*(1+'Inputs-System'!$C$18)*(1+'Inputs-System'!$C$41)*('Inputs-Proposals'!$D$17*'Inputs-Proposals'!$D$19*(1-'Inputs-Proposals'!$D$20^(AH$3-'Inputs-System'!$C$7)))*(VLOOKUP(AH$3,Energy!$A$51:$K$83,5,FALSE))), $C15 = "2",('Inputs-System'!$C$30*'Coincidence Factors'!$B$9)*(1+'Inputs-System'!$C$18)*(1+'Inputs-System'!$C$41)*('Inputs-Proposals'!$D$23*'Inputs-Proposals'!$D$25*(1-'Inputs-Proposals'!$D$26^(AH$3-'Inputs-System'!$C$7)))*(VLOOKUP(AH$3,Energy!$A$51:$K$83,5,FALSE)), $C15= "3", ('Inputs-System'!$C$30*'Coincidence Factors'!$B$9*(1+'Inputs-System'!$C$18)*(1+'Inputs-System'!$C$41)*('Inputs-Proposals'!$D$29*'Inputs-Proposals'!$D$31*(1-'Inputs-Proposals'!$D$32^(AH$3-'Inputs-System'!$C$7)))*(VLOOKUP(AH$3,Energy!$A$51:$K$83,5,FALSE))), $C15= "0", 0), 0)</f>
        <v>0</v>
      </c>
      <c r="AI15" s="44">
        <f>IFERROR(_xlfn.IFS($C15="1",('Inputs-System'!$C$30*'Coincidence Factors'!$B$9*(1+'Inputs-System'!$C$18)*(1+'Inputs-System'!$C$41))*'Inputs-Proposals'!$D$17*'Inputs-Proposals'!$D$19*(1-'Inputs-Proposals'!$D$20^(AH$3-'Inputs-System'!$C$7))*(VLOOKUP(AH$3,'Embedded Emissions'!$A$47:$B$78,2,FALSE)+VLOOKUP(AH$3,'Embedded Emissions'!$A$129:$B$158,2,FALSE)), $C15 = "2",('Inputs-System'!$C$30*'Coincidence Factors'!$B$9*(1+'Inputs-System'!$C$18)*(1+'Inputs-System'!$C$41))*'Inputs-Proposals'!$D$23*'Inputs-Proposals'!$D$25*(1-'Inputs-Proposals'!$D$20^(AH$3-'Inputs-System'!$C$7))*(VLOOKUP(AH$3,'Embedded Emissions'!$A$47:$B$78,2,FALSE)+VLOOKUP(AH$3,'Embedded Emissions'!$A$129:$B$158,2,FALSE)), $C15 = "3", ('Inputs-System'!$C$30*'Coincidence Factors'!$B$9*(1+'Inputs-System'!$C$18)*(1+'Inputs-System'!$C$41))*'Inputs-Proposals'!$D$29*'Inputs-Proposals'!$D$31*(1-'Inputs-Proposals'!$D$20^(AH$3-'Inputs-System'!$C$7))*(VLOOKUP(AH$3,'Embedded Emissions'!$A$47:$B$78,2,FALSE)+VLOOKUP(AH$3,'Embedded Emissions'!$A$129:$B$158,2,FALSE)), $C15 = "0", 0), 0)</f>
        <v>0</v>
      </c>
      <c r="AJ15" s="44">
        <f>IFERROR(_xlfn.IFS($C15="1",( 'Inputs-System'!$C$30*'Coincidence Factors'!$B$9*(1+'Inputs-System'!$C$18)*(1+'Inputs-System'!$C$41))*('Inputs-Proposals'!$D$17*'Inputs-Proposals'!$D$19*(1-'Inputs-Proposals'!$D$20)^(AH$3-'Inputs-System'!$C$7))*(VLOOKUP(AH$3,DRIPE!$A$54:$I$82,5,FALSE)+VLOOKUP(AH$3,DRIPE!$A$54:$I$82,9,FALSE))+ ('Inputs-System'!$C$26*'Coincidence Factors'!$B$6*(1+'Inputs-System'!$C$18)*(1+'Inputs-System'!$C$42))*'Inputs-Proposals'!$D$16*VLOOKUP(AH$3,DRIPE!$A$54:$I$82,8,FALSE), $C15 = "2",( 'Inputs-System'!$C$30*'Coincidence Factors'!$B$9*(1+'Inputs-System'!$C$18)*(1+'Inputs-System'!$C$41))*('Inputs-Proposals'!$D$23*'Inputs-Proposals'!$D$25*(1-'Inputs-Proposals'!$D$26)^(AH$3-'Inputs-System'!$C$7))*(VLOOKUP(AH$3,DRIPE!$A$54:$I$82,5,FALSE)+VLOOKUP(AH$3,DRIPE!$A$54:$I$82,9,FALSE))+ ('Inputs-System'!$C$26*'Coincidence Factors'!$B$6*(1+'Inputs-System'!$C$18)*(1+'Inputs-System'!$C$42))*'Inputs-Proposals'!$D$22*VLOOKUP(AH$3,DRIPE!$A$54:$I$82,8,FALSE), $C15= "3", ( 'Inputs-System'!$C$30*'Coincidence Factors'!$B$9*(1+'Inputs-System'!$C$18)*(1+'Inputs-System'!$C$41))*('Inputs-Proposals'!$D$29*'Inputs-Proposals'!$D$31*(1-'Inputs-Proposals'!$D$32)^(AH$3-'Inputs-System'!$C$7))*(VLOOKUP(AH$3,DRIPE!$A$54:$I$82,5,FALSE)+VLOOKUP(AH$3,DRIPE!$A$54:$I$82,9,FALSE))+ ('Inputs-System'!$C$26*'Coincidence Factors'!$B$6*(1+'Inputs-System'!$C$18)*(1+'Inputs-System'!$C$42))*'Inputs-Proposals'!$D$28*VLOOKUP(AH$3,DRIPE!$A$54:$I$82,8,FALSE), $C15 = "0", 0), 0)</f>
        <v>0</v>
      </c>
      <c r="AK15" s="45">
        <f>IFERROR(_xlfn.IFS($C15="1",('Inputs-System'!$C$26*'Coincidence Factors'!$B$9*(1+'Inputs-System'!$C$18)*(1+'Inputs-System'!$C$42))*'Inputs-Proposals'!$D$16*(VLOOKUP(AH$3,Capacity!$A$53:$E$85,4,FALSE)*(1+'Inputs-System'!$C$42)+VLOOKUP(AH$3,Capacity!$A$53:$E$85,5,FALSE)*(1+'Inputs-System'!$C$43)*'Inputs-System'!$C$29), $C15 = "2", ('Inputs-System'!$C$26*'Coincidence Factors'!$B$9*(1+'Inputs-System'!$C$18))*'Inputs-Proposals'!$D$22*(VLOOKUP(AH$3,Capacity!$A$53:$E$85,4,FALSE)*(1+'Inputs-System'!$C$42)+VLOOKUP(AH$3,Capacity!$A$53:$E$85,5,FALSE)*'Inputs-System'!$C$29*(1+'Inputs-System'!$C$43)), $C15 = "3", ('Inputs-System'!$C$26*'Coincidence Factors'!$B$9*(1+'Inputs-System'!$C$18))*'Inputs-Proposals'!$D$28*(VLOOKUP(AH$3,Capacity!$A$53:$E$85,4,FALSE)*(1+'Inputs-System'!$C$42)+VLOOKUP(AH$3,Capacity!$A$53:$E$85,5,FALSE)*'Inputs-System'!$C$29*(1+'Inputs-System'!$C$43)), $C15 = "0", 0), 0)</f>
        <v>0</v>
      </c>
      <c r="AL15" s="44">
        <v>0</v>
      </c>
      <c r="AM15" s="342">
        <f>IFERROR(_xlfn.IFS($C15="1", 'Inputs-System'!$C$30*'Coincidence Factors'!$B$9*'Inputs-Proposals'!$D$17*'Inputs-Proposals'!$D$19*(VLOOKUP(AH$3,'Non-Embedded Emissions'!$A$56:$D$90,2,FALSE)-VLOOKUP(AH$3,'Non-Embedded Emissions'!$F$57:$H$88,2,FALSE)+VLOOKUP(AH$3,'Non-Embedded Emissions'!$A$143:$D$174,2,FALSE)-VLOOKUP(AH$3,'Non-Embedded Emissions'!$F$143:$H$174,2,FALSE)+VLOOKUP(AH$3,'Non-Embedded Emissions'!$A$230:$D$259,2,FALSE)), $C15 = "2", 'Inputs-System'!$C$30*'Coincidence Factors'!$B$9*'Inputs-Proposals'!$D$23*'Inputs-Proposals'!$D$25*(VLOOKUP(AH$3,'Non-Embedded Emissions'!$A$56:$D$90,2,FALSE)-VLOOKUP(AH$3,'Non-Embedded Emissions'!$F$57:$H$88,2,FALSE)+VLOOKUP(AH$3,'Non-Embedded Emissions'!$A$143:$D$174,2,FALSE)-VLOOKUP(AH$3,'Non-Embedded Emissions'!$F$143:$H$174,2,FALSE)+VLOOKUP(AH$3,'Non-Embedded Emissions'!$A$230:$D$259,2,FALSE)), $C15 = "3", 'Inputs-System'!$C$30*'Coincidence Factors'!$B$9*'Inputs-Proposals'!$D$29*'Inputs-Proposals'!$D$31*(VLOOKUP(AH$3,'Non-Embedded Emissions'!$A$56:$D$90,2,FALSE)-VLOOKUP(AH$3,'Non-Embedded Emissions'!$F$57:$H$88,2,FALSE)+VLOOKUP(AH$3,'Non-Embedded Emissions'!$A$143:$D$174,2,FALSE)-VLOOKUP(AH$3,'Non-Embedded Emissions'!$F$143:$H$174,2,FALSE)+VLOOKUP(AH$3,'Non-Embedded Emissions'!$A$230:$D$259,2,FALSE)), $C15 = "0", 0), 0)</f>
        <v>0</v>
      </c>
      <c r="AN15" s="45">
        <f>IFERROR(_xlfn.IFS($C15="1",('Inputs-System'!$C$30*'Coincidence Factors'!$B$9*(1+'Inputs-System'!$C$18)*(1+'Inputs-System'!$C$41)*('Inputs-Proposals'!$D$17*'Inputs-Proposals'!$D$19*(1-'Inputs-Proposals'!$D$20^(AN$3-'Inputs-System'!$C$7)))*(VLOOKUP(AN$3,Energy!$A$51:$K$83,5,FALSE))), $C15 = "2",('Inputs-System'!$C$30*'Coincidence Factors'!$B$9)*(1+'Inputs-System'!$C$18)*(1+'Inputs-System'!$C$41)*('Inputs-Proposals'!$D$23*'Inputs-Proposals'!$D$25*(1-'Inputs-Proposals'!$D$26^(AN$3-'Inputs-System'!$C$7)))*(VLOOKUP(AN$3,Energy!$A$51:$K$83,5,FALSE)), $C15= "3", ('Inputs-System'!$C$30*'Coincidence Factors'!$B$9*(1+'Inputs-System'!$C$18)*(1+'Inputs-System'!$C$41)*('Inputs-Proposals'!$D$29*'Inputs-Proposals'!$D$31*(1-'Inputs-Proposals'!$D$32^(AN$3-'Inputs-System'!$C$7)))*(VLOOKUP(AN$3,Energy!$A$51:$K$83,5,FALSE))), $C15= "0", 0), 0)</f>
        <v>0</v>
      </c>
      <c r="AO15" s="44">
        <f>IFERROR(_xlfn.IFS($C15="1",('Inputs-System'!$C$30*'Coincidence Factors'!$B$9*(1+'Inputs-System'!$C$18)*(1+'Inputs-System'!$C$41))*'Inputs-Proposals'!$D$17*'Inputs-Proposals'!$D$19*(1-'Inputs-Proposals'!$D$20^(AN$3-'Inputs-System'!$C$7))*(VLOOKUP(AN$3,'Embedded Emissions'!$A$47:$B$78,2,FALSE)+VLOOKUP(AN$3,'Embedded Emissions'!$A$129:$B$158,2,FALSE)), $C15 = "2",('Inputs-System'!$C$30*'Coincidence Factors'!$B$9*(1+'Inputs-System'!$C$18)*(1+'Inputs-System'!$C$41))*'Inputs-Proposals'!$D$23*'Inputs-Proposals'!$D$25*(1-'Inputs-Proposals'!$D$20^(AN$3-'Inputs-System'!$C$7))*(VLOOKUP(AN$3,'Embedded Emissions'!$A$47:$B$78,2,FALSE)+VLOOKUP(AN$3,'Embedded Emissions'!$A$129:$B$158,2,FALSE)), $C15 = "3", ('Inputs-System'!$C$30*'Coincidence Factors'!$B$9*(1+'Inputs-System'!$C$18)*(1+'Inputs-System'!$C$41))*'Inputs-Proposals'!$D$29*'Inputs-Proposals'!$D$31*(1-'Inputs-Proposals'!$D$20^(AN$3-'Inputs-System'!$C$7))*(VLOOKUP(AN$3,'Embedded Emissions'!$A$47:$B$78,2,FALSE)+VLOOKUP(AN$3,'Embedded Emissions'!$A$129:$B$158,2,FALSE)), $C15 = "0", 0), 0)</f>
        <v>0</v>
      </c>
      <c r="AP15" s="44">
        <f>IFERROR(_xlfn.IFS($C15="1",( 'Inputs-System'!$C$30*'Coincidence Factors'!$B$9*(1+'Inputs-System'!$C$18)*(1+'Inputs-System'!$C$41))*('Inputs-Proposals'!$D$17*'Inputs-Proposals'!$D$19*(1-'Inputs-Proposals'!$D$20)^(AN$3-'Inputs-System'!$C$7))*(VLOOKUP(AN$3,DRIPE!$A$54:$I$82,5,FALSE)+VLOOKUP(AN$3,DRIPE!$A$54:$I$82,9,FALSE))+ ('Inputs-System'!$C$26*'Coincidence Factors'!$B$6*(1+'Inputs-System'!$C$18)*(1+'Inputs-System'!$C$42))*'Inputs-Proposals'!$D$16*VLOOKUP(AN$3,DRIPE!$A$54:$I$82,8,FALSE), $C15 = "2",( 'Inputs-System'!$C$30*'Coincidence Factors'!$B$9*(1+'Inputs-System'!$C$18)*(1+'Inputs-System'!$C$41))*('Inputs-Proposals'!$D$23*'Inputs-Proposals'!$D$25*(1-'Inputs-Proposals'!$D$26)^(AN$3-'Inputs-System'!$C$7))*(VLOOKUP(AN$3,DRIPE!$A$54:$I$82,5,FALSE)+VLOOKUP(AN$3,DRIPE!$A$54:$I$82,9,FALSE))+ ('Inputs-System'!$C$26*'Coincidence Factors'!$B$6*(1+'Inputs-System'!$C$18)*(1+'Inputs-System'!$C$42))*'Inputs-Proposals'!$D$22*VLOOKUP(AN$3,DRIPE!$A$54:$I$82,8,FALSE), $C15= "3", ( 'Inputs-System'!$C$30*'Coincidence Factors'!$B$9*(1+'Inputs-System'!$C$18)*(1+'Inputs-System'!$C$41))*('Inputs-Proposals'!$D$29*'Inputs-Proposals'!$D$31*(1-'Inputs-Proposals'!$D$32)^(AN$3-'Inputs-System'!$C$7))*(VLOOKUP(AN$3,DRIPE!$A$54:$I$82,5,FALSE)+VLOOKUP(AN$3,DRIPE!$A$54:$I$82,9,FALSE))+ ('Inputs-System'!$C$26*'Coincidence Factors'!$B$6*(1+'Inputs-System'!$C$18)*(1+'Inputs-System'!$C$42))*'Inputs-Proposals'!$D$28*VLOOKUP(AN$3,DRIPE!$A$54:$I$82,8,FALSE), $C15 = "0", 0), 0)</f>
        <v>0</v>
      </c>
      <c r="AQ15" s="45">
        <f>IFERROR(_xlfn.IFS($C15="1",('Inputs-System'!$C$26*'Coincidence Factors'!$B$9*(1+'Inputs-System'!$C$18)*(1+'Inputs-System'!$C$42))*'Inputs-Proposals'!$D$16*(VLOOKUP(AN$3,Capacity!$A$53:$E$85,4,FALSE)*(1+'Inputs-System'!$C$42)+VLOOKUP(AN$3,Capacity!$A$53:$E$85,5,FALSE)*(1+'Inputs-System'!$C$43)*'Inputs-System'!$C$29), $C15 = "2", ('Inputs-System'!$C$26*'Coincidence Factors'!$B$9*(1+'Inputs-System'!$C$18))*'Inputs-Proposals'!$D$22*(VLOOKUP(AN$3,Capacity!$A$53:$E$85,4,FALSE)*(1+'Inputs-System'!$C$42)+VLOOKUP(AN$3,Capacity!$A$53:$E$85,5,FALSE)*'Inputs-System'!$C$29*(1+'Inputs-System'!$C$43)), $C15 = "3", ('Inputs-System'!$C$26*'Coincidence Factors'!$B$9*(1+'Inputs-System'!$C$18))*'Inputs-Proposals'!$D$28*(VLOOKUP(AN$3,Capacity!$A$53:$E$85,4,FALSE)*(1+'Inputs-System'!$C$42)+VLOOKUP(AN$3,Capacity!$A$53:$E$85,5,FALSE)*'Inputs-System'!$C$29*(1+'Inputs-System'!$C$43)), $C15 = "0", 0), 0)</f>
        <v>0</v>
      </c>
      <c r="AR15" s="44">
        <v>0</v>
      </c>
      <c r="AS15" s="342">
        <f>IFERROR(_xlfn.IFS($C15="1", 'Inputs-System'!$C$30*'Coincidence Factors'!$B$9*'Inputs-Proposals'!$D$17*'Inputs-Proposals'!$D$19*(VLOOKUP(AN$3,'Non-Embedded Emissions'!$A$56:$D$90,2,FALSE)-VLOOKUP(AN$3,'Non-Embedded Emissions'!$F$57:$H$88,2,FALSE)+VLOOKUP(AN$3,'Non-Embedded Emissions'!$A$143:$D$174,2,FALSE)-VLOOKUP(AN$3,'Non-Embedded Emissions'!$F$143:$H$174,2,FALSE)+VLOOKUP(AN$3,'Non-Embedded Emissions'!$A$230:$D$259,2,FALSE)), $C15 = "2", 'Inputs-System'!$C$30*'Coincidence Factors'!$B$9*'Inputs-Proposals'!$D$23*'Inputs-Proposals'!$D$25*(VLOOKUP(AN$3,'Non-Embedded Emissions'!$A$56:$D$90,2,FALSE)-VLOOKUP(AN$3,'Non-Embedded Emissions'!$F$57:$H$88,2,FALSE)+VLOOKUP(AN$3,'Non-Embedded Emissions'!$A$143:$D$174,2,FALSE)-VLOOKUP(AN$3,'Non-Embedded Emissions'!$F$143:$H$174,2,FALSE)+VLOOKUP(AN$3,'Non-Embedded Emissions'!$A$230:$D$259,2,FALSE)), $C15 = "3", 'Inputs-System'!$C$30*'Coincidence Factors'!$B$9*'Inputs-Proposals'!$D$29*'Inputs-Proposals'!$D$31*(VLOOKUP(AN$3,'Non-Embedded Emissions'!$A$56:$D$90,2,FALSE)-VLOOKUP(AN$3,'Non-Embedded Emissions'!$F$57:$H$88,2,FALSE)+VLOOKUP(AN$3,'Non-Embedded Emissions'!$A$143:$D$174,2,FALSE)-VLOOKUP(AN$3,'Non-Embedded Emissions'!$F$143:$H$174,2,FALSE)+VLOOKUP(AN$3,'Non-Embedded Emissions'!$A$230:$D$259,2,FALSE)), $C15 = "0", 0), 0)</f>
        <v>0</v>
      </c>
      <c r="AT15" s="45">
        <f>IFERROR(_xlfn.IFS($C15="1",('Inputs-System'!$C$30*'Coincidence Factors'!$B$9*(1+'Inputs-System'!$C$18)*(1+'Inputs-System'!$C$41)*('Inputs-Proposals'!$D$17*'Inputs-Proposals'!$D$19*(1-'Inputs-Proposals'!$D$20^(AT$3-'Inputs-System'!$C$7)))*(VLOOKUP(AT$3,Energy!$A$51:$K$83,5,FALSE))), $C15 = "2",('Inputs-System'!$C$30*'Coincidence Factors'!$B$9)*(1+'Inputs-System'!$C$18)*(1+'Inputs-System'!$C$41)*('Inputs-Proposals'!$D$23*'Inputs-Proposals'!$D$25*(1-'Inputs-Proposals'!$D$26^(AT$3-'Inputs-System'!$C$7)))*(VLOOKUP(AT$3,Energy!$A$51:$K$83,5,FALSE)), $C15= "3", ('Inputs-System'!$C$30*'Coincidence Factors'!$B$9*(1+'Inputs-System'!$C$18)*(1+'Inputs-System'!$C$41)*('Inputs-Proposals'!$D$29*'Inputs-Proposals'!$D$31*(1-'Inputs-Proposals'!$D$32^(AT$3-'Inputs-System'!$C$7)))*(VLOOKUP(AT$3,Energy!$A$51:$K$83,5,FALSE))), $C15= "0", 0), 0)</f>
        <v>0</v>
      </c>
      <c r="AU15" s="44">
        <f>IFERROR(_xlfn.IFS($C15="1",('Inputs-System'!$C$30*'Coincidence Factors'!$B$9*(1+'Inputs-System'!$C$18)*(1+'Inputs-System'!$C$41))*'Inputs-Proposals'!$D$17*'Inputs-Proposals'!$D$19*(1-'Inputs-Proposals'!$D$20^(AT$3-'Inputs-System'!$C$7))*(VLOOKUP(AT$3,'Embedded Emissions'!$A$47:$B$78,2,FALSE)+VLOOKUP(AT$3,'Embedded Emissions'!$A$129:$B$158,2,FALSE)), $C15 = "2",('Inputs-System'!$C$30*'Coincidence Factors'!$B$9*(1+'Inputs-System'!$C$18)*(1+'Inputs-System'!$C$41))*'Inputs-Proposals'!$D$23*'Inputs-Proposals'!$D$25*(1-'Inputs-Proposals'!$D$20^(AT$3-'Inputs-System'!$C$7))*(VLOOKUP(AT$3,'Embedded Emissions'!$A$47:$B$78,2,FALSE)+VLOOKUP(AT$3,'Embedded Emissions'!$A$129:$B$158,2,FALSE)), $C15 = "3", ('Inputs-System'!$C$30*'Coincidence Factors'!$B$9*(1+'Inputs-System'!$C$18)*(1+'Inputs-System'!$C$41))*'Inputs-Proposals'!$D$29*'Inputs-Proposals'!$D$31*(1-'Inputs-Proposals'!$D$20^(AT$3-'Inputs-System'!$C$7))*(VLOOKUP(AT$3,'Embedded Emissions'!$A$47:$B$78,2,FALSE)+VLOOKUP(AT$3,'Embedded Emissions'!$A$129:$B$158,2,FALSE)), $C15 = "0", 0), 0)</f>
        <v>0</v>
      </c>
      <c r="AV15" s="44">
        <f>IFERROR(_xlfn.IFS($C15="1",( 'Inputs-System'!$C$30*'Coincidence Factors'!$B$9*(1+'Inputs-System'!$C$18)*(1+'Inputs-System'!$C$41))*('Inputs-Proposals'!$D$17*'Inputs-Proposals'!$D$19*(1-'Inputs-Proposals'!$D$20)^(AT$3-'Inputs-System'!$C$7))*(VLOOKUP(AT$3,DRIPE!$A$54:$I$82,5,FALSE)+VLOOKUP(AT$3,DRIPE!$A$54:$I$82,9,FALSE))+ ('Inputs-System'!$C$26*'Coincidence Factors'!$B$6*(1+'Inputs-System'!$C$18)*(1+'Inputs-System'!$C$42))*'Inputs-Proposals'!$D$16*VLOOKUP(AT$3,DRIPE!$A$54:$I$82,8,FALSE), $C15 = "2",( 'Inputs-System'!$C$30*'Coincidence Factors'!$B$9*(1+'Inputs-System'!$C$18)*(1+'Inputs-System'!$C$41))*('Inputs-Proposals'!$D$23*'Inputs-Proposals'!$D$25*(1-'Inputs-Proposals'!$D$26)^(AT$3-'Inputs-System'!$C$7))*(VLOOKUP(AT$3,DRIPE!$A$54:$I$82,5,FALSE)+VLOOKUP(AT$3,DRIPE!$A$54:$I$82,9,FALSE))+ ('Inputs-System'!$C$26*'Coincidence Factors'!$B$6*(1+'Inputs-System'!$C$18)*(1+'Inputs-System'!$C$42))*'Inputs-Proposals'!$D$22*VLOOKUP(AT$3,DRIPE!$A$54:$I$82,8,FALSE), $C15= "3", ( 'Inputs-System'!$C$30*'Coincidence Factors'!$B$9*(1+'Inputs-System'!$C$18)*(1+'Inputs-System'!$C$41))*('Inputs-Proposals'!$D$29*'Inputs-Proposals'!$D$31*(1-'Inputs-Proposals'!$D$32)^(AT$3-'Inputs-System'!$C$7))*(VLOOKUP(AT$3,DRIPE!$A$54:$I$82,5,FALSE)+VLOOKUP(AT$3,DRIPE!$A$54:$I$82,9,FALSE))+ ('Inputs-System'!$C$26*'Coincidence Factors'!$B$6*(1+'Inputs-System'!$C$18)*(1+'Inputs-System'!$C$42))*'Inputs-Proposals'!$D$28*VLOOKUP(AT$3,DRIPE!$A$54:$I$82,8,FALSE), $C15 = "0", 0), 0)</f>
        <v>0</v>
      </c>
      <c r="AW15" s="45">
        <f>IFERROR(_xlfn.IFS($C15="1",('Inputs-System'!$C$26*'Coincidence Factors'!$B$9*(1+'Inputs-System'!$C$18)*(1+'Inputs-System'!$C$42))*'Inputs-Proposals'!$D$16*(VLOOKUP(AT$3,Capacity!$A$53:$E$85,4,FALSE)*(1+'Inputs-System'!$C$42)+VLOOKUP(AT$3,Capacity!$A$53:$E$85,5,FALSE)*(1+'Inputs-System'!$C$43)*'Inputs-System'!$C$29), $C15 = "2", ('Inputs-System'!$C$26*'Coincidence Factors'!$B$9*(1+'Inputs-System'!$C$18))*'Inputs-Proposals'!$D$22*(VLOOKUP(AT$3,Capacity!$A$53:$E$85,4,FALSE)*(1+'Inputs-System'!$C$42)+VLOOKUP(AT$3,Capacity!$A$53:$E$85,5,FALSE)*'Inputs-System'!$C$29*(1+'Inputs-System'!$C$43)), $C15 = "3", ('Inputs-System'!$C$26*'Coincidence Factors'!$B$9*(1+'Inputs-System'!$C$18))*'Inputs-Proposals'!$D$28*(VLOOKUP(AT$3,Capacity!$A$53:$E$85,4,FALSE)*(1+'Inputs-System'!$C$42)+VLOOKUP(AT$3,Capacity!$A$53:$E$85,5,FALSE)*'Inputs-System'!$C$29*(1+'Inputs-System'!$C$43)), $C15 = "0", 0), 0)</f>
        <v>0</v>
      </c>
      <c r="AX15" s="44">
        <v>0</v>
      </c>
      <c r="AY15" s="342">
        <f>IFERROR(_xlfn.IFS($C15="1", 'Inputs-System'!$C$30*'Coincidence Factors'!$B$9*'Inputs-Proposals'!$D$17*'Inputs-Proposals'!$D$19*(VLOOKUP(AT$3,'Non-Embedded Emissions'!$A$56:$D$90,2,FALSE)-VLOOKUP(AT$3,'Non-Embedded Emissions'!$F$57:$H$88,2,FALSE)+VLOOKUP(AT$3,'Non-Embedded Emissions'!$A$143:$D$174,2,FALSE)-VLOOKUP(AT$3,'Non-Embedded Emissions'!$F$143:$H$174,2,FALSE)+VLOOKUP(AT$3,'Non-Embedded Emissions'!$A$230:$D$259,2,FALSE)), $C15 = "2", 'Inputs-System'!$C$30*'Coincidence Factors'!$B$9*'Inputs-Proposals'!$D$23*'Inputs-Proposals'!$D$25*(VLOOKUP(AT$3,'Non-Embedded Emissions'!$A$56:$D$90,2,FALSE)-VLOOKUP(AT$3,'Non-Embedded Emissions'!$F$57:$H$88,2,FALSE)+VLOOKUP(AT$3,'Non-Embedded Emissions'!$A$143:$D$174,2,FALSE)-VLOOKUP(AT$3,'Non-Embedded Emissions'!$F$143:$H$174,2,FALSE)+VLOOKUP(AT$3,'Non-Embedded Emissions'!$A$230:$D$259,2,FALSE)), $C15 = "3", 'Inputs-System'!$C$30*'Coincidence Factors'!$B$9*'Inputs-Proposals'!$D$29*'Inputs-Proposals'!$D$31*(VLOOKUP(AT$3,'Non-Embedded Emissions'!$A$56:$D$90,2,FALSE)-VLOOKUP(AT$3,'Non-Embedded Emissions'!$F$57:$H$88,2,FALSE)+VLOOKUP(AT$3,'Non-Embedded Emissions'!$A$143:$D$174,2,FALSE)-VLOOKUP(AT$3,'Non-Embedded Emissions'!$F$143:$H$174,2,FALSE)+VLOOKUP(AT$3,'Non-Embedded Emissions'!$A$230:$D$259,2,FALSE)), $C15 = "0", 0), 0)</f>
        <v>0</v>
      </c>
      <c r="AZ15" s="45">
        <f>IFERROR(_xlfn.IFS($C15="1",('Inputs-System'!$C$30*'Coincidence Factors'!$B$9*(1+'Inputs-System'!$C$18)*(1+'Inputs-System'!$C$41)*('Inputs-Proposals'!$D$17*'Inputs-Proposals'!$D$19*(1-'Inputs-Proposals'!$D$20^(AZ$3-'Inputs-System'!$C$7)))*(VLOOKUP(AZ$3,Energy!$A$51:$K$83,5,FALSE))), $C15 = "2",('Inputs-System'!$C$30*'Coincidence Factors'!$B$9)*(1+'Inputs-System'!$C$18)*(1+'Inputs-System'!$C$41)*('Inputs-Proposals'!$D$23*'Inputs-Proposals'!$D$25*(1-'Inputs-Proposals'!$D$26^(AZ$3-'Inputs-System'!$C$7)))*(VLOOKUP(AZ$3,Energy!$A$51:$K$83,5,FALSE)), $C15= "3", ('Inputs-System'!$C$30*'Coincidence Factors'!$B$9*(1+'Inputs-System'!$C$18)*(1+'Inputs-System'!$C$41)*('Inputs-Proposals'!$D$29*'Inputs-Proposals'!$D$31*(1-'Inputs-Proposals'!$D$32^(AZ$3-'Inputs-System'!$C$7)))*(VLOOKUP(AZ$3,Energy!$A$51:$K$83,5,FALSE))), $C15= "0", 0), 0)</f>
        <v>0</v>
      </c>
      <c r="BA15" s="44">
        <f>IFERROR(_xlfn.IFS($C15="1",('Inputs-System'!$C$30*'Coincidence Factors'!$B$9*(1+'Inputs-System'!$C$18)*(1+'Inputs-System'!$C$41))*'Inputs-Proposals'!$D$17*'Inputs-Proposals'!$D$19*(1-'Inputs-Proposals'!$D$20^(AZ$3-'Inputs-System'!$C$7))*(VLOOKUP(AZ$3,'Embedded Emissions'!$A$47:$B$78,2,FALSE)+VLOOKUP(AZ$3,'Embedded Emissions'!$A$129:$B$158,2,FALSE)), $C15 = "2",('Inputs-System'!$C$30*'Coincidence Factors'!$B$9*(1+'Inputs-System'!$C$18)*(1+'Inputs-System'!$C$41))*'Inputs-Proposals'!$D$23*'Inputs-Proposals'!$D$25*(1-'Inputs-Proposals'!$D$20^(AZ$3-'Inputs-System'!$C$7))*(VLOOKUP(AZ$3,'Embedded Emissions'!$A$47:$B$78,2,FALSE)+VLOOKUP(AZ$3,'Embedded Emissions'!$A$129:$B$158,2,FALSE)), $C15 = "3", ('Inputs-System'!$C$30*'Coincidence Factors'!$B$9*(1+'Inputs-System'!$C$18)*(1+'Inputs-System'!$C$41))*'Inputs-Proposals'!$D$29*'Inputs-Proposals'!$D$31*(1-'Inputs-Proposals'!$D$20^(AZ$3-'Inputs-System'!$C$7))*(VLOOKUP(AZ$3,'Embedded Emissions'!$A$47:$B$78,2,FALSE)+VLOOKUP(AZ$3,'Embedded Emissions'!$A$129:$B$158,2,FALSE)), $C15 = "0", 0), 0)</f>
        <v>0</v>
      </c>
      <c r="BB15" s="44">
        <f>IFERROR(_xlfn.IFS($C15="1",( 'Inputs-System'!$C$30*'Coincidence Factors'!$B$9*(1+'Inputs-System'!$C$18)*(1+'Inputs-System'!$C$41))*('Inputs-Proposals'!$D$17*'Inputs-Proposals'!$D$19*(1-'Inputs-Proposals'!$D$20)^(AZ$3-'Inputs-System'!$C$7))*(VLOOKUP(AZ$3,DRIPE!$A$54:$I$82,5,FALSE)+VLOOKUP(AZ$3,DRIPE!$A$54:$I$82,9,FALSE))+ ('Inputs-System'!$C$26*'Coincidence Factors'!$B$6*(1+'Inputs-System'!$C$18)*(1+'Inputs-System'!$C$42))*'Inputs-Proposals'!$D$16*VLOOKUP(AZ$3,DRIPE!$A$54:$I$82,8,FALSE), $C15 = "2",( 'Inputs-System'!$C$30*'Coincidence Factors'!$B$9*(1+'Inputs-System'!$C$18)*(1+'Inputs-System'!$C$41))*('Inputs-Proposals'!$D$23*'Inputs-Proposals'!$D$25*(1-'Inputs-Proposals'!$D$26)^(AZ$3-'Inputs-System'!$C$7))*(VLOOKUP(AZ$3,DRIPE!$A$54:$I$82,5,FALSE)+VLOOKUP(AZ$3,DRIPE!$A$54:$I$82,9,FALSE))+ ('Inputs-System'!$C$26*'Coincidence Factors'!$B$6*(1+'Inputs-System'!$C$18)*(1+'Inputs-System'!$C$42))*'Inputs-Proposals'!$D$22*VLOOKUP(AZ$3,DRIPE!$A$54:$I$82,8,FALSE), $C15= "3", ( 'Inputs-System'!$C$30*'Coincidence Factors'!$B$9*(1+'Inputs-System'!$C$18)*(1+'Inputs-System'!$C$41))*('Inputs-Proposals'!$D$29*'Inputs-Proposals'!$D$31*(1-'Inputs-Proposals'!$D$32)^(AZ$3-'Inputs-System'!$C$7))*(VLOOKUP(AZ$3,DRIPE!$A$54:$I$82,5,FALSE)+VLOOKUP(AZ$3,DRIPE!$A$54:$I$82,9,FALSE))+ ('Inputs-System'!$C$26*'Coincidence Factors'!$B$6*(1+'Inputs-System'!$C$18)*(1+'Inputs-System'!$C$42))*'Inputs-Proposals'!$D$28*VLOOKUP(AZ$3,DRIPE!$A$54:$I$82,8,FALSE), $C15 = "0", 0), 0)</f>
        <v>0</v>
      </c>
      <c r="BC15" s="45">
        <f>IFERROR(_xlfn.IFS($C15="1",('Inputs-System'!$C$26*'Coincidence Factors'!$B$9*(1+'Inputs-System'!$C$18)*(1+'Inputs-System'!$C$42))*'Inputs-Proposals'!$D$16*(VLOOKUP(AZ$3,Capacity!$A$53:$E$85,4,FALSE)*(1+'Inputs-System'!$C$42)+VLOOKUP(AZ$3,Capacity!$A$53:$E$85,5,FALSE)*(1+'Inputs-System'!$C$43)*'Inputs-System'!$C$29), $C15 = "2", ('Inputs-System'!$C$26*'Coincidence Factors'!$B$9*(1+'Inputs-System'!$C$18))*'Inputs-Proposals'!$D$22*(VLOOKUP(AZ$3,Capacity!$A$53:$E$85,4,FALSE)*(1+'Inputs-System'!$C$42)+VLOOKUP(AZ$3,Capacity!$A$53:$E$85,5,FALSE)*'Inputs-System'!$C$29*(1+'Inputs-System'!$C$43)), $C15 = "3", ('Inputs-System'!$C$26*'Coincidence Factors'!$B$9*(1+'Inputs-System'!$C$18))*'Inputs-Proposals'!$D$28*(VLOOKUP(AZ$3,Capacity!$A$53:$E$85,4,FALSE)*(1+'Inputs-System'!$C$42)+VLOOKUP(AZ$3,Capacity!$A$53:$E$85,5,FALSE)*'Inputs-System'!$C$29*(1+'Inputs-System'!$C$43)), $C15 = "0", 0), 0)</f>
        <v>0</v>
      </c>
      <c r="BD15" s="44">
        <v>0</v>
      </c>
      <c r="BE15" s="342">
        <f>IFERROR(_xlfn.IFS($C15="1", 'Inputs-System'!$C$30*'Coincidence Factors'!$B$9*'Inputs-Proposals'!$D$17*'Inputs-Proposals'!$D$19*(VLOOKUP(AZ$3,'Non-Embedded Emissions'!$A$56:$D$90,2,FALSE)-VLOOKUP(AZ$3,'Non-Embedded Emissions'!$F$57:$H$88,2,FALSE)+VLOOKUP(AZ$3,'Non-Embedded Emissions'!$A$143:$D$174,2,FALSE)-VLOOKUP(AZ$3,'Non-Embedded Emissions'!$F$143:$H$174,2,FALSE)+VLOOKUP(AZ$3,'Non-Embedded Emissions'!$A$230:$D$259,2,FALSE)), $C15 = "2", 'Inputs-System'!$C$30*'Coincidence Factors'!$B$9*'Inputs-Proposals'!$D$23*'Inputs-Proposals'!$D$25*(VLOOKUP(AZ$3,'Non-Embedded Emissions'!$A$56:$D$90,2,FALSE)-VLOOKUP(AZ$3,'Non-Embedded Emissions'!$F$57:$H$88,2,FALSE)+VLOOKUP(AZ$3,'Non-Embedded Emissions'!$A$143:$D$174,2,FALSE)-VLOOKUP(AZ$3,'Non-Embedded Emissions'!$F$143:$H$174,2,FALSE)+VLOOKUP(AZ$3,'Non-Embedded Emissions'!$A$230:$D$259,2,FALSE)), $C15 = "3", 'Inputs-System'!$C$30*'Coincidence Factors'!$B$9*'Inputs-Proposals'!$D$29*'Inputs-Proposals'!$D$31*(VLOOKUP(AZ$3,'Non-Embedded Emissions'!$A$56:$D$90,2,FALSE)-VLOOKUP(AZ$3,'Non-Embedded Emissions'!$F$57:$H$88,2,FALSE)+VLOOKUP(AZ$3,'Non-Embedded Emissions'!$A$143:$D$174,2,FALSE)-VLOOKUP(AZ$3,'Non-Embedded Emissions'!$F$143:$H$174,2,FALSE)+VLOOKUP(AZ$3,'Non-Embedded Emissions'!$A$230:$D$259,2,FALSE)), $C15 = "0", 0), 0)</f>
        <v>0</v>
      </c>
      <c r="BF15" s="45">
        <f>IFERROR(_xlfn.IFS($C15="1",('Inputs-System'!$C$30*'Coincidence Factors'!$B$9*(1+'Inputs-System'!$C$18)*(1+'Inputs-System'!$C$41)*('Inputs-Proposals'!$D$17*'Inputs-Proposals'!$D$19*(1-'Inputs-Proposals'!$D$20^(BF$3-'Inputs-System'!$C$7)))*(VLOOKUP(BF$3,Energy!$A$51:$K$83,5,FALSE))), $C15 = "2",('Inputs-System'!$C$30*'Coincidence Factors'!$B$9)*(1+'Inputs-System'!$C$18)*(1+'Inputs-System'!$C$41)*('Inputs-Proposals'!$D$23*'Inputs-Proposals'!$D$25*(1-'Inputs-Proposals'!$D$26^(BF$3-'Inputs-System'!$C$7)))*(VLOOKUP(BF$3,Energy!$A$51:$K$83,5,FALSE)), $C15= "3", ('Inputs-System'!$C$30*'Coincidence Factors'!$B$9*(1+'Inputs-System'!$C$18)*(1+'Inputs-System'!$C$41)*('Inputs-Proposals'!$D$29*'Inputs-Proposals'!$D$31*(1-'Inputs-Proposals'!$D$32^(BF$3-'Inputs-System'!$C$7)))*(VLOOKUP(BF$3,Energy!$A$51:$K$83,5,FALSE))), $C15= "0", 0), 0)</f>
        <v>0</v>
      </c>
      <c r="BG15" s="44">
        <f>IFERROR(_xlfn.IFS($C15="1",('Inputs-System'!$C$30*'Coincidence Factors'!$B$9*(1+'Inputs-System'!$C$18)*(1+'Inputs-System'!$C$41))*'Inputs-Proposals'!$D$17*'Inputs-Proposals'!$D$19*(1-'Inputs-Proposals'!$D$20^(BF$3-'Inputs-System'!$C$7))*(VLOOKUP(BF$3,'Embedded Emissions'!$A$47:$B$78,2,FALSE)+VLOOKUP(BF$3,'Embedded Emissions'!$A$129:$B$158,2,FALSE)), $C15 = "2",('Inputs-System'!$C$30*'Coincidence Factors'!$B$9*(1+'Inputs-System'!$C$18)*(1+'Inputs-System'!$C$41))*'Inputs-Proposals'!$D$23*'Inputs-Proposals'!$D$25*(1-'Inputs-Proposals'!$D$20^(BF$3-'Inputs-System'!$C$7))*(VLOOKUP(BF$3,'Embedded Emissions'!$A$47:$B$78,2,FALSE)+VLOOKUP(BF$3,'Embedded Emissions'!$A$129:$B$158,2,FALSE)), $C15 = "3", ('Inputs-System'!$C$30*'Coincidence Factors'!$B$9*(1+'Inputs-System'!$C$18)*(1+'Inputs-System'!$C$41))*'Inputs-Proposals'!$D$29*'Inputs-Proposals'!$D$31*(1-'Inputs-Proposals'!$D$20^(BF$3-'Inputs-System'!$C$7))*(VLOOKUP(BF$3,'Embedded Emissions'!$A$47:$B$78,2,FALSE)+VLOOKUP(BF$3,'Embedded Emissions'!$A$129:$B$158,2,FALSE)), $C15 = "0", 0), 0)</f>
        <v>0</v>
      </c>
      <c r="BH15" s="44">
        <f>IFERROR(_xlfn.IFS($C15="1",( 'Inputs-System'!$C$30*'Coincidence Factors'!$B$9*(1+'Inputs-System'!$C$18)*(1+'Inputs-System'!$C$41))*('Inputs-Proposals'!$D$17*'Inputs-Proposals'!$D$19*(1-'Inputs-Proposals'!$D$20)^(BF$3-'Inputs-System'!$C$7))*(VLOOKUP(BF$3,DRIPE!$A$54:$I$82,5,FALSE)+VLOOKUP(BF$3,DRIPE!$A$54:$I$82,9,FALSE))+ ('Inputs-System'!$C$26*'Coincidence Factors'!$B$6*(1+'Inputs-System'!$C$18)*(1+'Inputs-System'!$C$42))*'Inputs-Proposals'!$D$16*VLOOKUP(BF$3,DRIPE!$A$54:$I$82,8,FALSE), $C15 = "2",( 'Inputs-System'!$C$30*'Coincidence Factors'!$B$9*(1+'Inputs-System'!$C$18)*(1+'Inputs-System'!$C$41))*('Inputs-Proposals'!$D$23*'Inputs-Proposals'!$D$25*(1-'Inputs-Proposals'!$D$26)^(BF$3-'Inputs-System'!$C$7))*(VLOOKUP(BF$3,DRIPE!$A$54:$I$82,5,FALSE)+VLOOKUP(BF$3,DRIPE!$A$54:$I$82,9,FALSE))+ ('Inputs-System'!$C$26*'Coincidence Factors'!$B$6*(1+'Inputs-System'!$C$18)*(1+'Inputs-System'!$C$42))*'Inputs-Proposals'!$D$22*VLOOKUP(BF$3,DRIPE!$A$54:$I$82,8,FALSE), $C15= "3", ( 'Inputs-System'!$C$30*'Coincidence Factors'!$B$9*(1+'Inputs-System'!$C$18)*(1+'Inputs-System'!$C$41))*('Inputs-Proposals'!$D$29*'Inputs-Proposals'!$D$31*(1-'Inputs-Proposals'!$D$32)^(BF$3-'Inputs-System'!$C$7))*(VLOOKUP(BF$3,DRIPE!$A$54:$I$82,5,FALSE)+VLOOKUP(BF$3,DRIPE!$A$54:$I$82,9,FALSE))+ ('Inputs-System'!$C$26*'Coincidence Factors'!$B$6*(1+'Inputs-System'!$C$18)*(1+'Inputs-System'!$C$42))*'Inputs-Proposals'!$D$28*VLOOKUP(BF$3,DRIPE!$A$54:$I$82,8,FALSE), $C15 = "0", 0), 0)</f>
        <v>0</v>
      </c>
      <c r="BI15" s="45">
        <f>IFERROR(_xlfn.IFS($C15="1",('Inputs-System'!$C$26*'Coincidence Factors'!$B$9*(1+'Inputs-System'!$C$18)*(1+'Inputs-System'!$C$42))*'Inputs-Proposals'!$D$16*(VLOOKUP(BF$3,Capacity!$A$53:$E$85,4,FALSE)*(1+'Inputs-System'!$C$42)+VLOOKUP(BF$3,Capacity!$A$53:$E$85,5,FALSE)*(1+'Inputs-System'!$C$43)*'Inputs-System'!$C$29), $C15 = "2", ('Inputs-System'!$C$26*'Coincidence Factors'!$B$9*(1+'Inputs-System'!$C$18))*'Inputs-Proposals'!$D$22*(VLOOKUP(BF$3,Capacity!$A$53:$E$85,4,FALSE)*(1+'Inputs-System'!$C$42)+VLOOKUP(BF$3,Capacity!$A$53:$E$85,5,FALSE)*'Inputs-System'!$C$29*(1+'Inputs-System'!$C$43)), $C15 = "3", ('Inputs-System'!$C$26*'Coincidence Factors'!$B$9*(1+'Inputs-System'!$C$18))*'Inputs-Proposals'!$D$28*(VLOOKUP(BF$3,Capacity!$A$53:$E$85,4,FALSE)*(1+'Inputs-System'!$C$42)+VLOOKUP(BF$3,Capacity!$A$53:$E$85,5,FALSE)*'Inputs-System'!$C$29*(1+'Inputs-System'!$C$43)), $C15 = "0", 0), 0)</f>
        <v>0</v>
      </c>
      <c r="BJ15" s="44">
        <v>0</v>
      </c>
      <c r="BK15" s="342">
        <f>IFERROR(_xlfn.IFS($C15="1", 'Inputs-System'!$C$30*'Coincidence Factors'!$B$9*'Inputs-Proposals'!$D$17*'Inputs-Proposals'!$D$19*(VLOOKUP(BF$3,'Non-Embedded Emissions'!$A$56:$D$90,2,FALSE)-VLOOKUP(BF$3,'Non-Embedded Emissions'!$F$57:$H$88,2,FALSE)+VLOOKUP(BF$3,'Non-Embedded Emissions'!$A$143:$D$174,2,FALSE)-VLOOKUP(BF$3,'Non-Embedded Emissions'!$F$143:$H$174,2,FALSE)+VLOOKUP(BF$3,'Non-Embedded Emissions'!$A$230:$D$259,2,FALSE)), $C15 = "2", 'Inputs-System'!$C$30*'Coincidence Factors'!$B$9*'Inputs-Proposals'!$D$23*'Inputs-Proposals'!$D$25*(VLOOKUP(BF$3,'Non-Embedded Emissions'!$A$56:$D$90,2,FALSE)-VLOOKUP(BF$3,'Non-Embedded Emissions'!$F$57:$H$88,2,FALSE)+VLOOKUP(BF$3,'Non-Embedded Emissions'!$A$143:$D$174,2,FALSE)-VLOOKUP(BF$3,'Non-Embedded Emissions'!$F$143:$H$174,2,FALSE)+VLOOKUP(BF$3,'Non-Embedded Emissions'!$A$230:$D$259,2,FALSE)), $C15 = "3", 'Inputs-System'!$C$30*'Coincidence Factors'!$B$9*'Inputs-Proposals'!$D$29*'Inputs-Proposals'!$D$31*(VLOOKUP(BF$3,'Non-Embedded Emissions'!$A$56:$D$90,2,FALSE)-VLOOKUP(BF$3,'Non-Embedded Emissions'!$F$57:$H$88,2,FALSE)+VLOOKUP(BF$3,'Non-Embedded Emissions'!$A$143:$D$174,2,FALSE)-VLOOKUP(BF$3,'Non-Embedded Emissions'!$F$143:$H$174,2,FALSE)+VLOOKUP(BF$3,'Non-Embedded Emissions'!$A$230:$D$259,2,FALSE)), $C15 = "0", 0), 0)</f>
        <v>0</v>
      </c>
      <c r="BL15" s="45">
        <f>IFERROR(_xlfn.IFS($C15="1",('Inputs-System'!$C$30*'Coincidence Factors'!$B$9*(1+'Inputs-System'!$C$18)*(1+'Inputs-System'!$C$41)*('Inputs-Proposals'!$D$17*'Inputs-Proposals'!$D$19*(1-'Inputs-Proposals'!$D$20^(BL$3-'Inputs-System'!$C$7)))*(VLOOKUP(BL$3,Energy!$A$51:$K$83,5,FALSE))), $C15 = "2",('Inputs-System'!$C$30*'Coincidence Factors'!$B$9)*(1+'Inputs-System'!$C$18)*(1+'Inputs-System'!$C$41)*('Inputs-Proposals'!$D$23*'Inputs-Proposals'!$D$25*(1-'Inputs-Proposals'!$D$26^(BL$3-'Inputs-System'!$C$7)))*(VLOOKUP(BL$3,Energy!$A$51:$K$83,5,FALSE)), $C15= "3", ('Inputs-System'!$C$30*'Coincidence Factors'!$B$9*(1+'Inputs-System'!$C$18)*(1+'Inputs-System'!$C$41)*('Inputs-Proposals'!$D$29*'Inputs-Proposals'!$D$31*(1-'Inputs-Proposals'!$D$32^(BL$3-'Inputs-System'!$C$7)))*(VLOOKUP(BL$3,Energy!$A$51:$K$83,5,FALSE))), $C15= "0", 0), 0)</f>
        <v>0</v>
      </c>
      <c r="BM15" s="44">
        <f>IFERROR(_xlfn.IFS($C15="1",('Inputs-System'!$C$30*'Coincidence Factors'!$B$9*(1+'Inputs-System'!$C$18)*(1+'Inputs-System'!$C$41))*'Inputs-Proposals'!$D$17*'Inputs-Proposals'!$D$19*(1-'Inputs-Proposals'!$D$20^(BL$3-'Inputs-System'!$C$7))*(VLOOKUP(BL$3,'Embedded Emissions'!$A$47:$B$78,2,FALSE)+VLOOKUP(BL$3,'Embedded Emissions'!$A$129:$B$158,2,FALSE)), $C15 = "2",('Inputs-System'!$C$30*'Coincidence Factors'!$B$9*(1+'Inputs-System'!$C$18)*(1+'Inputs-System'!$C$41))*'Inputs-Proposals'!$D$23*'Inputs-Proposals'!$D$25*(1-'Inputs-Proposals'!$D$20^(BL$3-'Inputs-System'!$C$7))*(VLOOKUP(BL$3,'Embedded Emissions'!$A$47:$B$78,2,FALSE)+VLOOKUP(BL$3,'Embedded Emissions'!$A$129:$B$158,2,FALSE)), $C15 = "3", ('Inputs-System'!$C$30*'Coincidence Factors'!$B$9*(1+'Inputs-System'!$C$18)*(1+'Inputs-System'!$C$41))*'Inputs-Proposals'!$D$29*'Inputs-Proposals'!$D$31*(1-'Inputs-Proposals'!$D$20^(BL$3-'Inputs-System'!$C$7))*(VLOOKUP(BL$3,'Embedded Emissions'!$A$47:$B$78,2,FALSE)+VLOOKUP(BL$3,'Embedded Emissions'!$A$129:$B$158,2,FALSE)), $C15 = "0", 0), 0)</f>
        <v>0</v>
      </c>
      <c r="BN15" s="44">
        <f>IFERROR(_xlfn.IFS($C15="1",( 'Inputs-System'!$C$30*'Coincidence Factors'!$B$9*(1+'Inputs-System'!$C$18)*(1+'Inputs-System'!$C$41))*('Inputs-Proposals'!$D$17*'Inputs-Proposals'!$D$19*(1-'Inputs-Proposals'!$D$20)^(BL$3-'Inputs-System'!$C$7))*(VLOOKUP(BL$3,DRIPE!$A$54:$I$82,5,FALSE)+VLOOKUP(BL$3,DRIPE!$A$54:$I$82,9,FALSE))+ ('Inputs-System'!$C$26*'Coincidence Factors'!$B$6*(1+'Inputs-System'!$C$18)*(1+'Inputs-System'!$C$42))*'Inputs-Proposals'!$D$16*VLOOKUP(BL$3,DRIPE!$A$54:$I$82,8,FALSE), $C15 = "2",( 'Inputs-System'!$C$30*'Coincidence Factors'!$B$9*(1+'Inputs-System'!$C$18)*(1+'Inputs-System'!$C$41))*('Inputs-Proposals'!$D$23*'Inputs-Proposals'!$D$25*(1-'Inputs-Proposals'!$D$26)^(BL$3-'Inputs-System'!$C$7))*(VLOOKUP(BL$3,DRIPE!$A$54:$I$82,5,FALSE)+VLOOKUP(BL$3,DRIPE!$A$54:$I$82,9,FALSE))+ ('Inputs-System'!$C$26*'Coincidence Factors'!$B$6*(1+'Inputs-System'!$C$18)*(1+'Inputs-System'!$C$42))*'Inputs-Proposals'!$D$22*VLOOKUP(BL$3,DRIPE!$A$54:$I$82,8,FALSE), $C15= "3", ( 'Inputs-System'!$C$30*'Coincidence Factors'!$B$9*(1+'Inputs-System'!$C$18)*(1+'Inputs-System'!$C$41))*('Inputs-Proposals'!$D$29*'Inputs-Proposals'!$D$31*(1-'Inputs-Proposals'!$D$32)^(BL$3-'Inputs-System'!$C$7))*(VLOOKUP(BL$3,DRIPE!$A$54:$I$82,5,FALSE)+VLOOKUP(BL$3,DRIPE!$A$54:$I$82,9,FALSE))+ ('Inputs-System'!$C$26*'Coincidence Factors'!$B$6*(1+'Inputs-System'!$C$18)*(1+'Inputs-System'!$C$42))*'Inputs-Proposals'!$D$28*VLOOKUP(BL$3,DRIPE!$A$54:$I$82,8,FALSE), $C15 = "0", 0), 0)</f>
        <v>0</v>
      </c>
      <c r="BO15" s="45">
        <f>IFERROR(_xlfn.IFS($C15="1",('Inputs-System'!$C$26*'Coincidence Factors'!$B$9*(1+'Inputs-System'!$C$18)*(1+'Inputs-System'!$C$42))*'Inputs-Proposals'!$D$16*(VLOOKUP(BL$3,Capacity!$A$53:$E$85,4,FALSE)*(1+'Inputs-System'!$C$42)+VLOOKUP(BL$3,Capacity!$A$53:$E$85,5,FALSE)*(1+'Inputs-System'!$C$43)*'Inputs-System'!$C$29), $C15 = "2", ('Inputs-System'!$C$26*'Coincidence Factors'!$B$9*(1+'Inputs-System'!$C$18))*'Inputs-Proposals'!$D$22*(VLOOKUP(BL$3,Capacity!$A$53:$E$85,4,FALSE)*(1+'Inputs-System'!$C$42)+VLOOKUP(BL$3,Capacity!$A$53:$E$85,5,FALSE)*'Inputs-System'!$C$29*(1+'Inputs-System'!$C$43)), $C15 = "3", ('Inputs-System'!$C$26*'Coincidence Factors'!$B$9*(1+'Inputs-System'!$C$18))*'Inputs-Proposals'!$D$28*(VLOOKUP(BL$3,Capacity!$A$53:$E$85,4,FALSE)*(1+'Inputs-System'!$C$42)+VLOOKUP(BL$3,Capacity!$A$53:$E$85,5,FALSE)*'Inputs-System'!$C$29*(1+'Inputs-System'!$C$43)), $C15 = "0", 0), 0)</f>
        <v>0</v>
      </c>
      <c r="BP15" s="44">
        <v>0</v>
      </c>
      <c r="BQ15" s="342">
        <f>IFERROR(_xlfn.IFS($C15="1", 'Inputs-System'!$C$30*'Coincidence Factors'!$B$9*'Inputs-Proposals'!$D$17*'Inputs-Proposals'!$D$19*(VLOOKUP(BL$3,'Non-Embedded Emissions'!$A$56:$D$90,2,FALSE)-VLOOKUP(BL$3,'Non-Embedded Emissions'!$F$57:$H$88,2,FALSE)+VLOOKUP(BL$3,'Non-Embedded Emissions'!$A$143:$D$174,2,FALSE)-VLOOKUP(BL$3,'Non-Embedded Emissions'!$F$143:$H$174,2,FALSE)+VLOOKUP(BL$3,'Non-Embedded Emissions'!$A$230:$D$259,2,FALSE)), $C15 = "2", 'Inputs-System'!$C$30*'Coincidence Factors'!$B$9*'Inputs-Proposals'!$D$23*'Inputs-Proposals'!$D$25*(VLOOKUP(BL$3,'Non-Embedded Emissions'!$A$56:$D$90,2,FALSE)-VLOOKUP(BL$3,'Non-Embedded Emissions'!$F$57:$H$88,2,FALSE)+VLOOKUP(BL$3,'Non-Embedded Emissions'!$A$143:$D$174,2,FALSE)-VLOOKUP(BL$3,'Non-Embedded Emissions'!$F$143:$H$174,2,FALSE)+VLOOKUP(BL$3,'Non-Embedded Emissions'!$A$230:$D$259,2,FALSE)), $C15 = "3", 'Inputs-System'!$C$30*'Coincidence Factors'!$B$9*'Inputs-Proposals'!$D$29*'Inputs-Proposals'!$D$31*(VLOOKUP(BL$3,'Non-Embedded Emissions'!$A$56:$D$90,2,FALSE)-VLOOKUP(BL$3,'Non-Embedded Emissions'!$F$57:$H$88,2,FALSE)+VLOOKUP(BL$3,'Non-Embedded Emissions'!$A$143:$D$174,2,FALSE)-VLOOKUP(BL$3,'Non-Embedded Emissions'!$F$143:$H$174,2,FALSE)+VLOOKUP(BL$3,'Non-Embedded Emissions'!$A$230:$D$259,2,FALSE)), $C15 = "0", 0), 0)</f>
        <v>0</v>
      </c>
      <c r="BR15" s="45">
        <f>IFERROR(_xlfn.IFS($C15="1",('Inputs-System'!$C$30*'Coincidence Factors'!$B$9*(1+'Inputs-System'!$C$18)*(1+'Inputs-System'!$C$41)*('Inputs-Proposals'!$D$17*'Inputs-Proposals'!$D$19*(1-'Inputs-Proposals'!$D$20^(BR$3-'Inputs-System'!$C$7)))*(VLOOKUP(BR$3,Energy!$A$51:$K$83,5,FALSE))), $C15 = "2",('Inputs-System'!$C$30*'Coincidence Factors'!$B$9)*(1+'Inputs-System'!$C$18)*(1+'Inputs-System'!$C$41)*('Inputs-Proposals'!$D$23*'Inputs-Proposals'!$D$25*(1-'Inputs-Proposals'!$D$26^(BR$3-'Inputs-System'!$C$7)))*(VLOOKUP(BR$3,Energy!$A$51:$K$83,5,FALSE)), $C15= "3", ('Inputs-System'!$C$30*'Coincidence Factors'!$B$9*(1+'Inputs-System'!$C$18)*(1+'Inputs-System'!$C$41)*('Inputs-Proposals'!$D$29*'Inputs-Proposals'!$D$31*(1-'Inputs-Proposals'!$D$32^(BR$3-'Inputs-System'!$C$7)))*(VLOOKUP(BR$3,Energy!$A$51:$K$83,5,FALSE))), $C15= "0", 0), 0)</f>
        <v>0</v>
      </c>
      <c r="BS15" s="44">
        <f>IFERROR(_xlfn.IFS($C15="1",('Inputs-System'!$C$30*'Coincidence Factors'!$B$9*(1+'Inputs-System'!$C$18)*(1+'Inputs-System'!$C$41))*'Inputs-Proposals'!$D$17*'Inputs-Proposals'!$D$19*(1-'Inputs-Proposals'!$D$20^(BR$3-'Inputs-System'!$C$7))*(VLOOKUP(BR$3,'Embedded Emissions'!$A$47:$B$78,2,FALSE)+VLOOKUP(BR$3,'Embedded Emissions'!$A$129:$B$158,2,FALSE)), $C15 = "2",('Inputs-System'!$C$30*'Coincidence Factors'!$B$9*(1+'Inputs-System'!$C$18)*(1+'Inputs-System'!$C$41))*'Inputs-Proposals'!$D$23*'Inputs-Proposals'!$D$25*(1-'Inputs-Proposals'!$D$20^(BR$3-'Inputs-System'!$C$7))*(VLOOKUP(BR$3,'Embedded Emissions'!$A$47:$B$78,2,FALSE)+VLOOKUP(BR$3,'Embedded Emissions'!$A$129:$B$158,2,FALSE)), $C15 = "3", ('Inputs-System'!$C$30*'Coincidence Factors'!$B$9*(1+'Inputs-System'!$C$18)*(1+'Inputs-System'!$C$41))*'Inputs-Proposals'!$D$29*'Inputs-Proposals'!$D$31*(1-'Inputs-Proposals'!$D$20^(BR$3-'Inputs-System'!$C$7))*(VLOOKUP(BR$3,'Embedded Emissions'!$A$47:$B$78,2,FALSE)+VLOOKUP(BR$3,'Embedded Emissions'!$A$129:$B$158,2,FALSE)), $C15 = "0", 0), 0)</f>
        <v>0</v>
      </c>
      <c r="BT15" s="44">
        <f>IFERROR(_xlfn.IFS($C15="1",( 'Inputs-System'!$C$30*'Coincidence Factors'!$B$9*(1+'Inputs-System'!$C$18)*(1+'Inputs-System'!$C$41))*('Inputs-Proposals'!$D$17*'Inputs-Proposals'!$D$19*(1-'Inputs-Proposals'!$D$20)^(BR$3-'Inputs-System'!$C$7))*(VLOOKUP(BR$3,DRIPE!$A$54:$I$82,5,FALSE)+VLOOKUP(BR$3,DRIPE!$A$54:$I$82,9,FALSE))+ ('Inputs-System'!$C$26*'Coincidence Factors'!$B$6*(1+'Inputs-System'!$C$18)*(1+'Inputs-System'!$C$42))*'Inputs-Proposals'!$D$16*VLOOKUP(BR$3,DRIPE!$A$54:$I$82,8,FALSE), $C15 = "2",( 'Inputs-System'!$C$30*'Coincidence Factors'!$B$9*(1+'Inputs-System'!$C$18)*(1+'Inputs-System'!$C$41))*('Inputs-Proposals'!$D$23*'Inputs-Proposals'!$D$25*(1-'Inputs-Proposals'!$D$26)^(BR$3-'Inputs-System'!$C$7))*(VLOOKUP(BR$3,DRIPE!$A$54:$I$82,5,FALSE)+VLOOKUP(BR$3,DRIPE!$A$54:$I$82,9,FALSE))+ ('Inputs-System'!$C$26*'Coincidence Factors'!$B$6*(1+'Inputs-System'!$C$18)*(1+'Inputs-System'!$C$42))*'Inputs-Proposals'!$D$22*VLOOKUP(BR$3,DRIPE!$A$54:$I$82,8,FALSE), $C15= "3", ( 'Inputs-System'!$C$30*'Coincidence Factors'!$B$9*(1+'Inputs-System'!$C$18)*(1+'Inputs-System'!$C$41))*('Inputs-Proposals'!$D$29*'Inputs-Proposals'!$D$31*(1-'Inputs-Proposals'!$D$32)^(BR$3-'Inputs-System'!$C$7))*(VLOOKUP(BR$3,DRIPE!$A$54:$I$82,5,FALSE)+VLOOKUP(BR$3,DRIPE!$A$54:$I$82,9,FALSE))+ ('Inputs-System'!$C$26*'Coincidence Factors'!$B$6*(1+'Inputs-System'!$C$18)*(1+'Inputs-System'!$C$42))*'Inputs-Proposals'!$D$28*VLOOKUP(BR$3,DRIPE!$A$54:$I$82,8,FALSE), $C15 = "0", 0), 0)</f>
        <v>0</v>
      </c>
      <c r="BU15" s="45">
        <f>IFERROR(_xlfn.IFS($C15="1",('Inputs-System'!$C$26*'Coincidence Factors'!$B$9*(1+'Inputs-System'!$C$18)*(1+'Inputs-System'!$C$42))*'Inputs-Proposals'!$D$16*(VLOOKUP(BR$3,Capacity!$A$53:$E$85,4,FALSE)*(1+'Inputs-System'!$C$42)+VLOOKUP(BR$3,Capacity!$A$53:$E$85,5,FALSE)*(1+'Inputs-System'!$C$43)*'Inputs-System'!$C$29), $C15 = "2", ('Inputs-System'!$C$26*'Coincidence Factors'!$B$9*(1+'Inputs-System'!$C$18))*'Inputs-Proposals'!$D$22*(VLOOKUP(BR$3,Capacity!$A$53:$E$85,4,FALSE)*(1+'Inputs-System'!$C$42)+VLOOKUP(BR$3,Capacity!$A$53:$E$85,5,FALSE)*'Inputs-System'!$C$29*(1+'Inputs-System'!$C$43)), $C15 = "3", ('Inputs-System'!$C$26*'Coincidence Factors'!$B$9*(1+'Inputs-System'!$C$18))*'Inputs-Proposals'!$D$28*(VLOOKUP(BR$3,Capacity!$A$53:$E$85,4,FALSE)*(1+'Inputs-System'!$C$42)+VLOOKUP(BR$3,Capacity!$A$53:$E$85,5,FALSE)*'Inputs-System'!$C$29*(1+'Inputs-System'!$C$43)), $C15 = "0", 0), 0)</f>
        <v>0</v>
      </c>
      <c r="BV15" s="44">
        <v>0</v>
      </c>
      <c r="BW15" s="342">
        <f>IFERROR(_xlfn.IFS($C15="1", 'Inputs-System'!$C$30*'Coincidence Factors'!$B$9*'Inputs-Proposals'!$D$17*'Inputs-Proposals'!$D$19*(VLOOKUP(BR$3,'Non-Embedded Emissions'!$A$56:$D$90,2,FALSE)-VLOOKUP(BR$3,'Non-Embedded Emissions'!$F$57:$H$88,2,FALSE)+VLOOKUP(BR$3,'Non-Embedded Emissions'!$A$143:$D$174,2,FALSE)-VLOOKUP(BR$3,'Non-Embedded Emissions'!$F$143:$H$174,2,FALSE)+VLOOKUP(BR$3,'Non-Embedded Emissions'!$A$230:$D$259,2,FALSE)), $C15 = "2", 'Inputs-System'!$C$30*'Coincidence Factors'!$B$9*'Inputs-Proposals'!$D$23*'Inputs-Proposals'!$D$25*(VLOOKUP(BR$3,'Non-Embedded Emissions'!$A$56:$D$90,2,FALSE)-VLOOKUP(BR$3,'Non-Embedded Emissions'!$F$57:$H$88,2,FALSE)+VLOOKUP(BR$3,'Non-Embedded Emissions'!$A$143:$D$174,2,FALSE)-VLOOKUP(BR$3,'Non-Embedded Emissions'!$F$143:$H$174,2,FALSE)+VLOOKUP(BR$3,'Non-Embedded Emissions'!$A$230:$D$259,2,FALSE)), $C15 = "3", 'Inputs-System'!$C$30*'Coincidence Factors'!$B$9*'Inputs-Proposals'!$D$29*'Inputs-Proposals'!$D$31*(VLOOKUP(BR$3,'Non-Embedded Emissions'!$A$56:$D$90,2,FALSE)-VLOOKUP(BR$3,'Non-Embedded Emissions'!$F$57:$H$88,2,FALSE)+VLOOKUP(BR$3,'Non-Embedded Emissions'!$A$143:$D$174,2,FALSE)-VLOOKUP(BR$3,'Non-Embedded Emissions'!$F$143:$H$174,2,FALSE)+VLOOKUP(BR$3,'Non-Embedded Emissions'!$A$230:$D$259,2,FALSE)), $C15 = "0", 0), 0)</f>
        <v>0</v>
      </c>
      <c r="BX15" s="45">
        <f>IFERROR(_xlfn.IFS($C15="1",('Inputs-System'!$C$30*'Coincidence Factors'!$B$9*(1+'Inputs-System'!$C$18)*(1+'Inputs-System'!$C$41)*('Inputs-Proposals'!$D$17*'Inputs-Proposals'!$D$19*(1-'Inputs-Proposals'!$D$20^(BX$3-'Inputs-System'!$C$7)))*(VLOOKUP(BX$3,Energy!$A$51:$K$83,5,FALSE))), $C15 = "2",('Inputs-System'!$C$30*'Coincidence Factors'!$B$9)*(1+'Inputs-System'!$C$18)*(1+'Inputs-System'!$C$41)*('Inputs-Proposals'!$D$23*'Inputs-Proposals'!$D$25*(1-'Inputs-Proposals'!$D$26^(BX$3-'Inputs-System'!$C$7)))*(VLOOKUP(BX$3,Energy!$A$51:$K$83,5,FALSE)), $C15= "3", ('Inputs-System'!$C$30*'Coincidence Factors'!$B$9*(1+'Inputs-System'!$C$18)*(1+'Inputs-System'!$C$41)*('Inputs-Proposals'!$D$29*'Inputs-Proposals'!$D$31*(1-'Inputs-Proposals'!$D$32^(BX$3-'Inputs-System'!$C$7)))*(VLOOKUP(BX$3,Energy!$A$51:$K$83,5,FALSE))), $C15= "0", 0), 0)</f>
        <v>0</v>
      </c>
      <c r="BY15" s="44">
        <f>IFERROR(_xlfn.IFS($C15="1",('Inputs-System'!$C$30*'Coincidence Factors'!$B$9*(1+'Inputs-System'!$C$18)*(1+'Inputs-System'!$C$41))*'Inputs-Proposals'!$D$17*'Inputs-Proposals'!$D$19*(1-'Inputs-Proposals'!$D$20^(BX$3-'Inputs-System'!$C$7))*(VLOOKUP(BX$3,'Embedded Emissions'!$A$47:$B$78,2,FALSE)+VLOOKUP(BX$3,'Embedded Emissions'!$A$129:$B$158,2,FALSE)), $C15 = "2",('Inputs-System'!$C$30*'Coincidence Factors'!$B$9*(1+'Inputs-System'!$C$18)*(1+'Inputs-System'!$C$41))*'Inputs-Proposals'!$D$23*'Inputs-Proposals'!$D$25*(1-'Inputs-Proposals'!$D$20^(BX$3-'Inputs-System'!$C$7))*(VLOOKUP(BX$3,'Embedded Emissions'!$A$47:$B$78,2,FALSE)+VLOOKUP(BX$3,'Embedded Emissions'!$A$129:$B$158,2,FALSE)), $C15 = "3", ('Inputs-System'!$C$30*'Coincidence Factors'!$B$9*(1+'Inputs-System'!$C$18)*(1+'Inputs-System'!$C$41))*'Inputs-Proposals'!$D$29*'Inputs-Proposals'!$D$31*(1-'Inputs-Proposals'!$D$20^(BX$3-'Inputs-System'!$C$7))*(VLOOKUP(BX$3,'Embedded Emissions'!$A$47:$B$78,2,FALSE)+VLOOKUP(BX$3,'Embedded Emissions'!$A$129:$B$158,2,FALSE)), $C15 = "0", 0), 0)</f>
        <v>0</v>
      </c>
      <c r="BZ15" s="44">
        <f>IFERROR(_xlfn.IFS($C15="1",( 'Inputs-System'!$C$30*'Coincidence Factors'!$B$9*(1+'Inputs-System'!$C$18)*(1+'Inputs-System'!$C$41))*('Inputs-Proposals'!$D$17*'Inputs-Proposals'!$D$19*(1-'Inputs-Proposals'!$D$20)^(BX$3-'Inputs-System'!$C$7))*(VLOOKUP(BX$3,DRIPE!$A$54:$I$82,5,FALSE)+VLOOKUP(BX$3,DRIPE!$A$54:$I$82,9,FALSE))+ ('Inputs-System'!$C$26*'Coincidence Factors'!$B$6*(1+'Inputs-System'!$C$18)*(1+'Inputs-System'!$C$42))*'Inputs-Proposals'!$D$16*VLOOKUP(BX$3,DRIPE!$A$54:$I$82,8,FALSE), $C15 = "2",( 'Inputs-System'!$C$30*'Coincidence Factors'!$B$9*(1+'Inputs-System'!$C$18)*(1+'Inputs-System'!$C$41))*('Inputs-Proposals'!$D$23*'Inputs-Proposals'!$D$25*(1-'Inputs-Proposals'!$D$26)^(BX$3-'Inputs-System'!$C$7))*(VLOOKUP(BX$3,DRIPE!$A$54:$I$82,5,FALSE)+VLOOKUP(BX$3,DRIPE!$A$54:$I$82,9,FALSE))+ ('Inputs-System'!$C$26*'Coincidence Factors'!$B$6*(1+'Inputs-System'!$C$18)*(1+'Inputs-System'!$C$42))*'Inputs-Proposals'!$D$22*VLOOKUP(BX$3,DRIPE!$A$54:$I$82,8,FALSE), $C15= "3", ( 'Inputs-System'!$C$30*'Coincidence Factors'!$B$9*(1+'Inputs-System'!$C$18)*(1+'Inputs-System'!$C$41))*('Inputs-Proposals'!$D$29*'Inputs-Proposals'!$D$31*(1-'Inputs-Proposals'!$D$32)^(BX$3-'Inputs-System'!$C$7))*(VLOOKUP(BX$3,DRIPE!$A$54:$I$82,5,FALSE)+VLOOKUP(BX$3,DRIPE!$A$54:$I$82,9,FALSE))+ ('Inputs-System'!$C$26*'Coincidence Factors'!$B$6*(1+'Inputs-System'!$C$18)*(1+'Inputs-System'!$C$42))*'Inputs-Proposals'!$D$28*VLOOKUP(BX$3,DRIPE!$A$54:$I$82,8,FALSE), $C15 = "0", 0), 0)</f>
        <v>0</v>
      </c>
      <c r="CA15" s="45">
        <f>IFERROR(_xlfn.IFS($C15="1",('Inputs-System'!$C$26*'Coincidence Factors'!$B$9*(1+'Inputs-System'!$C$18)*(1+'Inputs-System'!$C$42))*'Inputs-Proposals'!$D$16*(VLOOKUP(BX$3,Capacity!$A$53:$E$85,4,FALSE)*(1+'Inputs-System'!$C$42)+VLOOKUP(BX$3,Capacity!$A$53:$E$85,5,FALSE)*(1+'Inputs-System'!$C$43)*'Inputs-System'!$C$29), $C15 = "2", ('Inputs-System'!$C$26*'Coincidence Factors'!$B$9*(1+'Inputs-System'!$C$18))*'Inputs-Proposals'!$D$22*(VLOOKUP(BX$3,Capacity!$A$53:$E$85,4,FALSE)*(1+'Inputs-System'!$C$42)+VLOOKUP(BX$3,Capacity!$A$53:$E$85,5,FALSE)*'Inputs-System'!$C$29*(1+'Inputs-System'!$C$43)), $C15 = "3", ('Inputs-System'!$C$26*'Coincidence Factors'!$B$9*(1+'Inputs-System'!$C$18))*'Inputs-Proposals'!$D$28*(VLOOKUP(BX$3,Capacity!$A$53:$E$85,4,FALSE)*(1+'Inputs-System'!$C$42)+VLOOKUP(BX$3,Capacity!$A$53:$E$85,5,FALSE)*'Inputs-System'!$C$29*(1+'Inputs-System'!$C$43)), $C15 = "0", 0), 0)</f>
        <v>0</v>
      </c>
      <c r="CB15" s="44">
        <v>0</v>
      </c>
      <c r="CC15" s="342">
        <f>IFERROR(_xlfn.IFS($C15="1", 'Inputs-System'!$C$30*'Coincidence Factors'!$B$9*'Inputs-Proposals'!$D$17*'Inputs-Proposals'!$D$19*(VLOOKUP(BX$3,'Non-Embedded Emissions'!$A$56:$D$90,2,FALSE)-VLOOKUP(BX$3,'Non-Embedded Emissions'!$F$57:$H$88,2,FALSE)+VLOOKUP(BX$3,'Non-Embedded Emissions'!$A$143:$D$174,2,FALSE)-VLOOKUP(BX$3,'Non-Embedded Emissions'!$F$143:$H$174,2,FALSE)+VLOOKUP(BX$3,'Non-Embedded Emissions'!$A$230:$D$259,2,FALSE)), $C15 = "2", 'Inputs-System'!$C$30*'Coincidence Factors'!$B$9*'Inputs-Proposals'!$D$23*'Inputs-Proposals'!$D$25*(VLOOKUP(BX$3,'Non-Embedded Emissions'!$A$56:$D$90,2,FALSE)-VLOOKUP(BX$3,'Non-Embedded Emissions'!$F$57:$H$88,2,FALSE)+VLOOKUP(BX$3,'Non-Embedded Emissions'!$A$143:$D$174,2,FALSE)-VLOOKUP(BX$3,'Non-Embedded Emissions'!$F$143:$H$174,2,FALSE)+VLOOKUP(BX$3,'Non-Embedded Emissions'!$A$230:$D$259,2,FALSE)), $C15 = "3", 'Inputs-System'!$C$30*'Coincidence Factors'!$B$9*'Inputs-Proposals'!$D$29*'Inputs-Proposals'!$D$31*(VLOOKUP(BX$3,'Non-Embedded Emissions'!$A$56:$D$90,2,FALSE)-VLOOKUP(BX$3,'Non-Embedded Emissions'!$F$57:$H$88,2,FALSE)+VLOOKUP(BX$3,'Non-Embedded Emissions'!$A$143:$D$174,2,FALSE)-VLOOKUP(BX$3,'Non-Embedded Emissions'!$F$143:$H$174,2,FALSE)+VLOOKUP(BX$3,'Non-Embedded Emissions'!$A$230:$D$259,2,FALSE)), $C15 = "0", 0), 0)</f>
        <v>0</v>
      </c>
      <c r="CD15" s="45">
        <f>IFERROR(_xlfn.IFS($C15="1",('Inputs-System'!$C$30*'Coincidence Factors'!$B$9*(1+'Inputs-System'!$C$18)*(1+'Inputs-System'!$C$41)*('Inputs-Proposals'!$D$17*'Inputs-Proposals'!$D$19*(1-'Inputs-Proposals'!$D$20^(CD$3-'Inputs-System'!$C$7)))*(VLOOKUP(CD$3,Energy!$A$51:$K$83,5,FALSE))), $C15 = "2",('Inputs-System'!$C$30*'Coincidence Factors'!$B$9)*(1+'Inputs-System'!$C$18)*(1+'Inputs-System'!$C$41)*('Inputs-Proposals'!$D$23*'Inputs-Proposals'!$D$25*(1-'Inputs-Proposals'!$D$26^(CD$3-'Inputs-System'!$C$7)))*(VLOOKUP(CD$3,Energy!$A$51:$K$83,5,FALSE)), $C15= "3", ('Inputs-System'!$C$30*'Coincidence Factors'!$B$9*(1+'Inputs-System'!$C$18)*(1+'Inputs-System'!$C$41)*('Inputs-Proposals'!$D$29*'Inputs-Proposals'!$D$31*(1-'Inputs-Proposals'!$D$32^(CD$3-'Inputs-System'!$C$7)))*(VLOOKUP(CD$3,Energy!$A$51:$K$83,5,FALSE))), $C15= "0", 0), 0)</f>
        <v>0</v>
      </c>
      <c r="CE15" s="44">
        <f>IFERROR(_xlfn.IFS($C15="1",('Inputs-System'!$C$30*'Coincidence Factors'!$B$9*(1+'Inputs-System'!$C$18)*(1+'Inputs-System'!$C$41))*'Inputs-Proposals'!$D$17*'Inputs-Proposals'!$D$19*(1-'Inputs-Proposals'!$D$20^(CD$3-'Inputs-System'!$C$7))*(VLOOKUP(CD$3,'Embedded Emissions'!$A$47:$B$78,2,FALSE)+VLOOKUP(CD$3,'Embedded Emissions'!$A$129:$B$158,2,FALSE)), $C15 = "2",('Inputs-System'!$C$30*'Coincidence Factors'!$B$9*(1+'Inputs-System'!$C$18)*(1+'Inputs-System'!$C$41))*'Inputs-Proposals'!$D$23*'Inputs-Proposals'!$D$25*(1-'Inputs-Proposals'!$D$20^(CD$3-'Inputs-System'!$C$7))*(VLOOKUP(CD$3,'Embedded Emissions'!$A$47:$B$78,2,FALSE)+VLOOKUP(CD$3,'Embedded Emissions'!$A$129:$B$158,2,FALSE)), $C15 = "3", ('Inputs-System'!$C$30*'Coincidence Factors'!$B$9*(1+'Inputs-System'!$C$18)*(1+'Inputs-System'!$C$41))*'Inputs-Proposals'!$D$29*'Inputs-Proposals'!$D$31*(1-'Inputs-Proposals'!$D$20^(CD$3-'Inputs-System'!$C$7))*(VLOOKUP(CD$3,'Embedded Emissions'!$A$47:$B$78,2,FALSE)+VLOOKUP(CD$3,'Embedded Emissions'!$A$129:$B$158,2,FALSE)), $C15 = "0", 0), 0)</f>
        <v>0</v>
      </c>
      <c r="CF15" s="44">
        <f>IFERROR(_xlfn.IFS($C15="1",( 'Inputs-System'!$C$30*'Coincidence Factors'!$B$9*(1+'Inputs-System'!$C$18)*(1+'Inputs-System'!$C$41))*('Inputs-Proposals'!$D$17*'Inputs-Proposals'!$D$19*(1-'Inputs-Proposals'!$D$20)^(CD$3-'Inputs-System'!$C$7))*(VLOOKUP(CD$3,DRIPE!$A$54:$I$82,5,FALSE)+VLOOKUP(CD$3,DRIPE!$A$54:$I$82,9,FALSE))+ ('Inputs-System'!$C$26*'Coincidence Factors'!$B$6*(1+'Inputs-System'!$C$18)*(1+'Inputs-System'!$C$42))*'Inputs-Proposals'!$D$16*VLOOKUP(CD$3,DRIPE!$A$54:$I$82,8,FALSE), $C15 = "2",( 'Inputs-System'!$C$30*'Coincidence Factors'!$B$9*(1+'Inputs-System'!$C$18)*(1+'Inputs-System'!$C$41))*('Inputs-Proposals'!$D$23*'Inputs-Proposals'!$D$25*(1-'Inputs-Proposals'!$D$26)^(CD$3-'Inputs-System'!$C$7))*(VLOOKUP(CD$3,DRIPE!$A$54:$I$82,5,FALSE)+VLOOKUP(CD$3,DRIPE!$A$54:$I$82,9,FALSE))+ ('Inputs-System'!$C$26*'Coincidence Factors'!$B$6*(1+'Inputs-System'!$C$18)*(1+'Inputs-System'!$C$42))*'Inputs-Proposals'!$D$22*VLOOKUP(CD$3,DRIPE!$A$54:$I$82,8,FALSE), $C15= "3", ( 'Inputs-System'!$C$30*'Coincidence Factors'!$B$9*(1+'Inputs-System'!$C$18)*(1+'Inputs-System'!$C$41))*('Inputs-Proposals'!$D$29*'Inputs-Proposals'!$D$31*(1-'Inputs-Proposals'!$D$32)^(CD$3-'Inputs-System'!$C$7))*(VLOOKUP(CD$3,DRIPE!$A$54:$I$82,5,FALSE)+VLOOKUP(CD$3,DRIPE!$A$54:$I$82,9,FALSE))+ ('Inputs-System'!$C$26*'Coincidence Factors'!$B$6*(1+'Inputs-System'!$C$18)*(1+'Inputs-System'!$C$42))*'Inputs-Proposals'!$D$28*VLOOKUP(CD$3,DRIPE!$A$54:$I$82,8,FALSE), $C15 = "0", 0), 0)</f>
        <v>0</v>
      </c>
      <c r="CG15" s="45">
        <f>IFERROR(_xlfn.IFS($C15="1",('Inputs-System'!$C$26*'Coincidence Factors'!$B$9*(1+'Inputs-System'!$C$18)*(1+'Inputs-System'!$C$42))*'Inputs-Proposals'!$D$16*(VLOOKUP(CD$3,Capacity!$A$53:$E$85,4,FALSE)*(1+'Inputs-System'!$C$42)+VLOOKUP(CD$3,Capacity!$A$53:$E$85,5,FALSE)*(1+'Inputs-System'!$C$43)*'Inputs-System'!$C$29), $C15 = "2", ('Inputs-System'!$C$26*'Coincidence Factors'!$B$9*(1+'Inputs-System'!$C$18))*'Inputs-Proposals'!$D$22*(VLOOKUP(CD$3,Capacity!$A$53:$E$85,4,FALSE)*(1+'Inputs-System'!$C$42)+VLOOKUP(CD$3,Capacity!$A$53:$E$85,5,FALSE)*'Inputs-System'!$C$29*(1+'Inputs-System'!$C$43)), $C15 = "3", ('Inputs-System'!$C$26*'Coincidence Factors'!$B$9*(1+'Inputs-System'!$C$18))*'Inputs-Proposals'!$D$28*(VLOOKUP(CD$3,Capacity!$A$53:$E$85,4,FALSE)*(1+'Inputs-System'!$C$42)+VLOOKUP(CD$3,Capacity!$A$53:$E$85,5,FALSE)*'Inputs-System'!$C$29*(1+'Inputs-System'!$C$43)), $C15 = "0", 0), 0)</f>
        <v>0</v>
      </c>
      <c r="CH15" s="44">
        <v>0</v>
      </c>
      <c r="CI15" s="342">
        <f>IFERROR(_xlfn.IFS($C15="1", 'Inputs-System'!$C$30*'Coincidence Factors'!$B$9*'Inputs-Proposals'!$D$17*'Inputs-Proposals'!$D$19*(VLOOKUP(CD$3,'Non-Embedded Emissions'!$A$56:$D$90,2,FALSE)-VLOOKUP(CD$3,'Non-Embedded Emissions'!$F$57:$H$88,2,FALSE)+VLOOKUP(CD$3,'Non-Embedded Emissions'!$A$143:$D$174,2,FALSE)-VLOOKUP(CD$3,'Non-Embedded Emissions'!$F$143:$H$174,2,FALSE)+VLOOKUP(CD$3,'Non-Embedded Emissions'!$A$230:$D$259,2,FALSE)), $C15 = "2", 'Inputs-System'!$C$30*'Coincidence Factors'!$B$9*'Inputs-Proposals'!$D$23*'Inputs-Proposals'!$D$25*(VLOOKUP(CD$3,'Non-Embedded Emissions'!$A$56:$D$90,2,FALSE)-VLOOKUP(CD$3,'Non-Embedded Emissions'!$F$57:$H$88,2,FALSE)+VLOOKUP(CD$3,'Non-Embedded Emissions'!$A$143:$D$174,2,FALSE)-VLOOKUP(CD$3,'Non-Embedded Emissions'!$F$143:$H$174,2,FALSE)+VLOOKUP(CD$3,'Non-Embedded Emissions'!$A$230:$D$259,2,FALSE)), $C15 = "3", 'Inputs-System'!$C$30*'Coincidence Factors'!$B$9*'Inputs-Proposals'!$D$29*'Inputs-Proposals'!$D$31*(VLOOKUP(CD$3,'Non-Embedded Emissions'!$A$56:$D$90,2,FALSE)-VLOOKUP(CD$3,'Non-Embedded Emissions'!$F$57:$H$88,2,FALSE)+VLOOKUP(CD$3,'Non-Embedded Emissions'!$A$143:$D$174,2,FALSE)-VLOOKUP(CD$3,'Non-Embedded Emissions'!$F$143:$H$174,2,FALSE)+VLOOKUP(CD$3,'Non-Embedded Emissions'!$A$230:$D$259,2,FALSE)), $C15 = "0", 0), 0)</f>
        <v>0</v>
      </c>
      <c r="CJ15" s="45">
        <f>IFERROR(_xlfn.IFS($C15="1",('Inputs-System'!$C$30*'Coincidence Factors'!$B$9*(1+'Inputs-System'!$C$18)*(1+'Inputs-System'!$C$41)*('Inputs-Proposals'!$D$17*'Inputs-Proposals'!$D$19*(1-'Inputs-Proposals'!$D$20^(CJ$3-'Inputs-System'!$C$7)))*(VLOOKUP(CJ$3,Energy!$A$51:$K$83,5,FALSE))), $C15 = "2",('Inputs-System'!$C$30*'Coincidence Factors'!$B$9)*(1+'Inputs-System'!$C$18)*(1+'Inputs-System'!$C$41)*('Inputs-Proposals'!$D$23*'Inputs-Proposals'!$D$25*(1-'Inputs-Proposals'!$D$26^(CJ$3-'Inputs-System'!$C$7)))*(VLOOKUP(CJ$3,Energy!$A$51:$K$83,5,FALSE)), $C15= "3", ('Inputs-System'!$C$30*'Coincidence Factors'!$B$9*(1+'Inputs-System'!$C$18)*(1+'Inputs-System'!$C$41)*('Inputs-Proposals'!$D$29*'Inputs-Proposals'!$D$31*(1-'Inputs-Proposals'!$D$32^(CJ$3-'Inputs-System'!$C$7)))*(VLOOKUP(CJ$3,Energy!$A$51:$K$83,5,FALSE))), $C15= "0", 0), 0)</f>
        <v>0</v>
      </c>
      <c r="CK15" s="44">
        <f>IFERROR(_xlfn.IFS($C15="1",('Inputs-System'!$C$30*'Coincidence Factors'!$B$9*(1+'Inputs-System'!$C$18)*(1+'Inputs-System'!$C$41))*'Inputs-Proposals'!$D$17*'Inputs-Proposals'!$D$19*(1-'Inputs-Proposals'!$D$20^(CJ$3-'Inputs-System'!$C$7))*(VLOOKUP(CJ$3,'Embedded Emissions'!$A$47:$B$78,2,FALSE)+VLOOKUP(CJ$3,'Embedded Emissions'!$A$129:$B$158,2,FALSE)), $C15 = "2",('Inputs-System'!$C$30*'Coincidence Factors'!$B$9*(1+'Inputs-System'!$C$18)*(1+'Inputs-System'!$C$41))*'Inputs-Proposals'!$D$23*'Inputs-Proposals'!$D$25*(1-'Inputs-Proposals'!$D$20^(CJ$3-'Inputs-System'!$C$7))*(VLOOKUP(CJ$3,'Embedded Emissions'!$A$47:$B$78,2,FALSE)+VLOOKUP(CJ$3,'Embedded Emissions'!$A$129:$B$158,2,FALSE)), $C15 = "3", ('Inputs-System'!$C$30*'Coincidence Factors'!$B$9*(1+'Inputs-System'!$C$18)*(1+'Inputs-System'!$C$41))*'Inputs-Proposals'!$D$29*'Inputs-Proposals'!$D$31*(1-'Inputs-Proposals'!$D$20^(CJ$3-'Inputs-System'!$C$7))*(VLOOKUP(CJ$3,'Embedded Emissions'!$A$47:$B$78,2,FALSE)+VLOOKUP(CJ$3,'Embedded Emissions'!$A$129:$B$158,2,FALSE)), $C15 = "0", 0), 0)</f>
        <v>0</v>
      </c>
      <c r="CL15" s="44">
        <f>IFERROR(_xlfn.IFS($C15="1",( 'Inputs-System'!$C$30*'Coincidence Factors'!$B$9*(1+'Inputs-System'!$C$18)*(1+'Inputs-System'!$C$41))*('Inputs-Proposals'!$D$17*'Inputs-Proposals'!$D$19*(1-'Inputs-Proposals'!$D$20)^(CJ$3-'Inputs-System'!$C$7))*(VLOOKUP(CJ$3,DRIPE!$A$54:$I$82,5,FALSE)+VLOOKUP(CJ$3,DRIPE!$A$54:$I$82,9,FALSE))+ ('Inputs-System'!$C$26*'Coincidence Factors'!$B$6*(1+'Inputs-System'!$C$18)*(1+'Inputs-System'!$C$42))*'Inputs-Proposals'!$D$16*VLOOKUP(CJ$3,DRIPE!$A$54:$I$82,8,FALSE), $C15 = "2",( 'Inputs-System'!$C$30*'Coincidence Factors'!$B$9*(1+'Inputs-System'!$C$18)*(1+'Inputs-System'!$C$41))*('Inputs-Proposals'!$D$23*'Inputs-Proposals'!$D$25*(1-'Inputs-Proposals'!$D$26)^(CJ$3-'Inputs-System'!$C$7))*(VLOOKUP(CJ$3,DRIPE!$A$54:$I$82,5,FALSE)+VLOOKUP(CJ$3,DRIPE!$A$54:$I$82,9,FALSE))+ ('Inputs-System'!$C$26*'Coincidence Factors'!$B$6*(1+'Inputs-System'!$C$18)*(1+'Inputs-System'!$C$42))*'Inputs-Proposals'!$D$22*VLOOKUP(CJ$3,DRIPE!$A$54:$I$82,8,FALSE), $C15= "3", ( 'Inputs-System'!$C$30*'Coincidence Factors'!$B$9*(1+'Inputs-System'!$C$18)*(1+'Inputs-System'!$C$41))*('Inputs-Proposals'!$D$29*'Inputs-Proposals'!$D$31*(1-'Inputs-Proposals'!$D$32)^(CJ$3-'Inputs-System'!$C$7))*(VLOOKUP(CJ$3,DRIPE!$A$54:$I$82,5,FALSE)+VLOOKUP(CJ$3,DRIPE!$A$54:$I$82,9,FALSE))+ ('Inputs-System'!$C$26*'Coincidence Factors'!$B$6*(1+'Inputs-System'!$C$18)*(1+'Inputs-System'!$C$42))*'Inputs-Proposals'!$D$28*VLOOKUP(CJ$3,DRIPE!$A$54:$I$82,8,FALSE), $C15 = "0", 0), 0)</f>
        <v>0</v>
      </c>
      <c r="CM15" s="45">
        <f>IFERROR(_xlfn.IFS($C15="1",('Inputs-System'!$C$26*'Coincidence Factors'!$B$9*(1+'Inputs-System'!$C$18)*(1+'Inputs-System'!$C$42))*'Inputs-Proposals'!$D$16*(VLOOKUP(CJ$3,Capacity!$A$53:$E$85,4,FALSE)*(1+'Inputs-System'!$C$42)+VLOOKUP(CJ$3,Capacity!$A$53:$E$85,5,FALSE)*(1+'Inputs-System'!$C$43)*'Inputs-System'!$C$29), $C15 = "2", ('Inputs-System'!$C$26*'Coincidence Factors'!$B$9*(1+'Inputs-System'!$C$18))*'Inputs-Proposals'!$D$22*(VLOOKUP(CJ$3,Capacity!$A$53:$E$85,4,FALSE)*(1+'Inputs-System'!$C$42)+VLOOKUP(CJ$3,Capacity!$A$53:$E$85,5,FALSE)*'Inputs-System'!$C$29*(1+'Inputs-System'!$C$43)), $C15 = "3", ('Inputs-System'!$C$26*'Coincidence Factors'!$B$9*(1+'Inputs-System'!$C$18))*'Inputs-Proposals'!$D$28*(VLOOKUP(CJ$3,Capacity!$A$53:$E$85,4,FALSE)*(1+'Inputs-System'!$C$42)+VLOOKUP(CJ$3,Capacity!$A$53:$E$85,5,FALSE)*'Inputs-System'!$C$29*(1+'Inputs-System'!$C$43)), $C15 = "0", 0), 0)</f>
        <v>0</v>
      </c>
      <c r="CN15" s="44">
        <v>0</v>
      </c>
      <c r="CO15" s="342">
        <f>IFERROR(_xlfn.IFS($C15="1", 'Inputs-System'!$C$30*'Coincidence Factors'!$B$9*'Inputs-Proposals'!$D$17*'Inputs-Proposals'!$D$19*(VLOOKUP(CJ$3,'Non-Embedded Emissions'!$A$56:$D$90,2,FALSE)-VLOOKUP(CJ$3,'Non-Embedded Emissions'!$F$57:$H$88,2,FALSE)+VLOOKUP(CJ$3,'Non-Embedded Emissions'!$A$143:$D$174,2,FALSE)-VLOOKUP(CJ$3,'Non-Embedded Emissions'!$F$143:$H$174,2,FALSE)+VLOOKUP(CJ$3,'Non-Embedded Emissions'!$A$230:$D$259,2,FALSE)), $C15 = "2", 'Inputs-System'!$C$30*'Coincidence Factors'!$B$9*'Inputs-Proposals'!$D$23*'Inputs-Proposals'!$D$25*(VLOOKUP(CJ$3,'Non-Embedded Emissions'!$A$56:$D$90,2,FALSE)-VLOOKUP(CJ$3,'Non-Embedded Emissions'!$F$57:$H$88,2,FALSE)+VLOOKUP(CJ$3,'Non-Embedded Emissions'!$A$143:$D$174,2,FALSE)-VLOOKUP(CJ$3,'Non-Embedded Emissions'!$F$143:$H$174,2,FALSE)+VLOOKUP(CJ$3,'Non-Embedded Emissions'!$A$230:$D$259,2,FALSE)), $C15 = "3", 'Inputs-System'!$C$30*'Coincidence Factors'!$B$9*'Inputs-Proposals'!$D$29*'Inputs-Proposals'!$D$31*(VLOOKUP(CJ$3,'Non-Embedded Emissions'!$A$56:$D$90,2,FALSE)-VLOOKUP(CJ$3,'Non-Embedded Emissions'!$F$57:$H$88,2,FALSE)+VLOOKUP(CJ$3,'Non-Embedded Emissions'!$A$143:$D$174,2,FALSE)-VLOOKUP(CJ$3,'Non-Embedded Emissions'!$F$143:$H$174,2,FALSE)+VLOOKUP(CJ$3,'Non-Embedded Emissions'!$A$230:$D$259,2,FALSE)), $C15 = "0", 0), 0)</f>
        <v>0</v>
      </c>
      <c r="CP15" s="45">
        <f>IFERROR(_xlfn.IFS($C15="1",('Inputs-System'!$C$30*'Coincidence Factors'!$B$9*(1+'Inputs-System'!$C$18)*(1+'Inputs-System'!$C$41)*('Inputs-Proposals'!$D$17*'Inputs-Proposals'!$D$19*(1-'Inputs-Proposals'!$D$20^(CP$3-'Inputs-System'!$C$7)))*(VLOOKUP(CP$3,Energy!$A$51:$K$83,5,FALSE))), $C15 = "2",('Inputs-System'!$C$30*'Coincidence Factors'!$B$9)*(1+'Inputs-System'!$C$18)*(1+'Inputs-System'!$C$41)*('Inputs-Proposals'!$D$23*'Inputs-Proposals'!$D$25*(1-'Inputs-Proposals'!$D$26^(CP$3-'Inputs-System'!$C$7)))*(VLOOKUP(CP$3,Energy!$A$51:$K$83,5,FALSE)), $C15= "3", ('Inputs-System'!$C$30*'Coincidence Factors'!$B$9*(1+'Inputs-System'!$C$18)*(1+'Inputs-System'!$C$41)*('Inputs-Proposals'!$D$29*'Inputs-Proposals'!$D$31*(1-'Inputs-Proposals'!$D$32^(CP$3-'Inputs-System'!$C$7)))*(VLOOKUP(CP$3,Energy!$A$51:$K$83,5,FALSE))), $C15= "0", 0), 0)</f>
        <v>0</v>
      </c>
      <c r="CQ15" s="44">
        <f>IFERROR(_xlfn.IFS($C15="1",('Inputs-System'!$C$30*'Coincidence Factors'!$B$9*(1+'Inputs-System'!$C$18)*(1+'Inputs-System'!$C$41))*'Inputs-Proposals'!$D$17*'Inputs-Proposals'!$D$19*(1-'Inputs-Proposals'!$D$20^(CP$3-'Inputs-System'!$C$7))*(VLOOKUP(CP$3,'Embedded Emissions'!$A$47:$B$78,2,FALSE)+VLOOKUP(CP$3,'Embedded Emissions'!$A$129:$B$158,2,FALSE)), $C15 = "2",('Inputs-System'!$C$30*'Coincidence Factors'!$B$9*(1+'Inputs-System'!$C$18)*(1+'Inputs-System'!$C$41))*'Inputs-Proposals'!$D$23*'Inputs-Proposals'!$D$25*(1-'Inputs-Proposals'!$D$20^(CP$3-'Inputs-System'!$C$7))*(VLOOKUP(CP$3,'Embedded Emissions'!$A$47:$B$78,2,FALSE)+VLOOKUP(CP$3,'Embedded Emissions'!$A$129:$B$158,2,FALSE)), $C15 = "3", ('Inputs-System'!$C$30*'Coincidence Factors'!$B$9*(1+'Inputs-System'!$C$18)*(1+'Inputs-System'!$C$41))*'Inputs-Proposals'!$D$29*'Inputs-Proposals'!$D$31*(1-'Inputs-Proposals'!$D$20^(CP$3-'Inputs-System'!$C$7))*(VLOOKUP(CP$3,'Embedded Emissions'!$A$47:$B$78,2,FALSE)+VLOOKUP(CP$3,'Embedded Emissions'!$A$129:$B$158,2,FALSE)), $C15 = "0", 0), 0)</f>
        <v>0</v>
      </c>
      <c r="CR15" s="44">
        <f>IFERROR(_xlfn.IFS($C15="1",( 'Inputs-System'!$C$30*'Coincidence Factors'!$B$9*(1+'Inputs-System'!$C$18)*(1+'Inputs-System'!$C$41))*('Inputs-Proposals'!$D$17*'Inputs-Proposals'!$D$19*(1-'Inputs-Proposals'!$D$20)^(CP$3-'Inputs-System'!$C$7))*(VLOOKUP(CP$3,DRIPE!$A$54:$I$82,5,FALSE)+VLOOKUP(CP$3,DRIPE!$A$54:$I$82,9,FALSE))+ ('Inputs-System'!$C$26*'Coincidence Factors'!$B$6*(1+'Inputs-System'!$C$18)*(1+'Inputs-System'!$C$42))*'Inputs-Proposals'!$D$16*VLOOKUP(CP$3,DRIPE!$A$54:$I$82,8,FALSE), $C15 = "2",( 'Inputs-System'!$C$30*'Coincidence Factors'!$B$9*(1+'Inputs-System'!$C$18)*(1+'Inputs-System'!$C$41))*('Inputs-Proposals'!$D$23*'Inputs-Proposals'!$D$25*(1-'Inputs-Proposals'!$D$26)^(CP$3-'Inputs-System'!$C$7))*(VLOOKUP(CP$3,DRIPE!$A$54:$I$82,5,FALSE)+VLOOKUP(CP$3,DRIPE!$A$54:$I$82,9,FALSE))+ ('Inputs-System'!$C$26*'Coincidence Factors'!$B$6*(1+'Inputs-System'!$C$18)*(1+'Inputs-System'!$C$42))*'Inputs-Proposals'!$D$22*VLOOKUP(CP$3,DRIPE!$A$54:$I$82,8,FALSE), $C15= "3", ( 'Inputs-System'!$C$30*'Coincidence Factors'!$B$9*(1+'Inputs-System'!$C$18)*(1+'Inputs-System'!$C$41))*('Inputs-Proposals'!$D$29*'Inputs-Proposals'!$D$31*(1-'Inputs-Proposals'!$D$32)^(CP$3-'Inputs-System'!$C$7))*(VLOOKUP(CP$3,DRIPE!$A$54:$I$82,5,FALSE)+VLOOKUP(CP$3,DRIPE!$A$54:$I$82,9,FALSE))+ ('Inputs-System'!$C$26*'Coincidence Factors'!$B$6*(1+'Inputs-System'!$C$18)*(1+'Inputs-System'!$C$42))*'Inputs-Proposals'!$D$28*VLOOKUP(CP$3,DRIPE!$A$54:$I$82,8,FALSE), $C15 = "0", 0), 0)</f>
        <v>0</v>
      </c>
      <c r="CS15" s="45">
        <f>IFERROR(_xlfn.IFS($C15="1",('Inputs-System'!$C$26*'Coincidence Factors'!$B$9*(1+'Inputs-System'!$C$18)*(1+'Inputs-System'!$C$42))*'Inputs-Proposals'!$D$16*(VLOOKUP(CP$3,Capacity!$A$53:$E$85,4,FALSE)*(1+'Inputs-System'!$C$42)+VLOOKUP(CP$3,Capacity!$A$53:$E$85,5,FALSE)*(1+'Inputs-System'!$C$43)*'Inputs-System'!$C$29), $C15 = "2", ('Inputs-System'!$C$26*'Coincidence Factors'!$B$9*(1+'Inputs-System'!$C$18))*'Inputs-Proposals'!$D$22*(VLOOKUP(CP$3,Capacity!$A$53:$E$85,4,FALSE)*(1+'Inputs-System'!$C$42)+VLOOKUP(CP$3,Capacity!$A$53:$E$85,5,FALSE)*'Inputs-System'!$C$29*(1+'Inputs-System'!$C$43)), $C15 = "3", ('Inputs-System'!$C$26*'Coincidence Factors'!$B$9*(1+'Inputs-System'!$C$18))*'Inputs-Proposals'!$D$28*(VLOOKUP(CP$3,Capacity!$A$53:$E$85,4,FALSE)*(1+'Inputs-System'!$C$42)+VLOOKUP(CP$3,Capacity!$A$53:$E$85,5,FALSE)*'Inputs-System'!$C$29*(1+'Inputs-System'!$C$43)), $C15 = "0", 0), 0)</f>
        <v>0</v>
      </c>
      <c r="CT15" s="44">
        <v>0</v>
      </c>
      <c r="CU15" s="342">
        <f>IFERROR(_xlfn.IFS($C15="1", 'Inputs-System'!$C$30*'Coincidence Factors'!$B$9*'Inputs-Proposals'!$D$17*'Inputs-Proposals'!$D$19*(VLOOKUP(CP$3,'Non-Embedded Emissions'!$A$56:$D$90,2,FALSE)-VLOOKUP(CP$3,'Non-Embedded Emissions'!$F$57:$H$88,2,FALSE)+VLOOKUP(CP$3,'Non-Embedded Emissions'!$A$143:$D$174,2,FALSE)-VLOOKUP(CP$3,'Non-Embedded Emissions'!$F$143:$H$174,2,FALSE)+VLOOKUP(CP$3,'Non-Embedded Emissions'!$A$230:$D$259,2,FALSE)), $C15 = "2", 'Inputs-System'!$C$30*'Coincidence Factors'!$B$9*'Inputs-Proposals'!$D$23*'Inputs-Proposals'!$D$25*(VLOOKUP(CP$3,'Non-Embedded Emissions'!$A$56:$D$90,2,FALSE)-VLOOKUP(CP$3,'Non-Embedded Emissions'!$F$57:$H$88,2,FALSE)+VLOOKUP(CP$3,'Non-Embedded Emissions'!$A$143:$D$174,2,FALSE)-VLOOKUP(CP$3,'Non-Embedded Emissions'!$F$143:$H$174,2,FALSE)+VLOOKUP(CP$3,'Non-Embedded Emissions'!$A$230:$D$259,2,FALSE)), $C15 = "3", 'Inputs-System'!$C$30*'Coincidence Factors'!$B$9*'Inputs-Proposals'!$D$29*'Inputs-Proposals'!$D$31*(VLOOKUP(CP$3,'Non-Embedded Emissions'!$A$56:$D$90,2,FALSE)-VLOOKUP(CP$3,'Non-Embedded Emissions'!$F$57:$H$88,2,FALSE)+VLOOKUP(CP$3,'Non-Embedded Emissions'!$A$143:$D$174,2,FALSE)-VLOOKUP(CP$3,'Non-Embedded Emissions'!$F$143:$H$174,2,FALSE)+VLOOKUP(CP$3,'Non-Embedded Emissions'!$A$230:$D$259,2,FALSE)), $C15 = "0", 0), 0)</f>
        <v>0</v>
      </c>
      <c r="CV15" s="45">
        <f>IFERROR(_xlfn.IFS($C15="1",('Inputs-System'!$C$30*'Coincidence Factors'!$B$9*(1+'Inputs-System'!$C$18)*(1+'Inputs-System'!$C$41)*('Inputs-Proposals'!$D$17*'Inputs-Proposals'!$D$19*(1-'Inputs-Proposals'!$D$20^(CV$3-'Inputs-System'!$C$7)))*(VLOOKUP(CV$3,Energy!$A$51:$K$83,5,FALSE))), $C15 = "2",('Inputs-System'!$C$30*'Coincidence Factors'!$B$9)*(1+'Inputs-System'!$C$18)*(1+'Inputs-System'!$C$41)*('Inputs-Proposals'!$D$23*'Inputs-Proposals'!$D$25*(1-'Inputs-Proposals'!$D$26^(CV$3-'Inputs-System'!$C$7)))*(VLOOKUP(CV$3,Energy!$A$51:$K$83,5,FALSE)), $C15= "3", ('Inputs-System'!$C$30*'Coincidence Factors'!$B$9*(1+'Inputs-System'!$C$18)*(1+'Inputs-System'!$C$41)*('Inputs-Proposals'!$D$29*'Inputs-Proposals'!$D$31*(1-'Inputs-Proposals'!$D$32^(CV$3-'Inputs-System'!$C$7)))*(VLOOKUP(CV$3,Energy!$A$51:$K$83,5,FALSE))), $C15= "0", 0), 0)</f>
        <v>0</v>
      </c>
      <c r="CW15" s="44">
        <f>IFERROR(_xlfn.IFS($C15="1",('Inputs-System'!$C$30*'Coincidence Factors'!$B$9*(1+'Inputs-System'!$C$18)*(1+'Inputs-System'!$C$41))*'Inputs-Proposals'!$D$17*'Inputs-Proposals'!$D$19*(1-'Inputs-Proposals'!$D$20^(CV$3-'Inputs-System'!$C$7))*(VLOOKUP(CV$3,'Embedded Emissions'!$A$47:$B$78,2,FALSE)+VLOOKUP(CV$3,'Embedded Emissions'!$A$129:$B$158,2,FALSE)), $C15 = "2",('Inputs-System'!$C$30*'Coincidence Factors'!$B$9*(1+'Inputs-System'!$C$18)*(1+'Inputs-System'!$C$41))*'Inputs-Proposals'!$D$23*'Inputs-Proposals'!$D$25*(1-'Inputs-Proposals'!$D$20^(CV$3-'Inputs-System'!$C$7))*(VLOOKUP(CV$3,'Embedded Emissions'!$A$47:$B$78,2,FALSE)+VLOOKUP(CV$3,'Embedded Emissions'!$A$129:$B$158,2,FALSE)), $C15 = "3", ('Inputs-System'!$C$30*'Coincidence Factors'!$B$9*(1+'Inputs-System'!$C$18)*(1+'Inputs-System'!$C$41))*'Inputs-Proposals'!$D$29*'Inputs-Proposals'!$D$31*(1-'Inputs-Proposals'!$D$20^(CV$3-'Inputs-System'!$C$7))*(VLOOKUP(CV$3,'Embedded Emissions'!$A$47:$B$78,2,FALSE)+VLOOKUP(CV$3,'Embedded Emissions'!$A$129:$B$158,2,FALSE)), $C15 = "0", 0), 0)</f>
        <v>0</v>
      </c>
      <c r="CX15" s="44">
        <f>IFERROR(_xlfn.IFS($C15="1",( 'Inputs-System'!$C$30*'Coincidence Factors'!$B$9*(1+'Inputs-System'!$C$18)*(1+'Inputs-System'!$C$41))*('Inputs-Proposals'!$D$17*'Inputs-Proposals'!$D$19*(1-'Inputs-Proposals'!$D$20)^(CV$3-'Inputs-System'!$C$7))*(VLOOKUP(CV$3,DRIPE!$A$54:$I$82,5,FALSE)+VLOOKUP(CV$3,DRIPE!$A$54:$I$82,9,FALSE))+ ('Inputs-System'!$C$26*'Coincidence Factors'!$B$6*(1+'Inputs-System'!$C$18)*(1+'Inputs-System'!$C$42))*'Inputs-Proposals'!$D$16*VLOOKUP(CV$3,DRIPE!$A$54:$I$82,8,FALSE), $C15 = "2",( 'Inputs-System'!$C$30*'Coincidence Factors'!$B$9*(1+'Inputs-System'!$C$18)*(1+'Inputs-System'!$C$41))*('Inputs-Proposals'!$D$23*'Inputs-Proposals'!$D$25*(1-'Inputs-Proposals'!$D$26)^(CV$3-'Inputs-System'!$C$7))*(VLOOKUP(CV$3,DRIPE!$A$54:$I$82,5,FALSE)+VLOOKUP(CV$3,DRIPE!$A$54:$I$82,9,FALSE))+ ('Inputs-System'!$C$26*'Coincidence Factors'!$B$6*(1+'Inputs-System'!$C$18)*(1+'Inputs-System'!$C$42))*'Inputs-Proposals'!$D$22*VLOOKUP(CV$3,DRIPE!$A$54:$I$82,8,FALSE), $C15= "3", ( 'Inputs-System'!$C$30*'Coincidence Factors'!$B$9*(1+'Inputs-System'!$C$18)*(1+'Inputs-System'!$C$41))*('Inputs-Proposals'!$D$29*'Inputs-Proposals'!$D$31*(1-'Inputs-Proposals'!$D$32)^(CV$3-'Inputs-System'!$C$7))*(VLOOKUP(CV$3,DRIPE!$A$54:$I$82,5,FALSE)+VLOOKUP(CV$3,DRIPE!$A$54:$I$82,9,FALSE))+ ('Inputs-System'!$C$26*'Coincidence Factors'!$B$6*(1+'Inputs-System'!$C$18)*(1+'Inputs-System'!$C$42))*'Inputs-Proposals'!$D$28*VLOOKUP(CV$3,DRIPE!$A$54:$I$82,8,FALSE), $C15 = "0", 0), 0)</f>
        <v>0</v>
      </c>
      <c r="CY15" s="45">
        <f>IFERROR(_xlfn.IFS($C15="1",('Inputs-System'!$C$26*'Coincidence Factors'!$B$9*(1+'Inputs-System'!$C$18)*(1+'Inputs-System'!$C$42))*'Inputs-Proposals'!$D$16*(VLOOKUP(CV$3,Capacity!$A$53:$E$85,4,FALSE)*(1+'Inputs-System'!$C$42)+VLOOKUP(CV$3,Capacity!$A$53:$E$85,5,FALSE)*(1+'Inputs-System'!$C$43)*'Inputs-System'!$C$29), $C15 = "2", ('Inputs-System'!$C$26*'Coincidence Factors'!$B$9*(1+'Inputs-System'!$C$18))*'Inputs-Proposals'!$D$22*(VLOOKUP(CV$3,Capacity!$A$53:$E$85,4,FALSE)*(1+'Inputs-System'!$C$42)+VLOOKUP(CV$3,Capacity!$A$53:$E$85,5,FALSE)*'Inputs-System'!$C$29*(1+'Inputs-System'!$C$43)), $C15 = "3", ('Inputs-System'!$C$26*'Coincidence Factors'!$B$9*(1+'Inputs-System'!$C$18))*'Inputs-Proposals'!$D$28*(VLOOKUP(CV$3,Capacity!$A$53:$E$85,4,FALSE)*(1+'Inputs-System'!$C$42)+VLOOKUP(CV$3,Capacity!$A$53:$E$85,5,FALSE)*'Inputs-System'!$C$29*(1+'Inputs-System'!$C$43)), $C15 = "0", 0), 0)</f>
        <v>0</v>
      </c>
      <c r="CZ15" s="44">
        <v>0</v>
      </c>
      <c r="DA15" s="342">
        <f>IFERROR(_xlfn.IFS($C15="1", 'Inputs-System'!$C$30*'Coincidence Factors'!$B$9*'Inputs-Proposals'!$D$17*'Inputs-Proposals'!$D$19*(VLOOKUP(CV$3,'Non-Embedded Emissions'!$A$56:$D$90,2,FALSE)-VLOOKUP(CV$3,'Non-Embedded Emissions'!$F$57:$H$88,2,FALSE)+VLOOKUP(CV$3,'Non-Embedded Emissions'!$A$143:$D$174,2,FALSE)-VLOOKUP(CV$3,'Non-Embedded Emissions'!$F$143:$H$174,2,FALSE)+VLOOKUP(CV$3,'Non-Embedded Emissions'!$A$230:$D$259,2,FALSE)), $C15 = "2", 'Inputs-System'!$C$30*'Coincidence Factors'!$B$9*'Inputs-Proposals'!$D$23*'Inputs-Proposals'!$D$25*(VLOOKUP(CV$3,'Non-Embedded Emissions'!$A$56:$D$90,2,FALSE)-VLOOKUP(CV$3,'Non-Embedded Emissions'!$F$57:$H$88,2,FALSE)+VLOOKUP(CV$3,'Non-Embedded Emissions'!$A$143:$D$174,2,FALSE)-VLOOKUP(CV$3,'Non-Embedded Emissions'!$F$143:$H$174,2,FALSE)+VLOOKUP(CV$3,'Non-Embedded Emissions'!$A$230:$D$259,2,FALSE)), $C15 = "3", 'Inputs-System'!$C$30*'Coincidence Factors'!$B$9*'Inputs-Proposals'!$D$29*'Inputs-Proposals'!$D$31*(VLOOKUP(CV$3,'Non-Embedded Emissions'!$A$56:$D$90,2,FALSE)-VLOOKUP(CV$3,'Non-Embedded Emissions'!$F$57:$H$88,2,FALSE)+VLOOKUP(CV$3,'Non-Embedded Emissions'!$A$143:$D$174,2,FALSE)-VLOOKUP(CV$3,'Non-Embedded Emissions'!$F$143:$H$174,2,FALSE)+VLOOKUP(CV$3,'Non-Embedded Emissions'!$A$230:$D$259,2,FALSE)), $C15 = "0", 0), 0)</f>
        <v>0</v>
      </c>
      <c r="DB15" s="45">
        <f>IFERROR(_xlfn.IFS($C15="1",('Inputs-System'!$C$30*'Coincidence Factors'!$B$9*(1+'Inputs-System'!$C$18)*(1+'Inputs-System'!$C$41)*('Inputs-Proposals'!$D$17*'Inputs-Proposals'!$D$19*(1-'Inputs-Proposals'!$D$20^(DB$3-'Inputs-System'!$C$7)))*(VLOOKUP(DB$3,Energy!$A$51:$K$83,5,FALSE))), $C15 = "2",('Inputs-System'!$C$30*'Coincidence Factors'!$B$9)*(1+'Inputs-System'!$C$18)*(1+'Inputs-System'!$C$41)*('Inputs-Proposals'!$D$23*'Inputs-Proposals'!$D$25*(1-'Inputs-Proposals'!$D$26^(DB$3-'Inputs-System'!$C$7)))*(VLOOKUP(DB$3,Energy!$A$51:$K$83,5,FALSE)), $C15= "3", ('Inputs-System'!$C$30*'Coincidence Factors'!$B$9*(1+'Inputs-System'!$C$18)*(1+'Inputs-System'!$C$41)*('Inputs-Proposals'!$D$29*'Inputs-Proposals'!$D$31*(1-'Inputs-Proposals'!$D$32^(DB$3-'Inputs-System'!$C$7)))*(VLOOKUP(DB$3,Energy!$A$51:$K$83,5,FALSE))), $C15= "0", 0), 0)</f>
        <v>0</v>
      </c>
      <c r="DC15" s="44">
        <f>IFERROR(_xlfn.IFS($C15="1",('Inputs-System'!$C$30*'Coincidence Factors'!$B$9*(1+'Inputs-System'!$C$18)*(1+'Inputs-System'!$C$41))*'Inputs-Proposals'!$D$17*'Inputs-Proposals'!$D$19*(1-'Inputs-Proposals'!$D$20^(DB$3-'Inputs-System'!$C$7))*(VLOOKUP(DB$3,'Embedded Emissions'!$A$47:$B$78,2,FALSE)+VLOOKUP(DB$3,'Embedded Emissions'!$A$129:$B$158,2,FALSE)), $C15 = "2",('Inputs-System'!$C$30*'Coincidence Factors'!$B$9*(1+'Inputs-System'!$C$18)*(1+'Inputs-System'!$C$41))*'Inputs-Proposals'!$D$23*'Inputs-Proposals'!$D$25*(1-'Inputs-Proposals'!$D$20^(DB$3-'Inputs-System'!$C$7))*(VLOOKUP(DB$3,'Embedded Emissions'!$A$47:$B$78,2,FALSE)+VLOOKUP(DB$3,'Embedded Emissions'!$A$129:$B$158,2,FALSE)), $C15 = "3", ('Inputs-System'!$C$30*'Coincidence Factors'!$B$9*(1+'Inputs-System'!$C$18)*(1+'Inputs-System'!$C$41))*'Inputs-Proposals'!$D$29*'Inputs-Proposals'!$D$31*(1-'Inputs-Proposals'!$D$20^(DB$3-'Inputs-System'!$C$7))*(VLOOKUP(DB$3,'Embedded Emissions'!$A$47:$B$78,2,FALSE)+VLOOKUP(DB$3,'Embedded Emissions'!$A$129:$B$158,2,FALSE)), $C15 = "0", 0), 0)</f>
        <v>0</v>
      </c>
      <c r="DD15" s="44">
        <f>IFERROR(_xlfn.IFS($C15="1",( 'Inputs-System'!$C$30*'Coincidence Factors'!$B$9*(1+'Inputs-System'!$C$18)*(1+'Inputs-System'!$C$41))*('Inputs-Proposals'!$D$17*'Inputs-Proposals'!$D$19*(1-'Inputs-Proposals'!$D$20)^(DB$3-'Inputs-System'!$C$7))*(VLOOKUP(DB$3,DRIPE!$A$54:$I$82,5,FALSE)+VLOOKUP(DB$3,DRIPE!$A$54:$I$82,9,FALSE))+ ('Inputs-System'!$C$26*'Coincidence Factors'!$B$6*(1+'Inputs-System'!$C$18)*(1+'Inputs-System'!$C$42))*'Inputs-Proposals'!$D$16*VLOOKUP(DB$3,DRIPE!$A$54:$I$82,8,FALSE), $C15 = "2",( 'Inputs-System'!$C$30*'Coincidence Factors'!$B$9*(1+'Inputs-System'!$C$18)*(1+'Inputs-System'!$C$41))*('Inputs-Proposals'!$D$23*'Inputs-Proposals'!$D$25*(1-'Inputs-Proposals'!$D$26)^(DB$3-'Inputs-System'!$C$7))*(VLOOKUP(DB$3,DRIPE!$A$54:$I$82,5,FALSE)+VLOOKUP(DB$3,DRIPE!$A$54:$I$82,9,FALSE))+ ('Inputs-System'!$C$26*'Coincidence Factors'!$B$6*(1+'Inputs-System'!$C$18)*(1+'Inputs-System'!$C$42))*'Inputs-Proposals'!$D$22*VLOOKUP(DB$3,DRIPE!$A$54:$I$82,8,FALSE), $C15= "3", ( 'Inputs-System'!$C$30*'Coincidence Factors'!$B$9*(1+'Inputs-System'!$C$18)*(1+'Inputs-System'!$C$41))*('Inputs-Proposals'!$D$29*'Inputs-Proposals'!$D$31*(1-'Inputs-Proposals'!$D$32)^(DB$3-'Inputs-System'!$C$7))*(VLOOKUP(DB$3,DRIPE!$A$54:$I$82,5,FALSE)+VLOOKUP(DB$3,DRIPE!$A$54:$I$82,9,FALSE))+ ('Inputs-System'!$C$26*'Coincidence Factors'!$B$6*(1+'Inputs-System'!$C$18)*(1+'Inputs-System'!$C$42))*'Inputs-Proposals'!$D$28*VLOOKUP(DB$3,DRIPE!$A$54:$I$82,8,FALSE), $C15 = "0", 0), 0)</f>
        <v>0</v>
      </c>
      <c r="DE15" s="45">
        <f>IFERROR(_xlfn.IFS($C15="1",('Inputs-System'!$C$26*'Coincidence Factors'!$B$9*(1+'Inputs-System'!$C$18)*(1+'Inputs-System'!$C$42))*'Inputs-Proposals'!$D$16*(VLOOKUP(DB$3,Capacity!$A$53:$E$85,4,FALSE)*(1+'Inputs-System'!$C$42)+VLOOKUP(DB$3,Capacity!$A$53:$E$85,5,FALSE)*(1+'Inputs-System'!$C$43)*'Inputs-System'!$C$29), $C15 = "2", ('Inputs-System'!$C$26*'Coincidence Factors'!$B$9*(1+'Inputs-System'!$C$18))*'Inputs-Proposals'!$D$22*(VLOOKUP(DB$3,Capacity!$A$53:$E$85,4,FALSE)*(1+'Inputs-System'!$C$42)+VLOOKUP(DB$3,Capacity!$A$53:$E$85,5,FALSE)*'Inputs-System'!$C$29*(1+'Inputs-System'!$C$43)), $C15 = "3", ('Inputs-System'!$C$26*'Coincidence Factors'!$B$9*(1+'Inputs-System'!$C$18))*'Inputs-Proposals'!$D$28*(VLOOKUP(DB$3,Capacity!$A$53:$E$85,4,FALSE)*(1+'Inputs-System'!$C$42)+VLOOKUP(DB$3,Capacity!$A$53:$E$85,5,FALSE)*'Inputs-System'!$C$29*(1+'Inputs-System'!$C$43)), $C15 = "0", 0), 0)</f>
        <v>0</v>
      </c>
      <c r="DF15" s="44">
        <v>0</v>
      </c>
      <c r="DG15" s="342">
        <f>IFERROR(_xlfn.IFS($C15="1", 'Inputs-System'!$C$30*'Coincidence Factors'!$B$9*'Inputs-Proposals'!$D$17*'Inputs-Proposals'!$D$19*(VLOOKUP(DB$3,'Non-Embedded Emissions'!$A$56:$D$90,2,FALSE)-VLOOKUP(DB$3,'Non-Embedded Emissions'!$F$57:$H$88,2,FALSE)+VLOOKUP(DB$3,'Non-Embedded Emissions'!$A$143:$D$174,2,FALSE)-VLOOKUP(DB$3,'Non-Embedded Emissions'!$F$143:$H$174,2,FALSE)+VLOOKUP(DB$3,'Non-Embedded Emissions'!$A$230:$D$259,2,FALSE)), $C15 = "2", 'Inputs-System'!$C$30*'Coincidence Factors'!$B$9*'Inputs-Proposals'!$D$23*'Inputs-Proposals'!$D$25*(VLOOKUP(DB$3,'Non-Embedded Emissions'!$A$56:$D$90,2,FALSE)-VLOOKUP(DB$3,'Non-Embedded Emissions'!$F$57:$H$88,2,FALSE)+VLOOKUP(DB$3,'Non-Embedded Emissions'!$A$143:$D$174,2,FALSE)-VLOOKUP(DB$3,'Non-Embedded Emissions'!$F$143:$H$174,2,FALSE)+VLOOKUP(DB$3,'Non-Embedded Emissions'!$A$230:$D$259,2,FALSE)), $C15 = "3", 'Inputs-System'!$C$30*'Coincidence Factors'!$B$9*'Inputs-Proposals'!$D$29*'Inputs-Proposals'!$D$31*(VLOOKUP(DB$3,'Non-Embedded Emissions'!$A$56:$D$90,2,FALSE)-VLOOKUP(DB$3,'Non-Embedded Emissions'!$F$57:$H$88,2,FALSE)+VLOOKUP(DB$3,'Non-Embedded Emissions'!$A$143:$D$174,2,FALSE)-VLOOKUP(DB$3,'Non-Embedded Emissions'!$F$143:$H$174,2,FALSE)+VLOOKUP(DB$3,'Non-Embedded Emissions'!$A$230:$D$259,2,FALSE)), $C15 = "0", 0), 0)</f>
        <v>0</v>
      </c>
      <c r="DH15" s="45">
        <f>IFERROR(_xlfn.IFS($C15="1",('Inputs-System'!$C$30*'Coincidence Factors'!$B$9*(1+'Inputs-System'!$C$18)*(1+'Inputs-System'!$C$41)*('Inputs-Proposals'!$D$17*'Inputs-Proposals'!$D$19*(1-'Inputs-Proposals'!$D$20^(DH$3-'Inputs-System'!$C$7)))*(VLOOKUP(DH$3,Energy!$A$51:$K$83,5,FALSE))), $C15 = "2",('Inputs-System'!$C$30*'Coincidence Factors'!$B$9)*(1+'Inputs-System'!$C$18)*(1+'Inputs-System'!$C$41)*('Inputs-Proposals'!$D$23*'Inputs-Proposals'!$D$25*(1-'Inputs-Proposals'!$D$26^(DH$3-'Inputs-System'!$C$7)))*(VLOOKUP(DH$3,Energy!$A$51:$K$83,5,FALSE)), $C15= "3", ('Inputs-System'!$C$30*'Coincidence Factors'!$B$9*(1+'Inputs-System'!$C$18)*(1+'Inputs-System'!$C$41)*('Inputs-Proposals'!$D$29*'Inputs-Proposals'!$D$31*(1-'Inputs-Proposals'!$D$32^(DH$3-'Inputs-System'!$C$7)))*(VLOOKUP(DH$3,Energy!$A$51:$K$83,5,FALSE))), $C15= "0", 0), 0)</f>
        <v>0</v>
      </c>
      <c r="DI15" s="44">
        <f>IFERROR(_xlfn.IFS($C15="1",('Inputs-System'!$C$30*'Coincidence Factors'!$B$9*(1+'Inputs-System'!$C$18)*(1+'Inputs-System'!$C$41))*'Inputs-Proposals'!$D$17*'Inputs-Proposals'!$D$19*(1-'Inputs-Proposals'!$D$20^(DH$3-'Inputs-System'!$C$7))*(VLOOKUP(DH$3,'Embedded Emissions'!$A$47:$B$78,2,FALSE)+VLOOKUP(DH$3,'Embedded Emissions'!$A$129:$B$158,2,FALSE)), $C15 = "2",('Inputs-System'!$C$30*'Coincidence Factors'!$B$9*(1+'Inputs-System'!$C$18)*(1+'Inputs-System'!$C$41))*'Inputs-Proposals'!$D$23*'Inputs-Proposals'!$D$25*(1-'Inputs-Proposals'!$D$20^(DH$3-'Inputs-System'!$C$7))*(VLOOKUP(DH$3,'Embedded Emissions'!$A$47:$B$78,2,FALSE)+VLOOKUP(DH$3,'Embedded Emissions'!$A$129:$B$158,2,FALSE)), $C15 = "3", ('Inputs-System'!$C$30*'Coincidence Factors'!$B$9*(1+'Inputs-System'!$C$18)*(1+'Inputs-System'!$C$41))*'Inputs-Proposals'!$D$29*'Inputs-Proposals'!$D$31*(1-'Inputs-Proposals'!$D$20^(DH$3-'Inputs-System'!$C$7))*(VLOOKUP(DH$3,'Embedded Emissions'!$A$47:$B$78,2,FALSE)+VLOOKUP(DH$3,'Embedded Emissions'!$A$129:$B$158,2,FALSE)), $C15 = "0", 0), 0)</f>
        <v>0</v>
      </c>
      <c r="DJ15" s="44">
        <f>IFERROR(_xlfn.IFS($C15="1",( 'Inputs-System'!$C$30*'Coincidence Factors'!$B$9*(1+'Inputs-System'!$C$18)*(1+'Inputs-System'!$C$41))*('Inputs-Proposals'!$D$17*'Inputs-Proposals'!$D$19*(1-'Inputs-Proposals'!$D$20)^(DH$3-'Inputs-System'!$C$7))*(VLOOKUP(DH$3,DRIPE!$A$54:$I$82,5,FALSE)+VLOOKUP(DH$3,DRIPE!$A$54:$I$82,9,FALSE))+ ('Inputs-System'!$C$26*'Coincidence Factors'!$B$6*(1+'Inputs-System'!$C$18)*(1+'Inputs-System'!$C$42))*'Inputs-Proposals'!$D$16*VLOOKUP(DH$3,DRIPE!$A$54:$I$82,8,FALSE), $C15 = "2",( 'Inputs-System'!$C$30*'Coincidence Factors'!$B$9*(1+'Inputs-System'!$C$18)*(1+'Inputs-System'!$C$41))*('Inputs-Proposals'!$D$23*'Inputs-Proposals'!$D$25*(1-'Inputs-Proposals'!$D$26)^(DH$3-'Inputs-System'!$C$7))*(VLOOKUP(DH$3,DRIPE!$A$54:$I$82,5,FALSE)+VLOOKUP(DH$3,DRIPE!$A$54:$I$82,9,FALSE))+ ('Inputs-System'!$C$26*'Coincidence Factors'!$B$6*(1+'Inputs-System'!$C$18)*(1+'Inputs-System'!$C$42))*'Inputs-Proposals'!$D$22*VLOOKUP(DH$3,DRIPE!$A$54:$I$82,8,FALSE), $C15= "3", ( 'Inputs-System'!$C$30*'Coincidence Factors'!$B$9*(1+'Inputs-System'!$C$18)*(1+'Inputs-System'!$C$41))*('Inputs-Proposals'!$D$29*'Inputs-Proposals'!$D$31*(1-'Inputs-Proposals'!$D$32)^(DH$3-'Inputs-System'!$C$7))*(VLOOKUP(DH$3,DRIPE!$A$54:$I$82,5,FALSE)+VLOOKUP(DH$3,DRIPE!$A$54:$I$82,9,FALSE))+ ('Inputs-System'!$C$26*'Coincidence Factors'!$B$6*(1+'Inputs-System'!$C$18)*(1+'Inputs-System'!$C$42))*'Inputs-Proposals'!$D$28*VLOOKUP(DH$3,DRIPE!$A$54:$I$82,8,FALSE), $C15 = "0", 0), 0)</f>
        <v>0</v>
      </c>
      <c r="DK15" s="45">
        <f>IFERROR(_xlfn.IFS($C15="1",('Inputs-System'!$C$26*'Coincidence Factors'!$B$9*(1+'Inputs-System'!$C$18)*(1+'Inputs-System'!$C$42))*'Inputs-Proposals'!$D$16*(VLOOKUP(DH$3,Capacity!$A$53:$E$85,4,FALSE)*(1+'Inputs-System'!$C$42)+VLOOKUP(DH$3,Capacity!$A$53:$E$85,5,FALSE)*(1+'Inputs-System'!$C$43)*'Inputs-System'!$C$29), $C15 = "2", ('Inputs-System'!$C$26*'Coincidence Factors'!$B$9*(1+'Inputs-System'!$C$18))*'Inputs-Proposals'!$D$22*(VLOOKUP(DH$3,Capacity!$A$53:$E$85,4,FALSE)*(1+'Inputs-System'!$C$42)+VLOOKUP(DH$3,Capacity!$A$53:$E$85,5,FALSE)*'Inputs-System'!$C$29*(1+'Inputs-System'!$C$43)), $C15 = "3", ('Inputs-System'!$C$26*'Coincidence Factors'!$B$9*(1+'Inputs-System'!$C$18))*'Inputs-Proposals'!$D$28*(VLOOKUP(DH$3,Capacity!$A$53:$E$85,4,FALSE)*(1+'Inputs-System'!$C$42)+VLOOKUP(DH$3,Capacity!$A$53:$E$85,5,FALSE)*'Inputs-System'!$C$29*(1+'Inputs-System'!$C$43)), $C15 = "0", 0), 0)</f>
        <v>0</v>
      </c>
      <c r="DL15" s="44">
        <v>0</v>
      </c>
      <c r="DM15" s="342">
        <f>IFERROR(_xlfn.IFS($C15="1", 'Inputs-System'!$C$30*'Coincidence Factors'!$B$9*'Inputs-Proposals'!$D$17*'Inputs-Proposals'!$D$19*(VLOOKUP(DH$3,'Non-Embedded Emissions'!$A$56:$D$90,2,FALSE)-VLOOKUP(DH$3,'Non-Embedded Emissions'!$F$57:$H$88,2,FALSE)+VLOOKUP(DH$3,'Non-Embedded Emissions'!$A$143:$D$174,2,FALSE)-VLOOKUP(DH$3,'Non-Embedded Emissions'!$F$143:$H$174,2,FALSE)+VLOOKUP(DH$3,'Non-Embedded Emissions'!$A$230:$D$259,2,FALSE)), $C15 = "2", 'Inputs-System'!$C$30*'Coincidence Factors'!$B$9*'Inputs-Proposals'!$D$23*'Inputs-Proposals'!$D$25*(VLOOKUP(DH$3,'Non-Embedded Emissions'!$A$56:$D$90,2,FALSE)-VLOOKUP(DH$3,'Non-Embedded Emissions'!$F$57:$H$88,2,FALSE)+VLOOKUP(DH$3,'Non-Embedded Emissions'!$A$143:$D$174,2,FALSE)-VLOOKUP(DH$3,'Non-Embedded Emissions'!$F$143:$H$174,2,FALSE)+VLOOKUP(DH$3,'Non-Embedded Emissions'!$A$230:$D$259,2,FALSE)), $C15 = "3", 'Inputs-System'!$C$30*'Coincidence Factors'!$B$9*'Inputs-Proposals'!$D$29*'Inputs-Proposals'!$D$31*(VLOOKUP(DH$3,'Non-Embedded Emissions'!$A$56:$D$90,2,FALSE)-VLOOKUP(DH$3,'Non-Embedded Emissions'!$F$57:$H$88,2,FALSE)+VLOOKUP(DH$3,'Non-Embedded Emissions'!$A$143:$D$174,2,FALSE)-VLOOKUP(DH$3,'Non-Embedded Emissions'!$F$143:$H$174,2,FALSE)+VLOOKUP(DH$3,'Non-Embedded Emissions'!$A$230:$D$259,2,FALSE)), $C15 = "0", 0), 0)</f>
        <v>0</v>
      </c>
      <c r="DN15" s="45">
        <f>IFERROR(_xlfn.IFS($C15="1",('Inputs-System'!$C$30*'Coincidence Factors'!$B$9*(1+'Inputs-System'!$C$18)*(1+'Inputs-System'!$C$41)*('Inputs-Proposals'!$D$17*'Inputs-Proposals'!$D$19*(1-'Inputs-Proposals'!$D$20^(DN$3-'Inputs-System'!$C$7)))*(VLOOKUP(DN$3,Energy!$A$51:$K$83,5,FALSE))), $C15 = "2",('Inputs-System'!$C$30*'Coincidence Factors'!$B$9)*(1+'Inputs-System'!$C$18)*(1+'Inputs-System'!$C$41)*('Inputs-Proposals'!$D$23*'Inputs-Proposals'!$D$25*(1-'Inputs-Proposals'!$D$26^(DN$3-'Inputs-System'!$C$7)))*(VLOOKUP(DN$3,Energy!$A$51:$K$83,5,FALSE)), $C15= "3", ('Inputs-System'!$C$30*'Coincidence Factors'!$B$9*(1+'Inputs-System'!$C$18)*(1+'Inputs-System'!$C$41)*('Inputs-Proposals'!$D$29*'Inputs-Proposals'!$D$31*(1-'Inputs-Proposals'!$D$32^(DN$3-'Inputs-System'!$C$7)))*(VLOOKUP(DN$3,Energy!$A$51:$K$83,5,FALSE))), $C15= "0", 0), 0)</f>
        <v>0</v>
      </c>
      <c r="DO15" s="44">
        <f>IFERROR(_xlfn.IFS($C15="1",('Inputs-System'!$C$30*'Coincidence Factors'!$B$9*(1+'Inputs-System'!$C$18)*(1+'Inputs-System'!$C$41))*'Inputs-Proposals'!$D$17*'Inputs-Proposals'!$D$19*(1-'Inputs-Proposals'!$D$20^(DN$3-'Inputs-System'!$C$7))*(VLOOKUP(DN$3,'Embedded Emissions'!$A$47:$B$78,2,FALSE)+VLOOKUP(DN$3,'Embedded Emissions'!$A$129:$B$158,2,FALSE)), $C15 = "2",('Inputs-System'!$C$30*'Coincidence Factors'!$B$9*(1+'Inputs-System'!$C$18)*(1+'Inputs-System'!$C$41))*'Inputs-Proposals'!$D$23*'Inputs-Proposals'!$D$25*(1-'Inputs-Proposals'!$D$20^(DN$3-'Inputs-System'!$C$7))*(VLOOKUP(DN$3,'Embedded Emissions'!$A$47:$B$78,2,FALSE)+VLOOKUP(DN$3,'Embedded Emissions'!$A$129:$B$158,2,FALSE)), $C15 = "3", ('Inputs-System'!$C$30*'Coincidence Factors'!$B$9*(1+'Inputs-System'!$C$18)*(1+'Inputs-System'!$C$41))*'Inputs-Proposals'!$D$29*'Inputs-Proposals'!$D$31*(1-'Inputs-Proposals'!$D$20^(DN$3-'Inputs-System'!$C$7))*(VLOOKUP(DN$3,'Embedded Emissions'!$A$47:$B$78,2,FALSE)+VLOOKUP(DN$3,'Embedded Emissions'!$A$129:$B$158,2,FALSE)), $C15 = "0", 0), 0)</f>
        <v>0</v>
      </c>
      <c r="DP15" s="44">
        <f>IFERROR(_xlfn.IFS($C15="1",( 'Inputs-System'!$C$30*'Coincidence Factors'!$B$9*(1+'Inputs-System'!$C$18)*(1+'Inputs-System'!$C$41))*('Inputs-Proposals'!$D$17*'Inputs-Proposals'!$D$19*(1-'Inputs-Proposals'!$D$20)^(DN$3-'Inputs-System'!$C$7))*(VLOOKUP(DN$3,DRIPE!$A$54:$I$82,5,FALSE)+VLOOKUP(DN$3,DRIPE!$A$54:$I$82,9,FALSE))+ ('Inputs-System'!$C$26*'Coincidence Factors'!$B$6*(1+'Inputs-System'!$C$18)*(1+'Inputs-System'!$C$42))*'Inputs-Proposals'!$D$16*VLOOKUP(DN$3,DRIPE!$A$54:$I$82,8,FALSE), $C15 = "2",( 'Inputs-System'!$C$30*'Coincidence Factors'!$B$9*(1+'Inputs-System'!$C$18)*(1+'Inputs-System'!$C$41))*('Inputs-Proposals'!$D$23*'Inputs-Proposals'!$D$25*(1-'Inputs-Proposals'!$D$26)^(DN$3-'Inputs-System'!$C$7))*(VLOOKUP(DN$3,DRIPE!$A$54:$I$82,5,FALSE)+VLOOKUP(DN$3,DRIPE!$A$54:$I$82,9,FALSE))+ ('Inputs-System'!$C$26*'Coincidence Factors'!$B$6*(1+'Inputs-System'!$C$18)*(1+'Inputs-System'!$C$42))*'Inputs-Proposals'!$D$22*VLOOKUP(DN$3,DRIPE!$A$54:$I$82,8,FALSE), $C15= "3", ( 'Inputs-System'!$C$30*'Coincidence Factors'!$B$9*(1+'Inputs-System'!$C$18)*(1+'Inputs-System'!$C$41))*('Inputs-Proposals'!$D$29*'Inputs-Proposals'!$D$31*(1-'Inputs-Proposals'!$D$32)^(DN$3-'Inputs-System'!$C$7))*(VLOOKUP(DN$3,DRIPE!$A$54:$I$82,5,FALSE)+VLOOKUP(DN$3,DRIPE!$A$54:$I$82,9,FALSE))+ ('Inputs-System'!$C$26*'Coincidence Factors'!$B$6*(1+'Inputs-System'!$C$18)*(1+'Inputs-System'!$C$42))*'Inputs-Proposals'!$D$28*VLOOKUP(DN$3,DRIPE!$A$54:$I$82,8,FALSE), $C15 = "0", 0), 0)</f>
        <v>0</v>
      </c>
      <c r="DQ15" s="45">
        <f>IFERROR(_xlfn.IFS($C15="1",('Inputs-System'!$C$26*'Coincidence Factors'!$B$9*(1+'Inputs-System'!$C$18)*(1+'Inputs-System'!$C$42))*'Inputs-Proposals'!$D$16*(VLOOKUP(DN$3,Capacity!$A$53:$E$85,4,FALSE)*(1+'Inputs-System'!$C$42)+VLOOKUP(DN$3,Capacity!$A$53:$E$85,5,FALSE)*(1+'Inputs-System'!$C$43)*'Inputs-System'!$C$29), $C15 = "2", ('Inputs-System'!$C$26*'Coincidence Factors'!$B$9*(1+'Inputs-System'!$C$18))*'Inputs-Proposals'!$D$22*(VLOOKUP(DN$3,Capacity!$A$53:$E$85,4,FALSE)*(1+'Inputs-System'!$C$42)+VLOOKUP(DN$3,Capacity!$A$53:$E$85,5,FALSE)*'Inputs-System'!$C$29*(1+'Inputs-System'!$C$43)), $C15 = "3", ('Inputs-System'!$C$26*'Coincidence Factors'!$B$9*(1+'Inputs-System'!$C$18))*'Inputs-Proposals'!$D$28*(VLOOKUP(DN$3,Capacity!$A$53:$E$85,4,FALSE)*(1+'Inputs-System'!$C$42)+VLOOKUP(DN$3,Capacity!$A$53:$E$85,5,FALSE)*'Inputs-System'!$C$29*(1+'Inputs-System'!$C$43)), $C15 = "0", 0), 0)</f>
        <v>0</v>
      </c>
      <c r="DR15" s="44">
        <v>0</v>
      </c>
      <c r="DS15" s="342">
        <f>IFERROR(_xlfn.IFS($C15="1", 'Inputs-System'!$C$30*'Coincidence Factors'!$B$9*'Inputs-Proposals'!$D$17*'Inputs-Proposals'!$D$19*(VLOOKUP(DN$3,'Non-Embedded Emissions'!$A$56:$D$90,2,FALSE)-VLOOKUP(DN$3,'Non-Embedded Emissions'!$F$57:$H$88,2,FALSE)+VLOOKUP(DN$3,'Non-Embedded Emissions'!$A$143:$D$174,2,FALSE)-VLOOKUP(DN$3,'Non-Embedded Emissions'!$F$143:$H$174,2,FALSE)+VLOOKUP(DN$3,'Non-Embedded Emissions'!$A$230:$D$259,2,FALSE)), $C15 = "2", 'Inputs-System'!$C$30*'Coincidence Factors'!$B$9*'Inputs-Proposals'!$D$23*'Inputs-Proposals'!$D$25*(VLOOKUP(DN$3,'Non-Embedded Emissions'!$A$56:$D$90,2,FALSE)-VLOOKUP(DN$3,'Non-Embedded Emissions'!$F$57:$H$88,2,FALSE)+VLOOKUP(DN$3,'Non-Embedded Emissions'!$A$143:$D$174,2,FALSE)-VLOOKUP(DN$3,'Non-Embedded Emissions'!$F$143:$H$174,2,FALSE)+VLOOKUP(DN$3,'Non-Embedded Emissions'!$A$230:$D$259,2,FALSE)), $C15 = "3", 'Inputs-System'!$C$30*'Coincidence Factors'!$B$9*'Inputs-Proposals'!$D$29*'Inputs-Proposals'!$D$31*(VLOOKUP(DN$3,'Non-Embedded Emissions'!$A$56:$D$90,2,FALSE)-VLOOKUP(DN$3,'Non-Embedded Emissions'!$F$57:$H$88,2,FALSE)+VLOOKUP(DN$3,'Non-Embedded Emissions'!$A$143:$D$174,2,FALSE)-VLOOKUP(DN$3,'Non-Embedded Emissions'!$F$143:$H$174,2,FALSE)+VLOOKUP(DN$3,'Non-Embedded Emissions'!$A$230:$D$259,2,FALSE)), $C15 = "0", 0), 0)</f>
        <v>0</v>
      </c>
      <c r="DT15" s="45">
        <f>IFERROR(_xlfn.IFS($C15="1",('Inputs-System'!$C$30*'Coincidence Factors'!$B$9*(1+'Inputs-System'!$C$18)*(1+'Inputs-System'!$C$41)*('Inputs-Proposals'!$D$17*'Inputs-Proposals'!$D$19*(1-'Inputs-Proposals'!$D$20^(DT$3-'Inputs-System'!$C$7)))*(VLOOKUP(DT$3,Energy!$A$51:$K$83,5,FALSE))), $C15 = "2",('Inputs-System'!$C$30*'Coincidence Factors'!$B$9)*(1+'Inputs-System'!$C$18)*(1+'Inputs-System'!$C$41)*('Inputs-Proposals'!$D$23*'Inputs-Proposals'!$D$25*(1-'Inputs-Proposals'!$D$26^(DT$3-'Inputs-System'!$C$7)))*(VLOOKUP(DT$3,Energy!$A$51:$K$83,5,FALSE)), $C15= "3", ('Inputs-System'!$C$30*'Coincidence Factors'!$B$9*(1+'Inputs-System'!$C$18)*(1+'Inputs-System'!$C$41)*('Inputs-Proposals'!$D$29*'Inputs-Proposals'!$D$31*(1-'Inputs-Proposals'!$D$32^(DT$3-'Inputs-System'!$C$7)))*(VLOOKUP(DT$3,Energy!$A$51:$K$83,5,FALSE))), $C15= "0", 0), 0)</f>
        <v>0</v>
      </c>
      <c r="DU15" s="44">
        <f>IFERROR(_xlfn.IFS($C15="1",('Inputs-System'!$C$30*'Coincidence Factors'!$B$9*(1+'Inputs-System'!$C$18)*(1+'Inputs-System'!$C$41))*'Inputs-Proposals'!$D$17*'Inputs-Proposals'!$D$19*(1-'Inputs-Proposals'!$D$20^(DT$3-'Inputs-System'!$C$7))*(VLOOKUP(DT$3,'Embedded Emissions'!$A$47:$B$78,2,FALSE)+VLOOKUP(DT$3,'Embedded Emissions'!$A$129:$B$158,2,FALSE)), $C15 = "2",('Inputs-System'!$C$30*'Coincidence Factors'!$B$9*(1+'Inputs-System'!$C$18)*(1+'Inputs-System'!$C$41))*'Inputs-Proposals'!$D$23*'Inputs-Proposals'!$D$25*(1-'Inputs-Proposals'!$D$20^(DT$3-'Inputs-System'!$C$7))*(VLOOKUP(DT$3,'Embedded Emissions'!$A$47:$B$78,2,FALSE)+VLOOKUP(DT$3,'Embedded Emissions'!$A$129:$B$158,2,FALSE)), $C15 = "3", ('Inputs-System'!$C$30*'Coincidence Factors'!$B$9*(1+'Inputs-System'!$C$18)*(1+'Inputs-System'!$C$41))*'Inputs-Proposals'!$D$29*'Inputs-Proposals'!$D$31*(1-'Inputs-Proposals'!$D$20^(DT$3-'Inputs-System'!$C$7))*(VLOOKUP(DT$3,'Embedded Emissions'!$A$47:$B$78,2,FALSE)+VLOOKUP(DT$3,'Embedded Emissions'!$A$129:$B$158,2,FALSE)), $C15 = "0", 0), 0)</f>
        <v>0</v>
      </c>
      <c r="DV15" s="44">
        <f>IFERROR(_xlfn.IFS($C15="1",( 'Inputs-System'!$C$30*'Coincidence Factors'!$B$9*(1+'Inputs-System'!$C$18)*(1+'Inputs-System'!$C$41))*('Inputs-Proposals'!$D$17*'Inputs-Proposals'!$D$19*(1-'Inputs-Proposals'!$D$20)^(DT$3-'Inputs-System'!$C$7))*(VLOOKUP(DT$3,DRIPE!$A$54:$I$82,5,FALSE)+VLOOKUP(DT$3,DRIPE!$A$54:$I$82,9,FALSE))+ ('Inputs-System'!$C$26*'Coincidence Factors'!$B$6*(1+'Inputs-System'!$C$18)*(1+'Inputs-System'!$C$42))*'Inputs-Proposals'!$D$16*VLOOKUP(DT$3,DRIPE!$A$54:$I$82,8,FALSE), $C15 = "2",( 'Inputs-System'!$C$30*'Coincidence Factors'!$B$9*(1+'Inputs-System'!$C$18)*(1+'Inputs-System'!$C$41))*('Inputs-Proposals'!$D$23*'Inputs-Proposals'!$D$25*(1-'Inputs-Proposals'!$D$26)^(DT$3-'Inputs-System'!$C$7))*(VLOOKUP(DT$3,DRIPE!$A$54:$I$82,5,FALSE)+VLOOKUP(DT$3,DRIPE!$A$54:$I$82,9,FALSE))+ ('Inputs-System'!$C$26*'Coincidence Factors'!$B$6*(1+'Inputs-System'!$C$18)*(1+'Inputs-System'!$C$42))*'Inputs-Proposals'!$D$22*VLOOKUP(DT$3,DRIPE!$A$54:$I$82,8,FALSE), $C15= "3", ( 'Inputs-System'!$C$30*'Coincidence Factors'!$B$9*(1+'Inputs-System'!$C$18)*(1+'Inputs-System'!$C$41))*('Inputs-Proposals'!$D$29*'Inputs-Proposals'!$D$31*(1-'Inputs-Proposals'!$D$32)^(DT$3-'Inputs-System'!$C$7))*(VLOOKUP(DT$3,DRIPE!$A$54:$I$82,5,FALSE)+VLOOKUP(DT$3,DRIPE!$A$54:$I$82,9,FALSE))+ ('Inputs-System'!$C$26*'Coincidence Factors'!$B$6*(1+'Inputs-System'!$C$18)*(1+'Inputs-System'!$C$42))*'Inputs-Proposals'!$D$28*VLOOKUP(DT$3,DRIPE!$A$54:$I$82,8,FALSE), $C15 = "0", 0), 0)</f>
        <v>0</v>
      </c>
      <c r="DW15" s="45">
        <f>IFERROR(_xlfn.IFS($C15="1",('Inputs-System'!$C$26*'Coincidence Factors'!$B$9*(1+'Inputs-System'!$C$18)*(1+'Inputs-System'!$C$42))*'Inputs-Proposals'!$D$16*(VLOOKUP(DT$3,Capacity!$A$53:$E$85,4,FALSE)*(1+'Inputs-System'!$C$42)+VLOOKUP(DT$3,Capacity!$A$53:$E$85,5,FALSE)*(1+'Inputs-System'!$C$43)*'Inputs-System'!$C$29), $C15 = "2", ('Inputs-System'!$C$26*'Coincidence Factors'!$B$9*(1+'Inputs-System'!$C$18))*'Inputs-Proposals'!$D$22*(VLOOKUP(DT$3,Capacity!$A$53:$E$85,4,FALSE)*(1+'Inputs-System'!$C$42)+VLOOKUP(DT$3,Capacity!$A$53:$E$85,5,FALSE)*'Inputs-System'!$C$29*(1+'Inputs-System'!$C$43)), $C15 = "3", ('Inputs-System'!$C$26*'Coincidence Factors'!$B$9*(1+'Inputs-System'!$C$18))*'Inputs-Proposals'!$D$28*(VLOOKUP(DT$3,Capacity!$A$53:$E$85,4,FALSE)*(1+'Inputs-System'!$C$42)+VLOOKUP(DT$3,Capacity!$A$53:$E$85,5,FALSE)*'Inputs-System'!$C$29*(1+'Inputs-System'!$C$43)), $C15 = "0", 0), 0)</f>
        <v>0</v>
      </c>
      <c r="DX15" s="44">
        <v>0</v>
      </c>
      <c r="DY15" s="342">
        <f>IFERROR(_xlfn.IFS($C15="1", 'Inputs-System'!$C$30*'Coincidence Factors'!$B$9*'Inputs-Proposals'!$D$17*'Inputs-Proposals'!$D$19*(VLOOKUP(DT$3,'Non-Embedded Emissions'!$A$56:$D$90,2,FALSE)-VLOOKUP(DT$3,'Non-Embedded Emissions'!$F$57:$H$88,2,FALSE)+VLOOKUP(DT$3,'Non-Embedded Emissions'!$A$143:$D$174,2,FALSE)-VLOOKUP(DT$3,'Non-Embedded Emissions'!$F$143:$H$174,2,FALSE)+VLOOKUP(DT$3,'Non-Embedded Emissions'!$A$230:$D$259,2,FALSE)), $C15 = "2", 'Inputs-System'!$C$30*'Coincidence Factors'!$B$9*'Inputs-Proposals'!$D$23*'Inputs-Proposals'!$D$25*(VLOOKUP(DT$3,'Non-Embedded Emissions'!$A$56:$D$90,2,FALSE)-VLOOKUP(DT$3,'Non-Embedded Emissions'!$F$57:$H$88,2,FALSE)+VLOOKUP(DT$3,'Non-Embedded Emissions'!$A$143:$D$174,2,FALSE)-VLOOKUP(DT$3,'Non-Embedded Emissions'!$F$143:$H$174,2,FALSE)+VLOOKUP(DT$3,'Non-Embedded Emissions'!$A$230:$D$259,2,FALSE)), $C15 = "3", 'Inputs-System'!$C$30*'Coincidence Factors'!$B$9*'Inputs-Proposals'!$D$29*'Inputs-Proposals'!$D$31*(VLOOKUP(DT$3,'Non-Embedded Emissions'!$A$56:$D$90,2,FALSE)-VLOOKUP(DT$3,'Non-Embedded Emissions'!$F$57:$H$88,2,FALSE)+VLOOKUP(DT$3,'Non-Embedded Emissions'!$A$143:$D$174,2,FALSE)-VLOOKUP(DT$3,'Non-Embedded Emissions'!$F$143:$H$174,2,FALSE)+VLOOKUP(DT$3,'Non-Embedded Emissions'!$A$230:$D$259,2,FALSE)), $C15 = "0", 0), 0)</f>
        <v>0</v>
      </c>
      <c r="DZ15" s="45">
        <f>IFERROR(_xlfn.IFS($C15="1",('Inputs-System'!$C$30*'Coincidence Factors'!$B$9*(1+'Inputs-System'!$C$18)*(1+'Inputs-System'!$C$41)*('Inputs-Proposals'!$D$17*'Inputs-Proposals'!$D$19*(1-'Inputs-Proposals'!$D$20^(DZ$3-'Inputs-System'!$C$7)))*(VLOOKUP(DZ$3,Energy!$A$51:$K$83,5,FALSE))), $C15 = "2",('Inputs-System'!$C$30*'Coincidence Factors'!$B$9)*(1+'Inputs-System'!$C$18)*(1+'Inputs-System'!$C$41)*('Inputs-Proposals'!$D$23*'Inputs-Proposals'!$D$25*(1-'Inputs-Proposals'!$D$26^(DZ$3-'Inputs-System'!$C$7)))*(VLOOKUP(DZ$3,Energy!$A$51:$K$83,5,FALSE)), $C15= "3", ('Inputs-System'!$C$30*'Coincidence Factors'!$B$9*(1+'Inputs-System'!$C$18)*(1+'Inputs-System'!$C$41)*('Inputs-Proposals'!$D$29*'Inputs-Proposals'!$D$31*(1-'Inputs-Proposals'!$D$32^(DZ$3-'Inputs-System'!$C$7)))*(VLOOKUP(DZ$3,Energy!$A$51:$K$83,5,FALSE))), $C15= "0", 0), 0)</f>
        <v>0</v>
      </c>
      <c r="EA15" s="44">
        <f>IFERROR(_xlfn.IFS($C15="1",('Inputs-System'!$C$30*'Coincidence Factors'!$B$9*(1+'Inputs-System'!$C$18)*(1+'Inputs-System'!$C$41))*'Inputs-Proposals'!$D$17*'Inputs-Proposals'!$D$19*(1-'Inputs-Proposals'!$D$20^(DZ$3-'Inputs-System'!$C$7))*(VLOOKUP(DZ$3,'Embedded Emissions'!$A$47:$B$78,2,FALSE)+VLOOKUP(DZ$3,'Embedded Emissions'!$A$129:$B$158,2,FALSE)), $C15 = "2",('Inputs-System'!$C$30*'Coincidence Factors'!$B$9*(1+'Inputs-System'!$C$18)*(1+'Inputs-System'!$C$41))*'Inputs-Proposals'!$D$23*'Inputs-Proposals'!$D$25*(1-'Inputs-Proposals'!$D$20^(DZ$3-'Inputs-System'!$C$7))*(VLOOKUP(DZ$3,'Embedded Emissions'!$A$47:$B$78,2,FALSE)+VLOOKUP(DZ$3,'Embedded Emissions'!$A$129:$B$158,2,FALSE)), $C15 = "3", ('Inputs-System'!$C$30*'Coincidence Factors'!$B$9*(1+'Inputs-System'!$C$18)*(1+'Inputs-System'!$C$41))*'Inputs-Proposals'!$D$29*'Inputs-Proposals'!$D$31*(1-'Inputs-Proposals'!$D$20^(DZ$3-'Inputs-System'!$C$7))*(VLOOKUP(DZ$3,'Embedded Emissions'!$A$47:$B$78,2,FALSE)+VLOOKUP(DZ$3,'Embedded Emissions'!$A$129:$B$158,2,FALSE)), $C15 = "0", 0), 0)</f>
        <v>0</v>
      </c>
      <c r="EB15" s="44">
        <f>IFERROR(_xlfn.IFS($C15="1",( 'Inputs-System'!$C$30*'Coincidence Factors'!$B$9*(1+'Inputs-System'!$C$18)*(1+'Inputs-System'!$C$41))*('Inputs-Proposals'!$D$17*'Inputs-Proposals'!$D$19*(1-'Inputs-Proposals'!$D$20)^(DZ$3-'Inputs-System'!$C$7))*(VLOOKUP(DZ$3,DRIPE!$A$54:$I$82,5,FALSE)+VLOOKUP(DZ$3,DRIPE!$A$54:$I$82,9,FALSE))+ ('Inputs-System'!$C$26*'Coincidence Factors'!$B$6*(1+'Inputs-System'!$C$18)*(1+'Inputs-System'!$C$42))*'Inputs-Proposals'!$D$16*VLOOKUP(DZ$3,DRIPE!$A$54:$I$82,8,FALSE), $C15 = "2",( 'Inputs-System'!$C$30*'Coincidence Factors'!$B$9*(1+'Inputs-System'!$C$18)*(1+'Inputs-System'!$C$41))*('Inputs-Proposals'!$D$23*'Inputs-Proposals'!$D$25*(1-'Inputs-Proposals'!$D$26)^(DZ$3-'Inputs-System'!$C$7))*(VLOOKUP(DZ$3,DRIPE!$A$54:$I$82,5,FALSE)+VLOOKUP(DZ$3,DRIPE!$A$54:$I$82,9,FALSE))+ ('Inputs-System'!$C$26*'Coincidence Factors'!$B$6*(1+'Inputs-System'!$C$18)*(1+'Inputs-System'!$C$42))*'Inputs-Proposals'!$D$22*VLOOKUP(DZ$3,DRIPE!$A$54:$I$82,8,FALSE), $C15= "3", ( 'Inputs-System'!$C$30*'Coincidence Factors'!$B$9*(1+'Inputs-System'!$C$18)*(1+'Inputs-System'!$C$41))*('Inputs-Proposals'!$D$29*'Inputs-Proposals'!$D$31*(1-'Inputs-Proposals'!$D$32)^(DZ$3-'Inputs-System'!$C$7))*(VLOOKUP(DZ$3,DRIPE!$A$54:$I$82,5,FALSE)+VLOOKUP(DZ$3,DRIPE!$A$54:$I$82,9,FALSE))+ ('Inputs-System'!$C$26*'Coincidence Factors'!$B$6*(1+'Inputs-System'!$C$18)*(1+'Inputs-System'!$C$42))*'Inputs-Proposals'!$D$28*VLOOKUP(DZ$3,DRIPE!$A$54:$I$82,8,FALSE), $C15 = "0", 0), 0)</f>
        <v>0</v>
      </c>
      <c r="EC15" s="45">
        <f>IFERROR(_xlfn.IFS($C15="1",('Inputs-System'!$C$26*'Coincidence Factors'!$B$9*(1+'Inputs-System'!$C$18)*(1+'Inputs-System'!$C$42))*'Inputs-Proposals'!$D$16*(VLOOKUP(DZ$3,Capacity!$A$53:$E$85,4,FALSE)*(1+'Inputs-System'!$C$42)+VLOOKUP(DZ$3,Capacity!$A$53:$E$85,5,FALSE)*(1+'Inputs-System'!$C$43)*'Inputs-System'!$C$29), $C15 = "2", ('Inputs-System'!$C$26*'Coincidence Factors'!$B$9*(1+'Inputs-System'!$C$18))*'Inputs-Proposals'!$D$22*(VLOOKUP(DZ$3,Capacity!$A$53:$E$85,4,FALSE)*(1+'Inputs-System'!$C$42)+VLOOKUP(DZ$3,Capacity!$A$53:$E$85,5,FALSE)*'Inputs-System'!$C$29*(1+'Inputs-System'!$C$43)), $C15 = "3", ('Inputs-System'!$C$26*'Coincidence Factors'!$B$9*(1+'Inputs-System'!$C$18))*'Inputs-Proposals'!$D$28*(VLOOKUP(DZ$3,Capacity!$A$53:$E$85,4,FALSE)*(1+'Inputs-System'!$C$42)+VLOOKUP(DZ$3,Capacity!$A$53:$E$85,5,FALSE)*'Inputs-System'!$C$29*(1+'Inputs-System'!$C$43)), $C15 = "0", 0), 0)</f>
        <v>0</v>
      </c>
      <c r="ED15" s="44">
        <v>0</v>
      </c>
      <c r="EE15" s="342">
        <f>IFERROR(_xlfn.IFS($C15="1", 'Inputs-System'!$C$30*'Coincidence Factors'!$B$9*'Inputs-Proposals'!$D$17*'Inputs-Proposals'!$D$19*(VLOOKUP(DZ$3,'Non-Embedded Emissions'!$A$56:$D$90,2,FALSE)-VLOOKUP(DZ$3,'Non-Embedded Emissions'!$F$57:$H$88,2,FALSE)+VLOOKUP(DZ$3,'Non-Embedded Emissions'!$A$143:$D$174,2,FALSE)-VLOOKUP(DZ$3,'Non-Embedded Emissions'!$F$143:$H$174,2,FALSE)+VLOOKUP(DZ$3,'Non-Embedded Emissions'!$A$230:$D$259,2,FALSE)), $C15 = "2", 'Inputs-System'!$C$30*'Coincidence Factors'!$B$9*'Inputs-Proposals'!$D$23*'Inputs-Proposals'!$D$25*(VLOOKUP(DZ$3,'Non-Embedded Emissions'!$A$56:$D$90,2,FALSE)-VLOOKUP(DZ$3,'Non-Embedded Emissions'!$F$57:$H$88,2,FALSE)+VLOOKUP(DZ$3,'Non-Embedded Emissions'!$A$143:$D$174,2,FALSE)-VLOOKUP(DZ$3,'Non-Embedded Emissions'!$F$143:$H$174,2,FALSE)+VLOOKUP(DZ$3,'Non-Embedded Emissions'!$A$230:$D$259,2,FALSE)), $C15 = "3", 'Inputs-System'!$C$30*'Coincidence Factors'!$B$9*'Inputs-Proposals'!$D$29*'Inputs-Proposals'!$D$31*(VLOOKUP(DZ$3,'Non-Embedded Emissions'!$A$56:$D$90,2,FALSE)-VLOOKUP(DZ$3,'Non-Embedded Emissions'!$F$57:$H$88,2,FALSE)+VLOOKUP(DZ$3,'Non-Embedded Emissions'!$A$143:$D$174,2,FALSE)-VLOOKUP(DZ$3,'Non-Embedded Emissions'!$F$143:$H$174,2,FALSE)+VLOOKUP(DZ$3,'Non-Embedded Emissions'!$A$230:$D$259,2,FALSE)), $C15 = "0", 0), 0)</f>
        <v>0</v>
      </c>
    </row>
    <row r="16" spans="1:135" x14ac:dyDescent="0.35">
      <c r="A16" s="708"/>
      <c r="B16" s="3" t="str">
        <f>B10</f>
        <v>LNG GenSet</v>
      </c>
      <c r="C16" s="3" t="str">
        <f>IFERROR(_xlfn.IFS('Benefits Calc'!B16='Inputs-Proposals'!$D$15, "1", 'Benefits Calc'!B16='Inputs-Proposals'!$D$21, "2", 'Benefits Calc'!B16='Inputs-Proposals'!$D$27, "3"), "0")</f>
        <v>0</v>
      </c>
      <c r="D16" s="324">
        <f t="shared" si="12"/>
        <v>0</v>
      </c>
      <c r="E16" s="320">
        <f t="shared" si="13"/>
        <v>0</v>
      </c>
      <c r="F16" s="320">
        <f t="shared" si="14"/>
        <v>0</v>
      </c>
      <c r="G16" s="320">
        <f t="shared" si="15"/>
        <v>0</v>
      </c>
      <c r="H16" s="320">
        <f t="shared" si="16"/>
        <v>0</v>
      </c>
      <c r="I16" s="320">
        <f t="shared" si="17"/>
        <v>0</v>
      </c>
      <c r="J16" s="324">
        <f>NPV('Inputs-System'!$C$20,P16+V16+AB16+AH16+AN16+AT16+AZ16+BF16+BL16+BR16+BX16+CD16+CJ16+CP16+CV16+DB16+DH16+DN16+DT16+DZ16)</f>
        <v>0</v>
      </c>
      <c r="K16" s="320">
        <f>NPV('Inputs-System'!$C$20,Q16+W16+AC16+AI16+AO16+AU16+BA16+BG16+BM16+BS16+BY16+CE16+CK16+CQ16+CW16+DC16+DI16+DO16+DU16+EA16)</f>
        <v>0</v>
      </c>
      <c r="L16" s="320">
        <f>NPV('Inputs-System'!$C$20,R16+X16+AD16+AJ16+AP16+AV16+BB16+BH16+BN16+BT16+BZ16+CF16+CL16+CR16+CX16+DD16+DJ16+DP16+DV16+EB16)</f>
        <v>0</v>
      </c>
      <c r="M16" s="320">
        <f>NPV('Inputs-System'!$C$20,S16+Y16+AE16+AK16+AQ16+AW16+BC16+BI16+BO16+BU16+CA16+CG16+CM16+CS16+CY16+DE16+DK16+DQ16+DW16+EC16)</f>
        <v>0</v>
      </c>
      <c r="N16" s="320">
        <f>NPV('Inputs-System'!$C$20,T16+Z16+AF16+AL16+AR16+AX16+BD16+BJ16+BP16+BV16+CB16+CH16+CN16+CT16+CZ16+DF16+DL16+DR16+DX16+ED16)</f>
        <v>0</v>
      </c>
      <c r="O16" s="320">
        <f>NPV('Inputs-System'!$C$20,U16+AA16+AG16+AM16+AS16+AY16+BE16+BK16+BQ16+BW16+CC16+CI16+CO16+CU16+DA16+DG16+DM16+DS16+DY16+EE16)</f>
        <v>0</v>
      </c>
      <c r="P16" s="366">
        <f>IFERROR(_xlfn.IFS($C16="1",('Inputs-System'!$C$30*'Coincidence Factors'!$B$10*(1+'Inputs-System'!$C$18)*(1+'Inputs-System'!$C$41)*('Inputs-Proposals'!$D$17*'Inputs-Proposals'!$D$19*(1-'Inputs-Proposals'!$D$20^(P$3-'Inputs-System'!$C$7+1)))*(VLOOKUP(P$3,Energy!$A$51:$K$83,5,FALSE))), $C16 = "2",('Inputs-System'!$C$30*'Coincidence Factors'!$B$10)*(1+'Inputs-System'!$C$18)*(1+'Inputs-System'!$C$41)*('Inputs-Proposals'!$D$23*'Inputs-Proposals'!$D$25*(1-'Inputs-Proposals'!$D$26^(P$3-'Inputs-System'!$C$7+1)))*(VLOOKUP(P$3,Energy!$A$51:$K$83,5,FALSE)), $C16= "3", ('Inputs-System'!$C$30*'Coincidence Factors'!$B$10*(1+'Inputs-System'!$C$18)*(1+'Inputs-System'!$C$41)*('Inputs-Proposals'!$D$29*'Inputs-Proposals'!$D$31*(1-'Inputs-Proposals'!$D$32^(P$3-'Inputs-System'!$C$7+1)))*(VLOOKUP(P$3,Energy!$A$51:$K$83,5,FALSE))), $C16= "0", 0), 0)</f>
        <v>0</v>
      </c>
      <c r="Q16" s="44">
        <f>IFERROR(_xlfn.IFS($C16="1",('Inputs-System'!$C$30*'Coincidence Factors'!$B$10*(1+'Inputs-System'!$C$18)*(1+'Inputs-System'!$C$41))*'Inputs-Proposals'!$D$17*'Inputs-Proposals'!$D$19*(1-'Inputs-Proposals'!$D$20^(P$3-'Inputs-System'!$C$7+1))*(VLOOKUP(P$3,'Embedded Emissions'!$A$47:$B$78,2,FALSE)+VLOOKUP(P$3,'Embedded Emissions'!$A$129:$B$158,2,FALSE)), $C16 = "2",('Inputs-System'!$C$30*'Coincidence Factors'!$B$10*(1+'Inputs-System'!$C$18)*(1+'Inputs-System'!$C$41))*'Inputs-Proposals'!$D$23*'Inputs-Proposals'!$D$25*(1-'Inputs-Proposals'!$D$20^(P$3-'Inputs-System'!$C$7+1))*(VLOOKUP(P$3,'Embedded Emissions'!$A$47:$B$78,2,FALSE)+VLOOKUP(P$3,'Embedded Emissions'!$A$129:$B$158,2,FALSE)), $C16 = "3", ('Inputs-System'!$C$30*'Coincidence Factors'!$B$10*(1+'Inputs-System'!$C$18)*(1+'Inputs-System'!$C$41))*'Inputs-Proposals'!$D$29*'Inputs-Proposals'!$D$31*(1-'Inputs-Proposals'!$D$20^(P$3-'Inputs-System'!$C$7+1))*(VLOOKUP(P$3,'Embedded Emissions'!$A$47:$B$78,2,FALSE)+VLOOKUP(P$3,'Embedded Emissions'!$A$129:$B$158,2,FALSE)), $C16 = "0", 0), 0)</f>
        <v>0</v>
      </c>
      <c r="R16" s="44">
        <f>IFERROR(_xlfn.IFS($C16="1",( 'Inputs-System'!$C$30*'Coincidence Factors'!$B$10*(1+'Inputs-System'!$C$18)*(1+'Inputs-System'!$C$41))*('Inputs-Proposals'!$D$17*'Inputs-Proposals'!$D$19*(1-'Inputs-Proposals'!$D$20)^(P$3-'Inputs-System'!$C$7))*(VLOOKUP(P$3,DRIPE!$A$54:$I$82,5,FALSE)+VLOOKUP(P$3,DRIPE!$A$54:$I$82,9,FALSE))+ ('Inputs-System'!$C$26*'Coincidence Factors'!$B$6*(1+'Inputs-System'!$C$18)*(1+'Inputs-System'!$C$42))*'Inputs-Proposals'!$D$16*VLOOKUP(P$3,DRIPE!$A$54:$I$82,8,FALSE), $C16 = "2",( 'Inputs-System'!$C$30*'Coincidence Factors'!$B$10*(1+'Inputs-System'!$C$18)*(1+'Inputs-System'!$C$41))*('Inputs-Proposals'!$D$23*'Inputs-Proposals'!$D$25*(1-'Inputs-Proposals'!$D$26)^(P$3-'Inputs-System'!$C$7))*(VLOOKUP(P$3,DRIPE!$A$54:$I$82,5,FALSE)+VLOOKUP(P$3,DRIPE!$A$54:$I$82,9,FALSE))+ ('Inputs-System'!$C$26*'Coincidence Factors'!$B$6*(1+'Inputs-System'!$C$18)*(1+'Inputs-System'!$C$42))*'Inputs-Proposals'!$D$22*VLOOKUP(P$3,DRIPE!$A$54:$I$82,8,FALSE), $C16= "3", ( 'Inputs-System'!$C$30*'Coincidence Factors'!$B$10*(1+'Inputs-System'!$C$18)*(1+'Inputs-System'!$C$41))*('Inputs-Proposals'!$D$29*'Inputs-Proposals'!$D$31*(1-'Inputs-Proposals'!$D$32)^(P$3-'Inputs-System'!$C$7))*(VLOOKUP(P$3,DRIPE!$A$54:$I$82,5,FALSE)+VLOOKUP(P$3,DRIPE!$A$54:$I$82,9,FALSE))+ ('Inputs-System'!$C$26*'Coincidence Factors'!$B$6*(1+'Inputs-System'!$C$18)*(1+'Inputs-System'!$C$42))*'Inputs-Proposals'!$D$28*VLOOKUP(P$3,DRIPE!$A$54:$I$82,8,FALSE), $C16 = "0", 0), 0)</f>
        <v>0</v>
      </c>
      <c r="S16" s="45">
        <f>IFERROR(_xlfn.IFS($C16="1",('Inputs-System'!$C$26*'Coincidence Factors'!$B$10*(1+'Inputs-System'!$C$18)*(1+'Inputs-System'!$C$42))*'Inputs-Proposals'!$D$16*(VLOOKUP(P$3,Capacity!$A$53:$E$85,4,FALSE)*(1+'Inputs-System'!$C$42)+VLOOKUP(P$3,Capacity!$A$53:$E$85,5,FALSE)*(1+'Inputs-System'!$C$43)*'Inputs-System'!$C$29), $C16 = "2", ('Inputs-System'!$C$26*'Coincidence Factors'!$B$10*(1+'Inputs-System'!$C$18))*'Inputs-Proposals'!$D$22*(VLOOKUP(P$3,Capacity!$A$53:$E$85,4,FALSE)*(1+'Inputs-System'!$C$42)+VLOOKUP(P$3,Capacity!$A$53:$E$85,5,FALSE)*'Inputs-System'!$C$29*(1+'Inputs-System'!$C$43)), $C16 = "3", ('Inputs-System'!$C$26*'Coincidence Factors'!$B$10*(1+'Inputs-System'!$C$18))*'Inputs-Proposals'!$D$28*(VLOOKUP(P$3,Capacity!$A$53:$E$85,4,FALSE)*(1+'Inputs-System'!$C$42)+VLOOKUP(P$3,Capacity!$A$53:$E$85,5,FALSE)*'Inputs-System'!$C$29*(1+'Inputs-System'!$C$43)), $C16 = "0", 0), 0)</f>
        <v>0</v>
      </c>
      <c r="T16" s="44">
        <v>0</v>
      </c>
      <c r="U16" s="342">
        <f>IFERROR(_xlfn.IFS($C16="1", 'Inputs-System'!$C$30*'Coincidence Factors'!$B$10*'Inputs-Proposals'!$D$17*'Inputs-Proposals'!$D$19*(VLOOKUP(P$3,'Non-Embedded Emissions'!$A$56:$D$90,2,FALSE)-VLOOKUP(P$3,'Non-Embedded Emissions'!$F$57:$H$88,3,FALSE)+VLOOKUP(P$3,'Non-Embedded Emissions'!$A$143:$D$174,2,FALSE)-VLOOKUP(P$3,'Non-Embedded Emissions'!$F$143:$H$174,3,FALSE)+VLOOKUP(P$3,'Non-Embedded Emissions'!$A$230:$D$259,2,FALSE)), $C16 = "2", 'Inputs-System'!$C$30*'Coincidence Factors'!$B$10*'Inputs-Proposals'!$D$23*'Inputs-Proposals'!$D$25*(VLOOKUP(P$3,'Non-Embedded Emissions'!$A$56:$D$90,2,FALSE)-VLOOKUP(P$3,'Non-Embedded Emissions'!$F$57:$H$88,3,FALSE)+VLOOKUP(P$3,'Non-Embedded Emissions'!$A$143:$D$174,2,FALSE)-VLOOKUP(P$3,'Non-Embedded Emissions'!$F$143:$H$174,3,FALSE)+VLOOKUP(P$3,'Non-Embedded Emissions'!$A$230:$D$259,2,FALSE)), $C16 = "3", 'Inputs-System'!$C$30*'Coincidence Factors'!$B$10*'Inputs-Proposals'!$D$29*'Inputs-Proposals'!$D$31*(VLOOKUP(P$3,'Non-Embedded Emissions'!$A$56:$D$90,2,FALSE)-VLOOKUP(P$3,'Non-Embedded Emissions'!$F$57:$H$88,3,FALSE)+VLOOKUP(P$3,'Non-Embedded Emissions'!$A$143:$D$174,2,FALSE)-VLOOKUP(P$3,'Non-Embedded Emissions'!$F$143:$H$174,3,FALSE)+VLOOKUP(P$3,'Non-Embedded Emissions'!$A$230:$D$259,2,FALSE)), $C16 = "0", 0), 0)</f>
        <v>0</v>
      </c>
      <c r="V16" s="45">
        <f>IFERROR(_xlfn.IFS($C16="1",('Inputs-System'!$C$30*'Coincidence Factors'!$B$10*(1+'Inputs-System'!$C$18)*(1+'Inputs-System'!$C$41)*('Inputs-Proposals'!$D$17*'Inputs-Proposals'!$D$19*(1-'Inputs-Proposals'!$D$20^(V$3-'Inputs-System'!$C$7)))*(VLOOKUP(V$3,Energy!$A$51:$K$83,5,FALSE))), $C16 = "2",('Inputs-System'!$C$30*'Coincidence Factors'!$B$10)*(1+'Inputs-System'!$C$18)*(1+'Inputs-System'!$C$41)*('Inputs-Proposals'!$D$23*'Inputs-Proposals'!$D$25*(1-'Inputs-Proposals'!$D$26^(V$3-'Inputs-System'!$C$7)))*(VLOOKUP(V$3,Energy!$A$51:$K$83,5,FALSE)), $C16= "3", ('Inputs-System'!$C$30*'Coincidence Factors'!$B$10*(1+'Inputs-System'!$C$18)*(1+'Inputs-System'!$C$41)*('Inputs-Proposals'!$D$29*'Inputs-Proposals'!$D$31*(1-'Inputs-Proposals'!$D$32^(V$3-'Inputs-System'!$C$7)))*(VLOOKUP(V$3,Energy!$A$51:$K$83,5,FALSE))), $C16= "0", 0), 0)</f>
        <v>0</v>
      </c>
      <c r="W16" s="44">
        <f>IFERROR(_xlfn.IFS($C16="1",('Inputs-System'!$C$30*'Coincidence Factors'!$B$10*(1+'Inputs-System'!$C$18)*(1+'Inputs-System'!$C$41))*'Inputs-Proposals'!$D$17*'Inputs-Proposals'!$D$19*(1-'Inputs-Proposals'!$D$20^(V$3-'Inputs-System'!$C$7))*(VLOOKUP(V$3,'Embedded Emissions'!$A$47:$B$78,2,FALSE)+VLOOKUP(V$3,'Embedded Emissions'!$A$129:$B$158,2,FALSE)), $C16 = "2",('Inputs-System'!$C$30*'Coincidence Factors'!$B$10*(1+'Inputs-System'!$C$18)*(1+'Inputs-System'!$C$41))*'Inputs-Proposals'!$D$23*'Inputs-Proposals'!$D$25*(1-'Inputs-Proposals'!$D$20^(V$3-'Inputs-System'!$C$7))*(VLOOKUP(V$3,'Embedded Emissions'!$A$47:$B$78,2,FALSE)+VLOOKUP(V$3,'Embedded Emissions'!$A$129:$B$158,2,FALSE)), $C16 = "3", ('Inputs-System'!$C$30*'Coincidence Factors'!$B$10*(1+'Inputs-System'!$C$18)*(1+'Inputs-System'!$C$41))*'Inputs-Proposals'!$D$29*'Inputs-Proposals'!$D$31*(1-'Inputs-Proposals'!$D$20^(V$3-'Inputs-System'!$C$7))*(VLOOKUP(V$3,'Embedded Emissions'!$A$47:$B$78,2,FALSE)+VLOOKUP(V$3,'Embedded Emissions'!$A$129:$B$158,2,FALSE)), $C16 = "0", 0), 0)</f>
        <v>0</v>
      </c>
      <c r="X16" s="44">
        <f>IFERROR(_xlfn.IFS($C16="1",( 'Inputs-System'!$C$30*'Coincidence Factors'!$B$10*(1+'Inputs-System'!$C$18)*(1+'Inputs-System'!$C$41))*('Inputs-Proposals'!$D$17*'Inputs-Proposals'!$D$19*(1-'Inputs-Proposals'!$D$20)^(V$3-'Inputs-System'!$C$7))*(VLOOKUP(V$3,DRIPE!$A$54:$I$82,5,FALSE)+VLOOKUP(V$3,DRIPE!$A$54:$I$82,9,FALSE))+ ('Inputs-System'!$C$26*'Coincidence Factors'!$B$6*(1+'Inputs-System'!$C$18)*(1+'Inputs-System'!$C$42))*'Inputs-Proposals'!$D$16*VLOOKUP(V$3,DRIPE!$A$54:$I$82,8,FALSE), $C16 = "2",( 'Inputs-System'!$C$30*'Coincidence Factors'!$B$10*(1+'Inputs-System'!$C$18)*(1+'Inputs-System'!$C$41))*('Inputs-Proposals'!$D$23*'Inputs-Proposals'!$D$25*(1-'Inputs-Proposals'!$D$26)^(V$3-'Inputs-System'!$C$7))*(VLOOKUP(V$3,DRIPE!$A$54:$I$82,5,FALSE)+VLOOKUP(V$3,DRIPE!$A$54:$I$82,9,FALSE))+ ('Inputs-System'!$C$26*'Coincidence Factors'!$B$6*(1+'Inputs-System'!$C$18)*(1+'Inputs-System'!$C$42))*'Inputs-Proposals'!$D$22*VLOOKUP(V$3,DRIPE!$A$54:$I$82,8,FALSE), $C16= "3", ( 'Inputs-System'!$C$30*'Coincidence Factors'!$B$10*(1+'Inputs-System'!$C$18)*(1+'Inputs-System'!$C$41))*('Inputs-Proposals'!$D$29*'Inputs-Proposals'!$D$31*(1-'Inputs-Proposals'!$D$32)^(V$3-'Inputs-System'!$C$7))*(VLOOKUP(V$3,DRIPE!$A$54:$I$82,5,FALSE)+VLOOKUP(V$3,DRIPE!$A$54:$I$82,9,FALSE))+ ('Inputs-System'!$C$26*'Coincidence Factors'!$B$6*(1+'Inputs-System'!$C$18)*(1+'Inputs-System'!$C$42))*'Inputs-Proposals'!$D$28*VLOOKUP(V$3,DRIPE!$A$54:$I$82,8,FALSE), $C16 = "0", 0), 0)</f>
        <v>0</v>
      </c>
      <c r="Y16" s="45">
        <f>IFERROR(_xlfn.IFS($C16="1",('Inputs-System'!$C$26*'Coincidence Factors'!$B$10*(1+'Inputs-System'!$C$18)*(1+'Inputs-System'!$C$42))*'Inputs-Proposals'!$D$16*(VLOOKUP(V$3,Capacity!$A$53:$E$85,4,FALSE)*(1+'Inputs-System'!$C$42)+VLOOKUP(V$3,Capacity!$A$53:$E$85,5,FALSE)*(1+'Inputs-System'!$C$43)*'Inputs-System'!$C$29), $C16 = "2", ('Inputs-System'!$C$26*'Coincidence Factors'!$B$10*(1+'Inputs-System'!$C$18))*'Inputs-Proposals'!$D$22*(VLOOKUP(V$3,Capacity!$A$53:$E$85,4,FALSE)*(1+'Inputs-System'!$C$42)+VLOOKUP(V$3,Capacity!$A$53:$E$85,5,FALSE)*'Inputs-System'!$C$29*(1+'Inputs-System'!$C$43)), $C16 = "3", ('Inputs-System'!$C$26*'Coincidence Factors'!$B$10*(1+'Inputs-System'!$C$18))*'Inputs-Proposals'!$D$28*(VLOOKUP(V$3,Capacity!$A$53:$E$85,4,FALSE)*(1+'Inputs-System'!$C$42)+VLOOKUP(V$3,Capacity!$A$53:$E$85,5,FALSE)*'Inputs-System'!$C$29*(1+'Inputs-System'!$C$43)), $C16 = "0", 0), 0)</f>
        <v>0</v>
      </c>
      <c r="Z16" s="44">
        <v>0</v>
      </c>
      <c r="AA16" s="342">
        <f>IFERROR(_xlfn.IFS($C16="1", 'Inputs-System'!$C$30*'Coincidence Factors'!$B$10*'Inputs-Proposals'!$D$17*'Inputs-Proposals'!$D$19*(VLOOKUP(V$3,'Non-Embedded Emissions'!$A$56:$D$90,2,FALSE)-VLOOKUP(V$3,'Non-Embedded Emissions'!$F$57:$H$88,3,FALSE)+VLOOKUP(V$3,'Non-Embedded Emissions'!$A$143:$D$174,2,FALSE)-VLOOKUP(V$3,'Non-Embedded Emissions'!$F$143:$H$174,3,FALSE)+VLOOKUP(V$3,'Non-Embedded Emissions'!$A$230:$D$259,2,FALSE)), $C16 = "2", 'Inputs-System'!$C$30*'Coincidence Factors'!$B$10*'Inputs-Proposals'!$D$23*'Inputs-Proposals'!$D$25*(VLOOKUP(V$3,'Non-Embedded Emissions'!$A$56:$D$90,2,FALSE)-VLOOKUP(V$3,'Non-Embedded Emissions'!$F$57:$H$88,3,FALSE)+VLOOKUP(V$3,'Non-Embedded Emissions'!$A$143:$D$174,2,FALSE)-VLOOKUP(V$3,'Non-Embedded Emissions'!$F$143:$H$174,3,FALSE)+VLOOKUP(V$3,'Non-Embedded Emissions'!$A$230:$D$259,2,FALSE)), $C16 = "3", 'Inputs-System'!$C$30*'Coincidence Factors'!$B$10*'Inputs-Proposals'!$D$29*'Inputs-Proposals'!$D$31*(VLOOKUP(V$3,'Non-Embedded Emissions'!$A$56:$D$90,2,FALSE)-VLOOKUP(V$3,'Non-Embedded Emissions'!$F$57:$H$88,3,FALSE)+VLOOKUP(V$3,'Non-Embedded Emissions'!$A$143:$D$174,2,FALSE)-VLOOKUP(V$3,'Non-Embedded Emissions'!$F$143:$H$174,3,FALSE)+VLOOKUP(V$3,'Non-Embedded Emissions'!$A$230:$D$259,2,FALSE)), $C16 = "0", 0), 0)</f>
        <v>0</v>
      </c>
      <c r="AB16" s="45">
        <f>IFERROR(_xlfn.IFS($C16="1",('Inputs-System'!$C$30*'Coincidence Factors'!$B$10*(1+'Inputs-System'!$C$18)*(1+'Inputs-System'!$C$41)*('Inputs-Proposals'!$D$17*'Inputs-Proposals'!$D$19*(1-'Inputs-Proposals'!$D$20^(AB$3-'Inputs-System'!$C$7)))*(VLOOKUP(AB$3,Energy!$A$51:$K$83,5,FALSE))), $C16 = "2",('Inputs-System'!$C$30*'Coincidence Factors'!$B$10)*(1+'Inputs-System'!$C$18)*(1+'Inputs-System'!$C$41)*('Inputs-Proposals'!$D$23*'Inputs-Proposals'!$D$25*(1-'Inputs-Proposals'!$D$26^(AB$3-'Inputs-System'!$C$7)))*(VLOOKUP(AB$3,Energy!$A$51:$K$83,5,FALSE)), $C16= "3", ('Inputs-System'!$C$30*'Coincidence Factors'!$B$10*(1+'Inputs-System'!$C$18)*(1+'Inputs-System'!$C$41)*('Inputs-Proposals'!$D$29*'Inputs-Proposals'!$D$31*(1-'Inputs-Proposals'!$D$32^(AB$3-'Inputs-System'!$C$7)))*(VLOOKUP(AB$3,Energy!$A$51:$K$83,5,FALSE))), $C16= "0", 0), 0)</f>
        <v>0</v>
      </c>
      <c r="AC16" s="44">
        <f>IFERROR(_xlfn.IFS($C16="1",('Inputs-System'!$C$30*'Coincidence Factors'!$B$10*(1+'Inputs-System'!$C$18)*(1+'Inputs-System'!$C$41))*'Inputs-Proposals'!$D$17*'Inputs-Proposals'!$D$19*(1-'Inputs-Proposals'!$D$20^(AB$3-'Inputs-System'!$C$7))*(VLOOKUP(AB$3,'Embedded Emissions'!$A$47:$B$78,2,FALSE)+VLOOKUP(AB$3,'Embedded Emissions'!$A$129:$B$158,2,FALSE)), $C16 = "2",('Inputs-System'!$C$30*'Coincidence Factors'!$B$10*(1+'Inputs-System'!$C$18)*(1+'Inputs-System'!$C$41))*'Inputs-Proposals'!$D$23*'Inputs-Proposals'!$D$25*(1-'Inputs-Proposals'!$D$20^(AB$3-'Inputs-System'!$C$7))*(VLOOKUP(AB$3,'Embedded Emissions'!$A$47:$B$78,2,FALSE)+VLOOKUP(AB$3,'Embedded Emissions'!$A$129:$B$158,2,FALSE)), $C16 = "3", ('Inputs-System'!$C$30*'Coincidence Factors'!$B$10*(1+'Inputs-System'!$C$18)*(1+'Inputs-System'!$C$41))*'Inputs-Proposals'!$D$29*'Inputs-Proposals'!$D$31*(1-'Inputs-Proposals'!$D$20^(AB$3-'Inputs-System'!$C$7))*(VLOOKUP(AB$3,'Embedded Emissions'!$A$47:$B$78,2,FALSE)+VLOOKUP(AB$3,'Embedded Emissions'!$A$129:$B$158,2,FALSE)), $C16 = "0", 0), 0)</f>
        <v>0</v>
      </c>
      <c r="AD16" s="44">
        <f>IFERROR(_xlfn.IFS($C16="1",( 'Inputs-System'!$C$30*'Coincidence Factors'!$B$10*(1+'Inputs-System'!$C$18)*(1+'Inputs-System'!$C$41))*('Inputs-Proposals'!$D$17*'Inputs-Proposals'!$D$19*(1-'Inputs-Proposals'!$D$20)^(AB$3-'Inputs-System'!$C$7))*(VLOOKUP(AB$3,DRIPE!$A$54:$I$82,5,FALSE)+VLOOKUP(AB$3,DRIPE!$A$54:$I$82,9,FALSE))+ ('Inputs-System'!$C$26*'Coincidence Factors'!$B$6*(1+'Inputs-System'!$C$18)*(1+'Inputs-System'!$C$42))*'Inputs-Proposals'!$D$16*VLOOKUP(AB$3,DRIPE!$A$54:$I$82,8,FALSE), $C16 = "2",( 'Inputs-System'!$C$30*'Coincidence Factors'!$B$10*(1+'Inputs-System'!$C$18)*(1+'Inputs-System'!$C$41))*('Inputs-Proposals'!$D$23*'Inputs-Proposals'!$D$25*(1-'Inputs-Proposals'!$D$26)^(AB$3-'Inputs-System'!$C$7))*(VLOOKUP(AB$3,DRIPE!$A$54:$I$82,5,FALSE)+VLOOKUP(AB$3,DRIPE!$A$54:$I$82,9,FALSE))+ ('Inputs-System'!$C$26*'Coincidence Factors'!$B$6*(1+'Inputs-System'!$C$18)*(1+'Inputs-System'!$C$42))*'Inputs-Proposals'!$D$22*VLOOKUP(AB$3,DRIPE!$A$54:$I$82,8,FALSE), $C16= "3", ( 'Inputs-System'!$C$30*'Coincidence Factors'!$B$10*(1+'Inputs-System'!$C$18)*(1+'Inputs-System'!$C$41))*('Inputs-Proposals'!$D$29*'Inputs-Proposals'!$D$31*(1-'Inputs-Proposals'!$D$32)^(AB$3-'Inputs-System'!$C$7))*(VLOOKUP(AB$3,DRIPE!$A$54:$I$82,5,FALSE)+VLOOKUP(AB$3,DRIPE!$A$54:$I$82,9,FALSE))+ ('Inputs-System'!$C$26*'Coincidence Factors'!$B$6*(1+'Inputs-System'!$C$18)*(1+'Inputs-System'!$C$42))*'Inputs-Proposals'!$D$28*VLOOKUP(AB$3,DRIPE!$A$54:$I$82,8,FALSE), $C16 = "0", 0), 0)</f>
        <v>0</v>
      </c>
      <c r="AE16" s="45">
        <f>IFERROR(_xlfn.IFS($C16="1",('Inputs-System'!$C$26*'Coincidence Factors'!$B$10*(1+'Inputs-System'!$C$18)*(1+'Inputs-System'!$C$42))*'Inputs-Proposals'!$D$16*(VLOOKUP(AB$3,Capacity!$A$53:$E$85,4,FALSE)*(1+'Inputs-System'!$C$42)+VLOOKUP(AB$3,Capacity!$A$53:$E$85,5,FALSE)*(1+'Inputs-System'!$C$43)*'Inputs-System'!$C$29), $C16 = "2", ('Inputs-System'!$C$26*'Coincidence Factors'!$B$10*(1+'Inputs-System'!$C$18))*'Inputs-Proposals'!$D$22*(VLOOKUP(AB$3,Capacity!$A$53:$E$85,4,FALSE)*(1+'Inputs-System'!$C$42)+VLOOKUP(AB$3,Capacity!$A$53:$E$85,5,FALSE)*'Inputs-System'!$C$29*(1+'Inputs-System'!$C$43)), $C16 = "3", ('Inputs-System'!$C$26*'Coincidence Factors'!$B$10*(1+'Inputs-System'!$C$18))*'Inputs-Proposals'!$D$28*(VLOOKUP(AB$3,Capacity!$A$53:$E$85,4,FALSE)*(1+'Inputs-System'!$C$42)+VLOOKUP(AB$3,Capacity!$A$53:$E$85,5,FALSE)*'Inputs-System'!$C$29*(1+'Inputs-System'!$C$43)), $C16 = "0", 0), 0)</f>
        <v>0</v>
      </c>
      <c r="AF16" s="44">
        <v>0</v>
      </c>
      <c r="AG16" s="342">
        <f>IFERROR(_xlfn.IFS($C16="1", 'Inputs-System'!$C$30*'Coincidence Factors'!$B$10*'Inputs-Proposals'!$D$17*'Inputs-Proposals'!$D$19*(VLOOKUP(AB$3,'Non-Embedded Emissions'!$A$56:$D$90,2,FALSE)-VLOOKUP(AB$3,'Non-Embedded Emissions'!$F$57:$H$88,3,FALSE)+VLOOKUP(AB$3,'Non-Embedded Emissions'!$A$143:$D$174,2,FALSE)-VLOOKUP(AB$3,'Non-Embedded Emissions'!$F$143:$H$174,3,FALSE)+VLOOKUP(AB$3,'Non-Embedded Emissions'!$A$230:$D$259,2,FALSE)), $C16 = "2", 'Inputs-System'!$C$30*'Coincidence Factors'!$B$10*'Inputs-Proposals'!$D$23*'Inputs-Proposals'!$D$25*(VLOOKUP(AB$3,'Non-Embedded Emissions'!$A$56:$D$90,2,FALSE)-VLOOKUP(AB$3,'Non-Embedded Emissions'!$F$57:$H$88,3,FALSE)+VLOOKUP(AB$3,'Non-Embedded Emissions'!$A$143:$D$174,2,FALSE)-VLOOKUP(AB$3,'Non-Embedded Emissions'!$F$143:$H$174,3,FALSE)+VLOOKUP(AB$3,'Non-Embedded Emissions'!$A$230:$D$259,2,FALSE)), $C16 = "3", 'Inputs-System'!$C$30*'Coincidence Factors'!$B$10*'Inputs-Proposals'!$D$29*'Inputs-Proposals'!$D$31*(VLOOKUP(AB$3,'Non-Embedded Emissions'!$A$56:$D$90,2,FALSE)-VLOOKUP(AB$3,'Non-Embedded Emissions'!$F$57:$H$88,3,FALSE)+VLOOKUP(AB$3,'Non-Embedded Emissions'!$A$143:$D$174,2,FALSE)-VLOOKUP(AB$3,'Non-Embedded Emissions'!$F$143:$H$174,3,FALSE)+VLOOKUP(AB$3,'Non-Embedded Emissions'!$A$230:$D$259,2,FALSE)), $C16 = "0", 0), 0)</f>
        <v>0</v>
      </c>
      <c r="AH16" s="45">
        <f>IFERROR(_xlfn.IFS($C16="1",('Inputs-System'!$C$30*'Coincidence Factors'!$B$10*(1+'Inputs-System'!$C$18)*(1+'Inputs-System'!$C$41)*('Inputs-Proposals'!$D$17*'Inputs-Proposals'!$D$19*(1-'Inputs-Proposals'!$D$20^(AH$3-'Inputs-System'!$C$7)))*(VLOOKUP(AH$3,Energy!$A$51:$K$83,5,FALSE))), $C16 = "2",('Inputs-System'!$C$30*'Coincidence Factors'!$B$10)*(1+'Inputs-System'!$C$18)*(1+'Inputs-System'!$C$41)*('Inputs-Proposals'!$D$23*'Inputs-Proposals'!$D$25*(1-'Inputs-Proposals'!$D$26^(AH$3-'Inputs-System'!$C$7)))*(VLOOKUP(AH$3,Energy!$A$51:$K$83,5,FALSE)), $C16= "3", ('Inputs-System'!$C$30*'Coincidence Factors'!$B$10*(1+'Inputs-System'!$C$18)*(1+'Inputs-System'!$C$41)*('Inputs-Proposals'!$D$29*'Inputs-Proposals'!$D$31*(1-'Inputs-Proposals'!$D$32^(AH$3-'Inputs-System'!$C$7)))*(VLOOKUP(AH$3,Energy!$A$51:$K$83,5,FALSE))), $C16= "0", 0), 0)</f>
        <v>0</v>
      </c>
      <c r="AI16" s="44">
        <f>IFERROR(_xlfn.IFS($C16="1",('Inputs-System'!$C$30*'Coincidence Factors'!$B$10*(1+'Inputs-System'!$C$18)*(1+'Inputs-System'!$C$41))*'Inputs-Proposals'!$D$17*'Inputs-Proposals'!$D$19*(1-'Inputs-Proposals'!$D$20^(AH$3-'Inputs-System'!$C$7))*(VLOOKUP(AH$3,'Embedded Emissions'!$A$47:$B$78,2,FALSE)+VLOOKUP(AH$3,'Embedded Emissions'!$A$129:$B$158,2,FALSE)), $C16 = "2",('Inputs-System'!$C$30*'Coincidence Factors'!$B$10*(1+'Inputs-System'!$C$18)*(1+'Inputs-System'!$C$41))*'Inputs-Proposals'!$D$23*'Inputs-Proposals'!$D$25*(1-'Inputs-Proposals'!$D$20^(AH$3-'Inputs-System'!$C$7))*(VLOOKUP(AH$3,'Embedded Emissions'!$A$47:$B$78,2,FALSE)+VLOOKUP(AH$3,'Embedded Emissions'!$A$129:$B$158,2,FALSE)), $C16 = "3", ('Inputs-System'!$C$30*'Coincidence Factors'!$B$10*(1+'Inputs-System'!$C$18)*(1+'Inputs-System'!$C$41))*'Inputs-Proposals'!$D$29*'Inputs-Proposals'!$D$31*(1-'Inputs-Proposals'!$D$20^(AH$3-'Inputs-System'!$C$7))*(VLOOKUP(AH$3,'Embedded Emissions'!$A$47:$B$78,2,FALSE)+VLOOKUP(AH$3,'Embedded Emissions'!$A$129:$B$158,2,FALSE)), $C16 = "0", 0), 0)</f>
        <v>0</v>
      </c>
      <c r="AJ16" s="44">
        <f>IFERROR(_xlfn.IFS($C16="1",( 'Inputs-System'!$C$30*'Coincidence Factors'!$B$10*(1+'Inputs-System'!$C$18)*(1+'Inputs-System'!$C$41))*('Inputs-Proposals'!$D$17*'Inputs-Proposals'!$D$19*(1-'Inputs-Proposals'!$D$20)^(AH$3-'Inputs-System'!$C$7))*(VLOOKUP(AH$3,DRIPE!$A$54:$I$82,5,FALSE)+VLOOKUP(AH$3,DRIPE!$A$54:$I$82,9,FALSE))+ ('Inputs-System'!$C$26*'Coincidence Factors'!$B$6*(1+'Inputs-System'!$C$18)*(1+'Inputs-System'!$C$42))*'Inputs-Proposals'!$D$16*VLOOKUP(AH$3,DRIPE!$A$54:$I$82,8,FALSE), $C16 = "2",( 'Inputs-System'!$C$30*'Coincidence Factors'!$B$10*(1+'Inputs-System'!$C$18)*(1+'Inputs-System'!$C$41))*('Inputs-Proposals'!$D$23*'Inputs-Proposals'!$D$25*(1-'Inputs-Proposals'!$D$26)^(AH$3-'Inputs-System'!$C$7))*(VLOOKUP(AH$3,DRIPE!$A$54:$I$82,5,FALSE)+VLOOKUP(AH$3,DRIPE!$A$54:$I$82,9,FALSE))+ ('Inputs-System'!$C$26*'Coincidence Factors'!$B$6*(1+'Inputs-System'!$C$18)*(1+'Inputs-System'!$C$42))*'Inputs-Proposals'!$D$22*VLOOKUP(AH$3,DRIPE!$A$54:$I$82,8,FALSE), $C16= "3", ( 'Inputs-System'!$C$30*'Coincidence Factors'!$B$10*(1+'Inputs-System'!$C$18)*(1+'Inputs-System'!$C$41))*('Inputs-Proposals'!$D$29*'Inputs-Proposals'!$D$31*(1-'Inputs-Proposals'!$D$32)^(AH$3-'Inputs-System'!$C$7))*(VLOOKUP(AH$3,DRIPE!$A$54:$I$82,5,FALSE)+VLOOKUP(AH$3,DRIPE!$A$54:$I$82,9,FALSE))+ ('Inputs-System'!$C$26*'Coincidence Factors'!$B$6*(1+'Inputs-System'!$C$18)*(1+'Inputs-System'!$C$42))*'Inputs-Proposals'!$D$28*VLOOKUP(AH$3,DRIPE!$A$54:$I$82,8,FALSE), $C16 = "0", 0), 0)</f>
        <v>0</v>
      </c>
      <c r="AK16" s="45">
        <f>IFERROR(_xlfn.IFS($C16="1",('Inputs-System'!$C$26*'Coincidence Factors'!$B$10*(1+'Inputs-System'!$C$18)*(1+'Inputs-System'!$C$42))*'Inputs-Proposals'!$D$16*(VLOOKUP(AH$3,Capacity!$A$53:$E$85,4,FALSE)*(1+'Inputs-System'!$C$42)+VLOOKUP(AH$3,Capacity!$A$53:$E$85,5,FALSE)*(1+'Inputs-System'!$C$43)*'Inputs-System'!$C$29), $C16 = "2", ('Inputs-System'!$C$26*'Coincidence Factors'!$B$10*(1+'Inputs-System'!$C$18))*'Inputs-Proposals'!$D$22*(VLOOKUP(AH$3,Capacity!$A$53:$E$85,4,FALSE)*(1+'Inputs-System'!$C$42)+VLOOKUP(AH$3,Capacity!$A$53:$E$85,5,FALSE)*'Inputs-System'!$C$29*(1+'Inputs-System'!$C$43)), $C16 = "3", ('Inputs-System'!$C$26*'Coincidence Factors'!$B$10*(1+'Inputs-System'!$C$18))*'Inputs-Proposals'!$D$28*(VLOOKUP(AH$3,Capacity!$A$53:$E$85,4,FALSE)*(1+'Inputs-System'!$C$42)+VLOOKUP(AH$3,Capacity!$A$53:$E$85,5,FALSE)*'Inputs-System'!$C$29*(1+'Inputs-System'!$C$43)), $C16 = "0", 0), 0)</f>
        <v>0</v>
      </c>
      <c r="AL16" s="44">
        <v>0</v>
      </c>
      <c r="AM16" s="342">
        <f>IFERROR(_xlfn.IFS($C16="1", 'Inputs-System'!$C$30*'Coincidence Factors'!$B$10*'Inputs-Proposals'!$D$17*'Inputs-Proposals'!$D$19*(VLOOKUP(AH$3,'Non-Embedded Emissions'!$A$56:$D$90,2,FALSE)-VLOOKUP(AH$3,'Non-Embedded Emissions'!$F$57:$H$88,3,FALSE)+VLOOKUP(AH$3,'Non-Embedded Emissions'!$A$143:$D$174,2,FALSE)-VLOOKUP(AH$3,'Non-Embedded Emissions'!$F$143:$H$174,3,FALSE)+VLOOKUP(AH$3,'Non-Embedded Emissions'!$A$230:$D$259,2,FALSE)), $C16 = "2", 'Inputs-System'!$C$30*'Coincidence Factors'!$B$10*'Inputs-Proposals'!$D$23*'Inputs-Proposals'!$D$25*(VLOOKUP(AH$3,'Non-Embedded Emissions'!$A$56:$D$90,2,FALSE)-VLOOKUP(AH$3,'Non-Embedded Emissions'!$F$57:$H$88,3,FALSE)+VLOOKUP(AH$3,'Non-Embedded Emissions'!$A$143:$D$174,2,FALSE)-VLOOKUP(AH$3,'Non-Embedded Emissions'!$F$143:$H$174,3,FALSE)+VLOOKUP(AH$3,'Non-Embedded Emissions'!$A$230:$D$259,2,FALSE)), $C16 = "3", 'Inputs-System'!$C$30*'Coincidence Factors'!$B$10*'Inputs-Proposals'!$D$29*'Inputs-Proposals'!$D$31*(VLOOKUP(AH$3,'Non-Embedded Emissions'!$A$56:$D$90,2,FALSE)-VLOOKUP(AH$3,'Non-Embedded Emissions'!$F$57:$H$88,3,FALSE)+VLOOKUP(AH$3,'Non-Embedded Emissions'!$A$143:$D$174,2,FALSE)-VLOOKUP(AH$3,'Non-Embedded Emissions'!$F$143:$H$174,3,FALSE)+VLOOKUP(AH$3,'Non-Embedded Emissions'!$A$230:$D$259,2,FALSE)), $C16 = "0", 0), 0)</f>
        <v>0</v>
      </c>
      <c r="AN16" s="45">
        <f>IFERROR(_xlfn.IFS($C16="1",('Inputs-System'!$C$30*'Coincidence Factors'!$B$10*(1+'Inputs-System'!$C$18)*(1+'Inputs-System'!$C$41)*('Inputs-Proposals'!$D$17*'Inputs-Proposals'!$D$19*(1-'Inputs-Proposals'!$D$20^(AN$3-'Inputs-System'!$C$7)))*(VLOOKUP(AN$3,Energy!$A$51:$K$83,5,FALSE))), $C16 = "2",('Inputs-System'!$C$30*'Coincidence Factors'!$B$10)*(1+'Inputs-System'!$C$18)*(1+'Inputs-System'!$C$41)*('Inputs-Proposals'!$D$23*'Inputs-Proposals'!$D$25*(1-'Inputs-Proposals'!$D$26^(AN$3-'Inputs-System'!$C$7)))*(VLOOKUP(AN$3,Energy!$A$51:$K$83,5,FALSE)), $C16= "3", ('Inputs-System'!$C$30*'Coincidence Factors'!$B$10*(1+'Inputs-System'!$C$18)*(1+'Inputs-System'!$C$41)*('Inputs-Proposals'!$D$29*'Inputs-Proposals'!$D$31*(1-'Inputs-Proposals'!$D$32^(AN$3-'Inputs-System'!$C$7)))*(VLOOKUP(AN$3,Energy!$A$51:$K$83,5,FALSE))), $C16= "0", 0), 0)</f>
        <v>0</v>
      </c>
      <c r="AO16" s="44">
        <f>IFERROR(_xlfn.IFS($C16="1",('Inputs-System'!$C$30*'Coincidence Factors'!$B$10*(1+'Inputs-System'!$C$18)*(1+'Inputs-System'!$C$41))*'Inputs-Proposals'!$D$17*'Inputs-Proposals'!$D$19*(1-'Inputs-Proposals'!$D$20^(AN$3-'Inputs-System'!$C$7))*(VLOOKUP(AN$3,'Embedded Emissions'!$A$47:$B$78,2,FALSE)+VLOOKUP(AN$3,'Embedded Emissions'!$A$129:$B$158,2,FALSE)), $C16 = "2",('Inputs-System'!$C$30*'Coincidence Factors'!$B$10*(1+'Inputs-System'!$C$18)*(1+'Inputs-System'!$C$41))*'Inputs-Proposals'!$D$23*'Inputs-Proposals'!$D$25*(1-'Inputs-Proposals'!$D$20^(AN$3-'Inputs-System'!$C$7))*(VLOOKUP(AN$3,'Embedded Emissions'!$A$47:$B$78,2,FALSE)+VLOOKUP(AN$3,'Embedded Emissions'!$A$129:$B$158,2,FALSE)), $C16 = "3", ('Inputs-System'!$C$30*'Coincidence Factors'!$B$10*(1+'Inputs-System'!$C$18)*(1+'Inputs-System'!$C$41))*'Inputs-Proposals'!$D$29*'Inputs-Proposals'!$D$31*(1-'Inputs-Proposals'!$D$20^(AN$3-'Inputs-System'!$C$7))*(VLOOKUP(AN$3,'Embedded Emissions'!$A$47:$B$78,2,FALSE)+VLOOKUP(AN$3,'Embedded Emissions'!$A$129:$B$158,2,FALSE)), $C16 = "0", 0), 0)</f>
        <v>0</v>
      </c>
      <c r="AP16" s="44">
        <f>IFERROR(_xlfn.IFS($C16="1",( 'Inputs-System'!$C$30*'Coincidence Factors'!$B$10*(1+'Inputs-System'!$C$18)*(1+'Inputs-System'!$C$41))*('Inputs-Proposals'!$D$17*'Inputs-Proposals'!$D$19*(1-'Inputs-Proposals'!$D$20)^(AN$3-'Inputs-System'!$C$7))*(VLOOKUP(AN$3,DRIPE!$A$54:$I$82,5,FALSE)+VLOOKUP(AN$3,DRIPE!$A$54:$I$82,9,FALSE))+ ('Inputs-System'!$C$26*'Coincidence Factors'!$B$6*(1+'Inputs-System'!$C$18)*(1+'Inputs-System'!$C$42))*'Inputs-Proposals'!$D$16*VLOOKUP(AN$3,DRIPE!$A$54:$I$82,8,FALSE), $C16 = "2",( 'Inputs-System'!$C$30*'Coincidence Factors'!$B$10*(1+'Inputs-System'!$C$18)*(1+'Inputs-System'!$C$41))*('Inputs-Proposals'!$D$23*'Inputs-Proposals'!$D$25*(1-'Inputs-Proposals'!$D$26)^(AN$3-'Inputs-System'!$C$7))*(VLOOKUP(AN$3,DRIPE!$A$54:$I$82,5,FALSE)+VLOOKUP(AN$3,DRIPE!$A$54:$I$82,9,FALSE))+ ('Inputs-System'!$C$26*'Coincidence Factors'!$B$6*(1+'Inputs-System'!$C$18)*(1+'Inputs-System'!$C$42))*'Inputs-Proposals'!$D$22*VLOOKUP(AN$3,DRIPE!$A$54:$I$82,8,FALSE), $C16= "3", ( 'Inputs-System'!$C$30*'Coincidence Factors'!$B$10*(1+'Inputs-System'!$C$18)*(1+'Inputs-System'!$C$41))*('Inputs-Proposals'!$D$29*'Inputs-Proposals'!$D$31*(1-'Inputs-Proposals'!$D$32)^(AN$3-'Inputs-System'!$C$7))*(VLOOKUP(AN$3,DRIPE!$A$54:$I$82,5,FALSE)+VLOOKUP(AN$3,DRIPE!$A$54:$I$82,9,FALSE))+ ('Inputs-System'!$C$26*'Coincidence Factors'!$B$6*(1+'Inputs-System'!$C$18)*(1+'Inputs-System'!$C$42))*'Inputs-Proposals'!$D$28*VLOOKUP(AN$3,DRIPE!$A$54:$I$82,8,FALSE), $C16 = "0", 0), 0)</f>
        <v>0</v>
      </c>
      <c r="AQ16" s="45">
        <f>IFERROR(_xlfn.IFS($C16="1",('Inputs-System'!$C$26*'Coincidence Factors'!$B$10*(1+'Inputs-System'!$C$18)*(1+'Inputs-System'!$C$42))*'Inputs-Proposals'!$D$16*(VLOOKUP(AN$3,Capacity!$A$53:$E$85,4,FALSE)*(1+'Inputs-System'!$C$42)+VLOOKUP(AN$3,Capacity!$A$53:$E$85,5,FALSE)*(1+'Inputs-System'!$C$43)*'Inputs-System'!$C$29), $C16 = "2", ('Inputs-System'!$C$26*'Coincidence Factors'!$B$10*(1+'Inputs-System'!$C$18))*'Inputs-Proposals'!$D$22*(VLOOKUP(AN$3,Capacity!$A$53:$E$85,4,FALSE)*(1+'Inputs-System'!$C$42)+VLOOKUP(AN$3,Capacity!$A$53:$E$85,5,FALSE)*'Inputs-System'!$C$29*(1+'Inputs-System'!$C$43)), $C16 = "3", ('Inputs-System'!$C$26*'Coincidence Factors'!$B$10*(1+'Inputs-System'!$C$18))*'Inputs-Proposals'!$D$28*(VLOOKUP(AN$3,Capacity!$A$53:$E$85,4,FALSE)*(1+'Inputs-System'!$C$42)+VLOOKUP(AN$3,Capacity!$A$53:$E$85,5,FALSE)*'Inputs-System'!$C$29*(1+'Inputs-System'!$C$43)), $C16 = "0", 0), 0)</f>
        <v>0</v>
      </c>
      <c r="AR16" s="44">
        <v>0</v>
      </c>
      <c r="AS16" s="342">
        <f>IFERROR(_xlfn.IFS($C16="1", 'Inputs-System'!$C$30*'Coincidence Factors'!$B$10*'Inputs-Proposals'!$D$17*'Inputs-Proposals'!$D$19*(VLOOKUP(AN$3,'Non-Embedded Emissions'!$A$56:$D$90,2,FALSE)-VLOOKUP(AN$3,'Non-Embedded Emissions'!$F$57:$H$88,3,FALSE)+VLOOKUP(AN$3,'Non-Embedded Emissions'!$A$143:$D$174,2,FALSE)-VLOOKUP(AN$3,'Non-Embedded Emissions'!$F$143:$H$174,3,FALSE)+VLOOKUP(AN$3,'Non-Embedded Emissions'!$A$230:$D$259,2,FALSE)), $C16 = "2", 'Inputs-System'!$C$30*'Coincidence Factors'!$B$10*'Inputs-Proposals'!$D$23*'Inputs-Proposals'!$D$25*(VLOOKUP(AN$3,'Non-Embedded Emissions'!$A$56:$D$90,2,FALSE)-VLOOKUP(AN$3,'Non-Embedded Emissions'!$F$57:$H$88,3,FALSE)+VLOOKUP(AN$3,'Non-Embedded Emissions'!$A$143:$D$174,2,FALSE)-VLOOKUP(AN$3,'Non-Embedded Emissions'!$F$143:$H$174,3,FALSE)+VLOOKUP(AN$3,'Non-Embedded Emissions'!$A$230:$D$259,2,FALSE)), $C16 = "3", 'Inputs-System'!$C$30*'Coincidence Factors'!$B$10*'Inputs-Proposals'!$D$29*'Inputs-Proposals'!$D$31*(VLOOKUP(AN$3,'Non-Embedded Emissions'!$A$56:$D$90,2,FALSE)-VLOOKUP(AN$3,'Non-Embedded Emissions'!$F$57:$H$88,3,FALSE)+VLOOKUP(AN$3,'Non-Embedded Emissions'!$A$143:$D$174,2,FALSE)-VLOOKUP(AN$3,'Non-Embedded Emissions'!$F$143:$H$174,3,FALSE)+VLOOKUP(AN$3,'Non-Embedded Emissions'!$A$230:$D$259,2,FALSE)), $C16 = "0", 0), 0)</f>
        <v>0</v>
      </c>
      <c r="AT16" s="45">
        <f>IFERROR(_xlfn.IFS($C16="1",('Inputs-System'!$C$30*'Coincidence Factors'!$B$10*(1+'Inputs-System'!$C$18)*(1+'Inputs-System'!$C$41)*('Inputs-Proposals'!$D$17*'Inputs-Proposals'!$D$19*(1-'Inputs-Proposals'!$D$20^(AT$3-'Inputs-System'!$C$7)))*(VLOOKUP(AT$3,Energy!$A$51:$K$83,5,FALSE))), $C16 = "2",('Inputs-System'!$C$30*'Coincidence Factors'!$B$10)*(1+'Inputs-System'!$C$18)*(1+'Inputs-System'!$C$41)*('Inputs-Proposals'!$D$23*'Inputs-Proposals'!$D$25*(1-'Inputs-Proposals'!$D$26^(AT$3-'Inputs-System'!$C$7)))*(VLOOKUP(AT$3,Energy!$A$51:$K$83,5,FALSE)), $C16= "3", ('Inputs-System'!$C$30*'Coincidence Factors'!$B$10*(1+'Inputs-System'!$C$18)*(1+'Inputs-System'!$C$41)*('Inputs-Proposals'!$D$29*'Inputs-Proposals'!$D$31*(1-'Inputs-Proposals'!$D$32^(AT$3-'Inputs-System'!$C$7)))*(VLOOKUP(AT$3,Energy!$A$51:$K$83,5,FALSE))), $C16= "0", 0), 0)</f>
        <v>0</v>
      </c>
      <c r="AU16" s="44">
        <f>IFERROR(_xlfn.IFS($C16="1",('Inputs-System'!$C$30*'Coincidence Factors'!$B$10*(1+'Inputs-System'!$C$18)*(1+'Inputs-System'!$C$41))*'Inputs-Proposals'!$D$17*'Inputs-Proposals'!$D$19*(1-'Inputs-Proposals'!$D$20^(AT$3-'Inputs-System'!$C$7))*(VLOOKUP(AT$3,'Embedded Emissions'!$A$47:$B$78,2,FALSE)+VLOOKUP(AT$3,'Embedded Emissions'!$A$129:$B$158,2,FALSE)), $C16 = "2",('Inputs-System'!$C$30*'Coincidence Factors'!$B$10*(1+'Inputs-System'!$C$18)*(1+'Inputs-System'!$C$41))*'Inputs-Proposals'!$D$23*'Inputs-Proposals'!$D$25*(1-'Inputs-Proposals'!$D$20^(AT$3-'Inputs-System'!$C$7))*(VLOOKUP(AT$3,'Embedded Emissions'!$A$47:$B$78,2,FALSE)+VLOOKUP(AT$3,'Embedded Emissions'!$A$129:$B$158,2,FALSE)), $C16 = "3", ('Inputs-System'!$C$30*'Coincidence Factors'!$B$10*(1+'Inputs-System'!$C$18)*(1+'Inputs-System'!$C$41))*'Inputs-Proposals'!$D$29*'Inputs-Proposals'!$D$31*(1-'Inputs-Proposals'!$D$20^(AT$3-'Inputs-System'!$C$7))*(VLOOKUP(AT$3,'Embedded Emissions'!$A$47:$B$78,2,FALSE)+VLOOKUP(AT$3,'Embedded Emissions'!$A$129:$B$158,2,FALSE)), $C16 = "0", 0), 0)</f>
        <v>0</v>
      </c>
      <c r="AV16" s="44">
        <f>IFERROR(_xlfn.IFS($C16="1",( 'Inputs-System'!$C$30*'Coincidence Factors'!$B$10*(1+'Inputs-System'!$C$18)*(1+'Inputs-System'!$C$41))*('Inputs-Proposals'!$D$17*'Inputs-Proposals'!$D$19*(1-'Inputs-Proposals'!$D$20)^(AT$3-'Inputs-System'!$C$7))*(VLOOKUP(AT$3,DRIPE!$A$54:$I$82,5,FALSE)+VLOOKUP(AT$3,DRIPE!$A$54:$I$82,9,FALSE))+ ('Inputs-System'!$C$26*'Coincidence Factors'!$B$6*(1+'Inputs-System'!$C$18)*(1+'Inputs-System'!$C$42))*'Inputs-Proposals'!$D$16*VLOOKUP(AT$3,DRIPE!$A$54:$I$82,8,FALSE), $C16 = "2",( 'Inputs-System'!$C$30*'Coincidence Factors'!$B$10*(1+'Inputs-System'!$C$18)*(1+'Inputs-System'!$C$41))*('Inputs-Proposals'!$D$23*'Inputs-Proposals'!$D$25*(1-'Inputs-Proposals'!$D$26)^(AT$3-'Inputs-System'!$C$7))*(VLOOKUP(AT$3,DRIPE!$A$54:$I$82,5,FALSE)+VLOOKUP(AT$3,DRIPE!$A$54:$I$82,9,FALSE))+ ('Inputs-System'!$C$26*'Coincidence Factors'!$B$6*(1+'Inputs-System'!$C$18)*(1+'Inputs-System'!$C$42))*'Inputs-Proposals'!$D$22*VLOOKUP(AT$3,DRIPE!$A$54:$I$82,8,FALSE), $C16= "3", ( 'Inputs-System'!$C$30*'Coincidence Factors'!$B$10*(1+'Inputs-System'!$C$18)*(1+'Inputs-System'!$C$41))*('Inputs-Proposals'!$D$29*'Inputs-Proposals'!$D$31*(1-'Inputs-Proposals'!$D$32)^(AT$3-'Inputs-System'!$C$7))*(VLOOKUP(AT$3,DRIPE!$A$54:$I$82,5,FALSE)+VLOOKUP(AT$3,DRIPE!$A$54:$I$82,9,FALSE))+ ('Inputs-System'!$C$26*'Coincidence Factors'!$B$6*(1+'Inputs-System'!$C$18)*(1+'Inputs-System'!$C$42))*'Inputs-Proposals'!$D$28*VLOOKUP(AT$3,DRIPE!$A$54:$I$82,8,FALSE), $C16 = "0", 0), 0)</f>
        <v>0</v>
      </c>
      <c r="AW16" s="45">
        <f>IFERROR(_xlfn.IFS($C16="1",('Inputs-System'!$C$26*'Coincidence Factors'!$B$10*(1+'Inputs-System'!$C$18)*(1+'Inputs-System'!$C$42))*'Inputs-Proposals'!$D$16*(VLOOKUP(AT$3,Capacity!$A$53:$E$85,4,FALSE)*(1+'Inputs-System'!$C$42)+VLOOKUP(AT$3,Capacity!$A$53:$E$85,5,FALSE)*(1+'Inputs-System'!$C$43)*'Inputs-System'!$C$29), $C16 = "2", ('Inputs-System'!$C$26*'Coincidence Factors'!$B$10*(1+'Inputs-System'!$C$18))*'Inputs-Proposals'!$D$22*(VLOOKUP(AT$3,Capacity!$A$53:$E$85,4,FALSE)*(1+'Inputs-System'!$C$42)+VLOOKUP(AT$3,Capacity!$A$53:$E$85,5,FALSE)*'Inputs-System'!$C$29*(1+'Inputs-System'!$C$43)), $C16 = "3", ('Inputs-System'!$C$26*'Coincidence Factors'!$B$10*(1+'Inputs-System'!$C$18))*'Inputs-Proposals'!$D$28*(VLOOKUP(AT$3,Capacity!$A$53:$E$85,4,FALSE)*(1+'Inputs-System'!$C$42)+VLOOKUP(AT$3,Capacity!$A$53:$E$85,5,FALSE)*'Inputs-System'!$C$29*(1+'Inputs-System'!$C$43)), $C16 = "0", 0), 0)</f>
        <v>0</v>
      </c>
      <c r="AX16" s="44">
        <v>0</v>
      </c>
      <c r="AY16" s="342">
        <f>IFERROR(_xlfn.IFS($C16="1", 'Inputs-System'!$C$30*'Coincidence Factors'!$B$10*'Inputs-Proposals'!$D$17*'Inputs-Proposals'!$D$19*(VLOOKUP(AT$3,'Non-Embedded Emissions'!$A$56:$D$90,2,FALSE)-VLOOKUP(AT$3,'Non-Embedded Emissions'!$F$57:$H$88,3,FALSE)+VLOOKUP(AT$3,'Non-Embedded Emissions'!$A$143:$D$174,2,FALSE)-VLOOKUP(AT$3,'Non-Embedded Emissions'!$F$143:$H$174,3,FALSE)+VLOOKUP(AT$3,'Non-Embedded Emissions'!$A$230:$D$259,2,FALSE)), $C16 = "2", 'Inputs-System'!$C$30*'Coincidence Factors'!$B$10*'Inputs-Proposals'!$D$23*'Inputs-Proposals'!$D$25*(VLOOKUP(AT$3,'Non-Embedded Emissions'!$A$56:$D$90,2,FALSE)-VLOOKUP(AT$3,'Non-Embedded Emissions'!$F$57:$H$88,3,FALSE)+VLOOKUP(AT$3,'Non-Embedded Emissions'!$A$143:$D$174,2,FALSE)-VLOOKUP(AT$3,'Non-Embedded Emissions'!$F$143:$H$174,3,FALSE)+VLOOKUP(AT$3,'Non-Embedded Emissions'!$A$230:$D$259,2,FALSE)), $C16 = "3", 'Inputs-System'!$C$30*'Coincidence Factors'!$B$10*'Inputs-Proposals'!$D$29*'Inputs-Proposals'!$D$31*(VLOOKUP(AT$3,'Non-Embedded Emissions'!$A$56:$D$90,2,FALSE)-VLOOKUP(AT$3,'Non-Embedded Emissions'!$F$57:$H$88,3,FALSE)+VLOOKUP(AT$3,'Non-Embedded Emissions'!$A$143:$D$174,2,FALSE)-VLOOKUP(AT$3,'Non-Embedded Emissions'!$F$143:$H$174,3,FALSE)+VLOOKUP(AT$3,'Non-Embedded Emissions'!$A$230:$D$259,2,FALSE)), $C16 = "0", 0), 0)</f>
        <v>0</v>
      </c>
      <c r="AZ16" s="45">
        <f>IFERROR(_xlfn.IFS($C16="1",('Inputs-System'!$C$30*'Coincidence Factors'!$B$10*(1+'Inputs-System'!$C$18)*(1+'Inputs-System'!$C$41)*('Inputs-Proposals'!$D$17*'Inputs-Proposals'!$D$19*(1-'Inputs-Proposals'!$D$20^(AZ$3-'Inputs-System'!$C$7)))*(VLOOKUP(AZ$3,Energy!$A$51:$K$83,5,FALSE))), $C16 = "2",('Inputs-System'!$C$30*'Coincidence Factors'!$B$10)*(1+'Inputs-System'!$C$18)*(1+'Inputs-System'!$C$41)*('Inputs-Proposals'!$D$23*'Inputs-Proposals'!$D$25*(1-'Inputs-Proposals'!$D$26^(AZ$3-'Inputs-System'!$C$7)))*(VLOOKUP(AZ$3,Energy!$A$51:$K$83,5,FALSE)), $C16= "3", ('Inputs-System'!$C$30*'Coincidence Factors'!$B$10*(1+'Inputs-System'!$C$18)*(1+'Inputs-System'!$C$41)*('Inputs-Proposals'!$D$29*'Inputs-Proposals'!$D$31*(1-'Inputs-Proposals'!$D$32^(AZ$3-'Inputs-System'!$C$7)))*(VLOOKUP(AZ$3,Energy!$A$51:$K$83,5,FALSE))), $C16= "0", 0), 0)</f>
        <v>0</v>
      </c>
      <c r="BA16" s="44">
        <f>IFERROR(_xlfn.IFS($C16="1",('Inputs-System'!$C$30*'Coincidence Factors'!$B$10*(1+'Inputs-System'!$C$18)*(1+'Inputs-System'!$C$41))*'Inputs-Proposals'!$D$17*'Inputs-Proposals'!$D$19*(1-'Inputs-Proposals'!$D$20^(AZ$3-'Inputs-System'!$C$7))*(VLOOKUP(AZ$3,'Embedded Emissions'!$A$47:$B$78,2,FALSE)+VLOOKUP(AZ$3,'Embedded Emissions'!$A$129:$B$158,2,FALSE)), $C16 = "2",('Inputs-System'!$C$30*'Coincidence Factors'!$B$10*(1+'Inputs-System'!$C$18)*(1+'Inputs-System'!$C$41))*'Inputs-Proposals'!$D$23*'Inputs-Proposals'!$D$25*(1-'Inputs-Proposals'!$D$20^(AZ$3-'Inputs-System'!$C$7))*(VLOOKUP(AZ$3,'Embedded Emissions'!$A$47:$B$78,2,FALSE)+VLOOKUP(AZ$3,'Embedded Emissions'!$A$129:$B$158,2,FALSE)), $C16 = "3", ('Inputs-System'!$C$30*'Coincidence Factors'!$B$10*(1+'Inputs-System'!$C$18)*(1+'Inputs-System'!$C$41))*'Inputs-Proposals'!$D$29*'Inputs-Proposals'!$D$31*(1-'Inputs-Proposals'!$D$20^(AZ$3-'Inputs-System'!$C$7))*(VLOOKUP(AZ$3,'Embedded Emissions'!$A$47:$B$78,2,FALSE)+VLOOKUP(AZ$3,'Embedded Emissions'!$A$129:$B$158,2,FALSE)), $C16 = "0", 0), 0)</f>
        <v>0</v>
      </c>
      <c r="BB16" s="44">
        <f>IFERROR(_xlfn.IFS($C16="1",( 'Inputs-System'!$C$30*'Coincidence Factors'!$B$10*(1+'Inputs-System'!$C$18)*(1+'Inputs-System'!$C$41))*('Inputs-Proposals'!$D$17*'Inputs-Proposals'!$D$19*(1-'Inputs-Proposals'!$D$20)^(AZ$3-'Inputs-System'!$C$7))*(VLOOKUP(AZ$3,DRIPE!$A$54:$I$82,5,FALSE)+VLOOKUP(AZ$3,DRIPE!$A$54:$I$82,9,FALSE))+ ('Inputs-System'!$C$26*'Coincidence Factors'!$B$6*(1+'Inputs-System'!$C$18)*(1+'Inputs-System'!$C$42))*'Inputs-Proposals'!$D$16*VLOOKUP(AZ$3,DRIPE!$A$54:$I$82,8,FALSE), $C16 = "2",( 'Inputs-System'!$C$30*'Coincidence Factors'!$B$10*(1+'Inputs-System'!$C$18)*(1+'Inputs-System'!$C$41))*('Inputs-Proposals'!$D$23*'Inputs-Proposals'!$D$25*(1-'Inputs-Proposals'!$D$26)^(AZ$3-'Inputs-System'!$C$7))*(VLOOKUP(AZ$3,DRIPE!$A$54:$I$82,5,FALSE)+VLOOKUP(AZ$3,DRIPE!$A$54:$I$82,9,FALSE))+ ('Inputs-System'!$C$26*'Coincidence Factors'!$B$6*(1+'Inputs-System'!$C$18)*(1+'Inputs-System'!$C$42))*'Inputs-Proposals'!$D$22*VLOOKUP(AZ$3,DRIPE!$A$54:$I$82,8,FALSE), $C16= "3", ( 'Inputs-System'!$C$30*'Coincidence Factors'!$B$10*(1+'Inputs-System'!$C$18)*(1+'Inputs-System'!$C$41))*('Inputs-Proposals'!$D$29*'Inputs-Proposals'!$D$31*(1-'Inputs-Proposals'!$D$32)^(AZ$3-'Inputs-System'!$C$7))*(VLOOKUP(AZ$3,DRIPE!$A$54:$I$82,5,FALSE)+VLOOKUP(AZ$3,DRIPE!$A$54:$I$82,9,FALSE))+ ('Inputs-System'!$C$26*'Coincidence Factors'!$B$6*(1+'Inputs-System'!$C$18)*(1+'Inputs-System'!$C$42))*'Inputs-Proposals'!$D$28*VLOOKUP(AZ$3,DRIPE!$A$54:$I$82,8,FALSE), $C16 = "0", 0), 0)</f>
        <v>0</v>
      </c>
      <c r="BC16" s="45">
        <f>IFERROR(_xlfn.IFS($C16="1",('Inputs-System'!$C$26*'Coincidence Factors'!$B$10*(1+'Inputs-System'!$C$18)*(1+'Inputs-System'!$C$42))*'Inputs-Proposals'!$D$16*(VLOOKUP(AZ$3,Capacity!$A$53:$E$85,4,FALSE)*(1+'Inputs-System'!$C$42)+VLOOKUP(AZ$3,Capacity!$A$53:$E$85,5,FALSE)*(1+'Inputs-System'!$C$43)*'Inputs-System'!$C$29), $C16 = "2", ('Inputs-System'!$C$26*'Coincidence Factors'!$B$10*(1+'Inputs-System'!$C$18))*'Inputs-Proposals'!$D$22*(VLOOKUP(AZ$3,Capacity!$A$53:$E$85,4,FALSE)*(1+'Inputs-System'!$C$42)+VLOOKUP(AZ$3,Capacity!$A$53:$E$85,5,FALSE)*'Inputs-System'!$C$29*(1+'Inputs-System'!$C$43)), $C16 = "3", ('Inputs-System'!$C$26*'Coincidence Factors'!$B$10*(1+'Inputs-System'!$C$18))*'Inputs-Proposals'!$D$28*(VLOOKUP(AZ$3,Capacity!$A$53:$E$85,4,FALSE)*(1+'Inputs-System'!$C$42)+VLOOKUP(AZ$3,Capacity!$A$53:$E$85,5,FALSE)*'Inputs-System'!$C$29*(1+'Inputs-System'!$C$43)), $C16 = "0", 0), 0)</f>
        <v>0</v>
      </c>
      <c r="BD16" s="44">
        <v>0</v>
      </c>
      <c r="BE16" s="342">
        <f>IFERROR(_xlfn.IFS($C16="1", 'Inputs-System'!$C$30*'Coincidence Factors'!$B$10*'Inputs-Proposals'!$D$17*'Inputs-Proposals'!$D$19*(VLOOKUP(AZ$3,'Non-Embedded Emissions'!$A$56:$D$90,2,FALSE)-VLOOKUP(AZ$3,'Non-Embedded Emissions'!$F$57:$H$88,3,FALSE)+VLOOKUP(AZ$3,'Non-Embedded Emissions'!$A$143:$D$174,2,FALSE)-VLOOKUP(AZ$3,'Non-Embedded Emissions'!$F$143:$H$174,3,FALSE)+VLOOKUP(AZ$3,'Non-Embedded Emissions'!$A$230:$D$259,2,FALSE)), $C16 = "2", 'Inputs-System'!$C$30*'Coincidence Factors'!$B$10*'Inputs-Proposals'!$D$23*'Inputs-Proposals'!$D$25*(VLOOKUP(AZ$3,'Non-Embedded Emissions'!$A$56:$D$90,2,FALSE)-VLOOKUP(AZ$3,'Non-Embedded Emissions'!$F$57:$H$88,3,FALSE)+VLOOKUP(AZ$3,'Non-Embedded Emissions'!$A$143:$D$174,2,FALSE)-VLOOKUP(AZ$3,'Non-Embedded Emissions'!$F$143:$H$174,3,FALSE)+VLOOKUP(AZ$3,'Non-Embedded Emissions'!$A$230:$D$259,2,FALSE)), $C16 = "3", 'Inputs-System'!$C$30*'Coincidence Factors'!$B$10*'Inputs-Proposals'!$D$29*'Inputs-Proposals'!$D$31*(VLOOKUP(AZ$3,'Non-Embedded Emissions'!$A$56:$D$90,2,FALSE)-VLOOKUP(AZ$3,'Non-Embedded Emissions'!$F$57:$H$88,3,FALSE)+VLOOKUP(AZ$3,'Non-Embedded Emissions'!$A$143:$D$174,2,FALSE)-VLOOKUP(AZ$3,'Non-Embedded Emissions'!$F$143:$H$174,3,FALSE)+VLOOKUP(AZ$3,'Non-Embedded Emissions'!$A$230:$D$259,2,FALSE)), $C16 = "0", 0), 0)</f>
        <v>0</v>
      </c>
      <c r="BF16" s="45">
        <f>IFERROR(_xlfn.IFS($C16="1",('Inputs-System'!$C$30*'Coincidence Factors'!$B$10*(1+'Inputs-System'!$C$18)*(1+'Inputs-System'!$C$41)*('Inputs-Proposals'!$D$17*'Inputs-Proposals'!$D$19*(1-'Inputs-Proposals'!$D$20^(BF$3-'Inputs-System'!$C$7)))*(VLOOKUP(BF$3,Energy!$A$51:$K$83,5,FALSE))), $C16 = "2",('Inputs-System'!$C$30*'Coincidence Factors'!$B$10)*(1+'Inputs-System'!$C$18)*(1+'Inputs-System'!$C$41)*('Inputs-Proposals'!$D$23*'Inputs-Proposals'!$D$25*(1-'Inputs-Proposals'!$D$26^(BF$3-'Inputs-System'!$C$7)))*(VLOOKUP(BF$3,Energy!$A$51:$K$83,5,FALSE)), $C16= "3", ('Inputs-System'!$C$30*'Coincidence Factors'!$B$10*(1+'Inputs-System'!$C$18)*(1+'Inputs-System'!$C$41)*('Inputs-Proposals'!$D$29*'Inputs-Proposals'!$D$31*(1-'Inputs-Proposals'!$D$32^(BF$3-'Inputs-System'!$C$7)))*(VLOOKUP(BF$3,Energy!$A$51:$K$83,5,FALSE))), $C16= "0", 0), 0)</f>
        <v>0</v>
      </c>
      <c r="BG16" s="44">
        <f>IFERROR(_xlfn.IFS($C16="1",('Inputs-System'!$C$30*'Coincidence Factors'!$B$10*(1+'Inputs-System'!$C$18)*(1+'Inputs-System'!$C$41))*'Inputs-Proposals'!$D$17*'Inputs-Proposals'!$D$19*(1-'Inputs-Proposals'!$D$20^(BF$3-'Inputs-System'!$C$7))*(VLOOKUP(BF$3,'Embedded Emissions'!$A$47:$B$78,2,FALSE)+VLOOKUP(BF$3,'Embedded Emissions'!$A$129:$B$158,2,FALSE)), $C16 = "2",('Inputs-System'!$C$30*'Coincidence Factors'!$B$10*(1+'Inputs-System'!$C$18)*(1+'Inputs-System'!$C$41))*'Inputs-Proposals'!$D$23*'Inputs-Proposals'!$D$25*(1-'Inputs-Proposals'!$D$20^(BF$3-'Inputs-System'!$C$7))*(VLOOKUP(BF$3,'Embedded Emissions'!$A$47:$B$78,2,FALSE)+VLOOKUP(BF$3,'Embedded Emissions'!$A$129:$B$158,2,FALSE)), $C16 = "3", ('Inputs-System'!$C$30*'Coincidence Factors'!$B$10*(1+'Inputs-System'!$C$18)*(1+'Inputs-System'!$C$41))*'Inputs-Proposals'!$D$29*'Inputs-Proposals'!$D$31*(1-'Inputs-Proposals'!$D$20^(BF$3-'Inputs-System'!$C$7))*(VLOOKUP(BF$3,'Embedded Emissions'!$A$47:$B$78,2,FALSE)+VLOOKUP(BF$3,'Embedded Emissions'!$A$129:$B$158,2,FALSE)), $C16 = "0", 0), 0)</f>
        <v>0</v>
      </c>
      <c r="BH16" s="44">
        <f>IFERROR(_xlfn.IFS($C16="1",( 'Inputs-System'!$C$30*'Coincidence Factors'!$B$10*(1+'Inputs-System'!$C$18)*(1+'Inputs-System'!$C$41))*('Inputs-Proposals'!$D$17*'Inputs-Proposals'!$D$19*(1-'Inputs-Proposals'!$D$20)^(BF$3-'Inputs-System'!$C$7))*(VLOOKUP(BF$3,DRIPE!$A$54:$I$82,5,FALSE)+VLOOKUP(BF$3,DRIPE!$A$54:$I$82,9,FALSE))+ ('Inputs-System'!$C$26*'Coincidence Factors'!$B$6*(1+'Inputs-System'!$C$18)*(1+'Inputs-System'!$C$42))*'Inputs-Proposals'!$D$16*VLOOKUP(BF$3,DRIPE!$A$54:$I$82,8,FALSE), $C16 = "2",( 'Inputs-System'!$C$30*'Coincidence Factors'!$B$10*(1+'Inputs-System'!$C$18)*(1+'Inputs-System'!$C$41))*('Inputs-Proposals'!$D$23*'Inputs-Proposals'!$D$25*(1-'Inputs-Proposals'!$D$26)^(BF$3-'Inputs-System'!$C$7))*(VLOOKUP(BF$3,DRIPE!$A$54:$I$82,5,FALSE)+VLOOKUP(BF$3,DRIPE!$A$54:$I$82,9,FALSE))+ ('Inputs-System'!$C$26*'Coincidence Factors'!$B$6*(1+'Inputs-System'!$C$18)*(1+'Inputs-System'!$C$42))*'Inputs-Proposals'!$D$22*VLOOKUP(BF$3,DRIPE!$A$54:$I$82,8,FALSE), $C16= "3", ( 'Inputs-System'!$C$30*'Coincidence Factors'!$B$10*(1+'Inputs-System'!$C$18)*(1+'Inputs-System'!$C$41))*('Inputs-Proposals'!$D$29*'Inputs-Proposals'!$D$31*(1-'Inputs-Proposals'!$D$32)^(BF$3-'Inputs-System'!$C$7))*(VLOOKUP(BF$3,DRIPE!$A$54:$I$82,5,FALSE)+VLOOKUP(BF$3,DRIPE!$A$54:$I$82,9,FALSE))+ ('Inputs-System'!$C$26*'Coincidence Factors'!$B$6*(1+'Inputs-System'!$C$18)*(1+'Inputs-System'!$C$42))*'Inputs-Proposals'!$D$28*VLOOKUP(BF$3,DRIPE!$A$54:$I$82,8,FALSE), $C16 = "0", 0), 0)</f>
        <v>0</v>
      </c>
      <c r="BI16" s="45">
        <f>IFERROR(_xlfn.IFS($C16="1",('Inputs-System'!$C$26*'Coincidence Factors'!$B$10*(1+'Inputs-System'!$C$18)*(1+'Inputs-System'!$C$42))*'Inputs-Proposals'!$D$16*(VLOOKUP(BF$3,Capacity!$A$53:$E$85,4,FALSE)*(1+'Inputs-System'!$C$42)+VLOOKUP(BF$3,Capacity!$A$53:$E$85,5,FALSE)*(1+'Inputs-System'!$C$43)*'Inputs-System'!$C$29), $C16 = "2", ('Inputs-System'!$C$26*'Coincidence Factors'!$B$10*(1+'Inputs-System'!$C$18))*'Inputs-Proposals'!$D$22*(VLOOKUP(BF$3,Capacity!$A$53:$E$85,4,FALSE)*(1+'Inputs-System'!$C$42)+VLOOKUP(BF$3,Capacity!$A$53:$E$85,5,FALSE)*'Inputs-System'!$C$29*(1+'Inputs-System'!$C$43)), $C16 = "3", ('Inputs-System'!$C$26*'Coincidence Factors'!$B$10*(1+'Inputs-System'!$C$18))*'Inputs-Proposals'!$D$28*(VLOOKUP(BF$3,Capacity!$A$53:$E$85,4,FALSE)*(1+'Inputs-System'!$C$42)+VLOOKUP(BF$3,Capacity!$A$53:$E$85,5,FALSE)*'Inputs-System'!$C$29*(1+'Inputs-System'!$C$43)), $C16 = "0", 0), 0)</f>
        <v>0</v>
      </c>
      <c r="BJ16" s="44">
        <v>0</v>
      </c>
      <c r="BK16" s="342">
        <f>IFERROR(_xlfn.IFS($C16="1", 'Inputs-System'!$C$30*'Coincidence Factors'!$B$10*'Inputs-Proposals'!$D$17*'Inputs-Proposals'!$D$19*(VLOOKUP(BF$3,'Non-Embedded Emissions'!$A$56:$D$90,2,FALSE)-VLOOKUP(BF$3,'Non-Embedded Emissions'!$F$57:$H$88,3,FALSE)+VLOOKUP(BF$3,'Non-Embedded Emissions'!$A$143:$D$174,2,FALSE)-VLOOKUP(BF$3,'Non-Embedded Emissions'!$F$143:$H$174,3,FALSE)+VLOOKUP(BF$3,'Non-Embedded Emissions'!$A$230:$D$259,2,FALSE)), $C16 = "2", 'Inputs-System'!$C$30*'Coincidence Factors'!$B$10*'Inputs-Proposals'!$D$23*'Inputs-Proposals'!$D$25*(VLOOKUP(BF$3,'Non-Embedded Emissions'!$A$56:$D$90,2,FALSE)-VLOOKUP(BF$3,'Non-Embedded Emissions'!$F$57:$H$88,3,FALSE)+VLOOKUP(BF$3,'Non-Embedded Emissions'!$A$143:$D$174,2,FALSE)-VLOOKUP(BF$3,'Non-Embedded Emissions'!$F$143:$H$174,3,FALSE)+VLOOKUP(BF$3,'Non-Embedded Emissions'!$A$230:$D$259,2,FALSE)), $C16 = "3", 'Inputs-System'!$C$30*'Coincidence Factors'!$B$10*'Inputs-Proposals'!$D$29*'Inputs-Proposals'!$D$31*(VLOOKUP(BF$3,'Non-Embedded Emissions'!$A$56:$D$90,2,FALSE)-VLOOKUP(BF$3,'Non-Embedded Emissions'!$F$57:$H$88,3,FALSE)+VLOOKUP(BF$3,'Non-Embedded Emissions'!$A$143:$D$174,2,FALSE)-VLOOKUP(BF$3,'Non-Embedded Emissions'!$F$143:$H$174,3,FALSE)+VLOOKUP(BF$3,'Non-Embedded Emissions'!$A$230:$D$259,2,FALSE)), $C16 = "0", 0), 0)</f>
        <v>0</v>
      </c>
      <c r="BL16" s="45">
        <f>IFERROR(_xlfn.IFS($C16="1",('Inputs-System'!$C$30*'Coincidence Factors'!$B$10*(1+'Inputs-System'!$C$18)*(1+'Inputs-System'!$C$41)*('Inputs-Proposals'!$D$17*'Inputs-Proposals'!$D$19*(1-'Inputs-Proposals'!$D$20^(BL$3-'Inputs-System'!$C$7)))*(VLOOKUP(BL$3,Energy!$A$51:$K$83,5,FALSE))), $C16 = "2",('Inputs-System'!$C$30*'Coincidence Factors'!$B$10)*(1+'Inputs-System'!$C$18)*(1+'Inputs-System'!$C$41)*('Inputs-Proposals'!$D$23*'Inputs-Proposals'!$D$25*(1-'Inputs-Proposals'!$D$26^(BL$3-'Inputs-System'!$C$7)))*(VLOOKUP(BL$3,Energy!$A$51:$K$83,5,FALSE)), $C16= "3", ('Inputs-System'!$C$30*'Coincidence Factors'!$B$10*(1+'Inputs-System'!$C$18)*(1+'Inputs-System'!$C$41)*('Inputs-Proposals'!$D$29*'Inputs-Proposals'!$D$31*(1-'Inputs-Proposals'!$D$32^(BL$3-'Inputs-System'!$C$7)))*(VLOOKUP(BL$3,Energy!$A$51:$K$83,5,FALSE))), $C16= "0", 0), 0)</f>
        <v>0</v>
      </c>
      <c r="BM16" s="44">
        <f>IFERROR(_xlfn.IFS($C16="1",('Inputs-System'!$C$30*'Coincidence Factors'!$B$10*(1+'Inputs-System'!$C$18)*(1+'Inputs-System'!$C$41))*'Inputs-Proposals'!$D$17*'Inputs-Proposals'!$D$19*(1-'Inputs-Proposals'!$D$20^(BL$3-'Inputs-System'!$C$7))*(VLOOKUP(BL$3,'Embedded Emissions'!$A$47:$B$78,2,FALSE)+VLOOKUP(BL$3,'Embedded Emissions'!$A$129:$B$158,2,FALSE)), $C16 = "2",('Inputs-System'!$C$30*'Coincidence Factors'!$B$10*(1+'Inputs-System'!$C$18)*(1+'Inputs-System'!$C$41))*'Inputs-Proposals'!$D$23*'Inputs-Proposals'!$D$25*(1-'Inputs-Proposals'!$D$20^(BL$3-'Inputs-System'!$C$7))*(VLOOKUP(BL$3,'Embedded Emissions'!$A$47:$B$78,2,FALSE)+VLOOKUP(BL$3,'Embedded Emissions'!$A$129:$B$158,2,FALSE)), $C16 = "3", ('Inputs-System'!$C$30*'Coincidence Factors'!$B$10*(1+'Inputs-System'!$C$18)*(1+'Inputs-System'!$C$41))*'Inputs-Proposals'!$D$29*'Inputs-Proposals'!$D$31*(1-'Inputs-Proposals'!$D$20^(BL$3-'Inputs-System'!$C$7))*(VLOOKUP(BL$3,'Embedded Emissions'!$A$47:$B$78,2,FALSE)+VLOOKUP(BL$3,'Embedded Emissions'!$A$129:$B$158,2,FALSE)), $C16 = "0", 0), 0)</f>
        <v>0</v>
      </c>
      <c r="BN16" s="44">
        <f>IFERROR(_xlfn.IFS($C16="1",( 'Inputs-System'!$C$30*'Coincidence Factors'!$B$10*(1+'Inputs-System'!$C$18)*(1+'Inputs-System'!$C$41))*('Inputs-Proposals'!$D$17*'Inputs-Proposals'!$D$19*(1-'Inputs-Proposals'!$D$20)^(BL$3-'Inputs-System'!$C$7))*(VLOOKUP(BL$3,DRIPE!$A$54:$I$82,5,FALSE)+VLOOKUP(BL$3,DRIPE!$A$54:$I$82,9,FALSE))+ ('Inputs-System'!$C$26*'Coincidence Factors'!$B$6*(1+'Inputs-System'!$C$18)*(1+'Inputs-System'!$C$42))*'Inputs-Proposals'!$D$16*VLOOKUP(BL$3,DRIPE!$A$54:$I$82,8,FALSE), $C16 = "2",( 'Inputs-System'!$C$30*'Coincidence Factors'!$B$10*(1+'Inputs-System'!$C$18)*(1+'Inputs-System'!$C$41))*('Inputs-Proposals'!$D$23*'Inputs-Proposals'!$D$25*(1-'Inputs-Proposals'!$D$26)^(BL$3-'Inputs-System'!$C$7))*(VLOOKUP(BL$3,DRIPE!$A$54:$I$82,5,FALSE)+VLOOKUP(BL$3,DRIPE!$A$54:$I$82,9,FALSE))+ ('Inputs-System'!$C$26*'Coincidence Factors'!$B$6*(1+'Inputs-System'!$C$18)*(1+'Inputs-System'!$C$42))*'Inputs-Proposals'!$D$22*VLOOKUP(BL$3,DRIPE!$A$54:$I$82,8,FALSE), $C16= "3", ( 'Inputs-System'!$C$30*'Coincidence Factors'!$B$10*(1+'Inputs-System'!$C$18)*(1+'Inputs-System'!$C$41))*('Inputs-Proposals'!$D$29*'Inputs-Proposals'!$D$31*(1-'Inputs-Proposals'!$D$32)^(BL$3-'Inputs-System'!$C$7))*(VLOOKUP(BL$3,DRIPE!$A$54:$I$82,5,FALSE)+VLOOKUP(BL$3,DRIPE!$A$54:$I$82,9,FALSE))+ ('Inputs-System'!$C$26*'Coincidence Factors'!$B$6*(1+'Inputs-System'!$C$18)*(1+'Inputs-System'!$C$42))*'Inputs-Proposals'!$D$28*VLOOKUP(BL$3,DRIPE!$A$54:$I$82,8,FALSE), $C16 = "0", 0), 0)</f>
        <v>0</v>
      </c>
      <c r="BO16" s="45">
        <f>IFERROR(_xlfn.IFS($C16="1",('Inputs-System'!$C$26*'Coincidence Factors'!$B$10*(1+'Inputs-System'!$C$18)*(1+'Inputs-System'!$C$42))*'Inputs-Proposals'!$D$16*(VLOOKUP(BL$3,Capacity!$A$53:$E$85,4,FALSE)*(1+'Inputs-System'!$C$42)+VLOOKUP(BL$3,Capacity!$A$53:$E$85,5,FALSE)*(1+'Inputs-System'!$C$43)*'Inputs-System'!$C$29), $C16 = "2", ('Inputs-System'!$C$26*'Coincidence Factors'!$B$10*(1+'Inputs-System'!$C$18))*'Inputs-Proposals'!$D$22*(VLOOKUP(BL$3,Capacity!$A$53:$E$85,4,FALSE)*(1+'Inputs-System'!$C$42)+VLOOKUP(BL$3,Capacity!$A$53:$E$85,5,FALSE)*'Inputs-System'!$C$29*(1+'Inputs-System'!$C$43)), $C16 = "3", ('Inputs-System'!$C$26*'Coincidence Factors'!$B$10*(1+'Inputs-System'!$C$18))*'Inputs-Proposals'!$D$28*(VLOOKUP(BL$3,Capacity!$A$53:$E$85,4,FALSE)*(1+'Inputs-System'!$C$42)+VLOOKUP(BL$3,Capacity!$A$53:$E$85,5,FALSE)*'Inputs-System'!$C$29*(1+'Inputs-System'!$C$43)), $C16 = "0", 0), 0)</f>
        <v>0</v>
      </c>
      <c r="BP16" s="44">
        <v>0</v>
      </c>
      <c r="BQ16" s="342">
        <f>IFERROR(_xlfn.IFS($C16="1", 'Inputs-System'!$C$30*'Coincidence Factors'!$B$10*'Inputs-Proposals'!$D$17*'Inputs-Proposals'!$D$19*(VLOOKUP(BL$3,'Non-Embedded Emissions'!$A$56:$D$90,2,FALSE)-VLOOKUP(BL$3,'Non-Embedded Emissions'!$F$57:$H$88,3,FALSE)+VLOOKUP(BL$3,'Non-Embedded Emissions'!$A$143:$D$174,2,FALSE)-VLOOKUP(BL$3,'Non-Embedded Emissions'!$F$143:$H$174,3,FALSE)+VLOOKUP(BL$3,'Non-Embedded Emissions'!$A$230:$D$259,2,FALSE)), $C16 = "2", 'Inputs-System'!$C$30*'Coincidence Factors'!$B$10*'Inputs-Proposals'!$D$23*'Inputs-Proposals'!$D$25*(VLOOKUP(BL$3,'Non-Embedded Emissions'!$A$56:$D$90,2,FALSE)-VLOOKUP(BL$3,'Non-Embedded Emissions'!$F$57:$H$88,3,FALSE)+VLOOKUP(BL$3,'Non-Embedded Emissions'!$A$143:$D$174,2,FALSE)-VLOOKUP(BL$3,'Non-Embedded Emissions'!$F$143:$H$174,3,FALSE)+VLOOKUP(BL$3,'Non-Embedded Emissions'!$A$230:$D$259,2,FALSE)), $C16 = "3", 'Inputs-System'!$C$30*'Coincidence Factors'!$B$10*'Inputs-Proposals'!$D$29*'Inputs-Proposals'!$D$31*(VLOOKUP(BL$3,'Non-Embedded Emissions'!$A$56:$D$90,2,FALSE)-VLOOKUP(BL$3,'Non-Embedded Emissions'!$F$57:$H$88,3,FALSE)+VLOOKUP(BL$3,'Non-Embedded Emissions'!$A$143:$D$174,2,FALSE)-VLOOKUP(BL$3,'Non-Embedded Emissions'!$F$143:$H$174,3,FALSE)+VLOOKUP(BL$3,'Non-Embedded Emissions'!$A$230:$D$259,2,FALSE)), $C16 = "0", 0), 0)</f>
        <v>0</v>
      </c>
      <c r="BR16" s="45">
        <f>IFERROR(_xlfn.IFS($C16="1",('Inputs-System'!$C$30*'Coincidence Factors'!$B$10*(1+'Inputs-System'!$C$18)*(1+'Inputs-System'!$C$41)*('Inputs-Proposals'!$D$17*'Inputs-Proposals'!$D$19*(1-'Inputs-Proposals'!$D$20^(BR$3-'Inputs-System'!$C$7)))*(VLOOKUP(BR$3,Energy!$A$51:$K$83,5,FALSE))), $C16 = "2",('Inputs-System'!$C$30*'Coincidence Factors'!$B$10)*(1+'Inputs-System'!$C$18)*(1+'Inputs-System'!$C$41)*('Inputs-Proposals'!$D$23*'Inputs-Proposals'!$D$25*(1-'Inputs-Proposals'!$D$26^(BR$3-'Inputs-System'!$C$7)))*(VLOOKUP(BR$3,Energy!$A$51:$K$83,5,FALSE)), $C16= "3", ('Inputs-System'!$C$30*'Coincidence Factors'!$B$10*(1+'Inputs-System'!$C$18)*(1+'Inputs-System'!$C$41)*('Inputs-Proposals'!$D$29*'Inputs-Proposals'!$D$31*(1-'Inputs-Proposals'!$D$32^(BR$3-'Inputs-System'!$C$7)))*(VLOOKUP(BR$3,Energy!$A$51:$K$83,5,FALSE))), $C16= "0", 0), 0)</f>
        <v>0</v>
      </c>
      <c r="BS16" s="44">
        <f>IFERROR(_xlfn.IFS($C16="1",('Inputs-System'!$C$30*'Coincidence Factors'!$B$10*(1+'Inputs-System'!$C$18)*(1+'Inputs-System'!$C$41))*'Inputs-Proposals'!$D$17*'Inputs-Proposals'!$D$19*(1-'Inputs-Proposals'!$D$20^(BR$3-'Inputs-System'!$C$7))*(VLOOKUP(BR$3,'Embedded Emissions'!$A$47:$B$78,2,FALSE)+VLOOKUP(BR$3,'Embedded Emissions'!$A$129:$B$158,2,FALSE)), $C16 = "2",('Inputs-System'!$C$30*'Coincidence Factors'!$B$10*(1+'Inputs-System'!$C$18)*(1+'Inputs-System'!$C$41))*'Inputs-Proposals'!$D$23*'Inputs-Proposals'!$D$25*(1-'Inputs-Proposals'!$D$20^(BR$3-'Inputs-System'!$C$7))*(VLOOKUP(BR$3,'Embedded Emissions'!$A$47:$B$78,2,FALSE)+VLOOKUP(BR$3,'Embedded Emissions'!$A$129:$B$158,2,FALSE)), $C16 = "3", ('Inputs-System'!$C$30*'Coincidence Factors'!$B$10*(1+'Inputs-System'!$C$18)*(1+'Inputs-System'!$C$41))*'Inputs-Proposals'!$D$29*'Inputs-Proposals'!$D$31*(1-'Inputs-Proposals'!$D$20^(BR$3-'Inputs-System'!$C$7))*(VLOOKUP(BR$3,'Embedded Emissions'!$A$47:$B$78,2,FALSE)+VLOOKUP(BR$3,'Embedded Emissions'!$A$129:$B$158,2,FALSE)), $C16 = "0", 0), 0)</f>
        <v>0</v>
      </c>
      <c r="BT16" s="44">
        <f>IFERROR(_xlfn.IFS($C16="1",( 'Inputs-System'!$C$30*'Coincidence Factors'!$B$10*(1+'Inputs-System'!$C$18)*(1+'Inputs-System'!$C$41))*('Inputs-Proposals'!$D$17*'Inputs-Proposals'!$D$19*(1-'Inputs-Proposals'!$D$20)^(BR$3-'Inputs-System'!$C$7))*(VLOOKUP(BR$3,DRIPE!$A$54:$I$82,5,FALSE)+VLOOKUP(BR$3,DRIPE!$A$54:$I$82,9,FALSE))+ ('Inputs-System'!$C$26*'Coincidence Factors'!$B$6*(1+'Inputs-System'!$C$18)*(1+'Inputs-System'!$C$42))*'Inputs-Proposals'!$D$16*VLOOKUP(BR$3,DRIPE!$A$54:$I$82,8,FALSE), $C16 = "2",( 'Inputs-System'!$C$30*'Coincidence Factors'!$B$10*(1+'Inputs-System'!$C$18)*(1+'Inputs-System'!$C$41))*('Inputs-Proposals'!$D$23*'Inputs-Proposals'!$D$25*(1-'Inputs-Proposals'!$D$26)^(BR$3-'Inputs-System'!$C$7))*(VLOOKUP(BR$3,DRIPE!$A$54:$I$82,5,FALSE)+VLOOKUP(BR$3,DRIPE!$A$54:$I$82,9,FALSE))+ ('Inputs-System'!$C$26*'Coincidence Factors'!$B$6*(1+'Inputs-System'!$C$18)*(1+'Inputs-System'!$C$42))*'Inputs-Proposals'!$D$22*VLOOKUP(BR$3,DRIPE!$A$54:$I$82,8,FALSE), $C16= "3", ( 'Inputs-System'!$C$30*'Coincidence Factors'!$B$10*(1+'Inputs-System'!$C$18)*(1+'Inputs-System'!$C$41))*('Inputs-Proposals'!$D$29*'Inputs-Proposals'!$D$31*(1-'Inputs-Proposals'!$D$32)^(BR$3-'Inputs-System'!$C$7))*(VLOOKUP(BR$3,DRIPE!$A$54:$I$82,5,FALSE)+VLOOKUP(BR$3,DRIPE!$A$54:$I$82,9,FALSE))+ ('Inputs-System'!$C$26*'Coincidence Factors'!$B$6*(1+'Inputs-System'!$C$18)*(1+'Inputs-System'!$C$42))*'Inputs-Proposals'!$D$28*VLOOKUP(BR$3,DRIPE!$A$54:$I$82,8,FALSE), $C16 = "0", 0), 0)</f>
        <v>0</v>
      </c>
      <c r="BU16" s="45">
        <f>IFERROR(_xlfn.IFS($C16="1",('Inputs-System'!$C$26*'Coincidence Factors'!$B$10*(1+'Inputs-System'!$C$18)*(1+'Inputs-System'!$C$42))*'Inputs-Proposals'!$D$16*(VLOOKUP(BR$3,Capacity!$A$53:$E$85,4,FALSE)*(1+'Inputs-System'!$C$42)+VLOOKUP(BR$3,Capacity!$A$53:$E$85,5,FALSE)*(1+'Inputs-System'!$C$43)*'Inputs-System'!$C$29), $C16 = "2", ('Inputs-System'!$C$26*'Coincidence Factors'!$B$10*(1+'Inputs-System'!$C$18))*'Inputs-Proposals'!$D$22*(VLOOKUP(BR$3,Capacity!$A$53:$E$85,4,FALSE)*(1+'Inputs-System'!$C$42)+VLOOKUP(BR$3,Capacity!$A$53:$E$85,5,FALSE)*'Inputs-System'!$C$29*(1+'Inputs-System'!$C$43)), $C16 = "3", ('Inputs-System'!$C$26*'Coincidence Factors'!$B$10*(1+'Inputs-System'!$C$18))*'Inputs-Proposals'!$D$28*(VLOOKUP(BR$3,Capacity!$A$53:$E$85,4,FALSE)*(1+'Inputs-System'!$C$42)+VLOOKUP(BR$3,Capacity!$A$53:$E$85,5,FALSE)*'Inputs-System'!$C$29*(1+'Inputs-System'!$C$43)), $C16 = "0", 0), 0)</f>
        <v>0</v>
      </c>
      <c r="BV16" s="44">
        <v>0</v>
      </c>
      <c r="BW16" s="342">
        <f>IFERROR(_xlfn.IFS($C16="1", 'Inputs-System'!$C$30*'Coincidence Factors'!$B$10*'Inputs-Proposals'!$D$17*'Inputs-Proposals'!$D$19*(VLOOKUP(BR$3,'Non-Embedded Emissions'!$A$56:$D$90,2,FALSE)-VLOOKUP(BR$3,'Non-Embedded Emissions'!$F$57:$H$88,3,FALSE)+VLOOKUP(BR$3,'Non-Embedded Emissions'!$A$143:$D$174,2,FALSE)-VLOOKUP(BR$3,'Non-Embedded Emissions'!$F$143:$H$174,3,FALSE)+VLOOKUP(BR$3,'Non-Embedded Emissions'!$A$230:$D$259,2,FALSE)), $C16 = "2", 'Inputs-System'!$C$30*'Coincidence Factors'!$B$10*'Inputs-Proposals'!$D$23*'Inputs-Proposals'!$D$25*(VLOOKUP(BR$3,'Non-Embedded Emissions'!$A$56:$D$90,2,FALSE)-VLOOKUP(BR$3,'Non-Embedded Emissions'!$F$57:$H$88,3,FALSE)+VLOOKUP(BR$3,'Non-Embedded Emissions'!$A$143:$D$174,2,FALSE)-VLOOKUP(BR$3,'Non-Embedded Emissions'!$F$143:$H$174,3,FALSE)+VLOOKUP(BR$3,'Non-Embedded Emissions'!$A$230:$D$259,2,FALSE)), $C16 = "3", 'Inputs-System'!$C$30*'Coincidence Factors'!$B$10*'Inputs-Proposals'!$D$29*'Inputs-Proposals'!$D$31*(VLOOKUP(BR$3,'Non-Embedded Emissions'!$A$56:$D$90,2,FALSE)-VLOOKUP(BR$3,'Non-Embedded Emissions'!$F$57:$H$88,3,FALSE)+VLOOKUP(BR$3,'Non-Embedded Emissions'!$A$143:$D$174,2,FALSE)-VLOOKUP(BR$3,'Non-Embedded Emissions'!$F$143:$H$174,3,FALSE)+VLOOKUP(BR$3,'Non-Embedded Emissions'!$A$230:$D$259,2,FALSE)), $C16 = "0", 0), 0)</f>
        <v>0</v>
      </c>
      <c r="BX16" s="45">
        <f>IFERROR(_xlfn.IFS($C16="1",('Inputs-System'!$C$30*'Coincidence Factors'!$B$10*(1+'Inputs-System'!$C$18)*(1+'Inputs-System'!$C$41)*('Inputs-Proposals'!$D$17*'Inputs-Proposals'!$D$19*(1-'Inputs-Proposals'!$D$20^(BX$3-'Inputs-System'!$C$7)))*(VLOOKUP(BX$3,Energy!$A$51:$K$83,5,FALSE))), $C16 = "2",('Inputs-System'!$C$30*'Coincidence Factors'!$B$10)*(1+'Inputs-System'!$C$18)*(1+'Inputs-System'!$C$41)*('Inputs-Proposals'!$D$23*'Inputs-Proposals'!$D$25*(1-'Inputs-Proposals'!$D$26^(BX$3-'Inputs-System'!$C$7)))*(VLOOKUP(BX$3,Energy!$A$51:$K$83,5,FALSE)), $C16= "3", ('Inputs-System'!$C$30*'Coincidence Factors'!$B$10*(1+'Inputs-System'!$C$18)*(1+'Inputs-System'!$C$41)*('Inputs-Proposals'!$D$29*'Inputs-Proposals'!$D$31*(1-'Inputs-Proposals'!$D$32^(BX$3-'Inputs-System'!$C$7)))*(VLOOKUP(BX$3,Energy!$A$51:$K$83,5,FALSE))), $C16= "0", 0), 0)</f>
        <v>0</v>
      </c>
      <c r="BY16" s="44">
        <f>IFERROR(_xlfn.IFS($C16="1",('Inputs-System'!$C$30*'Coincidence Factors'!$B$10*(1+'Inputs-System'!$C$18)*(1+'Inputs-System'!$C$41))*'Inputs-Proposals'!$D$17*'Inputs-Proposals'!$D$19*(1-'Inputs-Proposals'!$D$20^(BX$3-'Inputs-System'!$C$7))*(VLOOKUP(BX$3,'Embedded Emissions'!$A$47:$B$78,2,FALSE)+VLOOKUP(BX$3,'Embedded Emissions'!$A$129:$B$158,2,FALSE)), $C16 = "2",('Inputs-System'!$C$30*'Coincidence Factors'!$B$10*(1+'Inputs-System'!$C$18)*(1+'Inputs-System'!$C$41))*'Inputs-Proposals'!$D$23*'Inputs-Proposals'!$D$25*(1-'Inputs-Proposals'!$D$20^(BX$3-'Inputs-System'!$C$7))*(VLOOKUP(BX$3,'Embedded Emissions'!$A$47:$B$78,2,FALSE)+VLOOKUP(BX$3,'Embedded Emissions'!$A$129:$B$158,2,FALSE)), $C16 = "3", ('Inputs-System'!$C$30*'Coincidence Factors'!$B$10*(1+'Inputs-System'!$C$18)*(1+'Inputs-System'!$C$41))*'Inputs-Proposals'!$D$29*'Inputs-Proposals'!$D$31*(1-'Inputs-Proposals'!$D$20^(BX$3-'Inputs-System'!$C$7))*(VLOOKUP(BX$3,'Embedded Emissions'!$A$47:$B$78,2,FALSE)+VLOOKUP(BX$3,'Embedded Emissions'!$A$129:$B$158,2,FALSE)), $C16 = "0", 0), 0)</f>
        <v>0</v>
      </c>
      <c r="BZ16" s="44">
        <f>IFERROR(_xlfn.IFS($C16="1",( 'Inputs-System'!$C$30*'Coincidence Factors'!$B$10*(1+'Inputs-System'!$C$18)*(1+'Inputs-System'!$C$41))*('Inputs-Proposals'!$D$17*'Inputs-Proposals'!$D$19*(1-'Inputs-Proposals'!$D$20)^(BX$3-'Inputs-System'!$C$7))*(VLOOKUP(BX$3,DRIPE!$A$54:$I$82,5,FALSE)+VLOOKUP(BX$3,DRIPE!$A$54:$I$82,9,FALSE))+ ('Inputs-System'!$C$26*'Coincidence Factors'!$B$6*(1+'Inputs-System'!$C$18)*(1+'Inputs-System'!$C$42))*'Inputs-Proposals'!$D$16*VLOOKUP(BX$3,DRIPE!$A$54:$I$82,8,FALSE), $C16 = "2",( 'Inputs-System'!$C$30*'Coincidence Factors'!$B$10*(1+'Inputs-System'!$C$18)*(1+'Inputs-System'!$C$41))*('Inputs-Proposals'!$D$23*'Inputs-Proposals'!$D$25*(1-'Inputs-Proposals'!$D$26)^(BX$3-'Inputs-System'!$C$7))*(VLOOKUP(BX$3,DRIPE!$A$54:$I$82,5,FALSE)+VLOOKUP(BX$3,DRIPE!$A$54:$I$82,9,FALSE))+ ('Inputs-System'!$C$26*'Coincidence Factors'!$B$6*(1+'Inputs-System'!$C$18)*(1+'Inputs-System'!$C$42))*'Inputs-Proposals'!$D$22*VLOOKUP(BX$3,DRIPE!$A$54:$I$82,8,FALSE), $C16= "3", ( 'Inputs-System'!$C$30*'Coincidence Factors'!$B$10*(1+'Inputs-System'!$C$18)*(1+'Inputs-System'!$C$41))*('Inputs-Proposals'!$D$29*'Inputs-Proposals'!$D$31*(1-'Inputs-Proposals'!$D$32)^(BX$3-'Inputs-System'!$C$7))*(VLOOKUP(BX$3,DRIPE!$A$54:$I$82,5,FALSE)+VLOOKUP(BX$3,DRIPE!$A$54:$I$82,9,FALSE))+ ('Inputs-System'!$C$26*'Coincidence Factors'!$B$6*(1+'Inputs-System'!$C$18)*(1+'Inputs-System'!$C$42))*'Inputs-Proposals'!$D$28*VLOOKUP(BX$3,DRIPE!$A$54:$I$82,8,FALSE), $C16 = "0", 0), 0)</f>
        <v>0</v>
      </c>
      <c r="CA16" s="45">
        <f>IFERROR(_xlfn.IFS($C16="1",('Inputs-System'!$C$26*'Coincidence Factors'!$B$10*(1+'Inputs-System'!$C$18)*(1+'Inputs-System'!$C$42))*'Inputs-Proposals'!$D$16*(VLOOKUP(BX$3,Capacity!$A$53:$E$85,4,FALSE)*(1+'Inputs-System'!$C$42)+VLOOKUP(BX$3,Capacity!$A$53:$E$85,5,FALSE)*(1+'Inputs-System'!$C$43)*'Inputs-System'!$C$29), $C16 = "2", ('Inputs-System'!$C$26*'Coincidence Factors'!$B$10*(1+'Inputs-System'!$C$18))*'Inputs-Proposals'!$D$22*(VLOOKUP(BX$3,Capacity!$A$53:$E$85,4,FALSE)*(1+'Inputs-System'!$C$42)+VLOOKUP(BX$3,Capacity!$A$53:$E$85,5,FALSE)*'Inputs-System'!$C$29*(1+'Inputs-System'!$C$43)), $C16 = "3", ('Inputs-System'!$C$26*'Coincidence Factors'!$B$10*(1+'Inputs-System'!$C$18))*'Inputs-Proposals'!$D$28*(VLOOKUP(BX$3,Capacity!$A$53:$E$85,4,FALSE)*(1+'Inputs-System'!$C$42)+VLOOKUP(BX$3,Capacity!$A$53:$E$85,5,FALSE)*'Inputs-System'!$C$29*(1+'Inputs-System'!$C$43)), $C16 = "0", 0), 0)</f>
        <v>0</v>
      </c>
      <c r="CB16" s="44">
        <v>0</v>
      </c>
      <c r="CC16" s="342">
        <f>IFERROR(_xlfn.IFS($C16="1", 'Inputs-System'!$C$30*'Coincidence Factors'!$B$10*'Inputs-Proposals'!$D$17*'Inputs-Proposals'!$D$19*(VLOOKUP(BX$3,'Non-Embedded Emissions'!$A$56:$D$90,2,FALSE)-VLOOKUP(BX$3,'Non-Embedded Emissions'!$F$57:$H$88,3,FALSE)+VLOOKUP(BX$3,'Non-Embedded Emissions'!$A$143:$D$174,2,FALSE)-VLOOKUP(BX$3,'Non-Embedded Emissions'!$F$143:$H$174,3,FALSE)+VLOOKUP(BX$3,'Non-Embedded Emissions'!$A$230:$D$259,2,FALSE)), $C16 = "2", 'Inputs-System'!$C$30*'Coincidence Factors'!$B$10*'Inputs-Proposals'!$D$23*'Inputs-Proposals'!$D$25*(VLOOKUP(BX$3,'Non-Embedded Emissions'!$A$56:$D$90,2,FALSE)-VLOOKUP(BX$3,'Non-Embedded Emissions'!$F$57:$H$88,3,FALSE)+VLOOKUP(BX$3,'Non-Embedded Emissions'!$A$143:$D$174,2,FALSE)-VLOOKUP(BX$3,'Non-Embedded Emissions'!$F$143:$H$174,3,FALSE)+VLOOKUP(BX$3,'Non-Embedded Emissions'!$A$230:$D$259,2,FALSE)), $C16 = "3", 'Inputs-System'!$C$30*'Coincidence Factors'!$B$10*'Inputs-Proposals'!$D$29*'Inputs-Proposals'!$D$31*(VLOOKUP(BX$3,'Non-Embedded Emissions'!$A$56:$D$90,2,FALSE)-VLOOKUP(BX$3,'Non-Embedded Emissions'!$F$57:$H$88,3,FALSE)+VLOOKUP(BX$3,'Non-Embedded Emissions'!$A$143:$D$174,2,FALSE)-VLOOKUP(BX$3,'Non-Embedded Emissions'!$F$143:$H$174,3,FALSE)+VLOOKUP(BX$3,'Non-Embedded Emissions'!$A$230:$D$259,2,FALSE)), $C16 = "0", 0), 0)</f>
        <v>0</v>
      </c>
      <c r="CD16" s="45">
        <f>IFERROR(_xlfn.IFS($C16="1",('Inputs-System'!$C$30*'Coincidence Factors'!$B$10*(1+'Inputs-System'!$C$18)*(1+'Inputs-System'!$C$41)*('Inputs-Proposals'!$D$17*'Inputs-Proposals'!$D$19*(1-'Inputs-Proposals'!$D$20^(CD$3-'Inputs-System'!$C$7)))*(VLOOKUP(CD$3,Energy!$A$51:$K$83,5,FALSE))), $C16 = "2",('Inputs-System'!$C$30*'Coincidence Factors'!$B$10)*(1+'Inputs-System'!$C$18)*(1+'Inputs-System'!$C$41)*('Inputs-Proposals'!$D$23*'Inputs-Proposals'!$D$25*(1-'Inputs-Proposals'!$D$26^(CD$3-'Inputs-System'!$C$7)))*(VLOOKUP(CD$3,Energy!$A$51:$K$83,5,FALSE)), $C16= "3", ('Inputs-System'!$C$30*'Coincidence Factors'!$B$10*(1+'Inputs-System'!$C$18)*(1+'Inputs-System'!$C$41)*('Inputs-Proposals'!$D$29*'Inputs-Proposals'!$D$31*(1-'Inputs-Proposals'!$D$32^(CD$3-'Inputs-System'!$C$7)))*(VLOOKUP(CD$3,Energy!$A$51:$K$83,5,FALSE))), $C16= "0", 0), 0)</f>
        <v>0</v>
      </c>
      <c r="CE16" s="44">
        <f>IFERROR(_xlfn.IFS($C16="1",('Inputs-System'!$C$30*'Coincidence Factors'!$B$10*(1+'Inputs-System'!$C$18)*(1+'Inputs-System'!$C$41))*'Inputs-Proposals'!$D$17*'Inputs-Proposals'!$D$19*(1-'Inputs-Proposals'!$D$20^(CD$3-'Inputs-System'!$C$7))*(VLOOKUP(CD$3,'Embedded Emissions'!$A$47:$B$78,2,FALSE)+VLOOKUP(CD$3,'Embedded Emissions'!$A$129:$B$158,2,FALSE)), $C16 = "2",('Inputs-System'!$C$30*'Coincidence Factors'!$B$10*(1+'Inputs-System'!$C$18)*(1+'Inputs-System'!$C$41))*'Inputs-Proposals'!$D$23*'Inputs-Proposals'!$D$25*(1-'Inputs-Proposals'!$D$20^(CD$3-'Inputs-System'!$C$7))*(VLOOKUP(CD$3,'Embedded Emissions'!$A$47:$B$78,2,FALSE)+VLOOKUP(CD$3,'Embedded Emissions'!$A$129:$B$158,2,FALSE)), $C16 = "3", ('Inputs-System'!$C$30*'Coincidence Factors'!$B$10*(1+'Inputs-System'!$C$18)*(1+'Inputs-System'!$C$41))*'Inputs-Proposals'!$D$29*'Inputs-Proposals'!$D$31*(1-'Inputs-Proposals'!$D$20^(CD$3-'Inputs-System'!$C$7))*(VLOOKUP(CD$3,'Embedded Emissions'!$A$47:$B$78,2,FALSE)+VLOOKUP(CD$3,'Embedded Emissions'!$A$129:$B$158,2,FALSE)), $C16 = "0", 0), 0)</f>
        <v>0</v>
      </c>
      <c r="CF16" s="44">
        <f>IFERROR(_xlfn.IFS($C16="1",( 'Inputs-System'!$C$30*'Coincidence Factors'!$B$10*(1+'Inputs-System'!$C$18)*(1+'Inputs-System'!$C$41))*('Inputs-Proposals'!$D$17*'Inputs-Proposals'!$D$19*(1-'Inputs-Proposals'!$D$20)^(CD$3-'Inputs-System'!$C$7))*(VLOOKUP(CD$3,DRIPE!$A$54:$I$82,5,FALSE)+VLOOKUP(CD$3,DRIPE!$A$54:$I$82,9,FALSE))+ ('Inputs-System'!$C$26*'Coincidence Factors'!$B$6*(1+'Inputs-System'!$C$18)*(1+'Inputs-System'!$C$42))*'Inputs-Proposals'!$D$16*VLOOKUP(CD$3,DRIPE!$A$54:$I$82,8,FALSE), $C16 = "2",( 'Inputs-System'!$C$30*'Coincidence Factors'!$B$10*(1+'Inputs-System'!$C$18)*(1+'Inputs-System'!$C$41))*('Inputs-Proposals'!$D$23*'Inputs-Proposals'!$D$25*(1-'Inputs-Proposals'!$D$26)^(CD$3-'Inputs-System'!$C$7))*(VLOOKUP(CD$3,DRIPE!$A$54:$I$82,5,FALSE)+VLOOKUP(CD$3,DRIPE!$A$54:$I$82,9,FALSE))+ ('Inputs-System'!$C$26*'Coincidence Factors'!$B$6*(1+'Inputs-System'!$C$18)*(1+'Inputs-System'!$C$42))*'Inputs-Proposals'!$D$22*VLOOKUP(CD$3,DRIPE!$A$54:$I$82,8,FALSE), $C16= "3", ( 'Inputs-System'!$C$30*'Coincidence Factors'!$B$10*(1+'Inputs-System'!$C$18)*(1+'Inputs-System'!$C$41))*('Inputs-Proposals'!$D$29*'Inputs-Proposals'!$D$31*(1-'Inputs-Proposals'!$D$32)^(CD$3-'Inputs-System'!$C$7))*(VLOOKUP(CD$3,DRIPE!$A$54:$I$82,5,FALSE)+VLOOKUP(CD$3,DRIPE!$A$54:$I$82,9,FALSE))+ ('Inputs-System'!$C$26*'Coincidence Factors'!$B$6*(1+'Inputs-System'!$C$18)*(1+'Inputs-System'!$C$42))*'Inputs-Proposals'!$D$28*VLOOKUP(CD$3,DRIPE!$A$54:$I$82,8,FALSE), $C16 = "0", 0), 0)</f>
        <v>0</v>
      </c>
      <c r="CG16" s="45">
        <f>IFERROR(_xlfn.IFS($C16="1",('Inputs-System'!$C$26*'Coincidence Factors'!$B$10*(1+'Inputs-System'!$C$18)*(1+'Inputs-System'!$C$42))*'Inputs-Proposals'!$D$16*(VLOOKUP(CD$3,Capacity!$A$53:$E$85,4,FALSE)*(1+'Inputs-System'!$C$42)+VLOOKUP(CD$3,Capacity!$A$53:$E$85,5,FALSE)*(1+'Inputs-System'!$C$43)*'Inputs-System'!$C$29), $C16 = "2", ('Inputs-System'!$C$26*'Coincidence Factors'!$B$10*(1+'Inputs-System'!$C$18))*'Inputs-Proposals'!$D$22*(VLOOKUP(CD$3,Capacity!$A$53:$E$85,4,FALSE)*(1+'Inputs-System'!$C$42)+VLOOKUP(CD$3,Capacity!$A$53:$E$85,5,FALSE)*'Inputs-System'!$C$29*(1+'Inputs-System'!$C$43)), $C16 = "3", ('Inputs-System'!$C$26*'Coincidence Factors'!$B$10*(1+'Inputs-System'!$C$18))*'Inputs-Proposals'!$D$28*(VLOOKUP(CD$3,Capacity!$A$53:$E$85,4,FALSE)*(1+'Inputs-System'!$C$42)+VLOOKUP(CD$3,Capacity!$A$53:$E$85,5,FALSE)*'Inputs-System'!$C$29*(1+'Inputs-System'!$C$43)), $C16 = "0", 0), 0)</f>
        <v>0</v>
      </c>
      <c r="CH16" s="44">
        <v>0</v>
      </c>
      <c r="CI16" s="342">
        <f>IFERROR(_xlfn.IFS($C16="1", 'Inputs-System'!$C$30*'Coincidence Factors'!$B$10*'Inputs-Proposals'!$D$17*'Inputs-Proposals'!$D$19*(VLOOKUP(CD$3,'Non-Embedded Emissions'!$A$56:$D$90,2,FALSE)-VLOOKUP(CD$3,'Non-Embedded Emissions'!$F$57:$H$88,3,FALSE)+VLOOKUP(CD$3,'Non-Embedded Emissions'!$A$143:$D$174,2,FALSE)-VLOOKUP(CD$3,'Non-Embedded Emissions'!$F$143:$H$174,3,FALSE)+VLOOKUP(CD$3,'Non-Embedded Emissions'!$A$230:$D$259,2,FALSE)), $C16 = "2", 'Inputs-System'!$C$30*'Coincidence Factors'!$B$10*'Inputs-Proposals'!$D$23*'Inputs-Proposals'!$D$25*(VLOOKUP(CD$3,'Non-Embedded Emissions'!$A$56:$D$90,2,FALSE)-VLOOKUP(CD$3,'Non-Embedded Emissions'!$F$57:$H$88,3,FALSE)+VLOOKUP(CD$3,'Non-Embedded Emissions'!$A$143:$D$174,2,FALSE)-VLOOKUP(CD$3,'Non-Embedded Emissions'!$F$143:$H$174,3,FALSE)+VLOOKUP(CD$3,'Non-Embedded Emissions'!$A$230:$D$259,2,FALSE)), $C16 = "3", 'Inputs-System'!$C$30*'Coincidence Factors'!$B$10*'Inputs-Proposals'!$D$29*'Inputs-Proposals'!$D$31*(VLOOKUP(CD$3,'Non-Embedded Emissions'!$A$56:$D$90,2,FALSE)-VLOOKUP(CD$3,'Non-Embedded Emissions'!$F$57:$H$88,3,FALSE)+VLOOKUP(CD$3,'Non-Embedded Emissions'!$A$143:$D$174,2,FALSE)-VLOOKUP(CD$3,'Non-Embedded Emissions'!$F$143:$H$174,3,FALSE)+VLOOKUP(CD$3,'Non-Embedded Emissions'!$A$230:$D$259,2,FALSE)), $C16 = "0", 0), 0)</f>
        <v>0</v>
      </c>
      <c r="CJ16" s="45">
        <f>IFERROR(_xlfn.IFS($C16="1",('Inputs-System'!$C$30*'Coincidence Factors'!$B$10*(1+'Inputs-System'!$C$18)*(1+'Inputs-System'!$C$41)*('Inputs-Proposals'!$D$17*'Inputs-Proposals'!$D$19*(1-'Inputs-Proposals'!$D$20^(CJ$3-'Inputs-System'!$C$7)))*(VLOOKUP(CJ$3,Energy!$A$51:$K$83,5,FALSE))), $C16 = "2",('Inputs-System'!$C$30*'Coincidence Factors'!$B$10)*(1+'Inputs-System'!$C$18)*(1+'Inputs-System'!$C$41)*('Inputs-Proposals'!$D$23*'Inputs-Proposals'!$D$25*(1-'Inputs-Proposals'!$D$26^(CJ$3-'Inputs-System'!$C$7)))*(VLOOKUP(CJ$3,Energy!$A$51:$K$83,5,FALSE)), $C16= "3", ('Inputs-System'!$C$30*'Coincidence Factors'!$B$10*(1+'Inputs-System'!$C$18)*(1+'Inputs-System'!$C$41)*('Inputs-Proposals'!$D$29*'Inputs-Proposals'!$D$31*(1-'Inputs-Proposals'!$D$32^(CJ$3-'Inputs-System'!$C$7)))*(VLOOKUP(CJ$3,Energy!$A$51:$K$83,5,FALSE))), $C16= "0", 0), 0)</f>
        <v>0</v>
      </c>
      <c r="CK16" s="44">
        <f>IFERROR(_xlfn.IFS($C16="1",('Inputs-System'!$C$30*'Coincidence Factors'!$B$10*(1+'Inputs-System'!$C$18)*(1+'Inputs-System'!$C$41))*'Inputs-Proposals'!$D$17*'Inputs-Proposals'!$D$19*(1-'Inputs-Proposals'!$D$20^(CJ$3-'Inputs-System'!$C$7))*(VLOOKUP(CJ$3,'Embedded Emissions'!$A$47:$B$78,2,FALSE)+VLOOKUP(CJ$3,'Embedded Emissions'!$A$129:$B$158,2,FALSE)), $C16 = "2",('Inputs-System'!$C$30*'Coincidence Factors'!$B$10*(1+'Inputs-System'!$C$18)*(1+'Inputs-System'!$C$41))*'Inputs-Proposals'!$D$23*'Inputs-Proposals'!$D$25*(1-'Inputs-Proposals'!$D$20^(CJ$3-'Inputs-System'!$C$7))*(VLOOKUP(CJ$3,'Embedded Emissions'!$A$47:$B$78,2,FALSE)+VLOOKUP(CJ$3,'Embedded Emissions'!$A$129:$B$158,2,FALSE)), $C16 = "3", ('Inputs-System'!$C$30*'Coincidence Factors'!$B$10*(1+'Inputs-System'!$C$18)*(1+'Inputs-System'!$C$41))*'Inputs-Proposals'!$D$29*'Inputs-Proposals'!$D$31*(1-'Inputs-Proposals'!$D$20^(CJ$3-'Inputs-System'!$C$7))*(VLOOKUP(CJ$3,'Embedded Emissions'!$A$47:$B$78,2,FALSE)+VLOOKUP(CJ$3,'Embedded Emissions'!$A$129:$B$158,2,FALSE)), $C16 = "0", 0), 0)</f>
        <v>0</v>
      </c>
      <c r="CL16" s="44">
        <f>IFERROR(_xlfn.IFS($C16="1",( 'Inputs-System'!$C$30*'Coincidence Factors'!$B$10*(1+'Inputs-System'!$C$18)*(1+'Inputs-System'!$C$41))*('Inputs-Proposals'!$D$17*'Inputs-Proposals'!$D$19*(1-'Inputs-Proposals'!$D$20)^(CJ$3-'Inputs-System'!$C$7))*(VLOOKUP(CJ$3,DRIPE!$A$54:$I$82,5,FALSE)+VLOOKUP(CJ$3,DRIPE!$A$54:$I$82,9,FALSE))+ ('Inputs-System'!$C$26*'Coincidence Factors'!$B$6*(1+'Inputs-System'!$C$18)*(1+'Inputs-System'!$C$42))*'Inputs-Proposals'!$D$16*VLOOKUP(CJ$3,DRIPE!$A$54:$I$82,8,FALSE), $C16 = "2",( 'Inputs-System'!$C$30*'Coincidence Factors'!$B$10*(1+'Inputs-System'!$C$18)*(1+'Inputs-System'!$C$41))*('Inputs-Proposals'!$D$23*'Inputs-Proposals'!$D$25*(1-'Inputs-Proposals'!$D$26)^(CJ$3-'Inputs-System'!$C$7))*(VLOOKUP(CJ$3,DRIPE!$A$54:$I$82,5,FALSE)+VLOOKUP(CJ$3,DRIPE!$A$54:$I$82,9,FALSE))+ ('Inputs-System'!$C$26*'Coincidence Factors'!$B$6*(1+'Inputs-System'!$C$18)*(1+'Inputs-System'!$C$42))*'Inputs-Proposals'!$D$22*VLOOKUP(CJ$3,DRIPE!$A$54:$I$82,8,FALSE), $C16= "3", ( 'Inputs-System'!$C$30*'Coincidence Factors'!$B$10*(1+'Inputs-System'!$C$18)*(1+'Inputs-System'!$C$41))*('Inputs-Proposals'!$D$29*'Inputs-Proposals'!$D$31*(1-'Inputs-Proposals'!$D$32)^(CJ$3-'Inputs-System'!$C$7))*(VLOOKUP(CJ$3,DRIPE!$A$54:$I$82,5,FALSE)+VLOOKUP(CJ$3,DRIPE!$A$54:$I$82,9,FALSE))+ ('Inputs-System'!$C$26*'Coincidence Factors'!$B$6*(1+'Inputs-System'!$C$18)*(1+'Inputs-System'!$C$42))*'Inputs-Proposals'!$D$28*VLOOKUP(CJ$3,DRIPE!$A$54:$I$82,8,FALSE), $C16 = "0", 0), 0)</f>
        <v>0</v>
      </c>
      <c r="CM16" s="45">
        <f>IFERROR(_xlfn.IFS($C16="1",('Inputs-System'!$C$26*'Coincidence Factors'!$B$10*(1+'Inputs-System'!$C$18)*(1+'Inputs-System'!$C$42))*'Inputs-Proposals'!$D$16*(VLOOKUP(CJ$3,Capacity!$A$53:$E$85,4,FALSE)*(1+'Inputs-System'!$C$42)+VLOOKUP(CJ$3,Capacity!$A$53:$E$85,5,FALSE)*(1+'Inputs-System'!$C$43)*'Inputs-System'!$C$29), $C16 = "2", ('Inputs-System'!$C$26*'Coincidence Factors'!$B$10*(1+'Inputs-System'!$C$18))*'Inputs-Proposals'!$D$22*(VLOOKUP(CJ$3,Capacity!$A$53:$E$85,4,FALSE)*(1+'Inputs-System'!$C$42)+VLOOKUP(CJ$3,Capacity!$A$53:$E$85,5,FALSE)*'Inputs-System'!$C$29*(1+'Inputs-System'!$C$43)), $C16 = "3", ('Inputs-System'!$C$26*'Coincidence Factors'!$B$10*(1+'Inputs-System'!$C$18))*'Inputs-Proposals'!$D$28*(VLOOKUP(CJ$3,Capacity!$A$53:$E$85,4,FALSE)*(1+'Inputs-System'!$C$42)+VLOOKUP(CJ$3,Capacity!$A$53:$E$85,5,FALSE)*'Inputs-System'!$C$29*(1+'Inputs-System'!$C$43)), $C16 = "0", 0), 0)</f>
        <v>0</v>
      </c>
      <c r="CN16" s="44">
        <v>0</v>
      </c>
      <c r="CO16" s="342">
        <f>IFERROR(_xlfn.IFS($C16="1", 'Inputs-System'!$C$30*'Coincidence Factors'!$B$10*'Inputs-Proposals'!$D$17*'Inputs-Proposals'!$D$19*(VLOOKUP(CJ$3,'Non-Embedded Emissions'!$A$56:$D$90,2,FALSE)-VLOOKUP(CJ$3,'Non-Embedded Emissions'!$F$57:$H$88,3,FALSE)+VLOOKUP(CJ$3,'Non-Embedded Emissions'!$A$143:$D$174,2,FALSE)-VLOOKUP(CJ$3,'Non-Embedded Emissions'!$F$143:$H$174,3,FALSE)+VLOOKUP(CJ$3,'Non-Embedded Emissions'!$A$230:$D$259,2,FALSE)), $C16 = "2", 'Inputs-System'!$C$30*'Coincidence Factors'!$B$10*'Inputs-Proposals'!$D$23*'Inputs-Proposals'!$D$25*(VLOOKUP(CJ$3,'Non-Embedded Emissions'!$A$56:$D$90,2,FALSE)-VLOOKUP(CJ$3,'Non-Embedded Emissions'!$F$57:$H$88,3,FALSE)+VLOOKUP(CJ$3,'Non-Embedded Emissions'!$A$143:$D$174,2,FALSE)-VLOOKUP(CJ$3,'Non-Embedded Emissions'!$F$143:$H$174,3,FALSE)+VLOOKUP(CJ$3,'Non-Embedded Emissions'!$A$230:$D$259,2,FALSE)), $C16 = "3", 'Inputs-System'!$C$30*'Coincidence Factors'!$B$10*'Inputs-Proposals'!$D$29*'Inputs-Proposals'!$D$31*(VLOOKUP(CJ$3,'Non-Embedded Emissions'!$A$56:$D$90,2,FALSE)-VLOOKUP(CJ$3,'Non-Embedded Emissions'!$F$57:$H$88,3,FALSE)+VLOOKUP(CJ$3,'Non-Embedded Emissions'!$A$143:$D$174,2,FALSE)-VLOOKUP(CJ$3,'Non-Embedded Emissions'!$F$143:$H$174,3,FALSE)+VLOOKUP(CJ$3,'Non-Embedded Emissions'!$A$230:$D$259,2,FALSE)), $C16 = "0", 0), 0)</f>
        <v>0</v>
      </c>
      <c r="CP16" s="45">
        <f>IFERROR(_xlfn.IFS($C16="1",('Inputs-System'!$C$30*'Coincidence Factors'!$B$10*(1+'Inputs-System'!$C$18)*(1+'Inputs-System'!$C$41)*('Inputs-Proposals'!$D$17*'Inputs-Proposals'!$D$19*(1-'Inputs-Proposals'!$D$20^(CP$3-'Inputs-System'!$C$7)))*(VLOOKUP(CP$3,Energy!$A$51:$K$83,5,FALSE))), $C16 = "2",('Inputs-System'!$C$30*'Coincidence Factors'!$B$10)*(1+'Inputs-System'!$C$18)*(1+'Inputs-System'!$C$41)*('Inputs-Proposals'!$D$23*'Inputs-Proposals'!$D$25*(1-'Inputs-Proposals'!$D$26^(CP$3-'Inputs-System'!$C$7)))*(VLOOKUP(CP$3,Energy!$A$51:$K$83,5,FALSE)), $C16= "3", ('Inputs-System'!$C$30*'Coincidence Factors'!$B$10*(1+'Inputs-System'!$C$18)*(1+'Inputs-System'!$C$41)*('Inputs-Proposals'!$D$29*'Inputs-Proposals'!$D$31*(1-'Inputs-Proposals'!$D$32^(CP$3-'Inputs-System'!$C$7)))*(VLOOKUP(CP$3,Energy!$A$51:$K$83,5,FALSE))), $C16= "0", 0), 0)</f>
        <v>0</v>
      </c>
      <c r="CQ16" s="44">
        <f>IFERROR(_xlfn.IFS($C16="1",('Inputs-System'!$C$30*'Coincidence Factors'!$B$10*(1+'Inputs-System'!$C$18)*(1+'Inputs-System'!$C$41))*'Inputs-Proposals'!$D$17*'Inputs-Proposals'!$D$19*(1-'Inputs-Proposals'!$D$20^(CP$3-'Inputs-System'!$C$7))*(VLOOKUP(CP$3,'Embedded Emissions'!$A$47:$B$78,2,FALSE)+VLOOKUP(CP$3,'Embedded Emissions'!$A$129:$B$158,2,FALSE)), $C16 = "2",('Inputs-System'!$C$30*'Coincidence Factors'!$B$10*(1+'Inputs-System'!$C$18)*(1+'Inputs-System'!$C$41))*'Inputs-Proposals'!$D$23*'Inputs-Proposals'!$D$25*(1-'Inputs-Proposals'!$D$20^(CP$3-'Inputs-System'!$C$7))*(VLOOKUP(CP$3,'Embedded Emissions'!$A$47:$B$78,2,FALSE)+VLOOKUP(CP$3,'Embedded Emissions'!$A$129:$B$158,2,FALSE)), $C16 = "3", ('Inputs-System'!$C$30*'Coincidence Factors'!$B$10*(1+'Inputs-System'!$C$18)*(1+'Inputs-System'!$C$41))*'Inputs-Proposals'!$D$29*'Inputs-Proposals'!$D$31*(1-'Inputs-Proposals'!$D$20^(CP$3-'Inputs-System'!$C$7))*(VLOOKUP(CP$3,'Embedded Emissions'!$A$47:$B$78,2,FALSE)+VLOOKUP(CP$3,'Embedded Emissions'!$A$129:$B$158,2,FALSE)), $C16 = "0", 0), 0)</f>
        <v>0</v>
      </c>
      <c r="CR16" s="44">
        <f>IFERROR(_xlfn.IFS($C16="1",( 'Inputs-System'!$C$30*'Coincidence Factors'!$B$10*(1+'Inputs-System'!$C$18)*(1+'Inputs-System'!$C$41))*('Inputs-Proposals'!$D$17*'Inputs-Proposals'!$D$19*(1-'Inputs-Proposals'!$D$20)^(CP$3-'Inputs-System'!$C$7))*(VLOOKUP(CP$3,DRIPE!$A$54:$I$82,5,FALSE)+VLOOKUP(CP$3,DRIPE!$A$54:$I$82,9,FALSE))+ ('Inputs-System'!$C$26*'Coincidence Factors'!$B$6*(1+'Inputs-System'!$C$18)*(1+'Inputs-System'!$C$42))*'Inputs-Proposals'!$D$16*VLOOKUP(CP$3,DRIPE!$A$54:$I$82,8,FALSE), $C16 = "2",( 'Inputs-System'!$C$30*'Coincidence Factors'!$B$10*(1+'Inputs-System'!$C$18)*(1+'Inputs-System'!$C$41))*('Inputs-Proposals'!$D$23*'Inputs-Proposals'!$D$25*(1-'Inputs-Proposals'!$D$26)^(CP$3-'Inputs-System'!$C$7))*(VLOOKUP(CP$3,DRIPE!$A$54:$I$82,5,FALSE)+VLOOKUP(CP$3,DRIPE!$A$54:$I$82,9,FALSE))+ ('Inputs-System'!$C$26*'Coincidence Factors'!$B$6*(1+'Inputs-System'!$C$18)*(1+'Inputs-System'!$C$42))*'Inputs-Proposals'!$D$22*VLOOKUP(CP$3,DRIPE!$A$54:$I$82,8,FALSE), $C16= "3", ( 'Inputs-System'!$C$30*'Coincidence Factors'!$B$10*(1+'Inputs-System'!$C$18)*(1+'Inputs-System'!$C$41))*('Inputs-Proposals'!$D$29*'Inputs-Proposals'!$D$31*(1-'Inputs-Proposals'!$D$32)^(CP$3-'Inputs-System'!$C$7))*(VLOOKUP(CP$3,DRIPE!$A$54:$I$82,5,FALSE)+VLOOKUP(CP$3,DRIPE!$A$54:$I$82,9,FALSE))+ ('Inputs-System'!$C$26*'Coincidence Factors'!$B$6*(1+'Inputs-System'!$C$18)*(1+'Inputs-System'!$C$42))*'Inputs-Proposals'!$D$28*VLOOKUP(CP$3,DRIPE!$A$54:$I$82,8,FALSE), $C16 = "0", 0), 0)</f>
        <v>0</v>
      </c>
      <c r="CS16" s="45">
        <f>IFERROR(_xlfn.IFS($C16="1",('Inputs-System'!$C$26*'Coincidence Factors'!$B$10*(1+'Inputs-System'!$C$18)*(1+'Inputs-System'!$C$42))*'Inputs-Proposals'!$D$16*(VLOOKUP(CP$3,Capacity!$A$53:$E$85,4,FALSE)*(1+'Inputs-System'!$C$42)+VLOOKUP(CP$3,Capacity!$A$53:$E$85,5,FALSE)*(1+'Inputs-System'!$C$43)*'Inputs-System'!$C$29), $C16 = "2", ('Inputs-System'!$C$26*'Coincidence Factors'!$B$10*(1+'Inputs-System'!$C$18))*'Inputs-Proposals'!$D$22*(VLOOKUP(CP$3,Capacity!$A$53:$E$85,4,FALSE)*(1+'Inputs-System'!$C$42)+VLOOKUP(CP$3,Capacity!$A$53:$E$85,5,FALSE)*'Inputs-System'!$C$29*(1+'Inputs-System'!$C$43)), $C16 = "3", ('Inputs-System'!$C$26*'Coincidence Factors'!$B$10*(1+'Inputs-System'!$C$18))*'Inputs-Proposals'!$D$28*(VLOOKUP(CP$3,Capacity!$A$53:$E$85,4,FALSE)*(1+'Inputs-System'!$C$42)+VLOOKUP(CP$3,Capacity!$A$53:$E$85,5,FALSE)*'Inputs-System'!$C$29*(1+'Inputs-System'!$C$43)), $C16 = "0", 0), 0)</f>
        <v>0</v>
      </c>
      <c r="CT16" s="44">
        <v>0</v>
      </c>
      <c r="CU16" s="342">
        <f>IFERROR(_xlfn.IFS($C16="1", 'Inputs-System'!$C$30*'Coincidence Factors'!$B$10*'Inputs-Proposals'!$D$17*'Inputs-Proposals'!$D$19*(VLOOKUP(CP$3,'Non-Embedded Emissions'!$A$56:$D$90,2,FALSE)-VLOOKUP(CP$3,'Non-Embedded Emissions'!$F$57:$H$88,3,FALSE)+VLOOKUP(CP$3,'Non-Embedded Emissions'!$A$143:$D$174,2,FALSE)-VLOOKUP(CP$3,'Non-Embedded Emissions'!$F$143:$H$174,3,FALSE)+VLOOKUP(CP$3,'Non-Embedded Emissions'!$A$230:$D$259,2,FALSE)), $C16 = "2", 'Inputs-System'!$C$30*'Coincidence Factors'!$B$10*'Inputs-Proposals'!$D$23*'Inputs-Proposals'!$D$25*(VLOOKUP(CP$3,'Non-Embedded Emissions'!$A$56:$D$90,2,FALSE)-VLOOKUP(CP$3,'Non-Embedded Emissions'!$F$57:$H$88,3,FALSE)+VLOOKUP(CP$3,'Non-Embedded Emissions'!$A$143:$D$174,2,FALSE)-VLOOKUP(CP$3,'Non-Embedded Emissions'!$F$143:$H$174,3,FALSE)+VLOOKUP(CP$3,'Non-Embedded Emissions'!$A$230:$D$259,2,FALSE)), $C16 = "3", 'Inputs-System'!$C$30*'Coincidence Factors'!$B$10*'Inputs-Proposals'!$D$29*'Inputs-Proposals'!$D$31*(VLOOKUP(CP$3,'Non-Embedded Emissions'!$A$56:$D$90,2,FALSE)-VLOOKUP(CP$3,'Non-Embedded Emissions'!$F$57:$H$88,3,FALSE)+VLOOKUP(CP$3,'Non-Embedded Emissions'!$A$143:$D$174,2,FALSE)-VLOOKUP(CP$3,'Non-Embedded Emissions'!$F$143:$H$174,3,FALSE)+VLOOKUP(CP$3,'Non-Embedded Emissions'!$A$230:$D$259,2,FALSE)), $C16 = "0", 0), 0)</f>
        <v>0</v>
      </c>
      <c r="CV16" s="45">
        <f>IFERROR(_xlfn.IFS($C16="1",('Inputs-System'!$C$30*'Coincidence Factors'!$B$10*(1+'Inputs-System'!$C$18)*(1+'Inputs-System'!$C$41)*('Inputs-Proposals'!$D$17*'Inputs-Proposals'!$D$19*(1-'Inputs-Proposals'!$D$20^(CV$3-'Inputs-System'!$C$7)))*(VLOOKUP(CV$3,Energy!$A$51:$K$83,5,FALSE))), $C16 = "2",('Inputs-System'!$C$30*'Coincidence Factors'!$B$10)*(1+'Inputs-System'!$C$18)*(1+'Inputs-System'!$C$41)*('Inputs-Proposals'!$D$23*'Inputs-Proposals'!$D$25*(1-'Inputs-Proposals'!$D$26^(CV$3-'Inputs-System'!$C$7)))*(VLOOKUP(CV$3,Energy!$A$51:$K$83,5,FALSE)), $C16= "3", ('Inputs-System'!$C$30*'Coincidence Factors'!$B$10*(1+'Inputs-System'!$C$18)*(1+'Inputs-System'!$C$41)*('Inputs-Proposals'!$D$29*'Inputs-Proposals'!$D$31*(1-'Inputs-Proposals'!$D$32^(CV$3-'Inputs-System'!$C$7)))*(VLOOKUP(CV$3,Energy!$A$51:$K$83,5,FALSE))), $C16= "0", 0), 0)</f>
        <v>0</v>
      </c>
      <c r="CW16" s="44">
        <f>IFERROR(_xlfn.IFS($C16="1",('Inputs-System'!$C$30*'Coincidence Factors'!$B$10*(1+'Inputs-System'!$C$18)*(1+'Inputs-System'!$C$41))*'Inputs-Proposals'!$D$17*'Inputs-Proposals'!$D$19*(1-'Inputs-Proposals'!$D$20^(CV$3-'Inputs-System'!$C$7))*(VLOOKUP(CV$3,'Embedded Emissions'!$A$47:$B$78,2,FALSE)+VLOOKUP(CV$3,'Embedded Emissions'!$A$129:$B$158,2,FALSE)), $C16 = "2",('Inputs-System'!$C$30*'Coincidence Factors'!$B$10*(1+'Inputs-System'!$C$18)*(1+'Inputs-System'!$C$41))*'Inputs-Proposals'!$D$23*'Inputs-Proposals'!$D$25*(1-'Inputs-Proposals'!$D$20^(CV$3-'Inputs-System'!$C$7))*(VLOOKUP(CV$3,'Embedded Emissions'!$A$47:$B$78,2,FALSE)+VLOOKUP(CV$3,'Embedded Emissions'!$A$129:$B$158,2,FALSE)), $C16 = "3", ('Inputs-System'!$C$30*'Coincidence Factors'!$B$10*(1+'Inputs-System'!$C$18)*(1+'Inputs-System'!$C$41))*'Inputs-Proposals'!$D$29*'Inputs-Proposals'!$D$31*(1-'Inputs-Proposals'!$D$20^(CV$3-'Inputs-System'!$C$7))*(VLOOKUP(CV$3,'Embedded Emissions'!$A$47:$B$78,2,FALSE)+VLOOKUP(CV$3,'Embedded Emissions'!$A$129:$B$158,2,FALSE)), $C16 = "0", 0), 0)</f>
        <v>0</v>
      </c>
      <c r="CX16" s="44">
        <f>IFERROR(_xlfn.IFS($C16="1",( 'Inputs-System'!$C$30*'Coincidence Factors'!$B$10*(1+'Inputs-System'!$C$18)*(1+'Inputs-System'!$C$41))*('Inputs-Proposals'!$D$17*'Inputs-Proposals'!$D$19*(1-'Inputs-Proposals'!$D$20)^(CV$3-'Inputs-System'!$C$7))*(VLOOKUP(CV$3,DRIPE!$A$54:$I$82,5,FALSE)+VLOOKUP(CV$3,DRIPE!$A$54:$I$82,9,FALSE))+ ('Inputs-System'!$C$26*'Coincidence Factors'!$B$6*(1+'Inputs-System'!$C$18)*(1+'Inputs-System'!$C$42))*'Inputs-Proposals'!$D$16*VLOOKUP(CV$3,DRIPE!$A$54:$I$82,8,FALSE), $C16 = "2",( 'Inputs-System'!$C$30*'Coincidence Factors'!$B$10*(1+'Inputs-System'!$C$18)*(1+'Inputs-System'!$C$41))*('Inputs-Proposals'!$D$23*'Inputs-Proposals'!$D$25*(1-'Inputs-Proposals'!$D$26)^(CV$3-'Inputs-System'!$C$7))*(VLOOKUP(CV$3,DRIPE!$A$54:$I$82,5,FALSE)+VLOOKUP(CV$3,DRIPE!$A$54:$I$82,9,FALSE))+ ('Inputs-System'!$C$26*'Coincidence Factors'!$B$6*(1+'Inputs-System'!$C$18)*(1+'Inputs-System'!$C$42))*'Inputs-Proposals'!$D$22*VLOOKUP(CV$3,DRIPE!$A$54:$I$82,8,FALSE), $C16= "3", ( 'Inputs-System'!$C$30*'Coincidence Factors'!$B$10*(1+'Inputs-System'!$C$18)*(1+'Inputs-System'!$C$41))*('Inputs-Proposals'!$D$29*'Inputs-Proposals'!$D$31*(1-'Inputs-Proposals'!$D$32)^(CV$3-'Inputs-System'!$C$7))*(VLOOKUP(CV$3,DRIPE!$A$54:$I$82,5,FALSE)+VLOOKUP(CV$3,DRIPE!$A$54:$I$82,9,FALSE))+ ('Inputs-System'!$C$26*'Coincidence Factors'!$B$6*(1+'Inputs-System'!$C$18)*(1+'Inputs-System'!$C$42))*'Inputs-Proposals'!$D$28*VLOOKUP(CV$3,DRIPE!$A$54:$I$82,8,FALSE), $C16 = "0", 0), 0)</f>
        <v>0</v>
      </c>
      <c r="CY16" s="45">
        <f>IFERROR(_xlfn.IFS($C16="1",('Inputs-System'!$C$26*'Coincidence Factors'!$B$10*(1+'Inputs-System'!$C$18)*(1+'Inputs-System'!$C$42))*'Inputs-Proposals'!$D$16*(VLOOKUP(CV$3,Capacity!$A$53:$E$85,4,FALSE)*(1+'Inputs-System'!$C$42)+VLOOKUP(CV$3,Capacity!$A$53:$E$85,5,FALSE)*(1+'Inputs-System'!$C$43)*'Inputs-System'!$C$29), $C16 = "2", ('Inputs-System'!$C$26*'Coincidence Factors'!$B$10*(1+'Inputs-System'!$C$18))*'Inputs-Proposals'!$D$22*(VLOOKUP(CV$3,Capacity!$A$53:$E$85,4,FALSE)*(1+'Inputs-System'!$C$42)+VLOOKUP(CV$3,Capacity!$A$53:$E$85,5,FALSE)*'Inputs-System'!$C$29*(1+'Inputs-System'!$C$43)), $C16 = "3", ('Inputs-System'!$C$26*'Coincidence Factors'!$B$10*(1+'Inputs-System'!$C$18))*'Inputs-Proposals'!$D$28*(VLOOKUP(CV$3,Capacity!$A$53:$E$85,4,FALSE)*(1+'Inputs-System'!$C$42)+VLOOKUP(CV$3,Capacity!$A$53:$E$85,5,FALSE)*'Inputs-System'!$C$29*(1+'Inputs-System'!$C$43)), $C16 = "0", 0), 0)</f>
        <v>0</v>
      </c>
      <c r="CZ16" s="44">
        <v>0</v>
      </c>
      <c r="DA16" s="342">
        <f>IFERROR(_xlfn.IFS($C16="1", 'Inputs-System'!$C$30*'Coincidence Factors'!$B$10*'Inputs-Proposals'!$D$17*'Inputs-Proposals'!$D$19*(VLOOKUP(CV$3,'Non-Embedded Emissions'!$A$56:$D$90,2,FALSE)-VLOOKUP(CV$3,'Non-Embedded Emissions'!$F$57:$H$88,3,FALSE)+VLOOKUP(CV$3,'Non-Embedded Emissions'!$A$143:$D$174,2,FALSE)-VLOOKUP(CV$3,'Non-Embedded Emissions'!$F$143:$H$174,3,FALSE)+VLOOKUP(CV$3,'Non-Embedded Emissions'!$A$230:$D$259,2,FALSE)), $C16 = "2", 'Inputs-System'!$C$30*'Coincidence Factors'!$B$10*'Inputs-Proposals'!$D$23*'Inputs-Proposals'!$D$25*(VLOOKUP(CV$3,'Non-Embedded Emissions'!$A$56:$D$90,2,FALSE)-VLOOKUP(CV$3,'Non-Embedded Emissions'!$F$57:$H$88,3,FALSE)+VLOOKUP(CV$3,'Non-Embedded Emissions'!$A$143:$D$174,2,FALSE)-VLOOKUP(CV$3,'Non-Embedded Emissions'!$F$143:$H$174,3,FALSE)+VLOOKUP(CV$3,'Non-Embedded Emissions'!$A$230:$D$259,2,FALSE)), $C16 = "3", 'Inputs-System'!$C$30*'Coincidence Factors'!$B$10*'Inputs-Proposals'!$D$29*'Inputs-Proposals'!$D$31*(VLOOKUP(CV$3,'Non-Embedded Emissions'!$A$56:$D$90,2,FALSE)-VLOOKUP(CV$3,'Non-Embedded Emissions'!$F$57:$H$88,3,FALSE)+VLOOKUP(CV$3,'Non-Embedded Emissions'!$A$143:$D$174,2,FALSE)-VLOOKUP(CV$3,'Non-Embedded Emissions'!$F$143:$H$174,3,FALSE)+VLOOKUP(CV$3,'Non-Embedded Emissions'!$A$230:$D$259,2,FALSE)), $C16 = "0", 0), 0)</f>
        <v>0</v>
      </c>
      <c r="DB16" s="45">
        <f>IFERROR(_xlfn.IFS($C16="1",('Inputs-System'!$C$30*'Coincidence Factors'!$B$10*(1+'Inputs-System'!$C$18)*(1+'Inputs-System'!$C$41)*('Inputs-Proposals'!$D$17*'Inputs-Proposals'!$D$19*(1-'Inputs-Proposals'!$D$20^(DB$3-'Inputs-System'!$C$7)))*(VLOOKUP(DB$3,Energy!$A$51:$K$83,5,FALSE))), $C16 = "2",('Inputs-System'!$C$30*'Coincidence Factors'!$B$10)*(1+'Inputs-System'!$C$18)*(1+'Inputs-System'!$C$41)*('Inputs-Proposals'!$D$23*'Inputs-Proposals'!$D$25*(1-'Inputs-Proposals'!$D$26^(DB$3-'Inputs-System'!$C$7)))*(VLOOKUP(DB$3,Energy!$A$51:$K$83,5,FALSE)), $C16= "3", ('Inputs-System'!$C$30*'Coincidence Factors'!$B$10*(1+'Inputs-System'!$C$18)*(1+'Inputs-System'!$C$41)*('Inputs-Proposals'!$D$29*'Inputs-Proposals'!$D$31*(1-'Inputs-Proposals'!$D$32^(DB$3-'Inputs-System'!$C$7)))*(VLOOKUP(DB$3,Energy!$A$51:$K$83,5,FALSE))), $C16= "0", 0), 0)</f>
        <v>0</v>
      </c>
      <c r="DC16" s="44">
        <f>IFERROR(_xlfn.IFS($C16="1",('Inputs-System'!$C$30*'Coincidence Factors'!$B$10*(1+'Inputs-System'!$C$18)*(1+'Inputs-System'!$C$41))*'Inputs-Proposals'!$D$17*'Inputs-Proposals'!$D$19*(1-'Inputs-Proposals'!$D$20^(DB$3-'Inputs-System'!$C$7))*(VLOOKUP(DB$3,'Embedded Emissions'!$A$47:$B$78,2,FALSE)+VLOOKUP(DB$3,'Embedded Emissions'!$A$129:$B$158,2,FALSE)), $C16 = "2",('Inputs-System'!$C$30*'Coincidence Factors'!$B$10*(1+'Inputs-System'!$C$18)*(1+'Inputs-System'!$C$41))*'Inputs-Proposals'!$D$23*'Inputs-Proposals'!$D$25*(1-'Inputs-Proposals'!$D$20^(DB$3-'Inputs-System'!$C$7))*(VLOOKUP(DB$3,'Embedded Emissions'!$A$47:$B$78,2,FALSE)+VLOOKUP(DB$3,'Embedded Emissions'!$A$129:$B$158,2,FALSE)), $C16 = "3", ('Inputs-System'!$C$30*'Coincidence Factors'!$B$10*(1+'Inputs-System'!$C$18)*(1+'Inputs-System'!$C$41))*'Inputs-Proposals'!$D$29*'Inputs-Proposals'!$D$31*(1-'Inputs-Proposals'!$D$20^(DB$3-'Inputs-System'!$C$7))*(VLOOKUP(DB$3,'Embedded Emissions'!$A$47:$B$78,2,FALSE)+VLOOKUP(DB$3,'Embedded Emissions'!$A$129:$B$158,2,FALSE)), $C16 = "0", 0), 0)</f>
        <v>0</v>
      </c>
      <c r="DD16" s="44">
        <f>IFERROR(_xlfn.IFS($C16="1",( 'Inputs-System'!$C$30*'Coincidence Factors'!$B$10*(1+'Inputs-System'!$C$18)*(1+'Inputs-System'!$C$41))*('Inputs-Proposals'!$D$17*'Inputs-Proposals'!$D$19*(1-'Inputs-Proposals'!$D$20)^(DB$3-'Inputs-System'!$C$7))*(VLOOKUP(DB$3,DRIPE!$A$54:$I$82,5,FALSE)+VLOOKUP(DB$3,DRIPE!$A$54:$I$82,9,FALSE))+ ('Inputs-System'!$C$26*'Coincidence Factors'!$B$6*(1+'Inputs-System'!$C$18)*(1+'Inputs-System'!$C$42))*'Inputs-Proposals'!$D$16*VLOOKUP(DB$3,DRIPE!$A$54:$I$82,8,FALSE), $C16 = "2",( 'Inputs-System'!$C$30*'Coincidence Factors'!$B$10*(1+'Inputs-System'!$C$18)*(1+'Inputs-System'!$C$41))*('Inputs-Proposals'!$D$23*'Inputs-Proposals'!$D$25*(1-'Inputs-Proposals'!$D$26)^(DB$3-'Inputs-System'!$C$7))*(VLOOKUP(DB$3,DRIPE!$A$54:$I$82,5,FALSE)+VLOOKUP(DB$3,DRIPE!$A$54:$I$82,9,FALSE))+ ('Inputs-System'!$C$26*'Coincidence Factors'!$B$6*(1+'Inputs-System'!$C$18)*(1+'Inputs-System'!$C$42))*'Inputs-Proposals'!$D$22*VLOOKUP(DB$3,DRIPE!$A$54:$I$82,8,FALSE), $C16= "3", ( 'Inputs-System'!$C$30*'Coincidence Factors'!$B$10*(1+'Inputs-System'!$C$18)*(1+'Inputs-System'!$C$41))*('Inputs-Proposals'!$D$29*'Inputs-Proposals'!$D$31*(1-'Inputs-Proposals'!$D$32)^(DB$3-'Inputs-System'!$C$7))*(VLOOKUP(DB$3,DRIPE!$A$54:$I$82,5,FALSE)+VLOOKUP(DB$3,DRIPE!$A$54:$I$82,9,FALSE))+ ('Inputs-System'!$C$26*'Coincidence Factors'!$B$6*(1+'Inputs-System'!$C$18)*(1+'Inputs-System'!$C$42))*'Inputs-Proposals'!$D$28*VLOOKUP(DB$3,DRIPE!$A$54:$I$82,8,FALSE), $C16 = "0", 0), 0)</f>
        <v>0</v>
      </c>
      <c r="DE16" s="45">
        <f>IFERROR(_xlfn.IFS($C16="1",('Inputs-System'!$C$26*'Coincidence Factors'!$B$10*(1+'Inputs-System'!$C$18)*(1+'Inputs-System'!$C$42))*'Inputs-Proposals'!$D$16*(VLOOKUP(DB$3,Capacity!$A$53:$E$85,4,FALSE)*(1+'Inputs-System'!$C$42)+VLOOKUP(DB$3,Capacity!$A$53:$E$85,5,FALSE)*(1+'Inputs-System'!$C$43)*'Inputs-System'!$C$29), $C16 = "2", ('Inputs-System'!$C$26*'Coincidence Factors'!$B$10*(1+'Inputs-System'!$C$18))*'Inputs-Proposals'!$D$22*(VLOOKUP(DB$3,Capacity!$A$53:$E$85,4,FALSE)*(1+'Inputs-System'!$C$42)+VLOOKUP(DB$3,Capacity!$A$53:$E$85,5,FALSE)*'Inputs-System'!$C$29*(1+'Inputs-System'!$C$43)), $C16 = "3", ('Inputs-System'!$C$26*'Coincidence Factors'!$B$10*(1+'Inputs-System'!$C$18))*'Inputs-Proposals'!$D$28*(VLOOKUP(DB$3,Capacity!$A$53:$E$85,4,FALSE)*(1+'Inputs-System'!$C$42)+VLOOKUP(DB$3,Capacity!$A$53:$E$85,5,FALSE)*'Inputs-System'!$C$29*(1+'Inputs-System'!$C$43)), $C16 = "0", 0), 0)</f>
        <v>0</v>
      </c>
      <c r="DF16" s="44">
        <v>0</v>
      </c>
      <c r="DG16" s="342">
        <f>IFERROR(_xlfn.IFS($C16="1", 'Inputs-System'!$C$30*'Coincidence Factors'!$B$10*'Inputs-Proposals'!$D$17*'Inputs-Proposals'!$D$19*(VLOOKUP(DB$3,'Non-Embedded Emissions'!$A$56:$D$90,2,FALSE)-VLOOKUP(DB$3,'Non-Embedded Emissions'!$F$57:$H$88,3,FALSE)+VLOOKUP(DB$3,'Non-Embedded Emissions'!$A$143:$D$174,2,FALSE)-VLOOKUP(DB$3,'Non-Embedded Emissions'!$F$143:$H$174,3,FALSE)+VLOOKUP(DB$3,'Non-Embedded Emissions'!$A$230:$D$259,2,FALSE)), $C16 = "2", 'Inputs-System'!$C$30*'Coincidence Factors'!$B$10*'Inputs-Proposals'!$D$23*'Inputs-Proposals'!$D$25*(VLOOKUP(DB$3,'Non-Embedded Emissions'!$A$56:$D$90,2,FALSE)-VLOOKUP(DB$3,'Non-Embedded Emissions'!$F$57:$H$88,3,FALSE)+VLOOKUP(DB$3,'Non-Embedded Emissions'!$A$143:$D$174,2,FALSE)-VLOOKUP(DB$3,'Non-Embedded Emissions'!$F$143:$H$174,3,FALSE)+VLOOKUP(DB$3,'Non-Embedded Emissions'!$A$230:$D$259,2,FALSE)), $C16 = "3", 'Inputs-System'!$C$30*'Coincidence Factors'!$B$10*'Inputs-Proposals'!$D$29*'Inputs-Proposals'!$D$31*(VLOOKUP(DB$3,'Non-Embedded Emissions'!$A$56:$D$90,2,FALSE)-VLOOKUP(DB$3,'Non-Embedded Emissions'!$F$57:$H$88,3,FALSE)+VLOOKUP(DB$3,'Non-Embedded Emissions'!$A$143:$D$174,2,FALSE)-VLOOKUP(DB$3,'Non-Embedded Emissions'!$F$143:$H$174,3,FALSE)+VLOOKUP(DB$3,'Non-Embedded Emissions'!$A$230:$D$259,2,FALSE)), $C16 = "0", 0), 0)</f>
        <v>0</v>
      </c>
      <c r="DH16" s="45">
        <f>IFERROR(_xlfn.IFS($C16="1",('Inputs-System'!$C$30*'Coincidence Factors'!$B$10*(1+'Inputs-System'!$C$18)*(1+'Inputs-System'!$C$41)*('Inputs-Proposals'!$D$17*'Inputs-Proposals'!$D$19*(1-'Inputs-Proposals'!$D$20^(DH$3-'Inputs-System'!$C$7)))*(VLOOKUP(DH$3,Energy!$A$51:$K$83,5,FALSE))), $C16 = "2",('Inputs-System'!$C$30*'Coincidence Factors'!$B$10)*(1+'Inputs-System'!$C$18)*(1+'Inputs-System'!$C$41)*('Inputs-Proposals'!$D$23*'Inputs-Proposals'!$D$25*(1-'Inputs-Proposals'!$D$26^(DH$3-'Inputs-System'!$C$7)))*(VLOOKUP(DH$3,Energy!$A$51:$K$83,5,FALSE)), $C16= "3", ('Inputs-System'!$C$30*'Coincidence Factors'!$B$10*(1+'Inputs-System'!$C$18)*(1+'Inputs-System'!$C$41)*('Inputs-Proposals'!$D$29*'Inputs-Proposals'!$D$31*(1-'Inputs-Proposals'!$D$32^(DH$3-'Inputs-System'!$C$7)))*(VLOOKUP(DH$3,Energy!$A$51:$K$83,5,FALSE))), $C16= "0", 0), 0)</f>
        <v>0</v>
      </c>
      <c r="DI16" s="44">
        <f>IFERROR(_xlfn.IFS($C16="1",('Inputs-System'!$C$30*'Coincidence Factors'!$B$10*(1+'Inputs-System'!$C$18)*(1+'Inputs-System'!$C$41))*'Inputs-Proposals'!$D$17*'Inputs-Proposals'!$D$19*(1-'Inputs-Proposals'!$D$20^(DH$3-'Inputs-System'!$C$7))*(VLOOKUP(DH$3,'Embedded Emissions'!$A$47:$B$78,2,FALSE)+VLOOKUP(DH$3,'Embedded Emissions'!$A$129:$B$158,2,FALSE)), $C16 = "2",('Inputs-System'!$C$30*'Coincidence Factors'!$B$10*(1+'Inputs-System'!$C$18)*(1+'Inputs-System'!$C$41))*'Inputs-Proposals'!$D$23*'Inputs-Proposals'!$D$25*(1-'Inputs-Proposals'!$D$20^(DH$3-'Inputs-System'!$C$7))*(VLOOKUP(DH$3,'Embedded Emissions'!$A$47:$B$78,2,FALSE)+VLOOKUP(DH$3,'Embedded Emissions'!$A$129:$B$158,2,FALSE)), $C16 = "3", ('Inputs-System'!$C$30*'Coincidence Factors'!$B$10*(1+'Inputs-System'!$C$18)*(1+'Inputs-System'!$C$41))*'Inputs-Proposals'!$D$29*'Inputs-Proposals'!$D$31*(1-'Inputs-Proposals'!$D$20^(DH$3-'Inputs-System'!$C$7))*(VLOOKUP(DH$3,'Embedded Emissions'!$A$47:$B$78,2,FALSE)+VLOOKUP(DH$3,'Embedded Emissions'!$A$129:$B$158,2,FALSE)), $C16 = "0", 0), 0)</f>
        <v>0</v>
      </c>
      <c r="DJ16" s="44">
        <f>IFERROR(_xlfn.IFS($C16="1",( 'Inputs-System'!$C$30*'Coincidence Factors'!$B$10*(1+'Inputs-System'!$C$18)*(1+'Inputs-System'!$C$41))*('Inputs-Proposals'!$D$17*'Inputs-Proposals'!$D$19*(1-'Inputs-Proposals'!$D$20)^(DH$3-'Inputs-System'!$C$7))*(VLOOKUP(DH$3,DRIPE!$A$54:$I$82,5,FALSE)+VLOOKUP(DH$3,DRIPE!$A$54:$I$82,9,FALSE))+ ('Inputs-System'!$C$26*'Coincidence Factors'!$B$6*(1+'Inputs-System'!$C$18)*(1+'Inputs-System'!$C$42))*'Inputs-Proposals'!$D$16*VLOOKUP(DH$3,DRIPE!$A$54:$I$82,8,FALSE), $C16 = "2",( 'Inputs-System'!$C$30*'Coincidence Factors'!$B$10*(1+'Inputs-System'!$C$18)*(1+'Inputs-System'!$C$41))*('Inputs-Proposals'!$D$23*'Inputs-Proposals'!$D$25*(1-'Inputs-Proposals'!$D$26)^(DH$3-'Inputs-System'!$C$7))*(VLOOKUP(DH$3,DRIPE!$A$54:$I$82,5,FALSE)+VLOOKUP(DH$3,DRIPE!$A$54:$I$82,9,FALSE))+ ('Inputs-System'!$C$26*'Coincidence Factors'!$B$6*(1+'Inputs-System'!$C$18)*(1+'Inputs-System'!$C$42))*'Inputs-Proposals'!$D$22*VLOOKUP(DH$3,DRIPE!$A$54:$I$82,8,FALSE), $C16= "3", ( 'Inputs-System'!$C$30*'Coincidence Factors'!$B$10*(1+'Inputs-System'!$C$18)*(1+'Inputs-System'!$C$41))*('Inputs-Proposals'!$D$29*'Inputs-Proposals'!$D$31*(1-'Inputs-Proposals'!$D$32)^(DH$3-'Inputs-System'!$C$7))*(VLOOKUP(DH$3,DRIPE!$A$54:$I$82,5,FALSE)+VLOOKUP(DH$3,DRIPE!$A$54:$I$82,9,FALSE))+ ('Inputs-System'!$C$26*'Coincidence Factors'!$B$6*(1+'Inputs-System'!$C$18)*(1+'Inputs-System'!$C$42))*'Inputs-Proposals'!$D$28*VLOOKUP(DH$3,DRIPE!$A$54:$I$82,8,FALSE), $C16 = "0", 0), 0)</f>
        <v>0</v>
      </c>
      <c r="DK16" s="45">
        <f>IFERROR(_xlfn.IFS($C16="1",('Inputs-System'!$C$26*'Coincidence Factors'!$B$10*(1+'Inputs-System'!$C$18)*(1+'Inputs-System'!$C$42))*'Inputs-Proposals'!$D$16*(VLOOKUP(DH$3,Capacity!$A$53:$E$85,4,FALSE)*(1+'Inputs-System'!$C$42)+VLOOKUP(DH$3,Capacity!$A$53:$E$85,5,FALSE)*(1+'Inputs-System'!$C$43)*'Inputs-System'!$C$29), $C16 = "2", ('Inputs-System'!$C$26*'Coincidence Factors'!$B$10*(1+'Inputs-System'!$C$18))*'Inputs-Proposals'!$D$22*(VLOOKUP(DH$3,Capacity!$A$53:$E$85,4,FALSE)*(1+'Inputs-System'!$C$42)+VLOOKUP(DH$3,Capacity!$A$53:$E$85,5,FALSE)*'Inputs-System'!$C$29*(1+'Inputs-System'!$C$43)), $C16 = "3", ('Inputs-System'!$C$26*'Coincidence Factors'!$B$10*(1+'Inputs-System'!$C$18))*'Inputs-Proposals'!$D$28*(VLOOKUP(DH$3,Capacity!$A$53:$E$85,4,FALSE)*(1+'Inputs-System'!$C$42)+VLOOKUP(DH$3,Capacity!$A$53:$E$85,5,FALSE)*'Inputs-System'!$C$29*(1+'Inputs-System'!$C$43)), $C16 = "0", 0), 0)</f>
        <v>0</v>
      </c>
      <c r="DL16" s="44">
        <v>0</v>
      </c>
      <c r="DM16" s="342">
        <f>IFERROR(_xlfn.IFS($C16="1", 'Inputs-System'!$C$30*'Coincidence Factors'!$B$10*'Inputs-Proposals'!$D$17*'Inputs-Proposals'!$D$19*(VLOOKUP(DH$3,'Non-Embedded Emissions'!$A$56:$D$90,2,FALSE)-VLOOKUP(DH$3,'Non-Embedded Emissions'!$F$57:$H$88,3,FALSE)+VLOOKUP(DH$3,'Non-Embedded Emissions'!$A$143:$D$174,2,FALSE)-VLOOKUP(DH$3,'Non-Embedded Emissions'!$F$143:$H$174,3,FALSE)+VLOOKUP(DH$3,'Non-Embedded Emissions'!$A$230:$D$259,2,FALSE)), $C16 = "2", 'Inputs-System'!$C$30*'Coincidence Factors'!$B$10*'Inputs-Proposals'!$D$23*'Inputs-Proposals'!$D$25*(VLOOKUP(DH$3,'Non-Embedded Emissions'!$A$56:$D$90,2,FALSE)-VLOOKUP(DH$3,'Non-Embedded Emissions'!$F$57:$H$88,3,FALSE)+VLOOKUP(DH$3,'Non-Embedded Emissions'!$A$143:$D$174,2,FALSE)-VLOOKUP(DH$3,'Non-Embedded Emissions'!$F$143:$H$174,3,FALSE)+VLOOKUP(DH$3,'Non-Embedded Emissions'!$A$230:$D$259,2,FALSE)), $C16 = "3", 'Inputs-System'!$C$30*'Coincidence Factors'!$B$10*'Inputs-Proposals'!$D$29*'Inputs-Proposals'!$D$31*(VLOOKUP(DH$3,'Non-Embedded Emissions'!$A$56:$D$90,2,FALSE)-VLOOKUP(DH$3,'Non-Embedded Emissions'!$F$57:$H$88,3,FALSE)+VLOOKUP(DH$3,'Non-Embedded Emissions'!$A$143:$D$174,2,FALSE)-VLOOKUP(DH$3,'Non-Embedded Emissions'!$F$143:$H$174,3,FALSE)+VLOOKUP(DH$3,'Non-Embedded Emissions'!$A$230:$D$259,2,FALSE)), $C16 = "0", 0), 0)</f>
        <v>0</v>
      </c>
      <c r="DN16" s="45">
        <f>IFERROR(_xlfn.IFS($C16="1",('Inputs-System'!$C$30*'Coincidence Factors'!$B$10*(1+'Inputs-System'!$C$18)*(1+'Inputs-System'!$C$41)*('Inputs-Proposals'!$D$17*'Inputs-Proposals'!$D$19*(1-'Inputs-Proposals'!$D$20^(DN$3-'Inputs-System'!$C$7)))*(VLOOKUP(DN$3,Energy!$A$51:$K$83,5,FALSE))), $C16 = "2",('Inputs-System'!$C$30*'Coincidence Factors'!$B$10)*(1+'Inputs-System'!$C$18)*(1+'Inputs-System'!$C$41)*('Inputs-Proposals'!$D$23*'Inputs-Proposals'!$D$25*(1-'Inputs-Proposals'!$D$26^(DN$3-'Inputs-System'!$C$7)))*(VLOOKUP(DN$3,Energy!$A$51:$K$83,5,FALSE)), $C16= "3", ('Inputs-System'!$C$30*'Coincidence Factors'!$B$10*(1+'Inputs-System'!$C$18)*(1+'Inputs-System'!$C$41)*('Inputs-Proposals'!$D$29*'Inputs-Proposals'!$D$31*(1-'Inputs-Proposals'!$D$32^(DN$3-'Inputs-System'!$C$7)))*(VLOOKUP(DN$3,Energy!$A$51:$K$83,5,FALSE))), $C16= "0", 0), 0)</f>
        <v>0</v>
      </c>
      <c r="DO16" s="44">
        <f>IFERROR(_xlfn.IFS($C16="1",('Inputs-System'!$C$30*'Coincidence Factors'!$B$10*(1+'Inputs-System'!$C$18)*(1+'Inputs-System'!$C$41))*'Inputs-Proposals'!$D$17*'Inputs-Proposals'!$D$19*(1-'Inputs-Proposals'!$D$20^(DN$3-'Inputs-System'!$C$7))*(VLOOKUP(DN$3,'Embedded Emissions'!$A$47:$B$78,2,FALSE)+VLOOKUP(DN$3,'Embedded Emissions'!$A$129:$B$158,2,FALSE)), $C16 = "2",('Inputs-System'!$C$30*'Coincidence Factors'!$B$10*(1+'Inputs-System'!$C$18)*(1+'Inputs-System'!$C$41))*'Inputs-Proposals'!$D$23*'Inputs-Proposals'!$D$25*(1-'Inputs-Proposals'!$D$20^(DN$3-'Inputs-System'!$C$7))*(VLOOKUP(DN$3,'Embedded Emissions'!$A$47:$B$78,2,FALSE)+VLOOKUP(DN$3,'Embedded Emissions'!$A$129:$B$158,2,FALSE)), $C16 = "3", ('Inputs-System'!$C$30*'Coincidence Factors'!$B$10*(1+'Inputs-System'!$C$18)*(1+'Inputs-System'!$C$41))*'Inputs-Proposals'!$D$29*'Inputs-Proposals'!$D$31*(1-'Inputs-Proposals'!$D$20^(DN$3-'Inputs-System'!$C$7))*(VLOOKUP(DN$3,'Embedded Emissions'!$A$47:$B$78,2,FALSE)+VLOOKUP(DN$3,'Embedded Emissions'!$A$129:$B$158,2,FALSE)), $C16 = "0", 0), 0)</f>
        <v>0</v>
      </c>
      <c r="DP16" s="44">
        <f>IFERROR(_xlfn.IFS($C16="1",( 'Inputs-System'!$C$30*'Coincidence Factors'!$B$10*(1+'Inputs-System'!$C$18)*(1+'Inputs-System'!$C$41))*('Inputs-Proposals'!$D$17*'Inputs-Proposals'!$D$19*(1-'Inputs-Proposals'!$D$20)^(DN$3-'Inputs-System'!$C$7))*(VLOOKUP(DN$3,DRIPE!$A$54:$I$82,5,FALSE)+VLOOKUP(DN$3,DRIPE!$A$54:$I$82,9,FALSE))+ ('Inputs-System'!$C$26*'Coincidence Factors'!$B$6*(1+'Inputs-System'!$C$18)*(1+'Inputs-System'!$C$42))*'Inputs-Proposals'!$D$16*VLOOKUP(DN$3,DRIPE!$A$54:$I$82,8,FALSE), $C16 = "2",( 'Inputs-System'!$C$30*'Coincidence Factors'!$B$10*(1+'Inputs-System'!$C$18)*(1+'Inputs-System'!$C$41))*('Inputs-Proposals'!$D$23*'Inputs-Proposals'!$D$25*(1-'Inputs-Proposals'!$D$26)^(DN$3-'Inputs-System'!$C$7))*(VLOOKUP(DN$3,DRIPE!$A$54:$I$82,5,FALSE)+VLOOKUP(DN$3,DRIPE!$A$54:$I$82,9,FALSE))+ ('Inputs-System'!$C$26*'Coincidence Factors'!$B$6*(1+'Inputs-System'!$C$18)*(1+'Inputs-System'!$C$42))*'Inputs-Proposals'!$D$22*VLOOKUP(DN$3,DRIPE!$A$54:$I$82,8,FALSE), $C16= "3", ( 'Inputs-System'!$C$30*'Coincidence Factors'!$B$10*(1+'Inputs-System'!$C$18)*(1+'Inputs-System'!$C$41))*('Inputs-Proposals'!$D$29*'Inputs-Proposals'!$D$31*(1-'Inputs-Proposals'!$D$32)^(DN$3-'Inputs-System'!$C$7))*(VLOOKUP(DN$3,DRIPE!$A$54:$I$82,5,FALSE)+VLOOKUP(DN$3,DRIPE!$A$54:$I$82,9,FALSE))+ ('Inputs-System'!$C$26*'Coincidence Factors'!$B$6*(1+'Inputs-System'!$C$18)*(1+'Inputs-System'!$C$42))*'Inputs-Proposals'!$D$28*VLOOKUP(DN$3,DRIPE!$A$54:$I$82,8,FALSE), $C16 = "0", 0), 0)</f>
        <v>0</v>
      </c>
      <c r="DQ16" s="45">
        <f>IFERROR(_xlfn.IFS($C16="1",('Inputs-System'!$C$26*'Coincidence Factors'!$B$10*(1+'Inputs-System'!$C$18)*(1+'Inputs-System'!$C$42))*'Inputs-Proposals'!$D$16*(VLOOKUP(DN$3,Capacity!$A$53:$E$85,4,FALSE)*(1+'Inputs-System'!$C$42)+VLOOKUP(DN$3,Capacity!$A$53:$E$85,5,FALSE)*(1+'Inputs-System'!$C$43)*'Inputs-System'!$C$29), $C16 = "2", ('Inputs-System'!$C$26*'Coincidence Factors'!$B$10*(1+'Inputs-System'!$C$18))*'Inputs-Proposals'!$D$22*(VLOOKUP(DN$3,Capacity!$A$53:$E$85,4,FALSE)*(1+'Inputs-System'!$C$42)+VLOOKUP(DN$3,Capacity!$A$53:$E$85,5,FALSE)*'Inputs-System'!$C$29*(1+'Inputs-System'!$C$43)), $C16 = "3", ('Inputs-System'!$C$26*'Coincidence Factors'!$B$10*(1+'Inputs-System'!$C$18))*'Inputs-Proposals'!$D$28*(VLOOKUP(DN$3,Capacity!$A$53:$E$85,4,FALSE)*(1+'Inputs-System'!$C$42)+VLOOKUP(DN$3,Capacity!$A$53:$E$85,5,FALSE)*'Inputs-System'!$C$29*(1+'Inputs-System'!$C$43)), $C16 = "0", 0), 0)</f>
        <v>0</v>
      </c>
      <c r="DR16" s="44">
        <v>0</v>
      </c>
      <c r="DS16" s="342">
        <f>IFERROR(_xlfn.IFS($C16="1", 'Inputs-System'!$C$30*'Coincidence Factors'!$B$10*'Inputs-Proposals'!$D$17*'Inputs-Proposals'!$D$19*(VLOOKUP(DN$3,'Non-Embedded Emissions'!$A$56:$D$90,2,FALSE)-VLOOKUP(DN$3,'Non-Embedded Emissions'!$F$57:$H$88,3,FALSE)+VLOOKUP(DN$3,'Non-Embedded Emissions'!$A$143:$D$174,2,FALSE)-VLOOKUP(DN$3,'Non-Embedded Emissions'!$F$143:$H$174,3,FALSE)+VLOOKUP(DN$3,'Non-Embedded Emissions'!$A$230:$D$259,2,FALSE)), $C16 = "2", 'Inputs-System'!$C$30*'Coincidence Factors'!$B$10*'Inputs-Proposals'!$D$23*'Inputs-Proposals'!$D$25*(VLOOKUP(DN$3,'Non-Embedded Emissions'!$A$56:$D$90,2,FALSE)-VLOOKUP(DN$3,'Non-Embedded Emissions'!$F$57:$H$88,3,FALSE)+VLOOKUP(DN$3,'Non-Embedded Emissions'!$A$143:$D$174,2,FALSE)-VLOOKUP(DN$3,'Non-Embedded Emissions'!$F$143:$H$174,3,FALSE)+VLOOKUP(DN$3,'Non-Embedded Emissions'!$A$230:$D$259,2,FALSE)), $C16 = "3", 'Inputs-System'!$C$30*'Coincidence Factors'!$B$10*'Inputs-Proposals'!$D$29*'Inputs-Proposals'!$D$31*(VLOOKUP(DN$3,'Non-Embedded Emissions'!$A$56:$D$90,2,FALSE)-VLOOKUP(DN$3,'Non-Embedded Emissions'!$F$57:$H$88,3,FALSE)+VLOOKUP(DN$3,'Non-Embedded Emissions'!$A$143:$D$174,2,FALSE)-VLOOKUP(DN$3,'Non-Embedded Emissions'!$F$143:$H$174,3,FALSE)+VLOOKUP(DN$3,'Non-Embedded Emissions'!$A$230:$D$259,2,FALSE)), $C16 = "0", 0), 0)</f>
        <v>0</v>
      </c>
      <c r="DT16" s="45">
        <f>IFERROR(_xlfn.IFS($C16="1",('Inputs-System'!$C$30*'Coincidence Factors'!$B$10*(1+'Inputs-System'!$C$18)*(1+'Inputs-System'!$C$41)*('Inputs-Proposals'!$D$17*'Inputs-Proposals'!$D$19*(1-'Inputs-Proposals'!$D$20^(DT$3-'Inputs-System'!$C$7)))*(VLOOKUP(DT$3,Energy!$A$51:$K$83,5,FALSE))), $C16 = "2",('Inputs-System'!$C$30*'Coincidence Factors'!$B$10)*(1+'Inputs-System'!$C$18)*(1+'Inputs-System'!$C$41)*('Inputs-Proposals'!$D$23*'Inputs-Proposals'!$D$25*(1-'Inputs-Proposals'!$D$26^(DT$3-'Inputs-System'!$C$7)))*(VLOOKUP(DT$3,Energy!$A$51:$K$83,5,FALSE)), $C16= "3", ('Inputs-System'!$C$30*'Coincidence Factors'!$B$10*(1+'Inputs-System'!$C$18)*(1+'Inputs-System'!$C$41)*('Inputs-Proposals'!$D$29*'Inputs-Proposals'!$D$31*(1-'Inputs-Proposals'!$D$32^(DT$3-'Inputs-System'!$C$7)))*(VLOOKUP(DT$3,Energy!$A$51:$K$83,5,FALSE))), $C16= "0", 0), 0)</f>
        <v>0</v>
      </c>
      <c r="DU16" s="44">
        <f>IFERROR(_xlfn.IFS($C16="1",('Inputs-System'!$C$30*'Coincidence Factors'!$B$10*(1+'Inputs-System'!$C$18)*(1+'Inputs-System'!$C$41))*'Inputs-Proposals'!$D$17*'Inputs-Proposals'!$D$19*(1-'Inputs-Proposals'!$D$20^(DT$3-'Inputs-System'!$C$7))*(VLOOKUP(DT$3,'Embedded Emissions'!$A$47:$B$78,2,FALSE)+VLOOKUP(DT$3,'Embedded Emissions'!$A$129:$B$158,2,FALSE)), $C16 = "2",('Inputs-System'!$C$30*'Coincidence Factors'!$B$10*(1+'Inputs-System'!$C$18)*(1+'Inputs-System'!$C$41))*'Inputs-Proposals'!$D$23*'Inputs-Proposals'!$D$25*(1-'Inputs-Proposals'!$D$20^(DT$3-'Inputs-System'!$C$7))*(VLOOKUP(DT$3,'Embedded Emissions'!$A$47:$B$78,2,FALSE)+VLOOKUP(DT$3,'Embedded Emissions'!$A$129:$B$158,2,FALSE)), $C16 = "3", ('Inputs-System'!$C$30*'Coincidence Factors'!$B$10*(1+'Inputs-System'!$C$18)*(1+'Inputs-System'!$C$41))*'Inputs-Proposals'!$D$29*'Inputs-Proposals'!$D$31*(1-'Inputs-Proposals'!$D$20^(DT$3-'Inputs-System'!$C$7))*(VLOOKUP(DT$3,'Embedded Emissions'!$A$47:$B$78,2,FALSE)+VLOOKUP(DT$3,'Embedded Emissions'!$A$129:$B$158,2,FALSE)), $C16 = "0", 0), 0)</f>
        <v>0</v>
      </c>
      <c r="DV16" s="44">
        <f>IFERROR(_xlfn.IFS($C16="1",( 'Inputs-System'!$C$30*'Coincidence Factors'!$B$10*(1+'Inputs-System'!$C$18)*(1+'Inputs-System'!$C$41))*('Inputs-Proposals'!$D$17*'Inputs-Proposals'!$D$19*(1-'Inputs-Proposals'!$D$20)^(DT$3-'Inputs-System'!$C$7))*(VLOOKUP(DT$3,DRIPE!$A$54:$I$82,5,FALSE)+VLOOKUP(DT$3,DRIPE!$A$54:$I$82,9,FALSE))+ ('Inputs-System'!$C$26*'Coincidence Factors'!$B$6*(1+'Inputs-System'!$C$18)*(1+'Inputs-System'!$C$42))*'Inputs-Proposals'!$D$16*VLOOKUP(DT$3,DRIPE!$A$54:$I$82,8,FALSE), $C16 = "2",( 'Inputs-System'!$C$30*'Coincidence Factors'!$B$10*(1+'Inputs-System'!$C$18)*(1+'Inputs-System'!$C$41))*('Inputs-Proposals'!$D$23*'Inputs-Proposals'!$D$25*(1-'Inputs-Proposals'!$D$26)^(DT$3-'Inputs-System'!$C$7))*(VLOOKUP(DT$3,DRIPE!$A$54:$I$82,5,FALSE)+VLOOKUP(DT$3,DRIPE!$A$54:$I$82,9,FALSE))+ ('Inputs-System'!$C$26*'Coincidence Factors'!$B$6*(1+'Inputs-System'!$C$18)*(1+'Inputs-System'!$C$42))*'Inputs-Proposals'!$D$22*VLOOKUP(DT$3,DRIPE!$A$54:$I$82,8,FALSE), $C16= "3", ( 'Inputs-System'!$C$30*'Coincidence Factors'!$B$10*(1+'Inputs-System'!$C$18)*(1+'Inputs-System'!$C$41))*('Inputs-Proposals'!$D$29*'Inputs-Proposals'!$D$31*(1-'Inputs-Proposals'!$D$32)^(DT$3-'Inputs-System'!$C$7))*(VLOOKUP(DT$3,DRIPE!$A$54:$I$82,5,FALSE)+VLOOKUP(DT$3,DRIPE!$A$54:$I$82,9,FALSE))+ ('Inputs-System'!$C$26*'Coincidence Factors'!$B$6*(1+'Inputs-System'!$C$18)*(1+'Inputs-System'!$C$42))*'Inputs-Proposals'!$D$28*VLOOKUP(DT$3,DRIPE!$A$54:$I$82,8,FALSE), $C16 = "0", 0), 0)</f>
        <v>0</v>
      </c>
      <c r="DW16" s="45">
        <f>IFERROR(_xlfn.IFS($C16="1",('Inputs-System'!$C$26*'Coincidence Factors'!$B$10*(1+'Inputs-System'!$C$18)*(1+'Inputs-System'!$C$42))*'Inputs-Proposals'!$D$16*(VLOOKUP(DT$3,Capacity!$A$53:$E$85,4,FALSE)*(1+'Inputs-System'!$C$42)+VLOOKUP(DT$3,Capacity!$A$53:$E$85,5,FALSE)*(1+'Inputs-System'!$C$43)*'Inputs-System'!$C$29), $C16 = "2", ('Inputs-System'!$C$26*'Coincidence Factors'!$B$10*(1+'Inputs-System'!$C$18))*'Inputs-Proposals'!$D$22*(VLOOKUP(DT$3,Capacity!$A$53:$E$85,4,FALSE)*(1+'Inputs-System'!$C$42)+VLOOKUP(DT$3,Capacity!$A$53:$E$85,5,FALSE)*'Inputs-System'!$C$29*(1+'Inputs-System'!$C$43)), $C16 = "3", ('Inputs-System'!$C$26*'Coincidence Factors'!$B$10*(1+'Inputs-System'!$C$18))*'Inputs-Proposals'!$D$28*(VLOOKUP(DT$3,Capacity!$A$53:$E$85,4,FALSE)*(1+'Inputs-System'!$C$42)+VLOOKUP(DT$3,Capacity!$A$53:$E$85,5,FALSE)*'Inputs-System'!$C$29*(1+'Inputs-System'!$C$43)), $C16 = "0", 0), 0)</f>
        <v>0</v>
      </c>
      <c r="DX16" s="44">
        <v>0</v>
      </c>
      <c r="DY16" s="342">
        <f>IFERROR(_xlfn.IFS($C16="1", 'Inputs-System'!$C$30*'Coincidence Factors'!$B$10*'Inputs-Proposals'!$D$17*'Inputs-Proposals'!$D$19*(VLOOKUP(DT$3,'Non-Embedded Emissions'!$A$56:$D$90,2,FALSE)-VLOOKUP(DT$3,'Non-Embedded Emissions'!$F$57:$H$88,3,FALSE)+VLOOKUP(DT$3,'Non-Embedded Emissions'!$A$143:$D$174,2,FALSE)-VLOOKUP(DT$3,'Non-Embedded Emissions'!$F$143:$H$174,3,FALSE)+VLOOKUP(DT$3,'Non-Embedded Emissions'!$A$230:$D$259,2,FALSE)), $C16 = "2", 'Inputs-System'!$C$30*'Coincidence Factors'!$B$10*'Inputs-Proposals'!$D$23*'Inputs-Proposals'!$D$25*(VLOOKUP(DT$3,'Non-Embedded Emissions'!$A$56:$D$90,2,FALSE)-VLOOKUP(DT$3,'Non-Embedded Emissions'!$F$57:$H$88,3,FALSE)+VLOOKUP(DT$3,'Non-Embedded Emissions'!$A$143:$D$174,2,FALSE)-VLOOKUP(DT$3,'Non-Embedded Emissions'!$F$143:$H$174,3,FALSE)+VLOOKUP(DT$3,'Non-Embedded Emissions'!$A$230:$D$259,2,FALSE)), $C16 = "3", 'Inputs-System'!$C$30*'Coincidence Factors'!$B$10*'Inputs-Proposals'!$D$29*'Inputs-Proposals'!$D$31*(VLOOKUP(DT$3,'Non-Embedded Emissions'!$A$56:$D$90,2,FALSE)-VLOOKUP(DT$3,'Non-Embedded Emissions'!$F$57:$H$88,3,FALSE)+VLOOKUP(DT$3,'Non-Embedded Emissions'!$A$143:$D$174,2,FALSE)-VLOOKUP(DT$3,'Non-Embedded Emissions'!$F$143:$H$174,3,FALSE)+VLOOKUP(DT$3,'Non-Embedded Emissions'!$A$230:$D$259,2,FALSE)), $C16 = "0", 0), 0)</f>
        <v>0</v>
      </c>
      <c r="DZ16" s="45">
        <f>IFERROR(_xlfn.IFS($C16="1",('Inputs-System'!$C$30*'Coincidence Factors'!$B$10*(1+'Inputs-System'!$C$18)*(1+'Inputs-System'!$C$41)*('Inputs-Proposals'!$D$17*'Inputs-Proposals'!$D$19*(1-'Inputs-Proposals'!$D$20^(DZ$3-'Inputs-System'!$C$7)))*(VLOOKUP(DZ$3,Energy!$A$51:$K$83,5,FALSE))), $C16 = "2",('Inputs-System'!$C$30*'Coincidence Factors'!$B$10)*(1+'Inputs-System'!$C$18)*(1+'Inputs-System'!$C$41)*('Inputs-Proposals'!$D$23*'Inputs-Proposals'!$D$25*(1-'Inputs-Proposals'!$D$26^(DZ$3-'Inputs-System'!$C$7)))*(VLOOKUP(DZ$3,Energy!$A$51:$K$83,5,FALSE)), $C16= "3", ('Inputs-System'!$C$30*'Coincidence Factors'!$B$10*(1+'Inputs-System'!$C$18)*(1+'Inputs-System'!$C$41)*('Inputs-Proposals'!$D$29*'Inputs-Proposals'!$D$31*(1-'Inputs-Proposals'!$D$32^(DZ$3-'Inputs-System'!$C$7)))*(VLOOKUP(DZ$3,Energy!$A$51:$K$83,5,FALSE))), $C16= "0", 0), 0)</f>
        <v>0</v>
      </c>
      <c r="EA16" s="44">
        <f>IFERROR(_xlfn.IFS($C16="1",('Inputs-System'!$C$30*'Coincidence Factors'!$B$10*(1+'Inputs-System'!$C$18)*(1+'Inputs-System'!$C$41))*'Inputs-Proposals'!$D$17*'Inputs-Proposals'!$D$19*(1-'Inputs-Proposals'!$D$20^(DZ$3-'Inputs-System'!$C$7))*(VLOOKUP(DZ$3,'Embedded Emissions'!$A$47:$B$78,2,FALSE)+VLOOKUP(DZ$3,'Embedded Emissions'!$A$129:$B$158,2,FALSE)), $C16 = "2",('Inputs-System'!$C$30*'Coincidence Factors'!$B$10*(1+'Inputs-System'!$C$18)*(1+'Inputs-System'!$C$41))*'Inputs-Proposals'!$D$23*'Inputs-Proposals'!$D$25*(1-'Inputs-Proposals'!$D$20^(DZ$3-'Inputs-System'!$C$7))*(VLOOKUP(DZ$3,'Embedded Emissions'!$A$47:$B$78,2,FALSE)+VLOOKUP(DZ$3,'Embedded Emissions'!$A$129:$B$158,2,FALSE)), $C16 = "3", ('Inputs-System'!$C$30*'Coincidence Factors'!$B$10*(1+'Inputs-System'!$C$18)*(1+'Inputs-System'!$C$41))*'Inputs-Proposals'!$D$29*'Inputs-Proposals'!$D$31*(1-'Inputs-Proposals'!$D$20^(DZ$3-'Inputs-System'!$C$7))*(VLOOKUP(DZ$3,'Embedded Emissions'!$A$47:$B$78,2,FALSE)+VLOOKUP(DZ$3,'Embedded Emissions'!$A$129:$B$158,2,FALSE)), $C16 = "0", 0), 0)</f>
        <v>0</v>
      </c>
      <c r="EB16" s="44">
        <f>IFERROR(_xlfn.IFS($C16="1",( 'Inputs-System'!$C$30*'Coincidence Factors'!$B$10*(1+'Inputs-System'!$C$18)*(1+'Inputs-System'!$C$41))*('Inputs-Proposals'!$D$17*'Inputs-Proposals'!$D$19*(1-'Inputs-Proposals'!$D$20)^(DZ$3-'Inputs-System'!$C$7))*(VLOOKUP(DZ$3,DRIPE!$A$54:$I$82,5,FALSE)+VLOOKUP(DZ$3,DRIPE!$A$54:$I$82,9,FALSE))+ ('Inputs-System'!$C$26*'Coincidence Factors'!$B$6*(1+'Inputs-System'!$C$18)*(1+'Inputs-System'!$C$42))*'Inputs-Proposals'!$D$16*VLOOKUP(DZ$3,DRIPE!$A$54:$I$82,8,FALSE), $C16 = "2",( 'Inputs-System'!$C$30*'Coincidence Factors'!$B$10*(1+'Inputs-System'!$C$18)*(1+'Inputs-System'!$C$41))*('Inputs-Proposals'!$D$23*'Inputs-Proposals'!$D$25*(1-'Inputs-Proposals'!$D$26)^(DZ$3-'Inputs-System'!$C$7))*(VLOOKUP(DZ$3,DRIPE!$A$54:$I$82,5,FALSE)+VLOOKUP(DZ$3,DRIPE!$A$54:$I$82,9,FALSE))+ ('Inputs-System'!$C$26*'Coincidence Factors'!$B$6*(1+'Inputs-System'!$C$18)*(1+'Inputs-System'!$C$42))*'Inputs-Proposals'!$D$22*VLOOKUP(DZ$3,DRIPE!$A$54:$I$82,8,FALSE), $C16= "3", ( 'Inputs-System'!$C$30*'Coincidence Factors'!$B$10*(1+'Inputs-System'!$C$18)*(1+'Inputs-System'!$C$41))*('Inputs-Proposals'!$D$29*'Inputs-Proposals'!$D$31*(1-'Inputs-Proposals'!$D$32)^(DZ$3-'Inputs-System'!$C$7))*(VLOOKUP(DZ$3,DRIPE!$A$54:$I$82,5,FALSE)+VLOOKUP(DZ$3,DRIPE!$A$54:$I$82,9,FALSE))+ ('Inputs-System'!$C$26*'Coincidence Factors'!$B$6*(1+'Inputs-System'!$C$18)*(1+'Inputs-System'!$C$42))*'Inputs-Proposals'!$D$28*VLOOKUP(DZ$3,DRIPE!$A$54:$I$82,8,FALSE), $C16 = "0", 0), 0)</f>
        <v>0</v>
      </c>
      <c r="EC16" s="45">
        <f>IFERROR(_xlfn.IFS($C16="1",('Inputs-System'!$C$26*'Coincidence Factors'!$B$10*(1+'Inputs-System'!$C$18)*(1+'Inputs-System'!$C$42))*'Inputs-Proposals'!$D$16*(VLOOKUP(DZ$3,Capacity!$A$53:$E$85,4,FALSE)*(1+'Inputs-System'!$C$42)+VLOOKUP(DZ$3,Capacity!$A$53:$E$85,5,FALSE)*(1+'Inputs-System'!$C$43)*'Inputs-System'!$C$29), $C16 = "2", ('Inputs-System'!$C$26*'Coincidence Factors'!$B$10*(1+'Inputs-System'!$C$18))*'Inputs-Proposals'!$D$22*(VLOOKUP(DZ$3,Capacity!$A$53:$E$85,4,FALSE)*(1+'Inputs-System'!$C$42)+VLOOKUP(DZ$3,Capacity!$A$53:$E$85,5,FALSE)*'Inputs-System'!$C$29*(1+'Inputs-System'!$C$43)), $C16 = "3", ('Inputs-System'!$C$26*'Coincidence Factors'!$B$10*(1+'Inputs-System'!$C$18))*'Inputs-Proposals'!$D$28*(VLOOKUP(DZ$3,Capacity!$A$53:$E$85,4,FALSE)*(1+'Inputs-System'!$C$42)+VLOOKUP(DZ$3,Capacity!$A$53:$E$85,5,FALSE)*'Inputs-System'!$C$29*(1+'Inputs-System'!$C$43)), $C16 = "0", 0), 0)</f>
        <v>0</v>
      </c>
      <c r="ED16" s="44">
        <v>0</v>
      </c>
      <c r="EE16" s="342">
        <f>IFERROR(_xlfn.IFS($C16="1", 'Inputs-System'!$C$30*'Coincidence Factors'!$B$10*'Inputs-Proposals'!$D$17*'Inputs-Proposals'!$D$19*(VLOOKUP(DZ$3,'Non-Embedded Emissions'!$A$56:$D$90,2,FALSE)-VLOOKUP(DZ$3,'Non-Embedded Emissions'!$F$57:$H$88,3,FALSE)+VLOOKUP(DZ$3,'Non-Embedded Emissions'!$A$143:$D$174,2,FALSE)-VLOOKUP(DZ$3,'Non-Embedded Emissions'!$F$143:$H$174,3,FALSE)+VLOOKUP(DZ$3,'Non-Embedded Emissions'!$A$230:$D$259,2,FALSE)), $C16 = "2", 'Inputs-System'!$C$30*'Coincidence Factors'!$B$10*'Inputs-Proposals'!$D$23*'Inputs-Proposals'!$D$25*(VLOOKUP(DZ$3,'Non-Embedded Emissions'!$A$56:$D$90,2,FALSE)-VLOOKUP(DZ$3,'Non-Embedded Emissions'!$F$57:$H$88,3,FALSE)+VLOOKUP(DZ$3,'Non-Embedded Emissions'!$A$143:$D$174,2,FALSE)-VLOOKUP(DZ$3,'Non-Embedded Emissions'!$F$143:$H$174,3,FALSE)+VLOOKUP(DZ$3,'Non-Embedded Emissions'!$A$230:$D$259,2,FALSE)), $C16 = "3", 'Inputs-System'!$C$30*'Coincidence Factors'!$B$10*'Inputs-Proposals'!$D$29*'Inputs-Proposals'!$D$31*(VLOOKUP(DZ$3,'Non-Embedded Emissions'!$A$56:$D$90,2,FALSE)-VLOOKUP(DZ$3,'Non-Embedded Emissions'!$F$57:$H$88,3,FALSE)+VLOOKUP(DZ$3,'Non-Embedded Emissions'!$A$143:$D$174,2,FALSE)-VLOOKUP(DZ$3,'Non-Embedded Emissions'!$F$143:$H$174,3,FALSE)+VLOOKUP(DZ$3,'Non-Embedded Emissions'!$A$230:$D$259,2,FALSE)), $C16 = "0", 0), 0)</f>
        <v>0</v>
      </c>
    </row>
    <row r="17" spans="1:135" x14ac:dyDescent="0.35">
      <c r="A17" s="707">
        <f>'Inputs-Proposals'!E2</f>
        <v>0</v>
      </c>
      <c r="B17" s="52" t="s">
        <v>90</v>
      </c>
      <c r="C17" s="52" t="str">
        <f>IFERROR(_xlfn.IFS('Benefits Calc'!B17='Inputs-Proposals'!$E$15, "1", 'Benefits Calc'!B17='Inputs-Proposals'!$E$21, "2", 'Benefits Calc'!B17='Inputs-Proposals'!$E$27, "3"), "0")</f>
        <v>0</v>
      </c>
      <c r="D17" s="323">
        <f t="shared" si="0"/>
        <v>0</v>
      </c>
      <c r="E17" s="44">
        <f t="shared" si="1"/>
        <v>0</v>
      </c>
      <c r="F17" s="44">
        <f t="shared" si="2"/>
        <v>0</v>
      </c>
      <c r="G17" s="44">
        <f t="shared" si="3"/>
        <v>0</v>
      </c>
      <c r="H17" s="44">
        <f t="shared" si="4"/>
        <v>0</v>
      </c>
      <c r="I17" s="44">
        <f t="shared" si="5"/>
        <v>0</v>
      </c>
      <c r="J17" s="323">
        <f>NPV('Inputs-System'!$C$20,P17+V17+AB17+AH17+AN17+AT17+AZ17+BF17+BL17+BR17+BX17+CD17+CJ17+CP17+CV17+DB17+DH17+DN17+DT17+DZ17)</f>
        <v>0</v>
      </c>
      <c r="K17" s="44">
        <f>NPV('Inputs-System'!$C$20,Q17+W17+AC17+AI17+AO17+AU17+BA17+BG17+BM17+BS17+BY17+CE17+CK17+CQ17+CW17+DC17+DI17+DO17+DU17+EA17)</f>
        <v>0</v>
      </c>
      <c r="L17" s="44">
        <f>NPV('Inputs-System'!$C$20,R17+X17+AD17+AJ17+AP17+AV17+BB17+BH17+BN17+BT17+BZ17+CF17+CL17+CR17+CX17+DD17+DJ17+DP17+DV17+EB17)</f>
        <v>0</v>
      </c>
      <c r="M17" s="44">
        <f>NPV('Inputs-System'!$C$20,S17+Y17+AE17+AK17+AQ17+AW17+BC17+BI17+BO17+BU17+CA17+CG17+CM17+CS17+CY17+DE17+DK17+DQ17+DW17+EC17)</f>
        <v>0</v>
      </c>
      <c r="N17" s="44">
        <f>NPV('Inputs-System'!$C$20,T17+Z17+AF17+AL17+AR17+AX17+BD17+BJ17+BP17+BV17+CB17+CH17+CN17+CT17+CZ17+DF17+DL17+DR17+DX17+ED17)</f>
        <v>0</v>
      </c>
      <c r="O17" s="44">
        <f>NPV('Inputs-System'!$C$20,U17+AA17+AG17+AM17+AS17+AY17+BE17+BK17+BQ17+BW17+CC17+CI17+CO17+CU17+DA17+DG17+DM17+DS17+DY17+EE17)</f>
        <v>0</v>
      </c>
      <c r="P17" s="344">
        <f>IFERROR(_xlfn.IFS($C17="1",('Inputs-System'!$C$30*'Coincidence Factors'!$B$5*(1+'Inputs-System'!$C$18)*(1+'Inputs-System'!$C$41)*('Inputs-Proposals'!$E$17*'Inputs-Proposals'!$E$19*(1-'Inputs-Proposals'!$E$20))*(VLOOKUP(P$3,Energy!$A$51:$K$83,5,FALSE)-VLOOKUP(P$3,Energy!$A$51:$K$83,6,FALSE))), $C17 = "2",('Inputs-System'!$C$30*'Coincidence Factors'!$B$5)*(1+'Inputs-System'!$C$18)*(1+'Inputs-System'!$C$41)*('Inputs-Proposals'!$E$23*'Inputs-Proposals'!$E$25*(1-'Inputs-Proposals'!$E$26))*(VLOOKUP(P$3,Energy!$A$51:$K$83,5,FALSE)-VLOOKUP(P$3,Energy!$A$51:$K$83,6,FALSE)), $C17= "3", ('Inputs-System'!$C$30*'Coincidence Factors'!$B$5*(1+'Inputs-System'!$C$18)*(1+'Inputs-System'!$C$41)*('Inputs-Proposals'!$E$29*'Inputs-Proposals'!$E$31*(1-'Inputs-Proposals'!$E$32))*(VLOOKUP(P$3,Energy!$A$51:$K$83,5,FALSE)-VLOOKUP(P$3,Energy!$A$51:$K$83,6,FALSE))), $C17= "0", 0), 0)</f>
        <v>0</v>
      </c>
      <c r="Q17" s="100">
        <f>IFERROR(_xlfn.IFS($C17="1", 'Inputs-System'!$C$30*'Coincidence Factors'!$B$5*(1+'Inputs-System'!$C$18)*(1+'Inputs-System'!$C$41)*'Inputs-Proposals'!$E$17*'Inputs-Proposals'!$E$19*(1-'Inputs-Proposals'!$E$20)*(VLOOKUP(P$3,'Embedded Emissions'!$A$47:$B$78,2,FALSE)+VLOOKUP(P$3,'Embedded Emissions'!$A$129:$B$158,2,FALSE)), $C17 = "2",'Inputs-System'!$C$30*'Coincidence Factors'!$B$5*(1+'Inputs-System'!$C$18)*(1+'Inputs-System'!$C$41)*'Inputs-Proposals'!$E$23*'Inputs-Proposals'!$E$25*(1-'Inputs-Proposals'!$E$20)*(VLOOKUP(P$3,'Embedded Emissions'!$A$47:$B$78,2,FALSE)+VLOOKUP(P$3,'Embedded Emissions'!$A$129:$B$158,2,FALSE)), $C17 = "3", 'Inputs-System'!$C$30*'Coincidence Factors'!$B$5*(1+'Inputs-System'!$C$18)*(1+'Inputs-System'!$C$41)*'Inputs-Proposals'!$E$29*'Inputs-Proposals'!$E$31*(1-'Inputs-Proposals'!$E$20)*(VLOOKUP(P$3,'Embedded Emissions'!$A$47:$B$78,2,FALSE)+VLOOKUP(P$3,'Embedded Emissions'!$A$129:$B$158,2,FALSE)), $C17 = "0", 0), 0)</f>
        <v>0</v>
      </c>
      <c r="R17" s="100">
        <f>IFERROR(_xlfn.IFS($C17="1",( 'Inputs-System'!$C$30*'Coincidence Factors'!$B$5*(1+'Inputs-System'!$C$18)*(1+'Inputs-System'!$C$41))*('Inputs-Proposals'!$E$17*'Inputs-Proposals'!$E$19*(1-'Inputs-Proposals'!$E$20))*(VLOOKUP(P$3,DRIPE!$A$54:$I$82,5,FALSE)-VLOOKUP(P$3,DRIPE!$A$54:$I$82,6,FALSE)+VLOOKUP(P$3,DRIPE!$A$54:$I$82,9,FALSE))+ ('Inputs-System'!$C$26*'Coincidence Factors'!$B$5*(1+'Inputs-System'!$C$18)*(1+'Inputs-System'!$C$41))*'Inputs-Proposals'!$E$16*VLOOKUP(P$3,DRIPE!$A$54:$I$80,8,FALSE), $C17 = "2",( 'Inputs-System'!$C$30*'Coincidence Factors'!$B$5*(1+'Inputs-System'!$C$18)*(1+'Inputs-System'!$C$41))*('Inputs-Proposals'!$E$23*'Inputs-Proposals'!$E$25*(1-'Inputs-Proposals'!$E$26))*(VLOOKUP(P$3,DRIPE!$A$54:$I$82,5,FALSE)-VLOOKUP(P$3,DRIPE!$A$54:$I$82,6,FALSE)+VLOOKUP(P$3,DRIPE!$A$54:$I$82,9,FALSE))+ ('Inputs-System'!$C$26*'Coincidence Factors'!$B$5*(1+'Inputs-System'!$C$18)*(1+'Inputs-System'!$C$41))+ ('Inputs-System'!$C$26*'Coincidence Factors'!$B$5)*'Inputs-Proposals'!$E$22*VLOOKUP(P$3,DRIPE!$A$54:$I$80,8,FALSE), $C17= "3", ('Inputs-System'!$C$30*'Coincidence Factors'!$B$5)*('Inputs-Proposals'!$E$29*'Inputs-Proposals'!$E$31*(1-'Inputs-Proposals'!$E$32))*(VLOOKUP(P$3,DRIPE!$A$54:$I$80,5,FALSE)-VLOOKUP(P$3,DRIPE!$A$54:$I$80,6,FALSE)+VLOOKUP(P$3,DRIPE!$A$54:$I$80,9,FALSE))+ ('Inputs-System'!$C$26*'Coincidence Factors'!$B$5*(1+'Inputs-System'!$C$18)*(1+'Inputs-System'!$C$41))*'Inputs-Proposals'!$E$28*VLOOKUP(P$3,DRIPE!$A$54:$I$80,8,FALSE), $C17 = "0", 0), 0)</f>
        <v>0</v>
      </c>
      <c r="S17" s="345">
        <f>IFERROR(_xlfn.IFS($C17="1",('Inputs-System'!$C$26*'Coincidence Factors'!$B$5*(1+'Inputs-System'!$C$18)*(1+'Inputs-System'!$C$42))*'Inputs-Proposals'!$E$16*(VLOOKUP(P$3,Capacity!$A$53:$E$85,4,FALSE)*(1+'Inputs-System'!$C$42)+VLOOKUP(P$3,Capacity!$A$53:$E$85,5,FALSE)*(1+'Inputs-System'!$C$43)*'Inputs-System'!$C$29), $C17 = "2", ('Inputs-System'!$C$26*'Coincidence Factors'!$B$5*(1+'Inputs-System'!$C$18))*'Inputs-Proposals'!$E$22*(VLOOKUP(P$3,Capacity!$A$53:$E$85,4,FALSE)*(1+'Inputs-System'!$C$42)+VLOOKUP(P$3,Capacity!$A$53:$E$85,5,FALSE)*'Inputs-System'!$C$29*(1+'Inputs-System'!$C$43)), $C17 = "3", ('Inputs-System'!$C$26*'Coincidence Factors'!$B$5*(1+'Inputs-System'!$C$18))*'Inputs-Proposals'!$E$28*(VLOOKUP(P$3,Capacity!$A$53:$E$85,4,FALSE)*(1+'Inputs-System'!$C$42)+VLOOKUP(P$3,Capacity!$A$53:$E$85,5,FALSE)*'Inputs-System'!$C$29*(1+'Inputs-System'!$C$43)), $C17 = "0", 0), 0)</f>
        <v>0</v>
      </c>
      <c r="T17" s="100">
        <v>0</v>
      </c>
      <c r="U17" s="346">
        <f>IFERROR(_xlfn.IFS($C17="1", 'Inputs-System'!$C$30*'Coincidence Factors'!$B$5*'Inputs-Proposals'!$E$17*'Inputs-Proposals'!$E$19*(VLOOKUP(P$3,'Non-Embedded Emissions'!$A$56:$D$90,2,FALSE)+VLOOKUP(P$3,'Non-Embedded Emissions'!$A$143:$D$174,2,FALSE)+VLOOKUP(P$3,'Non-Embedded Emissions'!$A$230:$D$259,2,FALSE)-VLOOKUP(P$3,'Non-Embedded Emissions'!$A$56:$D$90,3,FALSE)-VLOOKUP(P$3,'Non-Embedded Emissions'!$A$143:$D$174,3,FALSE)-VLOOKUP(P$3,'Non-Embedded Emissions'!$A$230:$D$259,3,FALSE)), $C17 = "2", 'Inputs-System'!$C$30*'Coincidence Factors'!$B$5*'Inputs-Proposals'!$E$23*'Inputs-Proposals'!$E$25*(VLOOKUP(P$3,'Non-Embedded Emissions'!$A$56:$D$90,2,FALSE)+VLOOKUP(P$3,'Non-Embedded Emissions'!$A$143:$D$174,2,FALSE)+VLOOKUP(P$3,'Non-Embedded Emissions'!$A$230:$D$259,2,FALSE)-VLOOKUP(P$3,'Non-Embedded Emissions'!$A$56:$D$90,3,FALSE)-VLOOKUP(P$3,'Non-Embedded Emissions'!$A$143:$D$174,3,FALSE)-VLOOKUP(P$3,'Non-Embedded Emissions'!$A$230:$D$259,3,FALSE)), $C17 = "3", 'Inputs-System'!$C$30*'Coincidence Factors'!$B$5*'Inputs-Proposals'!$E$29*'Inputs-Proposals'!$E$31*(VLOOKUP(P$3,'Non-Embedded Emissions'!$A$56:$D$90,2,FALSE)+VLOOKUP(P$3,'Non-Embedded Emissions'!$A$143:$D$174,2,FALSE)+VLOOKUP(P$3,'Non-Embedded Emissions'!$A$230:$D$259,2,FALSE)-VLOOKUP(P$3,'Non-Embedded Emissions'!$A$56:$D$90,3,FALSE)-VLOOKUP(P$3,'Non-Embedded Emissions'!$A$143:$D$174,3,FALSE)-VLOOKUP(P$3,'Non-Embedded Emissions'!$A$230:$D$259,3,FALSE)), $C17 = "0", 0), 0)</f>
        <v>0</v>
      </c>
      <c r="V17" s="345">
        <f>IFERROR(_xlfn.IFS($C17="1",('Inputs-System'!$C$30*'Coincidence Factors'!$B$5*(1+'Inputs-System'!$C$18)*(1+'Inputs-System'!$C$41)*('Inputs-Proposals'!$E$17*'Inputs-Proposals'!$E$19*(1-'Inputs-Proposals'!$E$20))*(VLOOKUP(V$3,Energy!$A$51:$K$83,5,FALSE)-VLOOKUP(V$3,Energy!$A$51:$K$83,6,FALSE))), $C17 = "2",('Inputs-System'!$C$30*'Coincidence Factors'!$B$5)*(1+'Inputs-System'!$C$18)*(1+'Inputs-System'!$C$41)*('Inputs-Proposals'!$E$23*'Inputs-Proposals'!$E$25*(1-'Inputs-Proposals'!$E$26))*(VLOOKUP(V$3,Energy!$A$51:$K$83,5,FALSE)-VLOOKUP(V$3,Energy!$A$51:$K$83,6,FALSE)), $C17= "3", ('Inputs-System'!$C$30*'Coincidence Factors'!$B$5*(1+'Inputs-System'!$C$18)*(1+'Inputs-System'!$C$41)*('Inputs-Proposals'!$E$29*'Inputs-Proposals'!$E$31*(1-'Inputs-Proposals'!$E$32))*(VLOOKUP(V$3,Energy!$A$51:$K$83,5,FALSE)-VLOOKUP(V$3,Energy!$A$51:$K$83,6,FALSE))), $C17= "0", 0), 0)</f>
        <v>0</v>
      </c>
      <c r="W17" s="100">
        <f>IFERROR(_xlfn.IFS($C17="1", 'Inputs-System'!$C$30*'Coincidence Factors'!$B$5*(1+'Inputs-System'!$C$18)*(1+'Inputs-System'!$C$41)*'Inputs-Proposals'!$E$17*'Inputs-Proposals'!$E$19*(1-'Inputs-Proposals'!$E$20)*(VLOOKUP(V$3,'Embedded Emissions'!$A$47:$B$78,2,FALSE)+VLOOKUP(V$3,'Embedded Emissions'!$A$129:$B$158,2,FALSE)), $C17 = "2",'Inputs-System'!$C$30*'Coincidence Factors'!$B$5*(1+'Inputs-System'!$C$18)*(1+'Inputs-System'!$C$41)*'Inputs-Proposals'!$E$23*'Inputs-Proposals'!$E$25*(1-'Inputs-Proposals'!$E$20)*(VLOOKUP(V$3,'Embedded Emissions'!$A$47:$B$78,2,FALSE)+VLOOKUP(V$3,'Embedded Emissions'!$A$129:$B$158,2,FALSE)), $C17 = "3", 'Inputs-System'!$C$30*'Coincidence Factors'!$B$5*(1+'Inputs-System'!$C$18)*(1+'Inputs-System'!$C$41)*'Inputs-Proposals'!$E$29*'Inputs-Proposals'!$E$31*(1-'Inputs-Proposals'!$E$20)*(VLOOKUP(V$3,'Embedded Emissions'!$A$47:$B$78,2,FALSE)+VLOOKUP(V$3,'Embedded Emissions'!$A$129:$B$158,2,FALSE)), $C17 = "0", 0), 0)</f>
        <v>0</v>
      </c>
      <c r="X17" s="100">
        <f>IFERROR(_xlfn.IFS($C17="1",( 'Inputs-System'!$C$30*'Coincidence Factors'!$B$5*(1+'Inputs-System'!$C$18)*(1+'Inputs-System'!$C$41))*('Inputs-Proposals'!$E$17*'Inputs-Proposals'!$E$19*(1-'Inputs-Proposals'!$E$20))*(VLOOKUP(V$3,DRIPE!$A$54:$I$82,5,FALSE)-VLOOKUP(V$3,DRIPE!$A$54:$I$82,6,FALSE)+VLOOKUP(V$3,DRIPE!$A$54:$I$82,9,FALSE))+ ('Inputs-System'!$C$26*'Coincidence Factors'!$B$5*(1+'Inputs-System'!$C$18)*(1+'Inputs-System'!$C$41))*'Inputs-Proposals'!$E$16*VLOOKUP(V$3,DRIPE!$A$54:$I$80,8,FALSE), $C17 = "2",( 'Inputs-System'!$C$30*'Coincidence Factors'!$B$5*(1+'Inputs-System'!$C$18)*(1+'Inputs-System'!$C$41))*('Inputs-Proposals'!$E$23*'Inputs-Proposals'!$E$25*(1-'Inputs-Proposals'!$E$26))*(VLOOKUP(V$3,DRIPE!$A$54:$I$82,5,FALSE)-VLOOKUP(V$3,DRIPE!$A$54:$I$82,6,FALSE)+VLOOKUP(V$3,DRIPE!$A$54:$I$82,9,FALSE))+ ('Inputs-System'!$C$26*'Coincidence Factors'!$B$5*(1+'Inputs-System'!$C$18)*(1+'Inputs-System'!$C$41))+ ('Inputs-System'!$C$26*'Coincidence Factors'!$B$5)*'Inputs-Proposals'!$E$22*VLOOKUP(V$3,DRIPE!$A$54:$I$80,8,FALSE), $C17= "3", ('Inputs-System'!$C$30*'Coincidence Factors'!$B$5)*('Inputs-Proposals'!$E$29*'Inputs-Proposals'!$E$31*(1-'Inputs-Proposals'!$E$32))*(VLOOKUP(V$3,DRIPE!$A$54:$I$80,5,FALSE)-VLOOKUP(V$3,DRIPE!$A$54:$I$80,6,FALSE)+VLOOKUP(V$3,DRIPE!$A$54:$I$80,9,FALSE))+ ('Inputs-System'!$C$26*'Coincidence Factors'!$B$5*(1+'Inputs-System'!$C$18)*(1+'Inputs-System'!$C$41))*'Inputs-Proposals'!$E$28*VLOOKUP(V$3,DRIPE!$A$54:$I$80,8,FALSE), $C17 = "0", 0), 0)</f>
        <v>0</v>
      </c>
      <c r="Y17" s="345">
        <f>IFERROR(_xlfn.IFS($C17="1",('Inputs-System'!$C$26*'Coincidence Factors'!$B$5*(1+'Inputs-System'!$C$18)*(1+'Inputs-System'!$C$42))*'Inputs-Proposals'!$E$16*(VLOOKUP(V$3,Capacity!$A$53:$E$85,4,FALSE)*(1+'Inputs-System'!$C$42)+VLOOKUP(V$3,Capacity!$A$53:$E$85,5,FALSE)*(1+'Inputs-System'!$C$43)*'Inputs-System'!$C$29), $C17 = "2", ('Inputs-System'!$C$26*'Coincidence Factors'!$B$5*(1+'Inputs-System'!$C$18))*'Inputs-Proposals'!$E$22*(VLOOKUP(V$3,Capacity!$A$53:$E$85,4,FALSE)*(1+'Inputs-System'!$C$42)+VLOOKUP(V$3,Capacity!$A$53:$E$85,5,FALSE)*'Inputs-System'!$C$29*(1+'Inputs-System'!$C$43)), $C17 = "3", ('Inputs-System'!$C$26*'Coincidence Factors'!$B$5*(1+'Inputs-System'!$C$18))*'Inputs-Proposals'!$E$28*(VLOOKUP(V$3,Capacity!$A$53:$E$85,4,FALSE)*(1+'Inputs-System'!$C$42)+VLOOKUP(V$3,Capacity!$A$53:$E$85,5,FALSE)*'Inputs-System'!$C$29*(1+'Inputs-System'!$C$43)), $C17 = "0", 0), 0)</f>
        <v>0</v>
      </c>
      <c r="Z17" s="100">
        <v>0</v>
      </c>
      <c r="AA17" s="346">
        <f>IFERROR(_xlfn.IFS($C17="1", 'Inputs-System'!$C$30*'Coincidence Factors'!$B$5*'Inputs-Proposals'!$E$17*'Inputs-Proposals'!$E$19*(VLOOKUP(V$3,'Non-Embedded Emissions'!$A$56:$D$90,2,FALSE)+VLOOKUP(V$3,'Non-Embedded Emissions'!$A$143:$D$174,2,FALSE)+VLOOKUP(V$3,'Non-Embedded Emissions'!$A$230:$D$259,2,FALSE)-VLOOKUP(V$3,'Non-Embedded Emissions'!$A$56:$D$90,3,FALSE)-VLOOKUP(V$3,'Non-Embedded Emissions'!$A$143:$D$174,3,FALSE)-VLOOKUP(V$3,'Non-Embedded Emissions'!$A$230:$D$259,3,FALSE)), $C17 = "2", 'Inputs-System'!$C$30*'Coincidence Factors'!$B$5*'Inputs-Proposals'!$E$23*'Inputs-Proposals'!$E$25*(VLOOKUP(V$3,'Non-Embedded Emissions'!$A$56:$D$90,2,FALSE)+VLOOKUP(V$3,'Non-Embedded Emissions'!$A$143:$D$174,2,FALSE)+VLOOKUP(V$3,'Non-Embedded Emissions'!$A$230:$D$259,2,FALSE)-VLOOKUP(V$3,'Non-Embedded Emissions'!$A$56:$D$90,3,FALSE)-VLOOKUP(V$3,'Non-Embedded Emissions'!$A$143:$D$174,3,FALSE)-VLOOKUP(V$3,'Non-Embedded Emissions'!$A$230:$D$259,3,FALSE)), $C17 = "3", 'Inputs-System'!$C$30*'Coincidence Factors'!$B$5*'Inputs-Proposals'!$E$29*'Inputs-Proposals'!$E$31*(VLOOKUP(V$3,'Non-Embedded Emissions'!$A$56:$D$90,2,FALSE)+VLOOKUP(V$3,'Non-Embedded Emissions'!$A$143:$D$174,2,FALSE)+VLOOKUP(V$3,'Non-Embedded Emissions'!$A$230:$D$259,2,FALSE)-VLOOKUP(V$3,'Non-Embedded Emissions'!$A$56:$D$90,3,FALSE)-VLOOKUP(V$3,'Non-Embedded Emissions'!$A$143:$D$174,3,FALSE)-VLOOKUP(V$3,'Non-Embedded Emissions'!$A$230:$D$259,3,FALSE)), $C17 = "0", 0), 0)</f>
        <v>0</v>
      </c>
      <c r="AB17" s="345">
        <f>IFERROR(_xlfn.IFS($C17="1",('Inputs-System'!$C$30*'Coincidence Factors'!$B$5*(1+'Inputs-System'!$C$18)*(1+'Inputs-System'!$C$41)*('Inputs-Proposals'!$E$17*'Inputs-Proposals'!$E$19*(1-'Inputs-Proposals'!$E$20))*(VLOOKUP(AB$3,Energy!$A$51:$K$83,5,FALSE)-VLOOKUP(AB$3,Energy!$A$51:$K$83,6,FALSE))), $C17 = "2",('Inputs-System'!$C$30*'Coincidence Factors'!$B$5)*(1+'Inputs-System'!$C$18)*(1+'Inputs-System'!$C$41)*('Inputs-Proposals'!$E$23*'Inputs-Proposals'!$E$25*(1-'Inputs-Proposals'!$E$26))*(VLOOKUP(AB$3,Energy!$A$51:$K$83,5,FALSE)-VLOOKUP(AB$3,Energy!$A$51:$K$83,6,FALSE)), $C17= "3", ('Inputs-System'!$C$30*'Coincidence Factors'!$B$5*(1+'Inputs-System'!$C$18)*(1+'Inputs-System'!$C$41)*('Inputs-Proposals'!$E$29*'Inputs-Proposals'!$E$31*(1-'Inputs-Proposals'!$E$32))*(VLOOKUP(AB$3,Energy!$A$51:$K$83,5,FALSE)-VLOOKUP(AB$3,Energy!$A$51:$K$83,6,FALSE))), $C17= "0", 0), 0)</f>
        <v>0</v>
      </c>
      <c r="AC17" s="100">
        <f>IFERROR(_xlfn.IFS($C17="1", 'Inputs-System'!$C$30*'Coincidence Factors'!$B$5*(1+'Inputs-System'!$C$18)*(1+'Inputs-System'!$C$41)*'Inputs-Proposals'!$E$17*'Inputs-Proposals'!$E$19*(1-'Inputs-Proposals'!$E$20)*(VLOOKUP(AB$3,'Embedded Emissions'!$A$47:$B$78,2,FALSE)+VLOOKUP(AB$3,'Embedded Emissions'!$A$129:$B$158,2,FALSE)), $C17 = "2",'Inputs-System'!$C$30*'Coincidence Factors'!$B$5*(1+'Inputs-System'!$C$18)*(1+'Inputs-System'!$C$41)*'Inputs-Proposals'!$E$23*'Inputs-Proposals'!$E$25*(1-'Inputs-Proposals'!$E$20)*(VLOOKUP(AB$3,'Embedded Emissions'!$A$47:$B$78,2,FALSE)+VLOOKUP(AB$3,'Embedded Emissions'!$A$129:$B$158,2,FALSE)), $C17 = "3", 'Inputs-System'!$C$30*'Coincidence Factors'!$B$5*(1+'Inputs-System'!$C$18)*(1+'Inputs-System'!$C$41)*'Inputs-Proposals'!$E$29*'Inputs-Proposals'!$E$31*(1-'Inputs-Proposals'!$E$20)*(VLOOKUP(AB$3,'Embedded Emissions'!$A$47:$B$78,2,FALSE)+VLOOKUP(AB$3,'Embedded Emissions'!$A$129:$B$158,2,FALSE)), $C17 = "0", 0), 0)</f>
        <v>0</v>
      </c>
      <c r="AD17" s="100">
        <f>IFERROR(_xlfn.IFS($C17="1",( 'Inputs-System'!$C$30*'Coincidence Factors'!$B$5*(1+'Inputs-System'!$C$18)*(1+'Inputs-System'!$C$41))*('Inputs-Proposals'!$E$17*'Inputs-Proposals'!$E$19*(1-'Inputs-Proposals'!$E$20))*(VLOOKUP(AB$3,DRIPE!$A$54:$I$82,5,FALSE)-VLOOKUP(AB$3,DRIPE!$A$54:$I$82,6,FALSE)+VLOOKUP(AB$3,DRIPE!$A$54:$I$82,9,FALSE))+ ('Inputs-System'!$C$26*'Coincidence Factors'!$B$5*(1+'Inputs-System'!$C$18)*(1+'Inputs-System'!$C$41))*'Inputs-Proposals'!$E$16*VLOOKUP(AB$3,DRIPE!$A$54:$I$80,8,FALSE), $C17 = "2",( 'Inputs-System'!$C$30*'Coincidence Factors'!$B$5*(1+'Inputs-System'!$C$18)*(1+'Inputs-System'!$C$41))*('Inputs-Proposals'!$E$23*'Inputs-Proposals'!$E$25*(1-'Inputs-Proposals'!$E$26))*(VLOOKUP(AB$3,DRIPE!$A$54:$I$82,5,FALSE)-VLOOKUP(AB$3,DRIPE!$A$54:$I$82,6,FALSE)+VLOOKUP(AB$3,DRIPE!$A$54:$I$82,9,FALSE))+ ('Inputs-System'!$C$26*'Coincidence Factors'!$B$5*(1+'Inputs-System'!$C$18)*(1+'Inputs-System'!$C$41))+ ('Inputs-System'!$C$26*'Coincidence Factors'!$B$5)*'Inputs-Proposals'!$E$22*VLOOKUP(AB$3,DRIPE!$A$54:$I$80,8,FALSE), $C17= "3", ('Inputs-System'!$C$30*'Coincidence Factors'!$B$5)*('Inputs-Proposals'!$E$29*'Inputs-Proposals'!$E$31*(1-'Inputs-Proposals'!$E$32))*(VLOOKUP(AB$3,DRIPE!$A$54:$I$80,5,FALSE)-VLOOKUP(AB$3,DRIPE!$A$54:$I$80,6,FALSE)+VLOOKUP(AB$3,DRIPE!$A$54:$I$80,9,FALSE))+ ('Inputs-System'!$C$26*'Coincidence Factors'!$B$5*(1+'Inputs-System'!$C$18)*(1+'Inputs-System'!$C$41))*'Inputs-Proposals'!$E$28*VLOOKUP(AB$3,DRIPE!$A$54:$I$80,8,FALSE), $C17 = "0", 0), 0)</f>
        <v>0</v>
      </c>
      <c r="AE17" s="345">
        <f>IFERROR(_xlfn.IFS($C17="1",('Inputs-System'!$C$26*'Coincidence Factors'!$B$5*(1+'Inputs-System'!$C$18)*(1+'Inputs-System'!$C$42))*'Inputs-Proposals'!$E$16*(VLOOKUP(AB$3,Capacity!$A$53:$E$85,4,FALSE)*(1+'Inputs-System'!$C$42)+VLOOKUP(AB$3,Capacity!$A$53:$E$85,5,FALSE)*(1+'Inputs-System'!$C$43)*'Inputs-System'!$C$29), $C17 = "2", ('Inputs-System'!$C$26*'Coincidence Factors'!$B$5*(1+'Inputs-System'!$C$18))*'Inputs-Proposals'!$E$22*(VLOOKUP(AB$3,Capacity!$A$53:$E$85,4,FALSE)*(1+'Inputs-System'!$C$42)+VLOOKUP(AB$3,Capacity!$A$53:$E$85,5,FALSE)*'Inputs-System'!$C$29*(1+'Inputs-System'!$C$43)), $C17 = "3", ('Inputs-System'!$C$26*'Coincidence Factors'!$B$5*(1+'Inputs-System'!$C$18))*'Inputs-Proposals'!$E$28*(VLOOKUP(AB$3,Capacity!$A$53:$E$85,4,FALSE)*(1+'Inputs-System'!$C$42)+VLOOKUP(AB$3,Capacity!$A$53:$E$85,5,FALSE)*'Inputs-System'!$C$29*(1+'Inputs-System'!$C$43)), $C17 = "0", 0), 0)</f>
        <v>0</v>
      </c>
      <c r="AF17" s="100">
        <v>0</v>
      </c>
      <c r="AG17" s="346">
        <f>IFERROR(_xlfn.IFS($C17="1", 'Inputs-System'!$C$30*'Coincidence Factors'!$B$5*'Inputs-Proposals'!$E$17*'Inputs-Proposals'!$E$19*(VLOOKUP(AB$3,'Non-Embedded Emissions'!$A$56:$D$90,2,FALSE)+VLOOKUP(AB$3,'Non-Embedded Emissions'!$A$143:$D$174,2,FALSE)+VLOOKUP(AB$3,'Non-Embedded Emissions'!$A$230:$D$259,2,FALSE)-VLOOKUP(AB$3,'Non-Embedded Emissions'!$A$56:$D$90,3,FALSE)-VLOOKUP(AB$3,'Non-Embedded Emissions'!$A$143:$D$174,3,FALSE)-VLOOKUP(AB$3,'Non-Embedded Emissions'!$A$230:$D$259,3,FALSE)), $C17 = "2", 'Inputs-System'!$C$30*'Coincidence Factors'!$B$5*'Inputs-Proposals'!$E$23*'Inputs-Proposals'!$E$25*(VLOOKUP(AB$3,'Non-Embedded Emissions'!$A$56:$D$90,2,FALSE)+VLOOKUP(AB$3,'Non-Embedded Emissions'!$A$143:$D$174,2,FALSE)+VLOOKUP(AB$3,'Non-Embedded Emissions'!$A$230:$D$259,2,FALSE)-VLOOKUP(AB$3,'Non-Embedded Emissions'!$A$56:$D$90,3,FALSE)-VLOOKUP(AB$3,'Non-Embedded Emissions'!$A$143:$D$174,3,FALSE)-VLOOKUP(AB$3,'Non-Embedded Emissions'!$A$230:$D$259,3,FALSE)), $C17 = "3", 'Inputs-System'!$C$30*'Coincidence Factors'!$B$5*'Inputs-Proposals'!$E$29*'Inputs-Proposals'!$E$31*(VLOOKUP(AB$3,'Non-Embedded Emissions'!$A$56:$D$90,2,FALSE)+VLOOKUP(AB$3,'Non-Embedded Emissions'!$A$143:$D$174,2,FALSE)+VLOOKUP(AB$3,'Non-Embedded Emissions'!$A$230:$D$259,2,FALSE)-VLOOKUP(AB$3,'Non-Embedded Emissions'!$A$56:$D$90,3,FALSE)-VLOOKUP(AB$3,'Non-Embedded Emissions'!$A$143:$D$174,3,FALSE)-VLOOKUP(AB$3,'Non-Embedded Emissions'!$A$230:$D$259,3,FALSE)), $C17 = "0", 0), 0)</f>
        <v>0</v>
      </c>
      <c r="AH17" s="345">
        <f>IFERROR(_xlfn.IFS($C17="1",('Inputs-System'!$C$30*'Coincidence Factors'!$B$5*(1+'Inputs-System'!$C$18)*(1+'Inputs-System'!$C$41)*('Inputs-Proposals'!$E$17*'Inputs-Proposals'!$E$19*(1-'Inputs-Proposals'!$E$20))*(VLOOKUP(AH$3,Energy!$A$51:$K$83,5,FALSE)-VLOOKUP(AH$3,Energy!$A$51:$K$83,6,FALSE))), $C17 = "2",('Inputs-System'!$C$30*'Coincidence Factors'!$B$5)*(1+'Inputs-System'!$C$18)*(1+'Inputs-System'!$C$41)*('Inputs-Proposals'!$E$23*'Inputs-Proposals'!$E$25*(1-'Inputs-Proposals'!$E$26))*(VLOOKUP(AH$3,Energy!$A$51:$K$83,5,FALSE)-VLOOKUP(AH$3,Energy!$A$51:$K$83,6,FALSE)), $C17= "3", ('Inputs-System'!$C$30*'Coincidence Factors'!$B$5*(1+'Inputs-System'!$C$18)*(1+'Inputs-System'!$C$41)*('Inputs-Proposals'!$E$29*'Inputs-Proposals'!$E$31*(1-'Inputs-Proposals'!$E$32))*(VLOOKUP(AH$3,Energy!$A$51:$K$83,5,FALSE)-VLOOKUP(AH$3,Energy!$A$51:$K$83,6,FALSE))), $C17= "0", 0), 0)</f>
        <v>0</v>
      </c>
      <c r="AI17" s="100">
        <f>IFERROR(_xlfn.IFS($C17="1", 'Inputs-System'!$C$30*'Coincidence Factors'!$B$5*(1+'Inputs-System'!$C$18)*(1+'Inputs-System'!$C$41)*'Inputs-Proposals'!$E$17*'Inputs-Proposals'!$E$19*(1-'Inputs-Proposals'!$E$20)*(VLOOKUP(AH$3,'Embedded Emissions'!$A$47:$B$78,2,FALSE)+VLOOKUP(AH$3,'Embedded Emissions'!$A$129:$B$158,2,FALSE)), $C17 = "2",'Inputs-System'!$C$30*'Coincidence Factors'!$B$5*(1+'Inputs-System'!$C$18)*(1+'Inputs-System'!$C$41)*'Inputs-Proposals'!$E$23*'Inputs-Proposals'!$E$25*(1-'Inputs-Proposals'!$E$20)*(VLOOKUP(AH$3,'Embedded Emissions'!$A$47:$B$78,2,FALSE)+VLOOKUP(AH$3,'Embedded Emissions'!$A$129:$B$158,2,FALSE)), $C17 = "3", 'Inputs-System'!$C$30*'Coincidence Factors'!$B$5*(1+'Inputs-System'!$C$18)*(1+'Inputs-System'!$C$41)*'Inputs-Proposals'!$E$29*'Inputs-Proposals'!$E$31*(1-'Inputs-Proposals'!$E$20)*(VLOOKUP(AH$3,'Embedded Emissions'!$A$47:$B$78,2,FALSE)+VLOOKUP(AH$3,'Embedded Emissions'!$A$129:$B$158,2,FALSE)), $C17 = "0", 0), 0)</f>
        <v>0</v>
      </c>
      <c r="AJ17" s="100">
        <f>IFERROR(_xlfn.IFS($C17="1",( 'Inputs-System'!$C$30*'Coincidence Factors'!$B$5*(1+'Inputs-System'!$C$18)*(1+'Inputs-System'!$C$41))*('Inputs-Proposals'!$E$17*'Inputs-Proposals'!$E$19*(1-'Inputs-Proposals'!$E$20))*(VLOOKUP(AH$3,DRIPE!$A$54:$I$82,5,FALSE)-VLOOKUP(AH$3,DRIPE!$A$54:$I$82,6,FALSE)+VLOOKUP(AH$3,DRIPE!$A$54:$I$82,9,FALSE))+ ('Inputs-System'!$C$26*'Coincidence Factors'!$B$5*(1+'Inputs-System'!$C$18)*(1+'Inputs-System'!$C$41))*'Inputs-Proposals'!$E$16*VLOOKUP(AH$3,DRIPE!$A$54:$I$80,8,FALSE), $C17 = "2",( 'Inputs-System'!$C$30*'Coincidence Factors'!$B$5*(1+'Inputs-System'!$C$18)*(1+'Inputs-System'!$C$41))*('Inputs-Proposals'!$E$23*'Inputs-Proposals'!$E$25*(1-'Inputs-Proposals'!$E$26))*(VLOOKUP(AH$3,DRIPE!$A$54:$I$82,5,FALSE)-VLOOKUP(AH$3,DRIPE!$A$54:$I$82,6,FALSE)+VLOOKUP(AH$3,DRIPE!$A$54:$I$82,9,FALSE))+ ('Inputs-System'!$C$26*'Coincidence Factors'!$B$5*(1+'Inputs-System'!$C$18)*(1+'Inputs-System'!$C$41))+ ('Inputs-System'!$C$26*'Coincidence Factors'!$B$5)*'Inputs-Proposals'!$E$22*VLOOKUP(AH$3,DRIPE!$A$54:$I$80,8,FALSE), $C17= "3", ('Inputs-System'!$C$30*'Coincidence Factors'!$B$5)*('Inputs-Proposals'!$E$29*'Inputs-Proposals'!$E$31*(1-'Inputs-Proposals'!$E$32))*(VLOOKUP(AH$3,DRIPE!$A$54:$I$80,5,FALSE)-VLOOKUP(AH$3,DRIPE!$A$54:$I$80,6,FALSE)+VLOOKUP(AH$3,DRIPE!$A$54:$I$80,9,FALSE))+ ('Inputs-System'!$C$26*'Coincidence Factors'!$B$5*(1+'Inputs-System'!$C$18)*(1+'Inputs-System'!$C$41))*'Inputs-Proposals'!$E$28*VLOOKUP(AH$3,DRIPE!$A$54:$I$80,8,FALSE), $C17 = "0", 0), 0)</f>
        <v>0</v>
      </c>
      <c r="AK17" s="345">
        <f>IFERROR(_xlfn.IFS($C17="1",('Inputs-System'!$C$26*'Coincidence Factors'!$B$5*(1+'Inputs-System'!$C$18)*(1+'Inputs-System'!$C$42))*'Inputs-Proposals'!$E$16*(VLOOKUP(AH$3,Capacity!$A$53:$E$85,4,FALSE)*(1+'Inputs-System'!$C$42)+VLOOKUP(AH$3,Capacity!$A$53:$E$85,5,FALSE)*(1+'Inputs-System'!$C$43)*'Inputs-System'!$C$29), $C17 = "2", ('Inputs-System'!$C$26*'Coincidence Factors'!$B$5*(1+'Inputs-System'!$C$18))*'Inputs-Proposals'!$E$22*(VLOOKUP(AH$3,Capacity!$A$53:$E$85,4,FALSE)*(1+'Inputs-System'!$C$42)+VLOOKUP(AH$3,Capacity!$A$53:$E$85,5,FALSE)*'Inputs-System'!$C$29*(1+'Inputs-System'!$C$43)), $C17 = "3", ('Inputs-System'!$C$26*'Coincidence Factors'!$B$5*(1+'Inputs-System'!$C$18))*'Inputs-Proposals'!$E$28*(VLOOKUP(AH$3,Capacity!$A$53:$E$85,4,FALSE)*(1+'Inputs-System'!$C$42)+VLOOKUP(AH$3,Capacity!$A$53:$E$85,5,FALSE)*'Inputs-System'!$C$29*(1+'Inputs-System'!$C$43)), $C17 = "0", 0), 0)</f>
        <v>0</v>
      </c>
      <c r="AL17" s="100">
        <v>0</v>
      </c>
      <c r="AM17" s="346">
        <f>IFERROR(_xlfn.IFS($C17="1", 'Inputs-System'!$C$30*'Coincidence Factors'!$B$5*'Inputs-Proposals'!$E$17*'Inputs-Proposals'!$E$19*(VLOOKUP(AH$3,'Non-Embedded Emissions'!$A$56:$D$90,2,FALSE)+VLOOKUP(AH$3,'Non-Embedded Emissions'!$A$143:$D$174,2,FALSE)+VLOOKUP(AH$3,'Non-Embedded Emissions'!$A$230:$D$259,2,FALSE)-VLOOKUP(AH$3,'Non-Embedded Emissions'!$A$56:$D$90,3,FALSE)-VLOOKUP(AH$3,'Non-Embedded Emissions'!$A$143:$D$174,3,FALSE)-VLOOKUP(AH$3,'Non-Embedded Emissions'!$A$230:$D$259,3,FALSE)), $C17 = "2", 'Inputs-System'!$C$30*'Coincidence Factors'!$B$5*'Inputs-Proposals'!$E$23*'Inputs-Proposals'!$E$25*(VLOOKUP(AH$3,'Non-Embedded Emissions'!$A$56:$D$90,2,FALSE)+VLOOKUP(AH$3,'Non-Embedded Emissions'!$A$143:$D$174,2,FALSE)+VLOOKUP(AH$3,'Non-Embedded Emissions'!$A$230:$D$259,2,FALSE)-VLOOKUP(AH$3,'Non-Embedded Emissions'!$A$56:$D$90,3,FALSE)-VLOOKUP(AH$3,'Non-Embedded Emissions'!$A$143:$D$174,3,FALSE)-VLOOKUP(AH$3,'Non-Embedded Emissions'!$A$230:$D$259,3,FALSE)), $C17 = "3", 'Inputs-System'!$C$30*'Coincidence Factors'!$B$5*'Inputs-Proposals'!$E$29*'Inputs-Proposals'!$E$31*(VLOOKUP(AH$3,'Non-Embedded Emissions'!$A$56:$D$90,2,FALSE)+VLOOKUP(AH$3,'Non-Embedded Emissions'!$A$143:$D$174,2,FALSE)+VLOOKUP(AH$3,'Non-Embedded Emissions'!$A$230:$D$259,2,FALSE)-VLOOKUP(AH$3,'Non-Embedded Emissions'!$A$56:$D$90,3,FALSE)-VLOOKUP(AH$3,'Non-Embedded Emissions'!$A$143:$D$174,3,FALSE)-VLOOKUP(AH$3,'Non-Embedded Emissions'!$A$230:$D$259,3,FALSE)), $C17 = "0", 0), 0)</f>
        <v>0</v>
      </c>
      <c r="AN17" s="345">
        <f>IFERROR(_xlfn.IFS($C17="1",('Inputs-System'!$C$30*'Coincidence Factors'!$B$5*(1+'Inputs-System'!$C$18)*(1+'Inputs-System'!$C$41)*('Inputs-Proposals'!$E$17*'Inputs-Proposals'!$E$19*(1-'Inputs-Proposals'!$E$20))*(VLOOKUP(AN$3,Energy!$A$51:$K$83,5,FALSE)-VLOOKUP(AN$3,Energy!$A$51:$K$83,6,FALSE))), $C17 = "2",('Inputs-System'!$C$30*'Coincidence Factors'!$B$5)*(1+'Inputs-System'!$C$18)*(1+'Inputs-System'!$C$41)*('Inputs-Proposals'!$E$23*'Inputs-Proposals'!$E$25*(1-'Inputs-Proposals'!$E$26))*(VLOOKUP(AN$3,Energy!$A$51:$K$83,5,FALSE)-VLOOKUP(AN$3,Energy!$A$51:$K$83,6,FALSE)), $C17= "3", ('Inputs-System'!$C$30*'Coincidence Factors'!$B$5*(1+'Inputs-System'!$C$18)*(1+'Inputs-System'!$C$41)*('Inputs-Proposals'!$E$29*'Inputs-Proposals'!$E$31*(1-'Inputs-Proposals'!$E$32))*(VLOOKUP(AN$3,Energy!$A$51:$K$83,5,FALSE)-VLOOKUP(AN$3,Energy!$A$51:$K$83,6,FALSE))), $C17= "0", 0), 0)</f>
        <v>0</v>
      </c>
      <c r="AO17" s="100">
        <f>IFERROR(_xlfn.IFS($C17="1", 'Inputs-System'!$C$30*'Coincidence Factors'!$B$5*(1+'Inputs-System'!$C$18)*(1+'Inputs-System'!$C$41)*'Inputs-Proposals'!$E$17*'Inputs-Proposals'!$E$19*(1-'Inputs-Proposals'!$E$20)*(VLOOKUP(AN$3,'Embedded Emissions'!$A$47:$B$78,2,FALSE)+VLOOKUP(AN$3,'Embedded Emissions'!$A$129:$B$158,2,FALSE)), $C17 = "2",'Inputs-System'!$C$30*'Coincidence Factors'!$B$5*(1+'Inputs-System'!$C$18)*(1+'Inputs-System'!$C$41)*'Inputs-Proposals'!$E$23*'Inputs-Proposals'!$E$25*(1-'Inputs-Proposals'!$E$20)*(VLOOKUP(AN$3,'Embedded Emissions'!$A$47:$B$78,2,FALSE)+VLOOKUP(AN$3,'Embedded Emissions'!$A$129:$B$158,2,FALSE)), $C17 = "3", 'Inputs-System'!$C$30*'Coincidence Factors'!$B$5*(1+'Inputs-System'!$C$18)*(1+'Inputs-System'!$C$41)*'Inputs-Proposals'!$E$29*'Inputs-Proposals'!$E$31*(1-'Inputs-Proposals'!$E$20)*(VLOOKUP(AN$3,'Embedded Emissions'!$A$47:$B$78,2,FALSE)+VLOOKUP(AN$3,'Embedded Emissions'!$A$129:$B$158,2,FALSE)), $C17 = "0", 0), 0)</f>
        <v>0</v>
      </c>
      <c r="AP17" s="100">
        <f>IFERROR(_xlfn.IFS($C17="1",( 'Inputs-System'!$C$30*'Coincidence Factors'!$B$5*(1+'Inputs-System'!$C$18)*(1+'Inputs-System'!$C$41))*('Inputs-Proposals'!$E$17*'Inputs-Proposals'!$E$19*(1-'Inputs-Proposals'!$E$20))*(VLOOKUP(AN$3,DRIPE!$A$54:$I$82,5,FALSE)-VLOOKUP(AN$3,DRIPE!$A$54:$I$82,6,FALSE)+VLOOKUP(AN$3,DRIPE!$A$54:$I$82,9,FALSE))+ ('Inputs-System'!$C$26*'Coincidence Factors'!$B$5*(1+'Inputs-System'!$C$18)*(1+'Inputs-System'!$C$41))*'Inputs-Proposals'!$E$16*VLOOKUP(AN$3,DRIPE!$A$54:$I$80,8,FALSE), $C17 = "2",( 'Inputs-System'!$C$30*'Coincidence Factors'!$B$5*(1+'Inputs-System'!$C$18)*(1+'Inputs-System'!$C$41))*('Inputs-Proposals'!$E$23*'Inputs-Proposals'!$E$25*(1-'Inputs-Proposals'!$E$26))*(VLOOKUP(AN$3,DRIPE!$A$54:$I$82,5,FALSE)-VLOOKUP(AN$3,DRIPE!$A$54:$I$82,6,FALSE)+VLOOKUP(AN$3,DRIPE!$A$54:$I$82,9,FALSE))+ ('Inputs-System'!$C$26*'Coincidence Factors'!$B$5*(1+'Inputs-System'!$C$18)*(1+'Inputs-System'!$C$41))+ ('Inputs-System'!$C$26*'Coincidence Factors'!$B$5)*'Inputs-Proposals'!$E$22*VLOOKUP(AN$3,DRIPE!$A$54:$I$80,8,FALSE), $C17= "3", ('Inputs-System'!$C$30*'Coincidence Factors'!$B$5)*('Inputs-Proposals'!$E$29*'Inputs-Proposals'!$E$31*(1-'Inputs-Proposals'!$E$32))*(VLOOKUP(AN$3,DRIPE!$A$54:$I$80,5,FALSE)-VLOOKUP(AN$3,DRIPE!$A$54:$I$80,6,FALSE)+VLOOKUP(AN$3,DRIPE!$A$54:$I$80,9,FALSE))+ ('Inputs-System'!$C$26*'Coincidence Factors'!$B$5*(1+'Inputs-System'!$C$18)*(1+'Inputs-System'!$C$41))*'Inputs-Proposals'!$E$28*VLOOKUP(AN$3,DRIPE!$A$54:$I$80,8,FALSE), $C17 = "0", 0), 0)</f>
        <v>0</v>
      </c>
      <c r="AQ17" s="345">
        <f>IFERROR(_xlfn.IFS($C17="1",('Inputs-System'!$C$26*'Coincidence Factors'!$B$5*(1+'Inputs-System'!$C$18)*(1+'Inputs-System'!$C$42))*'Inputs-Proposals'!$E$16*(VLOOKUP(AN$3,Capacity!$A$53:$E$85,4,FALSE)*(1+'Inputs-System'!$C$42)+VLOOKUP(AN$3,Capacity!$A$53:$E$85,5,FALSE)*(1+'Inputs-System'!$C$43)*'Inputs-System'!$C$29), $C17 = "2", ('Inputs-System'!$C$26*'Coincidence Factors'!$B$5*(1+'Inputs-System'!$C$18))*'Inputs-Proposals'!$E$22*(VLOOKUP(AN$3,Capacity!$A$53:$E$85,4,FALSE)*(1+'Inputs-System'!$C$42)+VLOOKUP(AN$3,Capacity!$A$53:$E$85,5,FALSE)*'Inputs-System'!$C$29*(1+'Inputs-System'!$C$43)), $C17 = "3", ('Inputs-System'!$C$26*'Coincidence Factors'!$B$5*(1+'Inputs-System'!$C$18))*'Inputs-Proposals'!$E$28*(VLOOKUP(AN$3,Capacity!$A$53:$E$85,4,FALSE)*(1+'Inputs-System'!$C$42)+VLOOKUP(AN$3,Capacity!$A$53:$E$85,5,FALSE)*'Inputs-System'!$C$29*(1+'Inputs-System'!$C$43)), $C17 = "0", 0), 0)</f>
        <v>0</v>
      </c>
      <c r="AR17" s="100">
        <v>0</v>
      </c>
      <c r="AS17" s="346">
        <f>IFERROR(_xlfn.IFS($C17="1", 'Inputs-System'!$C$30*'Coincidence Factors'!$B$5*'Inputs-Proposals'!$E$17*'Inputs-Proposals'!$E$19*(VLOOKUP(AN$3,'Non-Embedded Emissions'!$A$56:$D$90,2,FALSE)+VLOOKUP(AN$3,'Non-Embedded Emissions'!$A$143:$D$174,2,FALSE)+VLOOKUP(AN$3,'Non-Embedded Emissions'!$A$230:$D$259,2,FALSE)-VLOOKUP(AN$3,'Non-Embedded Emissions'!$A$56:$D$90,3,FALSE)-VLOOKUP(AN$3,'Non-Embedded Emissions'!$A$143:$D$174,3,FALSE)-VLOOKUP(AN$3,'Non-Embedded Emissions'!$A$230:$D$259,3,FALSE)), $C17 = "2", 'Inputs-System'!$C$30*'Coincidence Factors'!$B$5*'Inputs-Proposals'!$E$23*'Inputs-Proposals'!$E$25*(VLOOKUP(AN$3,'Non-Embedded Emissions'!$A$56:$D$90,2,FALSE)+VLOOKUP(AN$3,'Non-Embedded Emissions'!$A$143:$D$174,2,FALSE)+VLOOKUP(AN$3,'Non-Embedded Emissions'!$A$230:$D$259,2,FALSE)-VLOOKUP(AN$3,'Non-Embedded Emissions'!$A$56:$D$90,3,FALSE)-VLOOKUP(AN$3,'Non-Embedded Emissions'!$A$143:$D$174,3,FALSE)-VLOOKUP(AN$3,'Non-Embedded Emissions'!$A$230:$D$259,3,FALSE)), $C17 = "3", 'Inputs-System'!$C$30*'Coincidence Factors'!$B$5*'Inputs-Proposals'!$E$29*'Inputs-Proposals'!$E$31*(VLOOKUP(AN$3,'Non-Embedded Emissions'!$A$56:$D$90,2,FALSE)+VLOOKUP(AN$3,'Non-Embedded Emissions'!$A$143:$D$174,2,FALSE)+VLOOKUP(AN$3,'Non-Embedded Emissions'!$A$230:$D$259,2,FALSE)-VLOOKUP(AN$3,'Non-Embedded Emissions'!$A$56:$D$90,3,FALSE)-VLOOKUP(AN$3,'Non-Embedded Emissions'!$A$143:$D$174,3,FALSE)-VLOOKUP(AN$3,'Non-Embedded Emissions'!$A$230:$D$259,3,FALSE)), $C17 = "0", 0), 0)</f>
        <v>0</v>
      </c>
      <c r="AT17" s="345">
        <f>IFERROR(_xlfn.IFS($C17="1",('Inputs-System'!$C$30*'Coincidence Factors'!$B$5*(1+'Inputs-System'!$C$18)*(1+'Inputs-System'!$C$41)*('Inputs-Proposals'!$E$17*'Inputs-Proposals'!$E$19*(1-'Inputs-Proposals'!$E$20))*(VLOOKUP(AT$3,Energy!$A$51:$K$83,5,FALSE)-VLOOKUP(AT$3,Energy!$A$51:$K$83,6,FALSE))), $C17 = "2",('Inputs-System'!$C$30*'Coincidence Factors'!$B$5)*(1+'Inputs-System'!$C$18)*(1+'Inputs-System'!$C$41)*('Inputs-Proposals'!$E$23*'Inputs-Proposals'!$E$25*(1-'Inputs-Proposals'!$E$26))*(VLOOKUP(AT$3,Energy!$A$51:$K$83,5,FALSE)-VLOOKUP(AT$3,Energy!$A$51:$K$83,6,FALSE)), $C17= "3", ('Inputs-System'!$C$30*'Coincidence Factors'!$B$5*(1+'Inputs-System'!$C$18)*(1+'Inputs-System'!$C$41)*('Inputs-Proposals'!$E$29*'Inputs-Proposals'!$E$31*(1-'Inputs-Proposals'!$E$32))*(VLOOKUP(AT$3,Energy!$A$51:$K$83,5,FALSE)-VLOOKUP(AT$3,Energy!$A$51:$K$83,6,FALSE))), $C17= "0", 0), 0)</f>
        <v>0</v>
      </c>
      <c r="AU17" s="100">
        <f>IFERROR(_xlfn.IFS($C17="1", 'Inputs-System'!$C$30*'Coincidence Factors'!$B$5*(1+'Inputs-System'!$C$18)*(1+'Inputs-System'!$C$41)*'Inputs-Proposals'!$E$17*'Inputs-Proposals'!$E$19*(1-'Inputs-Proposals'!$E$20)*(VLOOKUP(AT$3,'Embedded Emissions'!$A$47:$B$78,2,FALSE)+VLOOKUP(AT$3,'Embedded Emissions'!$A$129:$B$158,2,FALSE)), $C17 = "2",'Inputs-System'!$C$30*'Coincidence Factors'!$B$5*(1+'Inputs-System'!$C$18)*(1+'Inputs-System'!$C$41)*'Inputs-Proposals'!$E$23*'Inputs-Proposals'!$E$25*(1-'Inputs-Proposals'!$E$20)*(VLOOKUP(AT$3,'Embedded Emissions'!$A$47:$B$78,2,FALSE)+VLOOKUP(AT$3,'Embedded Emissions'!$A$129:$B$158,2,FALSE)), $C17 = "3", 'Inputs-System'!$C$30*'Coincidence Factors'!$B$5*(1+'Inputs-System'!$C$18)*(1+'Inputs-System'!$C$41)*'Inputs-Proposals'!$E$29*'Inputs-Proposals'!$E$31*(1-'Inputs-Proposals'!$E$20)*(VLOOKUP(AT$3,'Embedded Emissions'!$A$47:$B$78,2,FALSE)+VLOOKUP(AT$3,'Embedded Emissions'!$A$129:$B$158,2,FALSE)), $C17 = "0", 0), 0)</f>
        <v>0</v>
      </c>
      <c r="AV17" s="100">
        <f>IFERROR(_xlfn.IFS($C17="1",( 'Inputs-System'!$C$30*'Coincidence Factors'!$B$5*(1+'Inputs-System'!$C$18)*(1+'Inputs-System'!$C$41))*('Inputs-Proposals'!$E$17*'Inputs-Proposals'!$E$19*(1-'Inputs-Proposals'!$E$20))*(VLOOKUP(AT$3,DRIPE!$A$54:$I$82,5,FALSE)-VLOOKUP(AT$3,DRIPE!$A$54:$I$82,6,FALSE)+VLOOKUP(AT$3,DRIPE!$A$54:$I$82,9,FALSE))+ ('Inputs-System'!$C$26*'Coincidence Factors'!$B$5*(1+'Inputs-System'!$C$18)*(1+'Inputs-System'!$C$41))*'Inputs-Proposals'!$E$16*VLOOKUP(AT$3,DRIPE!$A$54:$I$80,8,FALSE), $C17 = "2",( 'Inputs-System'!$C$30*'Coincidence Factors'!$B$5*(1+'Inputs-System'!$C$18)*(1+'Inputs-System'!$C$41))*('Inputs-Proposals'!$E$23*'Inputs-Proposals'!$E$25*(1-'Inputs-Proposals'!$E$26))*(VLOOKUP(AT$3,DRIPE!$A$54:$I$82,5,FALSE)-VLOOKUP(AT$3,DRIPE!$A$54:$I$82,6,FALSE)+VLOOKUP(AT$3,DRIPE!$A$54:$I$82,9,FALSE))+ ('Inputs-System'!$C$26*'Coincidence Factors'!$B$5*(1+'Inputs-System'!$C$18)*(1+'Inputs-System'!$C$41))+ ('Inputs-System'!$C$26*'Coincidence Factors'!$B$5)*'Inputs-Proposals'!$E$22*VLOOKUP(AT$3,DRIPE!$A$54:$I$80,8,FALSE), $C17= "3", ('Inputs-System'!$C$30*'Coincidence Factors'!$B$5)*('Inputs-Proposals'!$E$29*'Inputs-Proposals'!$E$31*(1-'Inputs-Proposals'!$E$32))*(VLOOKUP(AT$3,DRIPE!$A$54:$I$80,5,FALSE)-VLOOKUP(AT$3,DRIPE!$A$54:$I$80,6,FALSE)+VLOOKUP(AT$3,DRIPE!$A$54:$I$80,9,FALSE))+ ('Inputs-System'!$C$26*'Coincidence Factors'!$B$5*(1+'Inputs-System'!$C$18)*(1+'Inputs-System'!$C$41))*'Inputs-Proposals'!$E$28*VLOOKUP(AT$3,DRIPE!$A$54:$I$80,8,FALSE), $C17 = "0", 0), 0)</f>
        <v>0</v>
      </c>
      <c r="AW17" s="345">
        <f>IFERROR(_xlfn.IFS($C17="1",('Inputs-System'!$C$26*'Coincidence Factors'!$B$5*(1+'Inputs-System'!$C$18)*(1+'Inputs-System'!$C$42))*'Inputs-Proposals'!$E$16*(VLOOKUP(AT$3,Capacity!$A$53:$E$85,4,FALSE)*(1+'Inputs-System'!$C$42)+VLOOKUP(AT$3,Capacity!$A$53:$E$85,5,FALSE)*(1+'Inputs-System'!$C$43)*'Inputs-System'!$C$29), $C17 = "2", ('Inputs-System'!$C$26*'Coincidence Factors'!$B$5*(1+'Inputs-System'!$C$18))*'Inputs-Proposals'!$E$22*(VLOOKUP(AT$3,Capacity!$A$53:$E$85,4,FALSE)*(1+'Inputs-System'!$C$42)+VLOOKUP(AT$3,Capacity!$A$53:$E$85,5,FALSE)*'Inputs-System'!$C$29*(1+'Inputs-System'!$C$43)), $C17 = "3", ('Inputs-System'!$C$26*'Coincidence Factors'!$B$5*(1+'Inputs-System'!$C$18))*'Inputs-Proposals'!$E$28*(VLOOKUP(AT$3,Capacity!$A$53:$E$85,4,FALSE)*(1+'Inputs-System'!$C$42)+VLOOKUP(AT$3,Capacity!$A$53:$E$85,5,FALSE)*'Inputs-System'!$C$29*(1+'Inputs-System'!$C$43)), $C17 = "0", 0), 0)</f>
        <v>0</v>
      </c>
      <c r="AX17" s="100">
        <v>0</v>
      </c>
      <c r="AY17" s="346">
        <f>IFERROR(_xlfn.IFS($C17="1", 'Inputs-System'!$C$30*'Coincidence Factors'!$B$5*'Inputs-Proposals'!$E$17*'Inputs-Proposals'!$E$19*(VLOOKUP(AT$3,'Non-Embedded Emissions'!$A$56:$D$90,2,FALSE)+VLOOKUP(AT$3,'Non-Embedded Emissions'!$A$143:$D$174,2,FALSE)+VLOOKUP(AT$3,'Non-Embedded Emissions'!$A$230:$D$259,2,FALSE)-VLOOKUP(AT$3,'Non-Embedded Emissions'!$A$56:$D$90,3,FALSE)-VLOOKUP(AT$3,'Non-Embedded Emissions'!$A$143:$D$174,3,FALSE)-VLOOKUP(AT$3,'Non-Embedded Emissions'!$A$230:$D$259,3,FALSE)), $C17 = "2", 'Inputs-System'!$C$30*'Coincidence Factors'!$B$5*'Inputs-Proposals'!$E$23*'Inputs-Proposals'!$E$25*(VLOOKUP(AT$3,'Non-Embedded Emissions'!$A$56:$D$90,2,FALSE)+VLOOKUP(AT$3,'Non-Embedded Emissions'!$A$143:$D$174,2,FALSE)+VLOOKUP(AT$3,'Non-Embedded Emissions'!$A$230:$D$259,2,FALSE)-VLOOKUP(AT$3,'Non-Embedded Emissions'!$A$56:$D$90,3,FALSE)-VLOOKUP(AT$3,'Non-Embedded Emissions'!$A$143:$D$174,3,FALSE)-VLOOKUP(AT$3,'Non-Embedded Emissions'!$A$230:$D$259,3,FALSE)), $C17 = "3", 'Inputs-System'!$C$30*'Coincidence Factors'!$B$5*'Inputs-Proposals'!$E$29*'Inputs-Proposals'!$E$31*(VLOOKUP(AT$3,'Non-Embedded Emissions'!$A$56:$D$90,2,FALSE)+VLOOKUP(AT$3,'Non-Embedded Emissions'!$A$143:$D$174,2,FALSE)+VLOOKUP(AT$3,'Non-Embedded Emissions'!$A$230:$D$259,2,FALSE)-VLOOKUP(AT$3,'Non-Embedded Emissions'!$A$56:$D$90,3,FALSE)-VLOOKUP(AT$3,'Non-Embedded Emissions'!$A$143:$D$174,3,FALSE)-VLOOKUP(AT$3,'Non-Embedded Emissions'!$A$230:$D$259,3,FALSE)), $C17 = "0", 0), 0)</f>
        <v>0</v>
      </c>
      <c r="AZ17" s="345">
        <f>IFERROR(_xlfn.IFS($C17="1",('Inputs-System'!$C$30*'Coincidence Factors'!$B$5*(1+'Inputs-System'!$C$18)*(1+'Inputs-System'!$C$41)*('Inputs-Proposals'!$E$17*'Inputs-Proposals'!$E$19*(1-'Inputs-Proposals'!$E$20))*(VLOOKUP(AZ$3,Energy!$A$51:$K$83,5,FALSE)-VLOOKUP(AZ$3,Energy!$A$51:$K$83,6,FALSE))), $C17 = "2",('Inputs-System'!$C$30*'Coincidence Factors'!$B$5)*(1+'Inputs-System'!$C$18)*(1+'Inputs-System'!$C$41)*('Inputs-Proposals'!$E$23*'Inputs-Proposals'!$E$25*(1-'Inputs-Proposals'!$E$26))*(VLOOKUP(AZ$3,Energy!$A$51:$K$83,5,FALSE)-VLOOKUP(AZ$3,Energy!$A$51:$K$83,6,FALSE)), $C17= "3", ('Inputs-System'!$C$30*'Coincidence Factors'!$B$5*(1+'Inputs-System'!$C$18)*(1+'Inputs-System'!$C$41)*('Inputs-Proposals'!$E$29*'Inputs-Proposals'!$E$31*(1-'Inputs-Proposals'!$E$32))*(VLOOKUP(AZ$3,Energy!$A$51:$K$83,5,FALSE)-VLOOKUP(AZ$3,Energy!$A$51:$K$83,6,FALSE))), $C17= "0", 0), 0)</f>
        <v>0</v>
      </c>
      <c r="BA17" s="100">
        <f>IFERROR(_xlfn.IFS($C17="1", 'Inputs-System'!$C$30*'Coincidence Factors'!$B$5*(1+'Inputs-System'!$C$18)*(1+'Inputs-System'!$C$41)*'Inputs-Proposals'!$E$17*'Inputs-Proposals'!$E$19*(1-'Inputs-Proposals'!$E$20)*(VLOOKUP(AZ$3,'Embedded Emissions'!$A$47:$B$78,2,FALSE)+VLOOKUP(AZ$3,'Embedded Emissions'!$A$129:$B$158,2,FALSE)), $C17 = "2",'Inputs-System'!$C$30*'Coincidence Factors'!$B$5*(1+'Inputs-System'!$C$18)*(1+'Inputs-System'!$C$41)*'Inputs-Proposals'!$E$23*'Inputs-Proposals'!$E$25*(1-'Inputs-Proposals'!$E$20)*(VLOOKUP(AZ$3,'Embedded Emissions'!$A$47:$B$78,2,FALSE)+VLOOKUP(AZ$3,'Embedded Emissions'!$A$129:$B$158,2,FALSE)), $C17 = "3", 'Inputs-System'!$C$30*'Coincidence Factors'!$B$5*(1+'Inputs-System'!$C$18)*(1+'Inputs-System'!$C$41)*'Inputs-Proposals'!$E$29*'Inputs-Proposals'!$E$31*(1-'Inputs-Proposals'!$E$20)*(VLOOKUP(AZ$3,'Embedded Emissions'!$A$47:$B$78,2,FALSE)+VLOOKUP(AZ$3,'Embedded Emissions'!$A$129:$B$158,2,FALSE)), $C17 = "0", 0), 0)</f>
        <v>0</v>
      </c>
      <c r="BB17" s="100">
        <f>IFERROR(_xlfn.IFS($C17="1",( 'Inputs-System'!$C$30*'Coincidence Factors'!$B$5*(1+'Inputs-System'!$C$18)*(1+'Inputs-System'!$C$41))*('Inputs-Proposals'!$E$17*'Inputs-Proposals'!$E$19*(1-'Inputs-Proposals'!$E$20))*(VLOOKUP(AZ$3,DRIPE!$A$54:$I$82,5,FALSE)-VLOOKUP(AZ$3,DRIPE!$A$54:$I$82,6,FALSE)+VLOOKUP(AZ$3,DRIPE!$A$54:$I$82,9,FALSE))+ ('Inputs-System'!$C$26*'Coincidence Factors'!$B$5*(1+'Inputs-System'!$C$18)*(1+'Inputs-System'!$C$41))*'Inputs-Proposals'!$E$16*VLOOKUP(AZ$3,DRIPE!$A$54:$I$80,8,FALSE), $C17 = "2",( 'Inputs-System'!$C$30*'Coincidence Factors'!$B$5*(1+'Inputs-System'!$C$18)*(1+'Inputs-System'!$C$41))*('Inputs-Proposals'!$E$23*'Inputs-Proposals'!$E$25*(1-'Inputs-Proposals'!$E$26))*(VLOOKUP(AZ$3,DRIPE!$A$54:$I$82,5,FALSE)-VLOOKUP(AZ$3,DRIPE!$A$54:$I$82,6,FALSE)+VLOOKUP(AZ$3,DRIPE!$A$54:$I$82,9,FALSE))+ ('Inputs-System'!$C$26*'Coincidence Factors'!$B$5*(1+'Inputs-System'!$C$18)*(1+'Inputs-System'!$C$41))+ ('Inputs-System'!$C$26*'Coincidence Factors'!$B$5)*'Inputs-Proposals'!$E$22*VLOOKUP(AZ$3,DRIPE!$A$54:$I$80,8,FALSE), $C17= "3", ('Inputs-System'!$C$30*'Coincidence Factors'!$B$5)*('Inputs-Proposals'!$E$29*'Inputs-Proposals'!$E$31*(1-'Inputs-Proposals'!$E$32))*(VLOOKUP(AZ$3,DRIPE!$A$54:$I$80,5,FALSE)-VLOOKUP(AZ$3,DRIPE!$A$54:$I$80,6,FALSE)+VLOOKUP(AZ$3,DRIPE!$A$54:$I$80,9,FALSE))+ ('Inputs-System'!$C$26*'Coincidence Factors'!$B$5*(1+'Inputs-System'!$C$18)*(1+'Inputs-System'!$C$41))*'Inputs-Proposals'!$E$28*VLOOKUP(AZ$3,DRIPE!$A$54:$I$80,8,FALSE), $C17 = "0", 0), 0)</f>
        <v>0</v>
      </c>
      <c r="BC17" s="345">
        <f>IFERROR(_xlfn.IFS($C17="1",('Inputs-System'!$C$26*'Coincidence Factors'!$B$5*(1+'Inputs-System'!$C$18)*(1+'Inputs-System'!$C$42))*'Inputs-Proposals'!$E$16*(VLOOKUP(AZ$3,Capacity!$A$53:$E$85,4,FALSE)*(1+'Inputs-System'!$C$42)+VLOOKUP(AZ$3,Capacity!$A$53:$E$85,5,FALSE)*(1+'Inputs-System'!$C$43)*'Inputs-System'!$C$29), $C17 = "2", ('Inputs-System'!$C$26*'Coincidence Factors'!$B$5*(1+'Inputs-System'!$C$18))*'Inputs-Proposals'!$E$22*(VLOOKUP(AZ$3,Capacity!$A$53:$E$85,4,FALSE)*(1+'Inputs-System'!$C$42)+VLOOKUP(AZ$3,Capacity!$A$53:$E$85,5,FALSE)*'Inputs-System'!$C$29*(1+'Inputs-System'!$C$43)), $C17 = "3", ('Inputs-System'!$C$26*'Coincidence Factors'!$B$5*(1+'Inputs-System'!$C$18))*'Inputs-Proposals'!$E$28*(VLOOKUP(AZ$3,Capacity!$A$53:$E$85,4,FALSE)*(1+'Inputs-System'!$C$42)+VLOOKUP(AZ$3,Capacity!$A$53:$E$85,5,FALSE)*'Inputs-System'!$C$29*(1+'Inputs-System'!$C$43)), $C17 = "0", 0), 0)</f>
        <v>0</v>
      </c>
      <c r="BD17" s="100">
        <v>0</v>
      </c>
      <c r="BE17" s="346">
        <f>IFERROR(_xlfn.IFS($C17="1", 'Inputs-System'!$C$30*'Coincidence Factors'!$B$5*'Inputs-Proposals'!$E$17*'Inputs-Proposals'!$E$19*(VLOOKUP(AZ$3,'Non-Embedded Emissions'!$A$56:$D$90,2,FALSE)+VLOOKUP(AZ$3,'Non-Embedded Emissions'!$A$143:$D$174,2,FALSE)+VLOOKUP(AZ$3,'Non-Embedded Emissions'!$A$230:$D$259,2,FALSE)-VLOOKUP(AZ$3,'Non-Embedded Emissions'!$A$56:$D$90,3,FALSE)-VLOOKUP(AZ$3,'Non-Embedded Emissions'!$A$143:$D$174,3,FALSE)-VLOOKUP(AZ$3,'Non-Embedded Emissions'!$A$230:$D$259,3,FALSE)), $C17 = "2", 'Inputs-System'!$C$30*'Coincidence Factors'!$B$5*'Inputs-Proposals'!$E$23*'Inputs-Proposals'!$E$25*(VLOOKUP(AZ$3,'Non-Embedded Emissions'!$A$56:$D$90,2,FALSE)+VLOOKUP(AZ$3,'Non-Embedded Emissions'!$A$143:$D$174,2,FALSE)+VLOOKUP(AZ$3,'Non-Embedded Emissions'!$A$230:$D$259,2,FALSE)-VLOOKUP(AZ$3,'Non-Embedded Emissions'!$A$56:$D$90,3,FALSE)-VLOOKUP(AZ$3,'Non-Embedded Emissions'!$A$143:$D$174,3,FALSE)-VLOOKUP(AZ$3,'Non-Embedded Emissions'!$A$230:$D$259,3,FALSE)), $C17 = "3", 'Inputs-System'!$C$30*'Coincidence Factors'!$B$5*'Inputs-Proposals'!$E$29*'Inputs-Proposals'!$E$31*(VLOOKUP(AZ$3,'Non-Embedded Emissions'!$A$56:$D$90,2,FALSE)+VLOOKUP(AZ$3,'Non-Embedded Emissions'!$A$143:$D$174,2,FALSE)+VLOOKUP(AZ$3,'Non-Embedded Emissions'!$A$230:$D$259,2,FALSE)-VLOOKUP(AZ$3,'Non-Embedded Emissions'!$A$56:$D$90,3,FALSE)-VLOOKUP(AZ$3,'Non-Embedded Emissions'!$A$143:$D$174,3,FALSE)-VLOOKUP(AZ$3,'Non-Embedded Emissions'!$A$230:$D$259,3,FALSE)), $C17 = "0", 0), 0)</f>
        <v>0</v>
      </c>
      <c r="BF17" s="345">
        <f>IFERROR(_xlfn.IFS($C17="1",('Inputs-System'!$C$30*'Coincidence Factors'!$B$5*(1+'Inputs-System'!$C$18)*(1+'Inputs-System'!$C$41)*('Inputs-Proposals'!$E$17*'Inputs-Proposals'!$E$19*(1-'Inputs-Proposals'!$E$20))*(VLOOKUP(BF$3,Energy!$A$51:$K$83,5,FALSE)-VLOOKUP(BF$3,Energy!$A$51:$K$83,6,FALSE))), $C17 = "2",('Inputs-System'!$C$30*'Coincidence Factors'!$B$5)*(1+'Inputs-System'!$C$18)*(1+'Inputs-System'!$C$41)*('Inputs-Proposals'!$E$23*'Inputs-Proposals'!$E$25*(1-'Inputs-Proposals'!$E$26))*(VLOOKUP(BF$3,Energy!$A$51:$K$83,5,FALSE)-VLOOKUP(BF$3,Energy!$A$51:$K$83,6,FALSE)), $C17= "3", ('Inputs-System'!$C$30*'Coincidence Factors'!$B$5*(1+'Inputs-System'!$C$18)*(1+'Inputs-System'!$C$41)*('Inputs-Proposals'!$E$29*'Inputs-Proposals'!$E$31*(1-'Inputs-Proposals'!$E$32))*(VLOOKUP(BF$3,Energy!$A$51:$K$83,5,FALSE)-VLOOKUP(BF$3,Energy!$A$51:$K$83,6,FALSE))), $C17= "0", 0), 0)</f>
        <v>0</v>
      </c>
      <c r="BG17" s="100">
        <f>IFERROR(_xlfn.IFS($C17="1", 'Inputs-System'!$C$30*'Coincidence Factors'!$B$5*(1+'Inputs-System'!$C$18)*(1+'Inputs-System'!$C$41)*'Inputs-Proposals'!$E$17*'Inputs-Proposals'!$E$19*(1-'Inputs-Proposals'!$E$20)*(VLOOKUP(BF$3,'Embedded Emissions'!$A$47:$B$78,2,FALSE)+VLOOKUP(BF$3,'Embedded Emissions'!$A$129:$B$158,2,FALSE)), $C17 = "2",'Inputs-System'!$C$30*'Coincidence Factors'!$B$5*(1+'Inputs-System'!$C$18)*(1+'Inputs-System'!$C$41)*'Inputs-Proposals'!$E$23*'Inputs-Proposals'!$E$25*(1-'Inputs-Proposals'!$E$20)*(VLOOKUP(BF$3,'Embedded Emissions'!$A$47:$B$78,2,FALSE)+VLOOKUP(BF$3,'Embedded Emissions'!$A$129:$B$158,2,FALSE)), $C17 = "3", 'Inputs-System'!$C$30*'Coincidence Factors'!$B$5*(1+'Inputs-System'!$C$18)*(1+'Inputs-System'!$C$41)*'Inputs-Proposals'!$E$29*'Inputs-Proposals'!$E$31*(1-'Inputs-Proposals'!$E$20)*(VLOOKUP(BF$3,'Embedded Emissions'!$A$47:$B$78,2,FALSE)+VLOOKUP(BF$3,'Embedded Emissions'!$A$129:$B$158,2,FALSE)), $C17 = "0", 0), 0)</f>
        <v>0</v>
      </c>
      <c r="BH17" s="100">
        <f>IFERROR(_xlfn.IFS($C17="1",( 'Inputs-System'!$C$30*'Coincidence Factors'!$B$5*(1+'Inputs-System'!$C$18)*(1+'Inputs-System'!$C$41))*('Inputs-Proposals'!$E$17*'Inputs-Proposals'!$E$19*(1-'Inputs-Proposals'!$E$20))*(VLOOKUP(BF$3,DRIPE!$A$54:$I$82,5,FALSE)-VLOOKUP(BF$3,DRIPE!$A$54:$I$82,6,FALSE)+VLOOKUP(BF$3,DRIPE!$A$54:$I$82,9,FALSE))+ ('Inputs-System'!$C$26*'Coincidence Factors'!$B$5*(1+'Inputs-System'!$C$18)*(1+'Inputs-System'!$C$41))*'Inputs-Proposals'!$E$16*VLOOKUP(BF$3,DRIPE!$A$54:$I$80,8,FALSE), $C17 = "2",( 'Inputs-System'!$C$30*'Coincidence Factors'!$B$5*(1+'Inputs-System'!$C$18)*(1+'Inputs-System'!$C$41))*('Inputs-Proposals'!$E$23*'Inputs-Proposals'!$E$25*(1-'Inputs-Proposals'!$E$26))*(VLOOKUP(BF$3,DRIPE!$A$54:$I$82,5,FALSE)-VLOOKUP(BF$3,DRIPE!$A$54:$I$82,6,FALSE)+VLOOKUP(BF$3,DRIPE!$A$54:$I$82,9,FALSE))+ ('Inputs-System'!$C$26*'Coincidence Factors'!$B$5*(1+'Inputs-System'!$C$18)*(1+'Inputs-System'!$C$41))+ ('Inputs-System'!$C$26*'Coincidence Factors'!$B$5)*'Inputs-Proposals'!$E$22*VLOOKUP(BF$3,DRIPE!$A$54:$I$80,8,FALSE), $C17= "3", ('Inputs-System'!$C$30*'Coincidence Factors'!$B$5)*('Inputs-Proposals'!$E$29*'Inputs-Proposals'!$E$31*(1-'Inputs-Proposals'!$E$32))*(VLOOKUP(BF$3,DRIPE!$A$54:$I$80,5,FALSE)-VLOOKUP(BF$3,DRIPE!$A$54:$I$80,6,FALSE)+VLOOKUP(BF$3,DRIPE!$A$54:$I$80,9,FALSE))+ ('Inputs-System'!$C$26*'Coincidence Factors'!$B$5*(1+'Inputs-System'!$C$18)*(1+'Inputs-System'!$C$41))*'Inputs-Proposals'!$E$28*VLOOKUP(BF$3,DRIPE!$A$54:$I$80,8,FALSE), $C17 = "0", 0), 0)</f>
        <v>0</v>
      </c>
      <c r="BI17" s="345">
        <f>IFERROR(_xlfn.IFS($C17="1",('Inputs-System'!$C$26*'Coincidence Factors'!$B$5*(1+'Inputs-System'!$C$18)*(1+'Inputs-System'!$C$42))*'Inputs-Proposals'!$E$16*(VLOOKUP(BF$3,Capacity!$A$53:$E$85,4,FALSE)*(1+'Inputs-System'!$C$42)+VLOOKUP(BF$3,Capacity!$A$53:$E$85,5,FALSE)*(1+'Inputs-System'!$C$43)*'Inputs-System'!$C$29), $C17 = "2", ('Inputs-System'!$C$26*'Coincidence Factors'!$B$5*(1+'Inputs-System'!$C$18))*'Inputs-Proposals'!$E$22*(VLOOKUP(BF$3,Capacity!$A$53:$E$85,4,FALSE)*(1+'Inputs-System'!$C$42)+VLOOKUP(BF$3,Capacity!$A$53:$E$85,5,FALSE)*'Inputs-System'!$C$29*(1+'Inputs-System'!$C$43)), $C17 = "3", ('Inputs-System'!$C$26*'Coincidence Factors'!$B$5*(1+'Inputs-System'!$C$18))*'Inputs-Proposals'!$E$28*(VLOOKUP(BF$3,Capacity!$A$53:$E$85,4,FALSE)*(1+'Inputs-System'!$C$42)+VLOOKUP(BF$3,Capacity!$A$53:$E$85,5,FALSE)*'Inputs-System'!$C$29*(1+'Inputs-System'!$C$43)), $C17 = "0", 0), 0)</f>
        <v>0</v>
      </c>
      <c r="BJ17" s="100">
        <v>0</v>
      </c>
      <c r="BK17" s="346">
        <f>IFERROR(_xlfn.IFS($C17="1", 'Inputs-System'!$C$30*'Coincidence Factors'!$B$5*'Inputs-Proposals'!$E$17*'Inputs-Proposals'!$E$19*(VLOOKUP(BF$3,'Non-Embedded Emissions'!$A$56:$D$90,2,FALSE)+VLOOKUP(BF$3,'Non-Embedded Emissions'!$A$143:$D$174,2,FALSE)+VLOOKUP(BF$3,'Non-Embedded Emissions'!$A$230:$D$259,2,FALSE)-VLOOKUP(BF$3,'Non-Embedded Emissions'!$A$56:$D$90,3,FALSE)-VLOOKUP(BF$3,'Non-Embedded Emissions'!$A$143:$D$174,3,FALSE)-VLOOKUP(BF$3,'Non-Embedded Emissions'!$A$230:$D$259,3,FALSE)), $C17 = "2", 'Inputs-System'!$C$30*'Coincidence Factors'!$B$5*'Inputs-Proposals'!$E$23*'Inputs-Proposals'!$E$25*(VLOOKUP(BF$3,'Non-Embedded Emissions'!$A$56:$D$90,2,FALSE)+VLOOKUP(BF$3,'Non-Embedded Emissions'!$A$143:$D$174,2,FALSE)+VLOOKUP(BF$3,'Non-Embedded Emissions'!$A$230:$D$259,2,FALSE)-VLOOKUP(BF$3,'Non-Embedded Emissions'!$A$56:$D$90,3,FALSE)-VLOOKUP(BF$3,'Non-Embedded Emissions'!$A$143:$D$174,3,FALSE)-VLOOKUP(BF$3,'Non-Embedded Emissions'!$A$230:$D$259,3,FALSE)), $C17 = "3", 'Inputs-System'!$C$30*'Coincidence Factors'!$B$5*'Inputs-Proposals'!$E$29*'Inputs-Proposals'!$E$31*(VLOOKUP(BF$3,'Non-Embedded Emissions'!$A$56:$D$90,2,FALSE)+VLOOKUP(BF$3,'Non-Embedded Emissions'!$A$143:$D$174,2,FALSE)+VLOOKUP(BF$3,'Non-Embedded Emissions'!$A$230:$D$259,2,FALSE)-VLOOKUP(BF$3,'Non-Embedded Emissions'!$A$56:$D$90,3,FALSE)-VLOOKUP(BF$3,'Non-Embedded Emissions'!$A$143:$D$174,3,FALSE)-VLOOKUP(BF$3,'Non-Embedded Emissions'!$A$230:$D$259,3,FALSE)), $C17 = "0", 0), 0)</f>
        <v>0</v>
      </c>
      <c r="BL17" s="345">
        <f>IFERROR(_xlfn.IFS($C17="1",('Inputs-System'!$C$30*'Coincidence Factors'!$B$5*(1+'Inputs-System'!$C$18)*(1+'Inputs-System'!$C$41)*('Inputs-Proposals'!$E$17*'Inputs-Proposals'!$E$19*(1-'Inputs-Proposals'!$E$20))*(VLOOKUP(BL$3,Energy!$A$51:$K$83,5,FALSE)-VLOOKUP(BL$3,Energy!$A$51:$K$83,6,FALSE))), $C17 = "2",('Inputs-System'!$C$30*'Coincidence Factors'!$B$5)*(1+'Inputs-System'!$C$18)*(1+'Inputs-System'!$C$41)*('Inputs-Proposals'!$E$23*'Inputs-Proposals'!$E$25*(1-'Inputs-Proposals'!$E$26))*(VLOOKUP(BL$3,Energy!$A$51:$K$83,5,FALSE)-VLOOKUP(BL$3,Energy!$A$51:$K$83,6,FALSE)), $C17= "3", ('Inputs-System'!$C$30*'Coincidence Factors'!$B$5*(1+'Inputs-System'!$C$18)*(1+'Inputs-System'!$C$41)*('Inputs-Proposals'!$E$29*'Inputs-Proposals'!$E$31*(1-'Inputs-Proposals'!$E$32))*(VLOOKUP(BL$3,Energy!$A$51:$K$83,5,FALSE)-VLOOKUP(BL$3,Energy!$A$51:$K$83,6,FALSE))), $C17= "0", 0), 0)</f>
        <v>0</v>
      </c>
      <c r="BM17" s="100">
        <f>IFERROR(_xlfn.IFS($C17="1", 'Inputs-System'!$C$30*'Coincidence Factors'!$B$5*(1+'Inputs-System'!$C$18)*(1+'Inputs-System'!$C$41)*'Inputs-Proposals'!$E$17*'Inputs-Proposals'!$E$19*(1-'Inputs-Proposals'!$E$20)*(VLOOKUP(BL$3,'Embedded Emissions'!$A$47:$B$78,2,FALSE)+VLOOKUP(BL$3,'Embedded Emissions'!$A$129:$B$158,2,FALSE)), $C17 = "2",'Inputs-System'!$C$30*'Coincidence Factors'!$B$5*(1+'Inputs-System'!$C$18)*(1+'Inputs-System'!$C$41)*'Inputs-Proposals'!$E$23*'Inputs-Proposals'!$E$25*(1-'Inputs-Proposals'!$E$20)*(VLOOKUP(BL$3,'Embedded Emissions'!$A$47:$B$78,2,FALSE)+VLOOKUP(BL$3,'Embedded Emissions'!$A$129:$B$158,2,FALSE)), $C17 = "3", 'Inputs-System'!$C$30*'Coincidence Factors'!$B$5*(1+'Inputs-System'!$C$18)*(1+'Inputs-System'!$C$41)*'Inputs-Proposals'!$E$29*'Inputs-Proposals'!$E$31*(1-'Inputs-Proposals'!$E$20)*(VLOOKUP(BL$3,'Embedded Emissions'!$A$47:$B$78,2,FALSE)+VLOOKUP(BL$3,'Embedded Emissions'!$A$129:$B$158,2,FALSE)), $C17 = "0", 0), 0)</f>
        <v>0</v>
      </c>
      <c r="BN17" s="100">
        <f>IFERROR(_xlfn.IFS($C17="1",( 'Inputs-System'!$C$30*'Coincidence Factors'!$B$5*(1+'Inputs-System'!$C$18)*(1+'Inputs-System'!$C$41))*('Inputs-Proposals'!$E$17*'Inputs-Proposals'!$E$19*(1-'Inputs-Proposals'!$E$20))*(VLOOKUP(BL$3,DRIPE!$A$54:$I$82,5,FALSE)-VLOOKUP(BL$3,DRIPE!$A$54:$I$82,6,FALSE)+VLOOKUP(BL$3,DRIPE!$A$54:$I$82,9,FALSE))+ ('Inputs-System'!$C$26*'Coincidence Factors'!$B$5*(1+'Inputs-System'!$C$18)*(1+'Inputs-System'!$C$41))*'Inputs-Proposals'!$E$16*VLOOKUP(BL$3,DRIPE!$A$54:$I$80,8,FALSE), $C17 = "2",( 'Inputs-System'!$C$30*'Coincidence Factors'!$B$5*(1+'Inputs-System'!$C$18)*(1+'Inputs-System'!$C$41))*('Inputs-Proposals'!$E$23*'Inputs-Proposals'!$E$25*(1-'Inputs-Proposals'!$E$26))*(VLOOKUP(BL$3,DRIPE!$A$54:$I$82,5,FALSE)-VLOOKUP(BL$3,DRIPE!$A$54:$I$82,6,FALSE)+VLOOKUP(BL$3,DRIPE!$A$54:$I$82,9,FALSE))+ ('Inputs-System'!$C$26*'Coincidence Factors'!$B$5*(1+'Inputs-System'!$C$18)*(1+'Inputs-System'!$C$41))+ ('Inputs-System'!$C$26*'Coincidence Factors'!$B$5)*'Inputs-Proposals'!$E$22*VLOOKUP(BL$3,DRIPE!$A$54:$I$80,8,FALSE), $C17= "3", ('Inputs-System'!$C$30*'Coincidence Factors'!$B$5)*('Inputs-Proposals'!$E$29*'Inputs-Proposals'!$E$31*(1-'Inputs-Proposals'!$E$32))*(VLOOKUP(BL$3,DRIPE!$A$54:$I$80,5,FALSE)-VLOOKUP(BL$3,DRIPE!$A$54:$I$80,6,FALSE)+VLOOKUP(BL$3,DRIPE!$A$54:$I$80,9,FALSE))+ ('Inputs-System'!$C$26*'Coincidence Factors'!$B$5*(1+'Inputs-System'!$C$18)*(1+'Inputs-System'!$C$41))*'Inputs-Proposals'!$E$28*VLOOKUP(BL$3,DRIPE!$A$54:$I$80,8,FALSE), $C17 = "0", 0), 0)</f>
        <v>0</v>
      </c>
      <c r="BO17" s="345">
        <f>IFERROR(_xlfn.IFS($C17="1",('Inputs-System'!$C$26*'Coincidence Factors'!$B$5*(1+'Inputs-System'!$C$18)*(1+'Inputs-System'!$C$42))*'Inputs-Proposals'!$E$16*(VLOOKUP(BL$3,Capacity!$A$53:$E$85,4,FALSE)*(1+'Inputs-System'!$C$42)+VLOOKUP(BL$3,Capacity!$A$53:$E$85,5,FALSE)*(1+'Inputs-System'!$C$43)*'Inputs-System'!$C$29), $C17 = "2", ('Inputs-System'!$C$26*'Coincidence Factors'!$B$5*(1+'Inputs-System'!$C$18))*'Inputs-Proposals'!$E$22*(VLOOKUP(BL$3,Capacity!$A$53:$E$85,4,FALSE)*(1+'Inputs-System'!$C$42)+VLOOKUP(BL$3,Capacity!$A$53:$E$85,5,FALSE)*'Inputs-System'!$C$29*(1+'Inputs-System'!$C$43)), $C17 = "3", ('Inputs-System'!$C$26*'Coincidence Factors'!$B$5*(1+'Inputs-System'!$C$18))*'Inputs-Proposals'!$E$28*(VLOOKUP(BL$3,Capacity!$A$53:$E$85,4,FALSE)*(1+'Inputs-System'!$C$42)+VLOOKUP(BL$3,Capacity!$A$53:$E$85,5,FALSE)*'Inputs-System'!$C$29*(1+'Inputs-System'!$C$43)), $C17 = "0", 0), 0)</f>
        <v>0</v>
      </c>
      <c r="BP17" s="100">
        <v>0</v>
      </c>
      <c r="BQ17" s="346">
        <f>IFERROR(_xlfn.IFS($C17="1", 'Inputs-System'!$C$30*'Coincidence Factors'!$B$5*'Inputs-Proposals'!$E$17*'Inputs-Proposals'!$E$19*(VLOOKUP(BL$3,'Non-Embedded Emissions'!$A$56:$D$90,2,FALSE)+VLOOKUP(BL$3,'Non-Embedded Emissions'!$A$143:$D$174,2,FALSE)+VLOOKUP(BL$3,'Non-Embedded Emissions'!$A$230:$D$259,2,FALSE)-VLOOKUP(BL$3,'Non-Embedded Emissions'!$A$56:$D$90,3,FALSE)-VLOOKUP(BL$3,'Non-Embedded Emissions'!$A$143:$D$174,3,FALSE)-VLOOKUP(BL$3,'Non-Embedded Emissions'!$A$230:$D$259,3,FALSE)), $C17 = "2", 'Inputs-System'!$C$30*'Coincidence Factors'!$B$5*'Inputs-Proposals'!$E$23*'Inputs-Proposals'!$E$25*(VLOOKUP(BL$3,'Non-Embedded Emissions'!$A$56:$D$90,2,FALSE)+VLOOKUP(BL$3,'Non-Embedded Emissions'!$A$143:$D$174,2,FALSE)+VLOOKUP(BL$3,'Non-Embedded Emissions'!$A$230:$D$259,2,FALSE)-VLOOKUP(BL$3,'Non-Embedded Emissions'!$A$56:$D$90,3,FALSE)-VLOOKUP(BL$3,'Non-Embedded Emissions'!$A$143:$D$174,3,FALSE)-VLOOKUP(BL$3,'Non-Embedded Emissions'!$A$230:$D$259,3,FALSE)), $C17 = "3", 'Inputs-System'!$C$30*'Coincidence Factors'!$B$5*'Inputs-Proposals'!$E$29*'Inputs-Proposals'!$E$31*(VLOOKUP(BL$3,'Non-Embedded Emissions'!$A$56:$D$90,2,FALSE)+VLOOKUP(BL$3,'Non-Embedded Emissions'!$A$143:$D$174,2,FALSE)+VLOOKUP(BL$3,'Non-Embedded Emissions'!$A$230:$D$259,2,FALSE)-VLOOKUP(BL$3,'Non-Embedded Emissions'!$A$56:$D$90,3,FALSE)-VLOOKUP(BL$3,'Non-Embedded Emissions'!$A$143:$D$174,3,FALSE)-VLOOKUP(BL$3,'Non-Embedded Emissions'!$A$230:$D$259,3,FALSE)), $C17 = "0", 0), 0)</f>
        <v>0</v>
      </c>
      <c r="BR17" s="345">
        <f>IFERROR(_xlfn.IFS($C17="1",('Inputs-System'!$C$30*'Coincidence Factors'!$B$5*(1+'Inputs-System'!$C$18)*(1+'Inputs-System'!$C$41)*('Inputs-Proposals'!$E$17*'Inputs-Proposals'!$E$19*(1-'Inputs-Proposals'!$E$20))*(VLOOKUP(BR$3,Energy!$A$51:$K$83,5,FALSE)-VLOOKUP(BR$3,Energy!$A$51:$K$83,6,FALSE))), $C17 = "2",('Inputs-System'!$C$30*'Coincidence Factors'!$B$5)*(1+'Inputs-System'!$C$18)*(1+'Inputs-System'!$C$41)*('Inputs-Proposals'!$E$23*'Inputs-Proposals'!$E$25*(1-'Inputs-Proposals'!$E$26))*(VLOOKUP(BR$3,Energy!$A$51:$K$83,5,FALSE)-VLOOKUP(BR$3,Energy!$A$51:$K$83,6,FALSE)), $C17= "3", ('Inputs-System'!$C$30*'Coincidence Factors'!$B$5*(1+'Inputs-System'!$C$18)*(1+'Inputs-System'!$C$41)*('Inputs-Proposals'!$E$29*'Inputs-Proposals'!$E$31*(1-'Inputs-Proposals'!$E$32))*(VLOOKUP(BR$3,Energy!$A$51:$K$83,5,FALSE)-VLOOKUP(BR$3,Energy!$A$51:$K$83,6,FALSE))), $C17= "0", 0), 0)</f>
        <v>0</v>
      </c>
      <c r="BS17" s="100">
        <f>IFERROR(_xlfn.IFS($C17="1", 'Inputs-System'!$C$30*'Coincidence Factors'!$B$5*(1+'Inputs-System'!$C$18)*(1+'Inputs-System'!$C$41)*'Inputs-Proposals'!$E$17*'Inputs-Proposals'!$E$19*(1-'Inputs-Proposals'!$E$20)*(VLOOKUP(BR$3,'Embedded Emissions'!$A$47:$B$78,2,FALSE)+VLOOKUP(BR$3,'Embedded Emissions'!$A$129:$B$158,2,FALSE)), $C17 = "2",'Inputs-System'!$C$30*'Coincidence Factors'!$B$5*(1+'Inputs-System'!$C$18)*(1+'Inputs-System'!$C$41)*'Inputs-Proposals'!$E$23*'Inputs-Proposals'!$E$25*(1-'Inputs-Proposals'!$E$20)*(VLOOKUP(BR$3,'Embedded Emissions'!$A$47:$B$78,2,FALSE)+VLOOKUP(BR$3,'Embedded Emissions'!$A$129:$B$158,2,FALSE)), $C17 = "3", 'Inputs-System'!$C$30*'Coincidence Factors'!$B$5*(1+'Inputs-System'!$C$18)*(1+'Inputs-System'!$C$41)*'Inputs-Proposals'!$E$29*'Inputs-Proposals'!$E$31*(1-'Inputs-Proposals'!$E$20)*(VLOOKUP(BR$3,'Embedded Emissions'!$A$47:$B$78,2,FALSE)+VLOOKUP(BR$3,'Embedded Emissions'!$A$129:$B$158,2,FALSE)), $C17 = "0", 0), 0)</f>
        <v>0</v>
      </c>
      <c r="BT17" s="100">
        <f>IFERROR(_xlfn.IFS($C17="1",( 'Inputs-System'!$C$30*'Coincidence Factors'!$B$5*(1+'Inputs-System'!$C$18)*(1+'Inputs-System'!$C$41))*('Inputs-Proposals'!$E$17*'Inputs-Proposals'!$E$19*(1-'Inputs-Proposals'!$E$20))*(VLOOKUP(BR$3,DRIPE!$A$54:$I$82,5,FALSE)-VLOOKUP(BR$3,DRIPE!$A$54:$I$82,6,FALSE)+VLOOKUP(BR$3,DRIPE!$A$54:$I$82,9,FALSE))+ ('Inputs-System'!$C$26*'Coincidence Factors'!$B$5*(1+'Inputs-System'!$C$18)*(1+'Inputs-System'!$C$41))*'Inputs-Proposals'!$E$16*VLOOKUP(BR$3,DRIPE!$A$54:$I$80,8,FALSE), $C17 = "2",( 'Inputs-System'!$C$30*'Coincidence Factors'!$B$5*(1+'Inputs-System'!$C$18)*(1+'Inputs-System'!$C$41))*('Inputs-Proposals'!$E$23*'Inputs-Proposals'!$E$25*(1-'Inputs-Proposals'!$E$26))*(VLOOKUP(BR$3,DRIPE!$A$54:$I$82,5,FALSE)-VLOOKUP(BR$3,DRIPE!$A$54:$I$82,6,FALSE)+VLOOKUP(BR$3,DRIPE!$A$54:$I$82,9,FALSE))+ ('Inputs-System'!$C$26*'Coincidence Factors'!$B$5*(1+'Inputs-System'!$C$18)*(1+'Inputs-System'!$C$41))+ ('Inputs-System'!$C$26*'Coincidence Factors'!$B$5)*'Inputs-Proposals'!$E$22*VLOOKUP(BR$3,DRIPE!$A$54:$I$80,8,FALSE), $C17= "3", ('Inputs-System'!$C$30*'Coincidence Factors'!$B$5)*('Inputs-Proposals'!$E$29*'Inputs-Proposals'!$E$31*(1-'Inputs-Proposals'!$E$32))*(VLOOKUP(BR$3,DRIPE!$A$54:$I$80,5,FALSE)-VLOOKUP(BR$3,DRIPE!$A$54:$I$80,6,FALSE)+VLOOKUP(BR$3,DRIPE!$A$54:$I$80,9,FALSE))+ ('Inputs-System'!$C$26*'Coincidence Factors'!$B$5*(1+'Inputs-System'!$C$18)*(1+'Inputs-System'!$C$41))*'Inputs-Proposals'!$E$28*VLOOKUP(BR$3,DRIPE!$A$54:$I$80,8,FALSE), $C17 = "0", 0), 0)</f>
        <v>0</v>
      </c>
      <c r="BU17" s="345">
        <f>IFERROR(_xlfn.IFS($C17="1",('Inputs-System'!$C$26*'Coincidence Factors'!$B$5*(1+'Inputs-System'!$C$18)*(1+'Inputs-System'!$C$42))*'Inputs-Proposals'!$E$16*(VLOOKUP(BR$3,Capacity!$A$53:$E$85,4,FALSE)*(1+'Inputs-System'!$C$42)+VLOOKUP(BR$3,Capacity!$A$53:$E$85,5,FALSE)*(1+'Inputs-System'!$C$43)*'Inputs-System'!$C$29), $C17 = "2", ('Inputs-System'!$C$26*'Coincidence Factors'!$B$5*(1+'Inputs-System'!$C$18))*'Inputs-Proposals'!$E$22*(VLOOKUP(BR$3,Capacity!$A$53:$E$85,4,FALSE)*(1+'Inputs-System'!$C$42)+VLOOKUP(BR$3,Capacity!$A$53:$E$85,5,FALSE)*'Inputs-System'!$C$29*(1+'Inputs-System'!$C$43)), $C17 = "3", ('Inputs-System'!$C$26*'Coincidence Factors'!$B$5*(1+'Inputs-System'!$C$18))*'Inputs-Proposals'!$E$28*(VLOOKUP(BR$3,Capacity!$A$53:$E$85,4,FALSE)*(1+'Inputs-System'!$C$42)+VLOOKUP(BR$3,Capacity!$A$53:$E$85,5,FALSE)*'Inputs-System'!$C$29*(1+'Inputs-System'!$C$43)), $C17 = "0", 0), 0)</f>
        <v>0</v>
      </c>
      <c r="BV17" s="100">
        <v>0</v>
      </c>
      <c r="BW17" s="346">
        <f>IFERROR(_xlfn.IFS($C17="1", 'Inputs-System'!$C$30*'Coincidence Factors'!$B$5*'Inputs-Proposals'!$E$17*'Inputs-Proposals'!$E$19*(VLOOKUP(BR$3,'Non-Embedded Emissions'!$A$56:$D$90,2,FALSE)+VLOOKUP(BR$3,'Non-Embedded Emissions'!$A$143:$D$174,2,FALSE)+VLOOKUP(BR$3,'Non-Embedded Emissions'!$A$230:$D$259,2,FALSE)-VLOOKUP(BR$3,'Non-Embedded Emissions'!$A$56:$D$90,3,FALSE)-VLOOKUP(BR$3,'Non-Embedded Emissions'!$A$143:$D$174,3,FALSE)-VLOOKUP(BR$3,'Non-Embedded Emissions'!$A$230:$D$259,3,FALSE)), $C17 = "2", 'Inputs-System'!$C$30*'Coincidence Factors'!$B$5*'Inputs-Proposals'!$E$23*'Inputs-Proposals'!$E$25*(VLOOKUP(BR$3,'Non-Embedded Emissions'!$A$56:$D$90,2,FALSE)+VLOOKUP(BR$3,'Non-Embedded Emissions'!$A$143:$D$174,2,FALSE)+VLOOKUP(BR$3,'Non-Embedded Emissions'!$A$230:$D$259,2,FALSE)-VLOOKUP(BR$3,'Non-Embedded Emissions'!$A$56:$D$90,3,FALSE)-VLOOKUP(BR$3,'Non-Embedded Emissions'!$A$143:$D$174,3,FALSE)-VLOOKUP(BR$3,'Non-Embedded Emissions'!$A$230:$D$259,3,FALSE)), $C17 = "3", 'Inputs-System'!$C$30*'Coincidence Factors'!$B$5*'Inputs-Proposals'!$E$29*'Inputs-Proposals'!$E$31*(VLOOKUP(BR$3,'Non-Embedded Emissions'!$A$56:$D$90,2,FALSE)+VLOOKUP(BR$3,'Non-Embedded Emissions'!$A$143:$D$174,2,FALSE)+VLOOKUP(BR$3,'Non-Embedded Emissions'!$A$230:$D$259,2,FALSE)-VLOOKUP(BR$3,'Non-Embedded Emissions'!$A$56:$D$90,3,FALSE)-VLOOKUP(BR$3,'Non-Embedded Emissions'!$A$143:$D$174,3,FALSE)-VLOOKUP(BR$3,'Non-Embedded Emissions'!$A$230:$D$259,3,FALSE)), $C17 = "0", 0), 0)</f>
        <v>0</v>
      </c>
      <c r="BX17" s="345">
        <f>IFERROR(_xlfn.IFS($C17="1",('Inputs-System'!$C$30*'Coincidence Factors'!$B$5*(1+'Inputs-System'!$C$18)*(1+'Inputs-System'!$C$41)*('Inputs-Proposals'!$E$17*'Inputs-Proposals'!$E$19*(1-'Inputs-Proposals'!$E$20))*(VLOOKUP(BX$3,Energy!$A$51:$K$83,5,FALSE)-VLOOKUP(BX$3,Energy!$A$51:$K$83,6,FALSE))), $C17 = "2",('Inputs-System'!$C$30*'Coincidence Factors'!$B$5)*(1+'Inputs-System'!$C$18)*(1+'Inputs-System'!$C$41)*('Inputs-Proposals'!$E$23*'Inputs-Proposals'!$E$25*(1-'Inputs-Proposals'!$E$26))*(VLOOKUP(BX$3,Energy!$A$51:$K$83,5,FALSE)-VLOOKUP(BX$3,Energy!$A$51:$K$83,6,FALSE)), $C17= "3", ('Inputs-System'!$C$30*'Coincidence Factors'!$B$5*(1+'Inputs-System'!$C$18)*(1+'Inputs-System'!$C$41)*('Inputs-Proposals'!$E$29*'Inputs-Proposals'!$E$31*(1-'Inputs-Proposals'!$E$32))*(VLOOKUP(BX$3,Energy!$A$51:$K$83,5,FALSE)-VLOOKUP(BX$3,Energy!$A$51:$K$83,6,FALSE))), $C17= "0", 0), 0)</f>
        <v>0</v>
      </c>
      <c r="BY17" s="100">
        <f>IFERROR(_xlfn.IFS($C17="1", 'Inputs-System'!$C$30*'Coincidence Factors'!$B$5*(1+'Inputs-System'!$C$18)*(1+'Inputs-System'!$C$41)*'Inputs-Proposals'!$E$17*'Inputs-Proposals'!$E$19*(1-'Inputs-Proposals'!$E$20)*(VLOOKUP(BX$3,'Embedded Emissions'!$A$47:$B$78,2,FALSE)+VLOOKUP(BX$3,'Embedded Emissions'!$A$129:$B$158,2,FALSE)), $C17 = "2",'Inputs-System'!$C$30*'Coincidence Factors'!$B$5*(1+'Inputs-System'!$C$18)*(1+'Inputs-System'!$C$41)*'Inputs-Proposals'!$E$23*'Inputs-Proposals'!$E$25*(1-'Inputs-Proposals'!$E$20)*(VLOOKUP(BX$3,'Embedded Emissions'!$A$47:$B$78,2,FALSE)+VLOOKUP(BX$3,'Embedded Emissions'!$A$129:$B$158,2,FALSE)), $C17 = "3", 'Inputs-System'!$C$30*'Coincidence Factors'!$B$5*(1+'Inputs-System'!$C$18)*(1+'Inputs-System'!$C$41)*'Inputs-Proposals'!$E$29*'Inputs-Proposals'!$E$31*(1-'Inputs-Proposals'!$E$20)*(VLOOKUP(BX$3,'Embedded Emissions'!$A$47:$B$78,2,FALSE)+VLOOKUP(BX$3,'Embedded Emissions'!$A$129:$B$158,2,FALSE)), $C17 = "0", 0), 0)</f>
        <v>0</v>
      </c>
      <c r="BZ17" s="100">
        <f>IFERROR(_xlfn.IFS($C17="1",( 'Inputs-System'!$C$30*'Coincidence Factors'!$B$5*(1+'Inputs-System'!$C$18)*(1+'Inputs-System'!$C$41))*('Inputs-Proposals'!$E$17*'Inputs-Proposals'!$E$19*(1-'Inputs-Proposals'!$E$20))*(VLOOKUP(BX$3,DRIPE!$A$54:$I$82,5,FALSE)-VLOOKUP(BX$3,DRIPE!$A$54:$I$82,6,FALSE)+VLOOKUP(BX$3,DRIPE!$A$54:$I$82,9,FALSE))+ ('Inputs-System'!$C$26*'Coincidence Factors'!$B$5*(1+'Inputs-System'!$C$18)*(1+'Inputs-System'!$C$41))*'Inputs-Proposals'!$E$16*VLOOKUP(BX$3,DRIPE!$A$54:$I$80,8,FALSE), $C17 = "2",( 'Inputs-System'!$C$30*'Coincidence Factors'!$B$5*(1+'Inputs-System'!$C$18)*(1+'Inputs-System'!$C$41))*('Inputs-Proposals'!$E$23*'Inputs-Proposals'!$E$25*(1-'Inputs-Proposals'!$E$26))*(VLOOKUP(BX$3,DRIPE!$A$54:$I$82,5,FALSE)-VLOOKUP(BX$3,DRIPE!$A$54:$I$82,6,FALSE)+VLOOKUP(BX$3,DRIPE!$A$54:$I$82,9,FALSE))+ ('Inputs-System'!$C$26*'Coincidence Factors'!$B$5*(1+'Inputs-System'!$C$18)*(1+'Inputs-System'!$C$41))+ ('Inputs-System'!$C$26*'Coincidence Factors'!$B$5)*'Inputs-Proposals'!$E$22*VLOOKUP(BX$3,DRIPE!$A$54:$I$80,8,FALSE), $C17= "3", ('Inputs-System'!$C$30*'Coincidence Factors'!$B$5)*('Inputs-Proposals'!$E$29*'Inputs-Proposals'!$E$31*(1-'Inputs-Proposals'!$E$32))*(VLOOKUP(BX$3,DRIPE!$A$54:$I$80,5,FALSE)-VLOOKUP(BX$3,DRIPE!$A$54:$I$80,6,FALSE)+VLOOKUP(BX$3,DRIPE!$A$54:$I$80,9,FALSE))+ ('Inputs-System'!$C$26*'Coincidence Factors'!$B$5*(1+'Inputs-System'!$C$18)*(1+'Inputs-System'!$C$41))*'Inputs-Proposals'!$E$28*VLOOKUP(BX$3,DRIPE!$A$54:$I$80,8,FALSE), $C17 = "0", 0), 0)</f>
        <v>0</v>
      </c>
      <c r="CA17" s="345">
        <f>IFERROR(_xlfn.IFS($C17="1",('Inputs-System'!$C$26*'Coincidence Factors'!$B$5*(1+'Inputs-System'!$C$18)*(1+'Inputs-System'!$C$42))*'Inputs-Proposals'!$E$16*(VLOOKUP(BX$3,Capacity!$A$53:$E$85,4,FALSE)*(1+'Inputs-System'!$C$42)+VLOOKUP(BX$3,Capacity!$A$53:$E$85,5,FALSE)*(1+'Inputs-System'!$C$43)*'Inputs-System'!$C$29), $C17 = "2", ('Inputs-System'!$C$26*'Coincidence Factors'!$B$5*(1+'Inputs-System'!$C$18))*'Inputs-Proposals'!$E$22*(VLOOKUP(BX$3,Capacity!$A$53:$E$85,4,FALSE)*(1+'Inputs-System'!$C$42)+VLOOKUP(BX$3,Capacity!$A$53:$E$85,5,FALSE)*'Inputs-System'!$C$29*(1+'Inputs-System'!$C$43)), $C17 = "3", ('Inputs-System'!$C$26*'Coincidence Factors'!$B$5*(1+'Inputs-System'!$C$18))*'Inputs-Proposals'!$E$28*(VLOOKUP(BX$3,Capacity!$A$53:$E$85,4,FALSE)*(1+'Inputs-System'!$C$42)+VLOOKUP(BX$3,Capacity!$A$53:$E$85,5,FALSE)*'Inputs-System'!$C$29*(1+'Inputs-System'!$C$43)), $C17 = "0", 0), 0)</f>
        <v>0</v>
      </c>
      <c r="CB17" s="100">
        <v>0</v>
      </c>
      <c r="CC17" s="346">
        <f>IFERROR(_xlfn.IFS($C17="1", 'Inputs-System'!$C$30*'Coincidence Factors'!$B$5*'Inputs-Proposals'!$E$17*'Inputs-Proposals'!$E$19*(VLOOKUP(BX$3,'Non-Embedded Emissions'!$A$56:$D$90,2,FALSE)+VLOOKUP(BX$3,'Non-Embedded Emissions'!$A$143:$D$174,2,FALSE)+VLOOKUP(BX$3,'Non-Embedded Emissions'!$A$230:$D$259,2,FALSE)-VLOOKUP(BX$3,'Non-Embedded Emissions'!$A$56:$D$90,3,FALSE)-VLOOKUP(BX$3,'Non-Embedded Emissions'!$A$143:$D$174,3,FALSE)-VLOOKUP(BX$3,'Non-Embedded Emissions'!$A$230:$D$259,3,FALSE)), $C17 = "2", 'Inputs-System'!$C$30*'Coincidence Factors'!$B$5*'Inputs-Proposals'!$E$23*'Inputs-Proposals'!$E$25*(VLOOKUP(BX$3,'Non-Embedded Emissions'!$A$56:$D$90,2,FALSE)+VLOOKUP(BX$3,'Non-Embedded Emissions'!$A$143:$D$174,2,FALSE)+VLOOKUP(BX$3,'Non-Embedded Emissions'!$A$230:$D$259,2,FALSE)-VLOOKUP(BX$3,'Non-Embedded Emissions'!$A$56:$D$90,3,FALSE)-VLOOKUP(BX$3,'Non-Embedded Emissions'!$A$143:$D$174,3,FALSE)-VLOOKUP(BX$3,'Non-Embedded Emissions'!$A$230:$D$259,3,FALSE)), $C17 = "3", 'Inputs-System'!$C$30*'Coincidence Factors'!$B$5*'Inputs-Proposals'!$E$29*'Inputs-Proposals'!$E$31*(VLOOKUP(BX$3,'Non-Embedded Emissions'!$A$56:$D$90,2,FALSE)+VLOOKUP(BX$3,'Non-Embedded Emissions'!$A$143:$D$174,2,FALSE)+VLOOKUP(BX$3,'Non-Embedded Emissions'!$A$230:$D$259,2,FALSE)-VLOOKUP(BX$3,'Non-Embedded Emissions'!$A$56:$D$90,3,FALSE)-VLOOKUP(BX$3,'Non-Embedded Emissions'!$A$143:$D$174,3,FALSE)-VLOOKUP(BX$3,'Non-Embedded Emissions'!$A$230:$D$259,3,FALSE)), $C17 = "0", 0), 0)</f>
        <v>0</v>
      </c>
      <c r="CD17" s="345">
        <f>IFERROR(_xlfn.IFS($C17="1",('Inputs-System'!$C$30*'Coincidence Factors'!$B$5*(1+'Inputs-System'!$C$18)*(1+'Inputs-System'!$C$41)*('Inputs-Proposals'!$E$17*'Inputs-Proposals'!$E$19*(1-'Inputs-Proposals'!$E$20))*(VLOOKUP(CD$3,Energy!$A$51:$K$83,5,FALSE)-VLOOKUP(CD$3,Energy!$A$51:$K$83,6,FALSE))), $C17 = "2",('Inputs-System'!$C$30*'Coincidence Factors'!$B$5)*(1+'Inputs-System'!$C$18)*(1+'Inputs-System'!$C$41)*('Inputs-Proposals'!$E$23*'Inputs-Proposals'!$E$25*(1-'Inputs-Proposals'!$E$26))*(VLOOKUP(CD$3,Energy!$A$51:$K$83,5,FALSE)-VLOOKUP(CD$3,Energy!$A$51:$K$83,6,FALSE)), $C17= "3", ('Inputs-System'!$C$30*'Coincidence Factors'!$B$5*(1+'Inputs-System'!$C$18)*(1+'Inputs-System'!$C$41)*('Inputs-Proposals'!$E$29*'Inputs-Proposals'!$E$31*(1-'Inputs-Proposals'!$E$32))*(VLOOKUP(CD$3,Energy!$A$51:$K$83,5,FALSE)-VLOOKUP(CD$3,Energy!$A$51:$K$83,6,FALSE))), $C17= "0", 0), 0)</f>
        <v>0</v>
      </c>
      <c r="CE17" s="100">
        <f>IFERROR(_xlfn.IFS($C17="1", 'Inputs-System'!$C$30*'Coincidence Factors'!$B$5*(1+'Inputs-System'!$C$18)*(1+'Inputs-System'!$C$41)*'Inputs-Proposals'!$E$17*'Inputs-Proposals'!$E$19*(1-'Inputs-Proposals'!$E$20)*(VLOOKUP(CD$3,'Embedded Emissions'!$A$47:$B$78,2,FALSE)+VLOOKUP(CD$3,'Embedded Emissions'!$A$129:$B$158,2,FALSE)), $C17 = "2",'Inputs-System'!$C$30*'Coincidence Factors'!$B$5*(1+'Inputs-System'!$C$18)*(1+'Inputs-System'!$C$41)*'Inputs-Proposals'!$E$23*'Inputs-Proposals'!$E$25*(1-'Inputs-Proposals'!$E$20)*(VLOOKUP(CD$3,'Embedded Emissions'!$A$47:$B$78,2,FALSE)+VLOOKUP(CD$3,'Embedded Emissions'!$A$129:$B$158,2,FALSE)), $C17 = "3", 'Inputs-System'!$C$30*'Coincidence Factors'!$B$5*(1+'Inputs-System'!$C$18)*(1+'Inputs-System'!$C$41)*'Inputs-Proposals'!$E$29*'Inputs-Proposals'!$E$31*(1-'Inputs-Proposals'!$E$20)*(VLOOKUP(CD$3,'Embedded Emissions'!$A$47:$B$78,2,FALSE)+VLOOKUP(CD$3,'Embedded Emissions'!$A$129:$B$158,2,FALSE)), $C17 = "0", 0), 0)</f>
        <v>0</v>
      </c>
      <c r="CF17" s="100">
        <f>IFERROR(_xlfn.IFS($C17="1",( 'Inputs-System'!$C$30*'Coincidence Factors'!$B$5*(1+'Inputs-System'!$C$18)*(1+'Inputs-System'!$C$41))*('Inputs-Proposals'!$E$17*'Inputs-Proposals'!$E$19*(1-'Inputs-Proposals'!$E$20))*(VLOOKUP(CD$3,DRIPE!$A$54:$I$82,5,FALSE)-VLOOKUP(CD$3,DRIPE!$A$54:$I$82,6,FALSE)+VLOOKUP(CD$3,DRIPE!$A$54:$I$82,9,FALSE))+ ('Inputs-System'!$C$26*'Coincidence Factors'!$B$5*(1+'Inputs-System'!$C$18)*(1+'Inputs-System'!$C$41))*'Inputs-Proposals'!$E$16*VLOOKUP(CD$3,DRIPE!$A$54:$I$80,8,FALSE), $C17 = "2",( 'Inputs-System'!$C$30*'Coincidence Factors'!$B$5*(1+'Inputs-System'!$C$18)*(1+'Inputs-System'!$C$41))*('Inputs-Proposals'!$E$23*'Inputs-Proposals'!$E$25*(1-'Inputs-Proposals'!$E$26))*(VLOOKUP(CD$3,DRIPE!$A$54:$I$82,5,FALSE)-VLOOKUP(CD$3,DRIPE!$A$54:$I$82,6,FALSE)+VLOOKUP(CD$3,DRIPE!$A$54:$I$82,9,FALSE))+ ('Inputs-System'!$C$26*'Coincidence Factors'!$B$5*(1+'Inputs-System'!$C$18)*(1+'Inputs-System'!$C$41))+ ('Inputs-System'!$C$26*'Coincidence Factors'!$B$5)*'Inputs-Proposals'!$E$22*VLOOKUP(CD$3,DRIPE!$A$54:$I$80,8,FALSE), $C17= "3", ('Inputs-System'!$C$30*'Coincidence Factors'!$B$5)*('Inputs-Proposals'!$E$29*'Inputs-Proposals'!$E$31*(1-'Inputs-Proposals'!$E$32))*(VLOOKUP(CD$3,DRIPE!$A$54:$I$80,5,FALSE)-VLOOKUP(CD$3,DRIPE!$A$54:$I$80,6,FALSE)+VLOOKUP(CD$3,DRIPE!$A$54:$I$80,9,FALSE))+ ('Inputs-System'!$C$26*'Coincidence Factors'!$B$5*(1+'Inputs-System'!$C$18)*(1+'Inputs-System'!$C$41))*'Inputs-Proposals'!$E$28*VLOOKUP(CD$3,DRIPE!$A$54:$I$80,8,FALSE), $C17 = "0", 0), 0)</f>
        <v>0</v>
      </c>
      <c r="CG17" s="345">
        <f>IFERROR(_xlfn.IFS($C17="1",('Inputs-System'!$C$26*'Coincidence Factors'!$B$5*(1+'Inputs-System'!$C$18)*(1+'Inputs-System'!$C$42))*'Inputs-Proposals'!$E$16*(VLOOKUP(CD$3,Capacity!$A$53:$E$85,4,FALSE)*(1+'Inputs-System'!$C$42)+VLOOKUP(CD$3,Capacity!$A$53:$E$85,5,FALSE)*(1+'Inputs-System'!$C$43)*'Inputs-System'!$C$29), $C17 = "2", ('Inputs-System'!$C$26*'Coincidence Factors'!$B$5*(1+'Inputs-System'!$C$18))*'Inputs-Proposals'!$E$22*(VLOOKUP(CD$3,Capacity!$A$53:$E$85,4,FALSE)*(1+'Inputs-System'!$C$42)+VLOOKUP(CD$3,Capacity!$A$53:$E$85,5,FALSE)*'Inputs-System'!$C$29*(1+'Inputs-System'!$C$43)), $C17 = "3", ('Inputs-System'!$C$26*'Coincidence Factors'!$B$5*(1+'Inputs-System'!$C$18))*'Inputs-Proposals'!$E$28*(VLOOKUP(CD$3,Capacity!$A$53:$E$85,4,FALSE)*(1+'Inputs-System'!$C$42)+VLOOKUP(CD$3,Capacity!$A$53:$E$85,5,FALSE)*'Inputs-System'!$C$29*(1+'Inputs-System'!$C$43)), $C17 = "0", 0), 0)</f>
        <v>0</v>
      </c>
      <c r="CH17" s="100">
        <v>0</v>
      </c>
      <c r="CI17" s="346">
        <f>IFERROR(_xlfn.IFS($C17="1", 'Inputs-System'!$C$30*'Coincidence Factors'!$B$5*'Inputs-Proposals'!$E$17*'Inputs-Proposals'!$E$19*(VLOOKUP(CD$3,'Non-Embedded Emissions'!$A$56:$D$90,2,FALSE)+VLOOKUP(CD$3,'Non-Embedded Emissions'!$A$143:$D$174,2,FALSE)+VLOOKUP(CD$3,'Non-Embedded Emissions'!$A$230:$D$259,2,FALSE)-VLOOKUP(CD$3,'Non-Embedded Emissions'!$A$56:$D$90,3,FALSE)-VLOOKUP(CD$3,'Non-Embedded Emissions'!$A$143:$D$174,3,FALSE)-VLOOKUP(CD$3,'Non-Embedded Emissions'!$A$230:$D$259,3,FALSE)), $C17 = "2", 'Inputs-System'!$C$30*'Coincidence Factors'!$B$5*'Inputs-Proposals'!$E$23*'Inputs-Proposals'!$E$25*(VLOOKUP(CD$3,'Non-Embedded Emissions'!$A$56:$D$90,2,FALSE)+VLOOKUP(CD$3,'Non-Embedded Emissions'!$A$143:$D$174,2,FALSE)+VLOOKUP(CD$3,'Non-Embedded Emissions'!$A$230:$D$259,2,FALSE)-VLOOKUP(CD$3,'Non-Embedded Emissions'!$A$56:$D$90,3,FALSE)-VLOOKUP(CD$3,'Non-Embedded Emissions'!$A$143:$D$174,3,FALSE)-VLOOKUP(CD$3,'Non-Embedded Emissions'!$A$230:$D$259,3,FALSE)), $C17 = "3", 'Inputs-System'!$C$30*'Coincidence Factors'!$B$5*'Inputs-Proposals'!$E$29*'Inputs-Proposals'!$E$31*(VLOOKUP(CD$3,'Non-Embedded Emissions'!$A$56:$D$90,2,FALSE)+VLOOKUP(CD$3,'Non-Embedded Emissions'!$A$143:$D$174,2,FALSE)+VLOOKUP(CD$3,'Non-Embedded Emissions'!$A$230:$D$259,2,FALSE)-VLOOKUP(CD$3,'Non-Embedded Emissions'!$A$56:$D$90,3,FALSE)-VLOOKUP(CD$3,'Non-Embedded Emissions'!$A$143:$D$174,3,FALSE)-VLOOKUP(CD$3,'Non-Embedded Emissions'!$A$230:$D$259,3,FALSE)), $C17 = "0", 0), 0)</f>
        <v>0</v>
      </c>
      <c r="CJ17" s="345">
        <f>IFERROR(_xlfn.IFS($C17="1",('Inputs-System'!$C$30*'Coincidence Factors'!$B$5*(1+'Inputs-System'!$C$18)*(1+'Inputs-System'!$C$41)*('Inputs-Proposals'!$E$17*'Inputs-Proposals'!$E$19*(1-'Inputs-Proposals'!$E$20))*(VLOOKUP(CJ$3,Energy!$A$51:$K$83,5,FALSE)-VLOOKUP(CJ$3,Energy!$A$51:$K$83,6,FALSE))), $C17 = "2",('Inputs-System'!$C$30*'Coincidence Factors'!$B$5)*(1+'Inputs-System'!$C$18)*(1+'Inputs-System'!$C$41)*('Inputs-Proposals'!$E$23*'Inputs-Proposals'!$E$25*(1-'Inputs-Proposals'!$E$26))*(VLOOKUP(CJ$3,Energy!$A$51:$K$83,5,FALSE)-VLOOKUP(CJ$3,Energy!$A$51:$K$83,6,FALSE)), $C17= "3", ('Inputs-System'!$C$30*'Coincidence Factors'!$B$5*(1+'Inputs-System'!$C$18)*(1+'Inputs-System'!$C$41)*('Inputs-Proposals'!$E$29*'Inputs-Proposals'!$E$31*(1-'Inputs-Proposals'!$E$32))*(VLOOKUP(CJ$3,Energy!$A$51:$K$83,5,FALSE)-VLOOKUP(CJ$3,Energy!$A$51:$K$83,6,FALSE))), $C17= "0", 0), 0)</f>
        <v>0</v>
      </c>
      <c r="CK17" s="100">
        <f>IFERROR(_xlfn.IFS($C17="1", 'Inputs-System'!$C$30*'Coincidence Factors'!$B$5*(1+'Inputs-System'!$C$18)*(1+'Inputs-System'!$C$41)*'Inputs-Proposals'!$E$17*'Inputs-Proposals'!$E$19*(1-'Inputs-Proposals'!$E$20)*(VLOOKUP(CJ$3,'Embedded Emissions'!$A$47:$B$78,2,FALSE)+VLOOKUP(CJ$3,'Embedded Emissions'!$A$129:$B$158,2,FALSE)), $C17 = "2",'Inputs-System'!$C$30*'Coincidence Factors'!$B$5*(1+'Inputs-System'!$C$18)*(1+'Inputs-System'!$C$41)*'Inputs-Proposals'!$E$23*'Inputs-Proposals'!$E$25*(1-'Inputs-Proposals'!$E$20)*(VLOOKUP(CJ$3,'Embedded Emissions'!$A$47:$B$78,2,FALSE)+VLOOKUP(CJ$3,'Embedded Emissions'!$A$129:$B$158,2,FALSE)), $C17 = "3", 'Inputs-System'!$C$30*'Coincidence Factors'!$B$5*(1+'Inputs-System'!$C$18)*(1+'Inputs-System'!$C$41)*'Inputs-Proposals'!$E$29*'Inputs-Proposals'!$E$31*(1-'Inputs-Proposals'!$E$20)*(VLOOKUP(CJ$3,'Embedded Emissions'!$A$47:$B$78,2,FALSE)+VLOOKUP(CJ$3,'Embedded Emissions'!$A$129:$B$158,2,FALSE)), $C17 = "0", 0), 0)</f>
        <v>0</v>
      </c>
      <c r="CL17" s="100">
        <f>IFERROR(_xlfn.IFS($C17="1",( 'Inputs-System'!$C$30*'Coincidence Factors'!$B$5*(1+'Inputs-System'!$C$18)*(1+'Inputs-System'!$C$41))*('Inputs-Proposals'!$E$17*'Inputs-Proposals'!$E$19*(1-'Inputs-Proposals'!$E$20))*(VLOOKUP(CJ$3,DRIPE!$A$54:$I$82,5,FALSE)-VLOOKUP(CJ$3,DRIPE!$A$54:$I$82,6,FALSE)+VLOOKUP(CJ$3,DRIPE!$A$54:$I$82,9,FALSE))+ ('Inputs-System'!$C$26*'Coincidence Factors'!$B$5*(1+'Inputs-System'!$C$18)*(1+'Inputs-System'!$C$41))*'Inputs-Proposals'!$E$16*VLOOKUP(CJ$3,DRIPE!$A$54:$I$80,8,FALSE), $C17 = "2",( 'Inputs-System'!$C$30*'Coincidence Factors'!$B$5*(1+'Inputs-System'!$C$18)*(1+'Inputs-System'!$C$41))*('Inputs-Proposals'!$E$23*'Inputs-Proposals'!$E$25*(1-'Inputs-Proposals'!$E$26))*(VLOOKUP(CJ$3,DRIPE!$A$54:$I$82,5,FALSE)-VLOOKUP(CJ$3,DRIPE!$A$54:$I$82,6,FALSE)+VLOOKUP(CJ$3,DRIPE!$A$54:$I$82,9,FALSE))+ ('Inputs-System'!$C$26*'Coincidence Factors'!$B$5*(1+'Inputs-System'!$C$18)*(1+'Inputs-System'!$C$41))+ ('Inputs-System'!$C$26*'Coincidence Factors'!$B$5)*'Inputs-Proposals'!$E$22*VLOOKUP(CJ$3,DRIPE!$A$54:$I$80,8,FALSE), $C17= "3", ('Inputs-System'!$C$30*'Coincidence Factors'!$B$5)*('Inputs-Proposals'!$E$29*'Inputs-Proposals'!$E$31*(1-'Inputs-Proposals'!$E$32))*(VLOOKUP(CJ$3,DRIPE!$A$54:$I$80,5,FALSE)-VLOOKUP(CJ$3,DRIPE!$A$54:$I$80,6,FALSE)+VLOOKUP(CJ$3,DRIPE!$A$54:$I$80,9,FALSE))+ ('Inputs-System'!$C$26*'Coincidence Factors'!$B$5*(1+'Inputs-System'!$C$18)*(1+'Inputs-System'!$C$41))*'Inputs-Proposals'!$E$28*VLOOKUP(CJ$3,DRIPE!$A$54:$I$80,8,FALSE), $C17 = "0", 0), 0)</f>
        <v>0</v>
      </c>
      <c r="CM17" s="345">
        <f>IFERROR(_xlfn.IFS($C17="1",('Inputs-System'!$C$26*'Coincidence Factors'!$B$5*(1+'Inputs-System'!$C$18)*(1+'Inputs-System'!$C$42))*'Inputs-Proposals'!$E$16*(VLOOKUP(CJ$3,Capacity!$A$53:$E$85,4,FALSE)*(1+'Inputs-System'!$C$42)+VLOOKUP(CJ$3,Capacity!$A$53:$E$85,5,FALSE)*(1+'Inputs-System'!$C$43)*'Inputs-System'!$C$29), $C17 = "2", ('Inputs-System'!$C$26*'Coincidence Factors'!$B$5*(1+'Inputs-System'!$C$18))*'Inputs-Proposals'!$E$22*(VLOOKUP(CJ$3,Capacity!$A$53:$E$85,4,FALSE)*(1+'Inputs-System'!$C$42)+VLOOKUP(CJ$3,Capacity!$A$53:$E$85,5,FALSE)*'Inputs-System'!$C$29*(1+'Inputs-System'!$C$43)), $C17 = "3", ('Inputs-System'!$C$26*'Coincidence Factors'!$B$5*(1+'Inputs-System'!$C$18))*'Inputs-Proposals'!$E$28*(VLOOKUP(CJ$3,Capacity!$A$53:$E$85,4,FALSE)*(1+'Inputs-System'!$C$42)+VLOOKUP(CJ$3,Capacity!$A$53:$E$85,5,FALSE)*'Inputs-System'!$C$29*(1+'Inputs-System'!$C$43)), $C17 = "0", 0), 0)</f>
        <v>0</v>
      </c>
      <c r="CN17" s="100">
        <v>0</v>
      </c>
      <c r="CO17" s="346">
        <f>IFERROR(_xlfn.IFS($C17="1", 'Inputs-System'!$C$30*'Coincidence Factors'!$B$5*'Inputs-Proposals'!$E$17*'Inputs-Proposals'!$E$19*(VLOOKUP(CJ$3,'Non-Embedded Emissions'!$A$56:$D$90,2,FALSE)+VLOOKUP(CJ$3,'Non-Embedded Emissions'!$A$143:$D$174,2,FALSE)+VLOOKUP(CJ$3,'Non-Embedded Emissions'!$A$230:$D$259,2,FALSE)-VLOOKUP(CJ$3,'Non-Embedded Emissions'!$A$56:$D$90,3,FALSE)-VLOOKUP(CJ$3,'Non-Embedded Emissions'!$A$143:$D$174,3,FALSE)-VLOOKUP(CJ$3,'Non-Embedded Emissions'!$A$230:$D$259,3,FALSE)), $C17 = "2", 'Inputs-System'!$C$30*'Coincidence Factors'!$B$5*'Inputs-Proposals'!$E$23*'Inputs-Proposals'!$E$25*(VLOOKUP(CJ$3,'Non-Embedded Emissions'!$A$56:$D$90,2,FALSE)+VLOOKUP(CJ$3,'Non-Embedded Emissions'!$A$143:$D$174,2,FALSE)+VLOOKUP(CJ$3,'Non-Embedded Emissions'!$A$230:$D$259,2,FALSE)-VLOOKUP(CJ$3,'Non-Embedded Emissions'!$A$56:$D$90,3,FALSE)-VLOOKUP(CJ$3,'Non-Embedded Emissions'!$A$143:$D$174,3,FALSE)-VLOOKUP(CJ$3,'Non-Embedded Emissions'!$A$230:$D$259,3,FALSE)), $C17 = "3", 'Inputs-System'!$C$30*'Coincidence Factors'!$B$5*'Inputs-Proposals'!$E$29*'Inputs-Proposals'!$E$31*(VLOOKUP(CJ$3,'Non-Embedded Emissions'!$A$56:$D$90,2,FALSE)+VLOOKUP(CJ$3,'Non-Embedded Emissions'!$A$143:$D$174,2,FALSE)+VLOOKUP(CJ$3,'Non-Embedded Emissions'!$A$230:$D$259,2,FALSE)-VLOOKUP(CJ$3,'Non-Embedded Emissions'!$A$56:$D$90,3,FALSE)-VLOOKUP(CJ$3,'Non-Embedded Emissions'!$A$143:$D$174,3,FALSE)-VLOOKUP(CJ$3,'Non-Embedded Emissions'!$A$230:$D$259,3,FALSE)), $C17 = "0", 0), 0)</f>
        <v>0</v>
      </c>
      <c r="CP17" s="345">
        <f>IFERROR(_xlfn.IFS($C17="1",('Inputs-System'!$C$30*'Coincidence Factors'!$B$5*(1+'Inputs-System'!$C$18)*(1+'Inputs-System'!$C$41)*('Inputs-Proposals'!$E$17*'Inputs-Proposals'!$E$19*(1-'Inputs-Proposals'!$E$20))*(VLOOKUP(CP$3,Energy!$A$51:$K$83,5,FALSE)-VLOOKUP(CP$3,Energy!$A$51:$K$83,6,FALSE))), $C17 = "2",('Inputs-System'!$C$30*'Coincidence Factors'!$B$5)*(1+'Inputs-System'!$C$18)*(1+'Inputs-System'!$C$41)*('Inputs-Proposals'!$E$23*'Inputs-Proposals'!$E$25*(1-'Inputs-Proposals'!$E$26))*(VLOOKUP(CP$3,Energy!$A$51:$K$83,5,FALSE)-VLOOKUP(CP$3,Energy!$A$51:$K$83,6,FALSE)), $C17= "3", ('Inputs-System'!$C$30*'Coincidence Factors'!$B$5*(1+'Inputs-System'!$C$18)*(1+'Inputs-System'!$C$41)*('Inputs-Proposals'!$E$29*'Inputs-Proposals'!$E$31*(1-'Inputs-Proposals'!$E$32))*(VLOOKUP(CP$3,Energy!$A$51:$K$83,5,FALSE)-VLOOKUP(CP$3,Energy!$A$51:$K$83,6,FALSE))), $C17= "0", 0), 0)</f>
        <v>0</v>
      </c>
      <c r="CQ17" s="100">
        <f>IFERROR(_xlfn.IFS($C17="1", 'Inputs-System'!$C$30*'Coincidence Factors'!$B$5*(1+'Inputs-System'!$C$18)*(1+'Inputs-System'!$C$41)*'Inputs-Proposals'!$E$17*'Inputs-Proposals'!$E$19*(1-'Inputs-Proposals'!$E$20)*(VLOOKUP(CP$3,'Embedded Emissions'!$A$47:$B$78,2,FALSE)+VLOOKUP(CP$3,'Embedded Emissions'!$A$129:$B$158,2,FALSE)), $C17 = "2",'Inputs-System'!$C$30*'Coincidence Factors'!$B$5*(1+'Inputs-System'!$C$18)*(1+'Inputs-System'!$C$41)*'Inputs-Proposals'!$E$23*'Inputs-Proposals'!$E$25*(1-'Inputs-Proposals'!$E$20)*(VLOOKUP(CP$3,'Embedded Emissions'!$A$47:$B$78,2,FALSE)+VLOOKUP(CP$3,'Embedded Emissions'!$A$129:$B$158,2,FALSE)), $C17 = "3", 'Inputs-System'!$C$30*'Coincidence Factors'!$B$5*(1+'Inputs-System'!$C$18)*(1+'Inputs-System'!$C$41)*'Inputs-Proposals'!$E$29*'Inputs-Proposals'!$E$31*(1-'Inputs-Proposals'!$E$20)*(VLOOKUP(CP$3,'Embedded Emissions'!$A$47:$B$78,2,FALSE)+VLOOKUP(CP$3,'Embedded Emissions'!$A$129:$B$158,2,FALSE)), $C17 = "0", 0), 0)</f>
        <v>0</v>
      </c>
      <c r="CR17" s="100">
        <f>IFERROR(_xlfn.IFS($C17="1",( 'Inputs-System'!$C$30*'Coincidence Factors'!$B$5*(1+'Inputs-System'!$C$18)*(1+'Inputs-System'!$C$41))*('Inputs-Proposals'!$E$17*'Inputs-Proposals'!$E$19*(1-'Inputs-Proposals'!$E$20))*(VLOOKUP(CP$3,DRIPE!$A$54:$I$82,5,FALSE)-VLOOKUP(CP$3,DRIPE!$A$54:$I$82,6,FALSE)+VLOOKUP(CP$3,DRIPE!$A$54:$I$82,9,FALSE))+ ('Inputs-System'!$C$26*'Coincidence Factors'!$B$5*(1+'Inputs-System'!$C$18)*(1+'Inputs-System'!$C$41))*'Inputs-Proposals'!$E$16*VLOOKUP(CP$3,DRIPE!$A$54:$I$80,8,FALSE), $C17 = "2",( 'Inputs-System'!$C$30*'Coincidence Factors'!$B$5*(1+'Inputs-System'!$C$18)*(1+'Inputs-System'!$C$41))*('Inputs-Proposals'!$E$23*'Inputs-Proposals'!$E$25*(1-'Inputs-Proposals'!$E$26))*(VLOOKUP(CP$3,DRIPE!$A$54:$I$82,5,FALSE)-VLOOKUP(CP$3,DRIPE!$A$54:$I$82,6,FALSE)+VLOOKUP(CP$3,DRIPE!$A$54:$I$82,9,FALSE))+ ('Inputs-System'!$C$26*'Coincidence Factors'!$B$5*(1+'Inputs-System'!$C$18)*(1+'Inputs-System'!$C$41))+ ('Inputs-System'!$C$26*'Coincidence Factors'!$B$5)*'Inputs-Proposals'!$E$22*VLOOKUP(CP$3,DRIPE!$A$54:$I$80,8,FALSE), $C17= "3", ('Inputs-System'!$C$30*'Coincidence Factors'!$B$5)*('Inputs-Proposals'!$E$29*'Inputs-Proposals'!$E$31*(1-'Inputs-Proposals'!$E$32))*(VLOOKUP(CP$3,DRIPE!$A$54:$I$80,5,FALSE)-VLOOKUP(CP$3,DRIPE!$A$54:$I$80,6,FALSE)+VLOOKUP(CP$3,DRIPE!$A$54:$I$80,9,FALSE))+ ('Inputs-System'!$C$26*'Coincidence Factors'!$B$5*(1+'Inputs-System'!$C$18)*(1+'Inputs-System'!$C$41))*'Inputs-Proposals'!$E$28*VLOOKUP(CP$3,DRIPE!$A$54:$I$80,8,FALSE), $C17 = "0", 0), 0)</f>
        <v>0</v>
      </c>
      <c r="CS17" s="345">
        <f>IFERROR(_xlfn.IFS($C17="1",('Inputs-System'!$C$26*'Coincidence Factors'!$B$5*(1+'Inputs-System'!$C$18)*(1+'Inputs-System'!$C$42))*'Inputs-Proposals'!$E$16*(VLOOKUP(CP$3,Capacity!$A$53:$E$85,4,FALSE)*(1+'Inputs-System'!$C$42)+VLOOKUP(CP$3,Capacity!$A$53:$E$85,5,FALSE)*(1+'Inputs-System'!$C$43)*'Inputs-System'!$C$29), $C17 = "2", ('Inputs-System'!$C$26*'Coincidence Factors'!$B$5*(1+'Inputs-System'!$C$18))*'Inputs-Proposals'!$E$22*(VLOOKUP(CP$3,Capacity!$A$53:$E$85,4,FALSE)*(1+'Inputs-System'!$C$42)+VLOOKUP(CP$3,Capacity!$A$53:$E$85,5,FALSE)*'Inputs-System'!$C$29*(1+'Inputs-System'!$C$43)), $C17 = "3", ('Inputs-System'!$C$26*'Coincidence Factors'!$B$5*(1+'Inputs-System'!$C$18))*'Inputs-Proposals'!$E$28*(VLOOKUP(CP$3,Capacity!$A$53:$E$85,4,FALSE)*(1+'Inputs-System'!$C$42)+VLOOKUP(CP$3,Capacity!$A$53:$E$85,5,FALSE)*'Inputs-System'!$C$29*(1+'Inputs-System'!$C$43)), $C17 = "0", 0), 0)</f>
        <v>0</v>
      </c>
      <c r="CT17" s="100">
        <v>0</v>
      </c>
      <c r="CU17" s="346">
        <f>IFERROR(_xlfn.IFS($C17="1", 'Inputs-System'!$C$30*'Coincidence Factors'!$B$5*'Inputs-Proposals'!$E$17*'Inputs-Proposals'!$E$19*(VLOOKUP(CP$3,'Non-Embedded Emissions'!$A$56:$D$90,2,FALSE)+VLOOKUP(CP$3,'Non-Embedded Emissions'!$A$143:$D$174,2,FALSE)+VLOOKUP(CP$3,'Non-Embedded Emissions'!$A$230:$D$259,2,FALSE)-VLOOKUP(CP$3,'Non-Embedded Emissions'!$A$56:$D$90,3,FALSE)-VLOOKUP(CP$3,'Non-Embedded Emissions'!$A$143:$D$174,3,FALSE)-VLOOKUP(CP$3,'Non-Embedded Emissions'!$A$230:$D$259,3,FALSE)), $C17 = "2", 'Inputs-System'!$C$30*'Coincidence Factors'!$B$5*'Inputs-Proposals'!$E$23*'Inputs-Proposals'!$E$25*(VLOOKUP(CP$3,'Non-Embedded Emissions'!$A$56:$D$90,2,FALSE)+VLOOKUP(CP$3,'Non-Embedded Emissions'!$A$143:$D$174,2,FALSE)+VLOOKUP(CP$3,'Non-Embedded Emissions'!$A$230:$D$259,2,FALSE)-VLOOKUP(CP$3,'Non-Embedded Emissions'!$A$56:$D$90,3,FALSE)-VLOOKUP(CP$3,'Non-Embedded Emissions'!$A$143:$D$174,3,FALSE)-VLOOKUP(CP$3,'Non-Embedded Emissions'!$A$230:$D$259,3,FALSE)), $C17 = "3", 'Inputs-System'!$C$30*'Coincidence Factors'!$B$5*'Inputs-Proposals'!$E$29*'Inputs-Proposals'!$E$31*(VLOOKUP(CP$3,'Non-Embedded Emissions'!$A$56:$D$90,2,FALSE)+VLOOKUP(CP$3,'Non-Embedded Emissions'!$A$143:$D$174,2,FALSE)+VLOOKUP(CP$3,'Non-Embedded Emissions'!$A$230:$D$259,2,FALSE)-VLOOKUP(CP$3,'Non-Embedded Emissions'!$A$56:$D$90,3,FALSE)-VLOOKUP(CP$3,'Non-Embedded Emissions'!$A$143:$D$174,3,FALSE)-VLOOKUP(CP$3,'Non-Embedded Emissions'!$A$230:$D$259,3,FALSE)), $C17 = "0", 0), 0)</f>
        <v>0</v>
      </c>
      <c r="CV17" s="345">
        <f>IFERROR(_xlfn.IFS($C17="1",('Inputs-System'!$C$30*'Coincidence Factors'!$B$5*(1+'Inputs-System'!$C$18)*(1+'Inputs-System'!$C$41)*('Inputs-Proposals'!$E$17*'Inputs-Proposals'!$E$19*(1-'Inputs-Proposals'!$E$20))*(VLOOKUP(CV$3,Energy!$A$51:$K$83,5,FALSE)-VLOOKUP(CV$3,Energy!$A$51:$K$83,6,FALSE))), $C17 = "2",('Inputs-System'!$C$30*'Coincidence Factors'!$B$5)*(1+'Inputs-System'!$C$18)*(1+'Inputs-System'!$C$41)*('Inputs-Proposals'!$E$23*'Inputs-Proposals'!$E$25*(1-'Inputs-Proposals'!$E$26))*(VLOOKUP(CV$3,Energy!$A$51:$K$83,5,FALSE)-VLOOKUP(CV$3,Energy!$A$51:$K$83,6,FALSE)), $C17= "3", ('Inputs-System'!$C$30*'Coincidence Factors'!$B$5*(1+'Inputs-System'!$C$18)*(1+'Inputs-System'!$C$41)*('Inputs-Proposals'!$E$29*'Inputs-Proposals'!$E$31*(1-'Inputs-Proposals'!$E$32))*(VLOOKUP(CV$3,Energy!$A$51:$K$83,5,FALSE)-VLOOKUP(CV$3,Energy!$A$51:$K$83,6,FALSE))), $C17= "0", 0), 0)</f>
        <v>0</v>
      </c>
      <c r="CW17" s="100">
        <f>IFERROR(_xlfn.IFS($C17="1", 'Inputs-System'!$C$30*'Coincidence Factors'!$B$5*(1+'Inputs-System'!$C$18)*(1+'Inputs-System'!$C$41)*'Inputs-Proposals'!$E$17*'Inputs-Proposals'!$E$19*(1-'Inputs-Proposals'!$E$20)*(VLOOKUP(CV$3,'Embedded Emissions'!$A$47:$B$78,2,FALSE)+VLOOKUP(CV$3,'Embedded Emissions'!$A$129:$B$158,2,FALSE)), $C17 = "2",'Inputs-System'!$C$30*'Coincidence Factors'!$B$5*(1+'Inputs-System'!$C$18)*(1+'Inputs-System'!$C$41)*'Inputs-Proposals'!$E$23*'Inputs-Proposals'!$E$25*(1-'Inputs-Proposals'!$E$20)*(VLOOKUP(CV$3,'Embedded Emissions'!$A$47:$B$78,2,FALSE)+VLOOKUP(CV$3,'Embedded Emissions'!$A$129:$B$158,2,FALSE)), $C17 = "3", 'Inputs-System'!$C$30*'Coincidence Factors'!$B$5*(1+'Inputs-System'!$C$18)*(1+'Inputs-System'!$C$41)*'Inputs-Proposals'!$E$29*'Inputs-Proposals'!$E$31*(1-'Inputs-Proposals'!$E$20)*(VLOOKUP(CV$3,'Embedded Emissions'!$A$47:$B$78,2,FALSE)+VLOOKUP(CV$3,'Embedded Emissions'!$A$129:$B$158,2,FALSE)), $C17 = "0", 0), 0)</f>
        <v>0</v>
      </c>
      <c r="CX17" s="100">
        <f>IFERROR(_xlfn.IFS($C17="1",( 'Inputs-System'!$C$30*'Coincidence Factors'!$B$5*(1+'Inputs-System'!$C$18)*(1+'Inputs-System'!$C$41))*('Inputs-Proposals'!$E$17*'Inputs-Proposals'!$E$19*(1-'Inputs-Proposals'!$E$20))*(VLOOKUP(CV$3,DRIPE!$A$54:$I$82,5,FALSE)-VLOOKUP(CV$3,DRIPE!$A$54:$I$82,6,FALSE)+VLOOKUP(CV$3,DRIPE!$A$54:$I$82,9,FALSE))+ ('Inputs-System'!$C$26*'Coincidence Factors'!$B$5*(1+'Inputs-System'!$C$18)*(1+'Inputs-System'!$C$41))*'Inputs-Proposals'!$E$16*VLOOKUP(CV$3,DRIPE!$A$54:$I$80,8,FALSE), $C17 = "2",( 'Inputs-System'!$C$30*'Coincidence Factors'!$B$5*(1+'Inputs-System'!$C$18)*(1+'Inputs-System'!$C$41))*('Inputs-Proposals'!$E$23*'Inputs-Proposals'!$E$25*(1-'Inputs-Proposals'!$E$26))*(VLOOKUP(CV$3,DRIPE!$A$54:$I$82,5,FALSE)-VLOOKUP(CV$3,DRIPE!$A$54:$I$82,6,FALSE)+VLOOKUP(CV$3,DRIPE!$A$54:$I$82,9,FALSE))+ ('Inputs-System'!$C$26*'Coincidence Factors'!$B$5*(1+'Inputs-System'!$C$18)*(1+'Inputs-System'!$C$41))+ ('Inputs-System'!$C$26*'Coincidence Factors'!$B$5)*'Inputs-Proposals'!$E$22*VLOOKUP(CV$3,DRIPE!$A$54:$I$80,8,FALSE), $C17= "3", ('Inputs-System'!$C$30*'Coincidence Factors'!$B$5)*('Inputs-Proposals'!$E$29*'Inputs-Proposals'!$E$31*(1-'Inputs-Proposals'!$E$32))*(VLOOKUP(CV$3,DRIPE!$A$54:$I$80,5,FALSE)-VLOOKUP(CV$3,DRIPE!$A$54:$I$80,6,FALSE)+VLOOKUP(CV$3,DRIPE!$A$54:$I$80,9,FALSE))+ ('Inputs-System'!$C$26*'Coincidence Factors'!$B$5*(1+'Inputs-System'!$C$18)*(1+'Inputs-System'!$C$41))*'Inputs-Proposals'!$E$28*VLOOKUP(CV$3,DRIPE!$A$54:$I$80,8,FALSE), $C17 = "0", 0), 0)</f>
        <v>0</v>
      </c>
      <c r="CY17" s="345">
        <f>IFERROR(_xlfn.IFS($C17="1",('Inputs-System'!$C$26*'Coincidence Factors'!$B$5*(1+'Inputs-System'!$C$18)*(1+'Inputs-System'!$C$42))*'Inputs-Proposals'!$E$16*(VLOOKUP(CV$3,Capacity!$A$53:$E$85,4,FALSE)*(1+'Inputs-System'!$C$42)+VLOOKUP(CV$3,Capacity!$A$53:$E$85,5,FALSE)*(1+'Inputs-System'!$C$43)*'Inputs-System'!$C$29), $C17 = "2", ('Inputs-System'!$C$26*'Coincidence Factors'!$B$5*(1+'Inputs-System'!$C$18))*'Inputs-Proposals'!$E$22*(VLOOKUP(CV$3,Capacity!$A$53:$E$85,4,FALSE)*(1+'Inputs-System'!$C$42)+VLOOKUP(CV$3,Capacity!$A$53:$E$85,5,FALSE)*'Inputs-System'!$C$29*(1+'Inputs-System'!$C$43)), $C17 = "3", ('Inputs-System'!$C$26*'Coincidence Factors'!$B$5*(1+'Inputs-System'!$C$18))*'Inputs-Proposals'!$E$28*(VLOOKUP(CV$3,Capacity!$A$53:$E$85,4,FALSE)*(1+'Inputs-System'!$C$42)+VLOOKUP(CV$3,Capacity!$A$53:$E$85,5,FALSE)*'Inputs-System'!$C$29*(1+'Inputs-System'!$C$43)), $C17 = "0", 0), 0)</f>
        <v>0</v>
      </c>
      <c r="CZ17" s="100">
        <v>0</v>
      </c>
      <c r="DA17" s="346">
        <f>IFERROR(_xlfn.IFS($C17="1", 'Inputs-System'!$C$30*'Coincidence Factors'!$B$5*'Inputs-Proposals'!$E$17*'Inputs-Proposals'!$E$19*(VLOOKUP(CV$3,'Non-Embedded Emissions'!$A$56:$D$90,2,FALSE)+VLOOKUP(CV$3,'Non-Embedded Emissions'!$A$143:$D$174,2,FALSE)+VLOOKUP(CV$3,'Non-Embedded Emissions'!$A$230:$D$259,2,FALSE)-VLOOKUP(CV$3,'Non-Embedded Emissions'!$A$56:$D$90,3,FALSE)-VLOOKUP(CV$3,'Non-Embedded Emissions'!$A$143:$D$174,3,FALSE)-VLOOKUP(CV$3,'Non-Embedded Emissions'!$A$230:$D$259,3,FALSE)), $C17 = "2", 'Inputs-System'!$C$30*'Coincidence Factors'!$B$5*'Inputs-Proposals'!$E$23*'Inputs-Proposals'!$E$25*(VLOOKUP(CV$3,'Non-Embedded Emissions'!$A$56:$D$90,2,FALSE)+VLOOKUP(CV$3,'Non-Embedded Emissions'!$A$143:$D$174,2,FALSE)+VLOOKUP(CV$3,'Non-Embedded Emissions'!$A$230:$D$259,2,FALSE)-VLOOKUP(CV$3,'Non-Embedded Emissions'!$A$56:$D$90,3,FALSE)-VLOOKUP(CV$3,'Non-Embedded Emissions'!$A$143:$D$174,3,FALSE)-VLOOKUP(CV$3,'Non-Embedded Emissions'!$A$230:$D$259,3,FALSE)), $C17 = "3", 'Inputs-System'!$C$30*'Coincidence Factors'!$B$5*'Inputs-Proposals'!$E$29*'Inputs-Proposals'!$E$31*(VLOOKUP(CV$3,'Non-Embedded Emissions'!$A$56:$D$90,2,FALSE)+VLOOKUP(CV$3,'Non-Embedded Emissions'!$A$143:$D$174,2,FALSE)+VLOOKUP(CV$3,'Non-Embedded Emissions'!$A$230:$D$259,2,FALSE)-VLOOKUP(CV$3,'Non-Embedded Emissions'!$A$56:$D$90,3,FALSE)-VLOOKUP(CV$3,'Non-Embedded Emissions'!$A$143:$D$174,3,FALSE)-VLOOKUP(CV$3,'Non-Embedded Emissions'!$A$230:$D$259,3,FALSE)), $C17 = "0", 0), 0)</f>
        <v>0</v>
      </c>
      <c r="DB17" s="345">
        <f>IFERROR(_xlfn.IFS($C17="1",('Inputs-System'!$C$30*'Coincidence Factors'!$B$5*(1+'Inputs-System'!$C$18)*(1+'Inputs-System'!$C$41)*('Inputs-Proposals'!$E$17*'Inputs-Proposals'!$E$19*(1-'Inputs-Proposals'!$E$20))*(VLOOKUP(DB$3,Energy!$A$51:$K$83,5,FALSE)-VLOOKUP(DB$3,Energy!$A$51:$K$83,6,FALSE))), $C17 = "2",('Inputs-System'!$C$30*'Coincidence Factors'!$B$5)*(1+'Inputs-System'!$C$18)*(1+'Inputs-System'!$C$41)*('Inputs-Proposals'!$E$23*'Inputs-Proposals'!$E$25*(1-'Inputs-Proposals'!$E$26))*(VLOOKUP(DB$3,Energy!$A$51:$K$83,5,FALSE)-VLOOKUP(DB$3,Energy!$A$51:$K$83,6,FALSE)), $C17= "3", ('Inputs-System'!$C$30*'Coincidence Factors'!$B$5*(1+'Inputs-System'!$C$18)*(1+'Inputs-System'!$C$41)*('Inputs-Proposals'!$E$29*'Inputs-Proposals'!$E$31*(1-'Inputs-Proposals'!$E$32))*(VLOOKUP(DB$3,Energy!$A$51:$K$83,5,FALSE)-VLOOKUP(DB$3,Energy!$A$51:$K$83,6,FALSE))), $C17= "0", 0), 0)</f>
        <v>0</v>
      </c>
      <c r="DC17" s="100">
        <f>IFERROR(_xlfn.IFS($C17="1", 'Inputs-System'!$C$30*'Coincidence Factors'!$B$5*(1+'Inputs-System'!$C$18)*(1+'Inputs-System'!$C$41)*'Inputs-Proposals'!$E$17*'Inputs-Proposals'!$E$19*(1-'Inputs-Proposals'!$E$20)*(VLOOKUP(DB$3,'Embedded Emissions'!$A$47:$B$78,2,FALSE)+VLOOKUP(DB$3,'Embedded Emissions'!$A$129:$B$158,2,FALSE)), $C17 = "2",'Inputs-System'!$C$30*'Coincidence Factors'!$B$5*(1+'Inputs-System'!$C$18)*(1+'Inputs-System'!$C$41)*'Inputs-Proposals'!$E$23*'Inputs-Proposals'!$E$25*(1-'Inputs-Proposals'!$E$20)*(VLOOKUP(DB$3,'Embedded Emissions'!$A$47:$B$78,2,FALSE)+VLOOKUP(DB$3,'Embedded Emissions'!$A$129:$B$158,2,FALSE)), $C17 = "3", 'Inputs-System'!$C$30*'Coincidence Factors'!$B$5*(1+'Inputs-System'!$C$18)*(1+'Inputs-System'!$C$41)*'Inputs-Proposals'!$E$29*'Inputs-Proposals'!$E$31*(1-'Inputs-Proposals'!$E$20)*(VLOOKUP(DB$3,'Embedded Emissions'!$A$47:$B$78,2,FALSE)+VLOOKUP(DB$3,'Embedded Emissions'!$A$129:$B$158,2,FALSE)), $C17 = "0", 0), 0)</f>
        <v>0</v>
      </c>
      <c r="DD17" s="100">
        <f>IFERROR(_xlfn.IFS($C17="1",( 'Inputs-System'!$C$30*'Coincidence Factors'!$B$5*(1+'Inputs-System'!$C$18)*(1+'Inputs-System'!$C$41))*('Inputs-Proposals'!$E$17*'Inputs-Proposals'!$E$19*(1-'Inputs-Proposals'!$E$20))*(VLOOKUP(DB$3,DRIPE!$A$54:$I$82,5,FALSE)-VLOOKUP(DB$3,DRIPE!$A$54:$I$82,6,FALSE)+VLOOKUP(DB$3,DRIPE!$A$54:$I$82,9,FALSE))+ ('Inputs-System'!$C$26*'Coincidence Factors'!$B$5*(1+'Inputs-System'!$C$18)*(1+'Inputs-System'!$C$41))*'Inputs-Proposals'!$E$16*VLOOKUP(DB$3,DRIPE!$A$54:$I$80,8,FALSE), $C17 = "2",( 'Inputs-System'!$C$30*'Coincidence Factors'!$B$5*(1+'Inputs-System'!$C$18)*(1+'Inputs-System'!$C$41))*('Inputs-Proposals'!$E$23*'Inputs-Proposals'!$E$25*(1-'Inputs-Proposals'!$E$26))*(VLOOKUP(DB$3,DRIPE!$A$54:$I$82,5,FALSE)-VLOOKUP(DB$3,DRIPE!$A$54:$I$82,6,FALSE)+VLOOKUP(DB$3,DRIPE!$A$54:$I$82,9,FALSE))+ ('Inputs-System'!$C$26*'Coincidence Factors'!$B$5*(1+'Inputs-System'!$C$18)*(1+'Inputs-System'!$C$41))+ ('Inputs-System'!$C$26*'Coincidence Factors'!$B$5)*'Inputs-Proposals'!$E$22*VLOOKUP(DB$3,DRIPE!$A$54:$I$80,8,FALSE), $C17= "3", ('Inputs-System'!$C$30*'Coincidence Factors'!$B$5)*('Inputs-Proposals'!$E$29*'Inputs-Proposals'!$E$31*(1-'Inputs-Proposals'!$E$32))*(VLOOKUP(DB$3,DRIPE!$A$54:$I$80,5,FALSE)-VLOOKUP(DB$3,DRIPE!$A$54:$I$80,6,FALSE)+VLOOKUP(DB$3,DRIPE!$A$54:$I$80,9,FALSE))+ ('Inputs-System'!$C$26*'Coincidence Factors'!$B$5*(1+'Inputs-System'!$C$18)*(1+'Inputs-System'!$C$41))*'Inputs-Proposals'!$E$28*VLOOKUP(DB$3,DRIPE!$A$54:$I$80,8,FALSE), $C17 = "0", 0), 0)</f>
        <v>0</v>
      </c>
      <c r="DE17" s="345">
        <f>IFERROR(_xlfn.IFS($C17="1",('Inputs-System'!$C$26*'Coincidence Factors'!$B$5*(1+'Inputs-System'!$C$18)*(1+'Inputs-System'!$C$42))*'Inputs-Proposals'!$E$16*(VLOOKUP(DB$3,Capacity!$A$53:$E$85,4,FALSE)*(1+'Inputs-System'!$C$42)+VLOOKUP(DB$3,Capacity!$A$53:$E$85,5,FALSE)*(1+'Inputs-System'!$C$43)*'Inputs-System'!$C$29), $C17 = "2", ('Inputs-System'!$C$26*'Coincidence Factors'!$B$5*(1+'Inputs-System'!$C$18))*'Inputs-Proposals'!$E$22*(VLOOKUP(DB$3,Capacity!$A$53:$E$85,4,FALSE)*(1+'Inputs-System'!$C$42)+VLOOKUP(DB$3,Capacity!$A$53:$E$85,5,FALSE)*'Inputs-System'!$C$29*(1+'Inputs-System'!$C$43)), $C17 = "3", ('Inputs-System'!$C$26*'Coincidence Factors'!$B$5*(1+'Inputs-System'!$C$18))*'Inputs-Proposals'!$E$28*(VLOOKUP(DB$3,Capacity!$A$53:$E$85,4,FALSE)*(1+'Inputs-System'!$C$42)+VLOOKUP(DB$3,Capacity!$A$53:$E$85,5,FALSE)*'Inputs-System'!$C$29*(1+'Inputs-System'!$C$43)), $C17 = "0", 0), 0)</f>
        <v>0</v>
      </c>
      <c r="DF17" s="100">
        <v>0</v>
      </c>
      <c r="DG17" s="346">
        <f>IFERROR(_xlfn.IFS($C17="1", 'Inputs-System'!$C$30*'Coincidence Factors'!$B$5*'Inputs-Proposals'!$E$17*'Inputs-Proposals'!$E$19*(VLOOKUP(DB$3,'Non-Embedded Emissions'!$A$56:$D$90,2,FALSE)+VLOOKUP(DB$3,'Non-Embedded Emissions'!$A$143:$D$174,2,FALSE)+VLOOKUP(DB$3,'Non-Embedded Emissions'!$A$230:$D$259,2,FALSE)-VLOOKUP(DB$3,'Non-Embedded Emissions'!$A$56:$D$90,3,FALSE)-VLOOKUP(DB$3,'Non-Embedded Emissions'!$A$143:$D$174,3,FALSE)-VLOOKUP(DB$3,'Non-Embedded Emissions'!$A$230:$D$259,3,FALSE)), $C17 = "2", 'Inputs-System'!$C$30*'Coincidence Factors'!$B$5*'Inputs-Proposals'!$E$23*'Inputs-Proposals'!$E$25*(VLOOKUP(DB$3,'Non-Embedded Emissions'!$A$56:$D$90,2,FALSE)+VLOOKUP(DB$3,'Non-Embedded Emissions'!$A$143:$D$174,2,FALSE)+VLOOKUP(DB$3,'Non-Embedded Emissions'!$A$230:$D$259,2,FALSE)-VLOOKUP(DB$3,'Non-Embedded Emissions'!$A$56:$D$90,3,FALSE)-VLOOKUP(DB$3,'Non-Embedded Emissions'!$A$143:$D$174,3,FALSE)-VLOOKUP(DB$3,'Non-Embedded Emissions'!$A$230:$D$259,3,FALSE)), $C17 = "3", 'Inputs-System'!$C$30*'Coincidence Factors'!$B$5*'Inputs-Proposals'!$E$29*'Inputs-Proposals'!$E$31*(VLOOKUP(DB$3,'Non-Embedded Emissions'!$A$56:$D$90,2,FALSE)+VLOOKUP(DB$3,'Non-Embedded Emissions'!$A$143:$D$174,2,FALSE)+VLOOKUP(DB$3,'Non-Embedded Emissions'!$A$230:$D$259,2,FALSE)-VLOOKUP(DB$3,'Non-Embedded Emissions'!$A$56:$D$90,3,FALSE)-VLOOKUP(DB$3,'Non-Embedded Emissions'!$A$143:$D$174,3,FALSE)-VLOOKUP(DB$3,'Non-Embedded Emissions'!$A$230:$D$259,3,FALSE)), $C17 = "0", 0), 0)</f>
        <v>0</v>
      </c>
      <c r="DH17" s="345">
        <f>IFERROR(_xlfn.IFS($C17="1",('Inputs-System'!$C$30*'Coincidence Factors'!$B$5*(1+'Inputs-System'!$C$18)*(1+'Inputs-System'!$C$41)*('Inputs-Proposals'!$E$17*'Inputs-Proposals'!$E$19*(1-'Inputs-Proposals'!$E$20))*(VLOOKUP(DH$3,Energy!$A$51:$K$83,5,FALSE)-VLOOKUP(DH$3,Energy!$A$51:$K$83,6,FALSE))), $C17 = "2",('Inputs-System'!$C$30*'Coincidence Factors'!$B$5)*(1+'Inputs-System'!$C$18)*(1+'Inputs-System'!$C$41)*('Inputs-Proposals'!$E$23*'Inputs-Proposals'!$E$25*(1-'Inputs-Proposals'!$E$26))*(VLOOKUP(DH$3,Energy!$A$51:$K$83,5,FALSE)-VLOOKUP(DH$3,Energy!$A$51:$K$83,6,FALSE)), $C17= "3", ('Inputs-System'!$C$30*'Coincidence Factors'!$B$5*(1+'Inputs-System'!$C$18)*(1+'Inputs-System'!$C$41)*('Inputs-Proposals'!$E$29*'Inputs-Proposals'!$E$31*(1-'Inputs-Proposals'!$E$32))*(VLOOKUP(DH$3,Energy!$A$51:$K$83,5,FALSE)-VLOOKUP(DH$3,Energy!$A$51:$K$83,6,FALSE))), $C17= "0", 0), 0)</f>
        <v>0</v>
      </c>
      <c r="DI17" s="100">
        <f>IFERROR(_xlfn.IFS($C17="1", 'Inputs-System'!$C$30*'Coincidence Factors'!$B$5*(1+'Inputs-System'!$C$18)*(1+'Inputs-System'!$C$41)*'Inputs-Proposals'!$E$17*'Inputs-Proposals'!$E$19*(1-'Inputs-Proposals'!$E$20)*(VLOOKUP(DH$3,'Embedded Emissions'!$A$47:$B$78,2,FALSE)+VLOOKUP(DH$3,'Embedded Emissions'!$A$129:$B$158,2,FALSE)), $C17 = "2",'Inputs-System'!$C$30*'Coincidence Factors'!$B$5*(1+'Inputs-System'!$C$18)*(1+'Inputs-System'!$C$41)*'Inputs-Proposals'!$E$23*'Inputs-Proposals'!$E$25*(1-'Inputs-Proposals'!$E$20)*(VLOOKUP(DH$3,'Embedded Emissions'!$A$47:$B$78,2,FALSE)+VLOOKUP(DH$3,'Embedded Emissions'!$A$129:$B$158,2,FALSE)), $C17 = "3", 'Inputs-System'!$C$30*'Coincidence Factors'!$B$5*(1+'Inputs-System'!$C$18)*(1+'Inputs-System'!$C$41)*'Inputs-Proposals'!$E$29*'Inputs-Proposals'!$E$31*(1-'Inputs-Proposals'!$E$20)*(VLOOKUP(DH$3,'Embedded Emissions'!$A$47:$B$78,2,FALSE)+VLOOKUP(DH$3,'Embedded Emissions'!$A$129:$B$158,2,FALSE)), $C17 = "0", 0), 0)</f>
        <v>0</v>
      </c>
      <c r="DJ17" s="100">
        <f>IFERROR(_xlfn.IFS($C17="1",( 'Inputs-System'!$C$30*'Coincidence Factors'!$B$5*(1+'Inputs-System'!$C$18)*(1+'Inputs-System'!$C$41))*('Inputs-Proposals'!$E$17*'Inputs-Proposals'!$E$19*(1-'Inputs-Proposals'!$E$20))*(VLOOKUP(DH$3,DRIPE!$A$54:$I$82,5,FALSE)-VLOOKUP(DH$3,DRIPE!$A$54:$I$82,6,FALSE)+VLOOKUP(DH$3,DRIPE!$A$54:$I$82,9,FALSE))+ ('Inputs-System'!$C$26*'Coincidence Factors'!$B$5*(1+'Inputs-System'!$C$18)*(1+'Inputs-System'!$C$41))*'Inputs-Proposals'!$E$16*VLOOKUP(DH$3,DRIPE!$A$54:$I$80,8,FALSE), $C17 = "2",( 'Inputs-System'!$C$30*'Coincidence Factors'!$B$5*(1+'Inputs-System'!$C$18)*(1+'Inputs-System'!$C$41))*('Inputs-Proposals'!$E$23*'Inputs-Proposals'!$E$25*(1-'Inputs-Proposals'!$E$26))*(VLOOKUP(DH$3,DRIPE!$A$54:$I$82,5,FALSE)-VLOOKUP(DH$3,DRIPE!$A$54:$I$82,6,FALSE)+VLOOKUP(DH$3,DRIPE!$A$54:$I$82,9,FALSE))+ ('Inputs-System'!$C$26*'Coincidence Factors'!$B$5*(1+'Inputs-System'!$C$18)*(1+'Inputs-System'!$C$41))+ ('Inputs-System'!$C$26*'Coincidence Factors'!$B$5)*'Inputs-Proposals'!$E$22*VLOOKUP(DH$3,DRIPE!$A$54:$I$80,8,FALSE), $C17= "3", ('Inputs-System'!$C$30*'Coincidence Factors'!$B$5)*('Inputs-Proposals'!$E$29*'Inputs-Proposals'!$E$31*(1-'Inputs-Proposals'!$E$32))*(VLOOKUP(DH$3,DRIPE!$A$54:$I$80,5,FALSE)-VLOOKUP(DH$3,DRIPE!$A$54:$I$80,6,FALSE)+VLOOKUP(DH$3,DRIPE!$A$54:$I$80,9,FALSE))+ ('Inputs-System'!$C$26*'Coincidence Factors'!$B$5*(1+'Inputs-System'!$C$18)*(1+'Inputs-System'!$C$41))*'Inputs-Proposals'!$E$28*VLOOKUP(DH$3,DRIPE!$A$54:$I$80,8,FALSE), $C17 = "0", 0), 0)</f>
        <v>0</v>
      </c>
      <c r="DK17" s="345">
        <f>IFERROR(_xlfn.IFS($C17="1",('Inputs-System'!$C$26*'Coincidence Factors'!$B$5*(1+'Inputs-System'!$C$18)*(1+'Inputs-System'!$C$42))*'Inputs-Proposals'!$E$16*(VLOOKUP(DH$3,Capacity!$A$53:$E$85,4,FALSE)*(1+'Inputs-System'!$C$42)+VLOOKUP(DH$3,Capacity!$A$53:$E$85,5,FALSE)*(1+'Inputs-System'!$C$43)*'Inputs-System'!$C$29), $C17 = "2", ('Inputs-System'!$C$26*'Coincidence Factors'!$B$5*(1+'Inputs-System'!$C$18))*'Inputs-Proposals'!$E$22*(VLOOKUP(DH$3,Capacity!$A$53:$E$85,4,FALSE)*(1+'Inputs-System'!$C$42)+VLOOKUP(DH$3,Capacity!$A$53:$E$85,5,FALSE)*'Inputs-System'!$C$29*(1+'Inputs-System'!$C$43)), $C17 = "3", ('Inputs-System'!$C$26*'Coincidence Factors'!$B$5*(1+'Inputs-System'!$C$18))*'Inputs-Proposals'!$E$28*(VLOOKUP(DH$3,Capacity!$A$53:$E$85,4,FALSE)*(1+'Inputs-System'!$C$42)+VLOOKUP(DH$3,Capacity!$A$53:$E$85,5,FALSE)*'Inputs-System'!$C$29*(1+'Inputs-System'!$C$43)), $C17 = "0", 0), 0)</f>
        <v>0</v>
      </c>
      <c r="DL17" s="100">
        <v>0</v>
      </c>
      <c r="DM17" s="346">
        <f>IFERROR(_xlfn.IFS($C17="1", 'Inputs-System'!$C$30*'Coincidence Factors'!$B$5*'Inputs-Proposals'!$E$17*'Inputs-Proposals'!$E$19*(VLOOKUP(DH$3,'Non-Embedded Emissions'!$A$56:$D$90,2,FALSE)+VLOOKUP(DH$3,'Non-Embedded Emissions'!$A$143:$D$174,2,FALSE)+VLOOKUP(DH$3,'Non-Embedded Emissions'!$A$230:$D$259,2,FALSE)-VLOOKUP(DH$3,'Non-Embedded Emissions'!$A$56:$D$90,3,FALSE)-VLOOKUP(DH$3,'Non-Embedded Emissions'!$A$143:$D$174,3,FALSE)-VLOOKUP(DH$3,'Non-Embedded Emissions'!$A$230:$D$259,3,FALSE)), $C17 = "2", 'Inputs-System'!$C$30*'Coincidence Factors'!$B$5*'Inputs-Proposals'!$E$23*'Inputs-Proposals'!$E$25*(VLOOKUP(DH$3,'Non-Embedded Emissions'!$A$56:$D$90,2,FALSE)+VLOOKUP(DH$3,'Non-Embedded Emissions'!$A$143:$D$174,2,FALSE)+VLOOKUP(DH$3,'Non-Embedded Emissions'!$A$230:$D$259,2,FALSE)-VLOOKUP(DH$3,'Non-Embedded Emissions'!$A$56:$D$90,3,FALSE)-VLOOKUP(DH$3,'Non-Embedded Emissions'!$A$143:$D$174,3,FALSE)-VLOOKUP(DH$3,'Non-Embedded Emissions'!$A$230:$D$259,3,FALSE)), $C17 = "3", 'Inputs-System'!$C$30*'Coincidence Factors'!$B$5*'Inputs-Proposals'!$E$29*'Inputs-Proposals'!$E$31*(VLOOKUP(DH$3,'Non-Embedded Emissions'!$A$56:$D$90,2,FALSE)+VLOOKUP(DH$3,'Non-Embedded Emissions'!$A$143:$D$174,2,FALSE)+VLOOKUP(DH$3,'Non-Embedded Emissions'!$A$230:$D$259,2,FALSE)-VLOOKUP(DH$3,'Non-Embedded Emissions'!$A$56:$D$90,3,FALSE)-VLOOKUP(DH$3,'Non-Embedded Emissions'!$A$143:$D$174,3,FALSE)-VLOOKUP(DH$3,'Non-Embedded Emissions'!$A$230:$D$259,3,FALSE)), $C17 = "0", 0), 0)</f>
        <v>0</v>
      </c>
      <c r="DN17" s="345">
        <f>IFERROR(_xlfn.IFS($C17="1",('Inputs-System'!$C$30*'Coincidence Factors'!$B$5*(1+'Inputs-System'!$C$18)*(1+'Inputs-System'!$C$41)*('Inputs-Proposals'!$E$17*'Inputs-Proposals'!$E$19*(1-'Inputs-Proposals'!$E$20))*(VLOOKUP(DN$3,Energy!$A$51:$K$83,5,FALSE)-VLOOKUP(DN$3,Energy!$A$51:$K$83,6,FALSE))), $C17 = "2",('Inputs-System'!$C$30*'Coincidence Factors'!$B$5)*(1+'Inputs-System'!$C$18)*(1+'Inputs-System'!$C$41)*('Inputs-Proposals'!$E$23*'Inputs-Proposals'!$E$25*(1-'Inputs-Proposals'!$E$26))*(VLOOKUP(DN$3,Energy!$A$51:$K$83,5,FALSE)-VLOOKUP(DN$3,Energy!$A$51:$K$83,6,FALSE)), $C17= "3", ('Inputs-System'!$C$30*'Coincidence Factors'!$B$5*(1+'Inputs-System'!$C$18)*(1+'Inputs-System'!$C$41)*('Inputs-Proposals'!$E$29*'Inputs-Proposals'!$E$31*(1-'Inputs-Proposals'!$E$32))*(VLOOKUP(DN$3,Energy!$A$51:$K$83,5,FALSE)-VLOOKUP(DN$3,Energy!$A$51:$K$83,6,FALSE))), $C17= "0", 0), 0)</f>
        <v>0</v>
      </c>
      <c r="DO17" s="100">
        <f>IFERROR(_xlfn.IFS($C17="1", 'Inputs-System'!$C$30*'Coincidence Factors'!$B$5*(1+'Inputs-System'!$C$18)*(1+'Inputs-System'!$C$41)*'Inputs-Proposals'!$E$17*'Inputs-Proposals'!$E$19*(1-'Inputs-Proposals'!$E$20)*(VLOOKUP(DN$3,'Embedded Emissions'!$A$47:$B$78,2,FALSE)+VLOOKUP(DN$3,'Embedded Emissions'!$A$129:$B$158,2,FALSE)), $C17 = "2",'Inputs-System'!$C$30*'Coincidence Factors'!$B$5*(1+'Inputs-System'!$C$18)*(1+'Inputs-System'!$C$41)*'Inputs-Proposals'!$E$23*'Inputs-Proposals'!$E$25*(1-'Inputs-Proposals'!$E$20)*(VLOOKUP(DN$3,'Embedded Emissions'!$A$47:$B$78,2,FALSE)+VLOOKUP(DN$3,'Embedded Emissions'!$A$129:$B$158,2,FALSE)), $C17 = "3", 'Inputs-System'!$C$30*'Coincidence Factors'!$B$5*(1+'Inputs-System'!$C$18)*(1+'Inputs-System'!$C$41)*'Inputs-Proposals'!$E$29*'Inputs-Proposals'!$E$31*(1-'Inputs-Proposals'!$E$20)*(VLOOKUP(DN$3,'Embedded Emissions'!$A$47:$B$78,2,FALSE)+VLOOKUP(DN$3,'Embedded Emissions'!$A$129:$B$158,2,FALSE)), $C17 = "0", 0), 0)</f>
        <v>0</v>
      </c>
      <c r="DP17" s="100">
        <f>IFERROR(_xlfn.IFS($C17="1",( 'Inputs-System'!$C$30*'Coincidence Factors'!$B$5*(1+'Inputs-System'!$C$18)*(1+'Inputs-System'!$C$41))*('Inputs-Proposals'!$E$17*'Inputs-Proposals'!$E$19*(1-'Inputs-Proposals'!$E$20))*(VLOOKUP(DN$3,DRIPE!$A$54:$I$82,5,FALSE)-VLOOKUP(DN$3,DRIPE!$A$54:$I$82,6,FALSE)+VLOOKUP(DN$3,DRIPE!$A$54:$I$82,9,FALSE))+ ('Inputs-System'!$C$26*'Coincidence Factors'!$B$5*(1+'Inputs-System'!$C$18)*(1+'Inputs-System'!$C$41))*'Inputs-Proposals'!$E$16*VLOOKUP(DN$3,DRIPE!$A$54:$I$80,8,FALSE), $C17 = "2",( 'Inputs-System'!$C$30*'Coincidence Factors'!$B$5*(1+'Inputs-System'!$C$18)*(1+'Inputs-System'!$C$41))*('Inputs-Proposals'!$E$23*'Inputs-Proposals'!$E$25*(1-'Inputs-Proposals'!$E$26))*(VLOOKUP(DN$3,DRIPE!$A$54:$I$82,5,FALSE)-VLOOKUP(DN$3,DRIPE!$A$54:$I$82,6,FALSE)+VLOOKUP(DN$3,DRIPE!$A$54:$I$82,9,FALSE))+ ('Inputs-System'!$C$26*'Coincidence Factors'!$B$5*(1+'Inputs-System'!$C$18)*(1+'Inputs-System'!$C$41))+ ('Inputs-System'!$C$26*'Coincidence Factors'!$B$5)*'Inputs-Proposals'!$E$22*VLOOKUP(DN$3,DRIPE!$A$54:$I$80,8,FALSE), $C17= "3", ('Inputs-System'!$C$30*'Coincidence Factors'!$B$5)*('Inputs-Proposals'!$E$29*'Inputs-Proposals'!$E$31*(1-'Inputs-Proposals'!$E$32))*(VLOOKUP(DN$3,DRIPE!$A$54:$I$80,5,FALSE)-VLOOKUP(DN$3,DRIPE!$A$54:$I$80,6,FALSE)+VLOOKUP(DN$3,DRIPE!$A$54:$I$80,9,FALSE))+ ('Inputs-System'!$C$26*'Coincidence Factors'!$B$5*(1+'Inputs-System'!$C$18)*(1+'Inputs-System'!$C$41))*'Inputs-Proposals'!$E$28*VLOOKUP(DN$3,DRIPE!$A$54:$I$80,8,FALSE), $C17 = "0", 0), 0)</f>
        <v>0</v>
      </c>
      <c r="DQ17" s="345">
        <f>IFERROR(_xlfn.IFS($C17="1",('Inputs-System'!$C$26*'Coincidence Factors'!$B$5*(1+'Inputs-System'!$C$18)*(1+'Inputs-System'!$C$42))*'Inputs-Proposals'!$E$16*(VLOOKUP(DN$3,Capacity!$A$53:$E$85,4,FALSE)*(1+'Inputs-System'!$C$42)+VLOOKUP(DN$3,Capacity!$A$53:$E$85,5,FALSE)*(1+'Inputs-System'!$C$43)*'Inputs-System'!$C$29), $C17 = "2", ('Inputs-System'!$C$26*'Coincidence Factors'!$B$5*(1+'Inputs-System'!$C$18))*'Inputs-Proposals'!$E$22*(VLOOKUP(DN$3,Capacity!$A$53:$E$85,4,FALSE)*(1+'Inputs-System'!$C$42)+VLOOKUP(DN$3,Capacity!$A$53:$E$85,5,FALSE)*'Inputs-System'!$C$29*(1+'Inputs-System'!$C$43)), $C17 = "3", ('Inputs-System'!$C$26*'Coincidence Factors'!$B$5*(1+'Inputs-System'!$C$18))*'Inputs-Proposals'!$E$28*(VLOOKUP(DN$3,Capacity!$A$53:$E$85,4,FALSE)*(1+'Inputs-System'!$C$42)+VLOOKUP(DN$3,Capacity!$A$53:$E$85,5,FALSE)*'Inputs-System'!$C$29*(1+'Inputs-System'!$C$43)), $C17 = "0", 0), 0)</f>
        <v>0</v>
      </c>
      <c r="DR17" s="100">
        <v>0</v>
      </c>
      <c r="DS17" s="346">
        <f>IFERROR(_xlfn.IFS($C17="1", 'Inputs-System'!$C$30*'Coincidence Factors'!$B$5*'Inputs-Proposals'!$E$17*'Inputs-Proposals'!$E$19*(VLOOKUP(DN$3,'Non-Embedded Emissions'!$A$56:$D$90,2,FALSE)+VLOOKUP(DN$3,'Non-Embedded Emissions'!$A$143:$D$174,2,FALSE)+VLOOKUP(DN$3,'Non-Embedded Emissions'!$A$230:$D$259,2,FALSE)-VLOOKUP(DN$3,'Non-Embedded Emissions'!$A$56:$D$90,3,FALSE)-VLOOKUP(DN$3,'Non-Embedded Emissions'!$A$143:$D$174,3,FALSE)-VLOOKUP(DN$3,'Non-Embedded Emissions'!$A$230:$D$259,3,FALSE)), $C17 = "2", 'Inputs-System'!$C$30*'Coincidence Factors'!$B$5*'Inputs-Proposals'!$E$23*'Inputs-Proposals'!$E$25*(VLOOKUP(DN$3,'Non-Embedded Emissions'!$A$56:$D$90,2,FALSE)+VLOOKUP(DN$3,'Non-Embedded Emissions'!$A$143:$D$174,2,FALSE)+VLOOKUP(DN$3,'Non-Embedded Emissions'!$A$230:$D$259,2,FALSE)-VLOOKUP(DN$3,'Non-Embedded Emissions'!$A$56:$D$90,3,FALSE)-VLOOKUP(DN$3,'Non-Embedded Emissions'!$A$143:$D$174,3,FALSE)-VLOOKUP(DN$3,'Non-Embedded Emissions'!$A$230:$D$259,3,FALSE)), $C17 = "3", 'Inputs-System'!$C$30*'Coincidence Factors'!$B$5*'Inputs-Proposals'!$E$29*'Inputs-Proposals'!$E$31*(VLOOKUP(DN$3,'Non-Embedded Emissions'!$A$56:$D$90,2,FALSE)+VLOOKUP(DN$3,'Non-Embedded Emissions'!$A$143:$D$174,2,FALSE)+VLOOKUP(DN$3,'Non-Embedded Emissions'!$A$230:$D$259,2,FALSE)-VLOOKUP(DN$3,'Non-Embedded Emissions'!$A$56:$D$90,3,FALSE)-VLOOKUP(DN$3,'Non-Embedded Emissions'!$A$143:$D$174,3,FALSE)-VLOOKUP(DN$3,'Non-Embedded Emissions'!$A$230:$D$259,3,FALSE)), $C17 = "0", 0), 0)</f>
        <v>0</v>
      </c>
      <c r="DT17" s="345">
        <f>IFERROR(_xlfn.IFS($C17="1",('Inputs-System'!$C$30*'Coincidence Factors'!$B$5*(1+'Inputs-System'!$C$18)*(1+'Inputs-System'!$C$41)*('Inputs-Proposals'!$E$17*'Inputs-Proposals'!$E$19*(1-'Inputs-Proposals'!$E$20))*(VLOOKUP(DT$3,Energy!$A$51:$K$83,5,FALSE)-VLOOKUP(DT$3,Energy!$A$51:$K$83,6,FALSE))), $C17 = "2",('Inputs-System'!$C$30*'Coincidence Factors'!$B$5)*(1+'Inputs-System'!$C$18)*(1+'Inputs-System'!$C$41)*('Inputs-Proposals'!$E$23*'Inputs-Proposals'!$E$25*(1-'Inputs-Proposals'!$E$26))*(VLOOKUP(DT$3,Energy!$A$51:$K$83,5,FALSE)-VLOOKUP(DT$3,Energy!$A$51:$K$83,6,FALSE)), $C17= "3", ('Inputs-System'!$C$30*'Coincidence Factors'!$B$5*(1+'Inputs-System'!$C$18)*(1+'Inputs-System'!$C$41)*('Inputs-Proposals'!$E$29*'Inputs-Proposals'!$E$31*(1-'Inputs-Proposals'!$E$32))*(VLOOKUP(DT$3,Energy!$A$51:$K$83,5,FALSE)-VLOOKUP(DT$3,Energy!$A$51:$K$83,6,FALSE))), $C17= "0", 0), 0)</f>
        <v>0</v>
      </c>
      <c r="DU17" s="100">
        <f>IFERROR(_xlfn.IFS($C17="1", 'Inputs-System'!$C$30*'Coincidence Factors'!$B$5*(1+'Inputs-System'!$C$18)*(1+'Inputs-System'!$C$41)*'Inputs-Proposals'!$E$17*'Inputs-Proposals'!$E$19*(1-'Inputs-Proposals'!$E$20)*(VLOOKUP(DT$3,'Embedded Emissions'!$A$47:$B$78,2,FALSE)+VLOOKUP(DT$3,'Embedded Emissions'!$A$129:$B$158,2,FALSE)), $C17 = "2",'Inputs-System'!$C$30*'Coincidence Factors'!$B$5*(1+'Inputs-System'!$C$18)*(1+'Inputs-System'!$C$41)*'Inputs-Proposals'!$E$23*'Inputs-Proposals'!$E$25*(1-'Inputs-Proposals'!$E$20)*(VLOOKUP(DT$3,'Embedded Emissions'!$A$47:$B$78,2,FALSE)+VLOOKUP(DT$3,'Embedded Emissions'!$A$129:$B$158,2,FALSE)), $C17 = "3", 'Inputs-System'!$C$30*'Coincidence Factors'!$B$5*(1+'Inputs-System'!$C$18)*(1+'Inputs-System'!$C$41)*'Inputs-Proposals'!$E$29*'Inputs-Proposals'!$E$31*(1-'Inputs-Proposals'!$E$20)*(VLOOKUP(DT$3,'Embedded Emissions'!$A$47:$B$78,2,FALSE)+VLOOKUP(DT$3,'Embedded Emissions'!$A$129:$B$158,2,FALSE)), $C17 = "0", 0), 0)</f>
        <v>0</v>
      </c>
      <c r="DV17" s="100">
        <f>IFERROR(_xlfn.IFS($C17="1",( 'Inputs-System'!$C$30*'Coincidence Factors'!$B$5*(1+'Inputs-System'!$C$18)*(1+'Inputs-System'!$C$41))*('Inputs-Proposals'!$E$17*'Inputs-Proposals'!$E$19*(1-'Inputs-Proposals'!$E$20))*(VLOOKUP(DT$3,DRIPE!$A$54:$I$82,5,FALSE)-VLOOKUP(DT$3,DRIPE!$A$54:$I$82,6,FALSE)+VLOOKUP(DT$3,DRIPE!$A$54:$I$82,9,FALSE))+ ('Inputs-System'!$C$26*'Coincidence Factors'!$B$5*(1+'Inputs-System'!$C$18)*(1+'Inputs-System'!$C$41))*'Inputs-Proposals'!$E$16*VLOOKUP(DT$3,DRIPE!$A$54:$I$80,8,FALSE), $C17 = "2",( 'Inputs-System'!$C$30*'Coincidence Factors'!$B$5*(1+'Inputs-System'!$C$18)*(1+'Inputs-System'!$C$41))*('Inputs-Proposals'!$E$23*'Inputs-Proposals'!$E$25*(1-'Inputs-Proposals'!$E$26))*(VLOOKUP(DT$3,DRIPE!$A$54:$I$82,5,FALSE)-VLOOKUP(DT$3,DRIPE!$A$54:$I$82,6,FALSE)+VLOOKUP(DT$3,DRIPE!$A$54:$I$82,9,FALSE))+ ('Inputs-System'!$C$26*'Coincidence Factors'!$B$5*(1+'Inputs-System'!$C$18)*(1+'Inputs-System'!$C$41))+ ('Inputs-System'!$C$26*'Coincidence Factors'!$B$5)*'Inputs-Proposals'!$E$22*VLOOKUP(DT$3,DRIPE!$A$54:$I$80,8,FALSE), $C17= "3", ('Inputs-System'!$C$30*'Coincidence Factors'!$B$5)*('Inputs-Proposals'!$E$29*'Inputs-Proposals'!$E$31*(1-'Inputs-Proposals'!$E$32))*(VLOOKUP(DT$3,DRIPE!$A$54:$I$80,5,FALSE)-VLOOKUP(DT$3,DRIPE!$A$54:$I$80,6,FALSE)+VLOOKUP(DT$3,DRIPE!$A$54:$I$80,9,FALSE))+ ('Inputs-System'!$C$26*'Coincidence Factors'!$B$5*(1+'Inputs-System'!$C$18)*(1+'Inputs-System'!$C$41))*'Inputs-Proposals'!$E$28*VLOOKUP(DT$3,DRIPE!$A$54:$I$80,8,FALSE), $C17 = "0", 0), 0)</f>
        <v>0</v>
      </c>
      <c r="DW17" s="345">
        <f>IFERROR(_xlfn.IFS($C17="1",('Inputs-System'!$C$26*'Coincidence Factors'!$B$5*(1+'Inputs-System'!$C$18)*(1+'Inputs-System'!$C$42))*'Inputs-Proposals'!$E$16*(VLOOKUP(DT$3,Capacity!$A$53:$E$85,4,FALSE)*(1+'Inputs-System'!$C$42)+VLOOKUP(DT$3,Capacity!$A$53:$E$85,5,FALSE)*(1+'Inputs-System'!$C$43)*'Inputs-System'!$C$29), $C17 = "2", ('Inputs-System'!$C$26*'Coincidence Factors'!$B$5*(1+'Inputs-System'!$C$18))*'Inputs-Proposals'!$E$22*(VLOOKUP(DT$3,Capacity!$A$53:$E$85,4,FALSE)*(1+'Inputs-System'!$C$42)+VLOOKUP(DT$3,Capacity!$A$53:$E$85,5,FALSE)*'Inputs-System'!$C$29*(1+'Inputs-System'!$C$43)), $C17 = "3", ('Inputs-System'!$C$26*'Coincidence Factors'!$B$5*(1+'Inputs-System'!$C$18))*'Inputs-Proposals'!$E$28*(VLOOKUP(DT$3,Capacity!$A$53:$E$85,4,FALSE)*(1+'Inputs-System'!$C$42)+VLOOKUP(DT$3,Capacity!$A$53:$E$85,5,FALSE)*'Inputs-System'!$C$29*(1+'Inputs-System'!$C$43)), $C17 = "0", 0), 0)</f>
        <v>0</v>
      </c>
      <c r="DX17" s="100">
        <v>0</v>
      </c>
      <c r="DY17" s="346">
        <f>IFERROR(_xlfn.IFS($C17="1", 'Inputs-System'!$C$30*'Coincidence Factors'!$B$5*'Inputs-Proposals'!$E$17*'Inputs-Proposals'!$E$19*(VLOOKUP(DT$3,'Non-Embedded Emissions'!$A$56:$D$90,2,FALSE)+VLOOKUP(DT$3,'Non-Embedded Emissions'!$A$143:$D$174,2,FALSE)+VLOOKUP(DT$3,'Non-Embedded Emissions'!$A$230:$D$259,2,FALSE)-VLOOKUP(DT$3,'Non-Embedded Emissions'!$A$56:$D$90,3,FALSE)-VLOOKUP(DT$3,'Non-Embedded Emissions'!$A$143:$D$174,3,FALSE)-VLOOKUP(DT$3,'Non-Embedded Emissions'!$A$230:$D$259,3,FALSE)), $C17 = "2", 'Inputs-System'!$C$30*'Coincidence Factors'!$B$5*'Inputs-Proposals'!$E$23*'Inputs-Proposals'!$E$25*(VLOOKUP(DT$3,'Non-Embedded Emissions'!$A$56:$D$90,2,FALSE)+VLOOKUP(DT$3,'Non-Embedded Emissions'!$A$143:$D$174,2,FALSE)+VLOOKUP(DT$3,'Non-Embedded Emissions'!$A$230:$D$259,2,FALSE)-VLOOKUP(DT$3,'Non-Embedded Emissions'!$A$56:$D$90,3,FALSE)-VLOOKUP(DT$3,'Non-Embedded Emissions'!$A$143:$D$174,3,FALSE)-VLOOKUP(DT$3,'Non-Embedded Emissions'!$A$230:$D$259,3,FALSE)), $C17 = "3", 'Inputs-System'!$C$30*'Coincidence Factors'!$B$5*'Inputs-Proposals'!$E$29*'Inputs-Proposals'!$E$31*(VLOOKUP(DT$3,'Non-Embedded Emissions'!$A$56:$D$90,2,FALSE)+VLOOKUP(DT$3,'Non-Embedded Emissions'!$A$143:$D$174,2,FALSE)+VLOOKUP(DT$3,'Non-Embedded Emissions'!$A$230:$D$259,2,FALSE)-VLOOKUP(DT$3,'Non-Embedded Emissions'!$A$56:$D$90,3,FALSE)-VLOOKUP(DT$3,'Non-Embedded Emissions'!$A$143:$D$174,3,FALSE)-VLOOKUP(DT$3,'Non-Embedded Emissions'!$A$230:$D$259,3,FALSE)), $C17 = "0", 0), 0)</f>
        <v>0</v>
      </c>
      <c r="DZ17" s="345">
        <f>IFERROR(_xlfn.IFS($C17="1",('Inputs-System'!$C$30*'Coincidence Factors'!$B$5*(1+'Inputs-System'!$C$18)*(1+'Inputs-System'!$C$41)*('Inputs-Proposals'!$E$17*'Inputs-Proposals'!$E$19*(1-'Inputs-Proposals'!$E$20))*(VLOOKUP(DZ$3,Energy!$A$51:$K$83,5,FALSE)-VLOOKUP(DZ$3,Energy!$A$51:$K$83,6,FALSE))), $C17 = "2",('Inputs-System'!$C$30*'Coincidence Factors'!$B$5)*(1+'Inputs-System'!$C$18)*(1+'Inputs-System'!$C$41)*('Inputs-Proposals'!$E$23*'Inputs-Proposals'!$E$25*(1-'Inputs-Proposals'!$E$26))*(VLOOKUP(DZ$3,Energy!$A$51:$K$83,5,FALSE)-VLOOKUP(DZ$3,Energy!$A$51:$K$83,6,FALSE)), $C17= "3", ('Inputs-System'!$C$30*'Coincidence Factors'!$B$5*(1+'Inputs-System'!$C$18)*(1+'Inputs-System'!$C$41)*('Inputs-Proposals'!$E$29*'Inputs-Proposals'!$E$31*(1-'Inputs-Proposals'!$E$32))*(VLOOKUP(DZ$3,Energy!$A$51:$K$83,5,FALSE)-VLOOKUP(DZ$3,Energy!$A$51:$K$83,6,FALSE))), $C17= "0", 0), 0)</f>
        <v>0</v>
      </c>
      <c r="EA17" s="100">
        <f>IFERROR(_xlfn.IFS($C17="1", 'Inputs-System'!$C$30*'Coincidence Factors'!$B$5*(1+'Inputs-System'!$C$18)*(1+'Inputs-System'!$C$41)*'Inputs-Proposals'!$E$17*'Inputs-Proposals'!$E$19*(1-'Inputs-Proposals'!$E$20)*(VLOOKUP(DZ$3,'Embedded Emissions'!$A$47:$B$78,2,FALSE)+VLOOKUP(DZ$3,'Embedded Emissions'!$A$129:$B$158,2,FALSE)), $C17 = "2",'Inputs-System'!$C$30*'Coincidence Factors'!$B$5*(1+'Inputs-System'!$C$18)*(1+'Inputs-System'!$C$41)*'Inputs-Proposals'!$E$23*'Inputs-Proposals'!$E$25*(1-'Inputs-Proposals'!$E$20)*(VLOOKUP(DZ$3,'Embedded Emissions'!$A$47:$B$78,2,FALSE)+VLOOKUP(DZ$3,'Embedded Emissions'!$A$129:$B$158,2,FALSE)), $C17 = "3", 'Inputs-System'!$C$30*'Coincidence Factors'!$B$5*(1+'Inputs-System'!$C$18)*(1+'Inputs-System'!$C$41)*'Inputs-Proposals'!$E$29*'Inputs-Proposals'!$E$31*(1-'Inputs-Proposals'!$E$20)*(VLOOKUP(DZ$3,'Embedded Emissions'!$A$47:$B$78,2,FALSE)+VLOOKUP(DZ$3,'Embedded Emissions'!$A$129:$B$158,2,FALSE)), $C17 = "0", 0), 0)</f>
        <v>0</v>
      </c>
      <c r="EB17" s="100">
        <f>IFERROR(_xlfn.IFS($C17="1",( 'Inputs-System'!$C$30*'Coincidence Factors'!$B$5*(1+'Inputs-System'!$C$18)*(1+'Inputs-System'!$C$41))*('Inputs-Proposals'!$E$17*'Inputs-Proposals'!$E$19*(1-'Inputs-Proposals'!$E$20))*(VLOOKUP(DZ$3,DRIPE!$A$54:$I$82,5,FALSE)-VLOOKUP(DZ$3,DRIPE!$A$54:$I$82,6,FALSE)+VLOOKUP(DZ$3,DRIPE!$A$54:$I$82,9,FALSE))+ ('Inputs-System'!$C$26*'Coincidence Factors'!$B$5*(1+'Inputs-System'!$C$18)*(1+'Inputs-System'!$C$41))*'Inputs-Proposals'!$E$16*VLOOKUP(DZ$3,DRIPE!$A$54:$I$80,8,FALSE), $C17 = "2",( 'Inputs-System'!$C$30*'Coincidence Factors'!$B$5*(1+'Inputs-System'!$C$18)*(1+'Inputs-System'!$C$41))*('Inputs-Proposals'!$E$23*'Inputs-Proposals'!$E$25*(1-'Inputs-Proposals'!$E$26))*(VLOOKUP(DZ$3,DRIPE!$A$54:$I$82,5,FALSE)-VLOOKUP(DZ$3,DRIPE!$A$54:$I$82,6,FALSE)+VLOOKUP(DZ$3,DRIPE!$A$54:$I$82,9,FALSE))+ ('Inputs-System'!$C$26*'Coincidence Factors'!$B$5*(1+'Inputs-System'!$C$18)*(1+'Inputs-System'!$C$41))+ ('Inputs-System'!$C$26*'Coincidence Factors'!$B$5)*'Inputs-Proposals'!$E$22*VLOOKUP(DZ$3,DRIPE!$A$54:$I$80,8,FALSE), $C17= "3", ('Inputs-System'!$C$30*'Coincidence Factors'!$B$5)*('Inputs-Proposals'!$E$29*'Inputs-Proposals'!$E$31*(1-'Inputs-Proposals'!$E$32))*(VLOOKUP(DZ$3,DRIPE!$A$54:$I$80,5,FALSE)-VLOOKUP(DZ$3,DRIPE!$A$54:$I$80,6,FALSE)+VLOOKUP(DZ$3,DRIPE!$A$54:$I$80,9,FALSE))+ ('Inputs-System'!$C$26*'Coincidence Factors'!$B$5*(1+'Inputs-System'!$C$18)*(1+'Inputs-System'!$C$41))*'Inputs-Proposals'!$E$28*VLOOKUP(DZ$3,DRIPE!$A$54:$I$80,8,FALSE), $C17 = "0", 0), 0)</f>
        <v>0</v>
      </c>
      <c r="EC17" s="345">
        <f>IFERROR(_xlfn.IFS($C17="1",('Inputs-System'!$C$26*'Coincidence Factors'!$B$5*(1+'Inputs-System'!$C$18)*(1+'Inputs-System'!$C$42))*'Inputs-Proposals'!$E$16*(VLOOKUP(DZ$3,Capacity!$A$53:$E$85,4,FALSE)*(1+'Inputs-System'!$C$42)+VLOOKUP(DZ$3,Capacity!$A$53:$E$85,5,FALSE)*(1+'Inputs-System'!$C$43)*'Inputs-System'!$C$29), $C17 = "2", ('Inputs-System'!$C$26*'Coincidence Factors'!$B$5*(1+'Inputs-System'!$C$18))*'Inputs-Proposals'!$E$22*(VLOOKUP(DZ$3,Capacity!$A$53:$E$85,4,FALSE)*(1+'Inputs-System'!$C$42)+VLOOKUP(DZ$3,Capacity!$A$53:$E$85,5,FALSE)*'Inputs-System'!$C$29*(1+'Inputs-System'!$C$43)), $C17 = "3", ('Inputs-System'!$C$26*'Coincidence Factors'!$B$5*(1+'Inputs-System'!$C$18))*'Inputs-Proposals'!$E$28*(VLOOKUP(DZ$3,Capacity!$A$53:$E$85,4,FALSE)*(1+'Inputs-System'!$C$42)+VLOOKUP(DZ$3,Capacity!$A$53:$E$85,5,FALSE)*'Inputs-System'!$C$29*(1+'Inputs-System'!$C$43)), $C17 = "0", 0), 0)</f>
        <v>0</v>
      </c>
      <c r="ED17" s="100">
        <v>0</v>
      </c>
      <c r="EE17" s="346">
        <f>IFERROR(_xlfn.IFS($C17="1", 'Inputs-System'!$C$30*'Coincidence Factors'!$B$5*'Inputs-Proposals'!$E$17*'Inputs-Proposals'!$E$19*(VLOOKUP(DZ$3,'Non-Embedded Emissions'!$A$56:$D$90,2,FALSE)+VLOOKUP(DZ$3,'Non-Embedded Emissions'!$A$143:$D$174,2,FALSE)+VLOOKUP(DZ$3,'Non-Embedded Emissions'!$A$230:$D$259,2,FALSE)-VLOOKUP(DZ$3,'Non-Embedded Emissions'!$A$56:$D$90,3,FALSE)-VLOOKUP(DZ$3,'Non-Embedded Emissions'!$A$143:$D$174,3,FALSE)-VLOOKUP(DZ$3,'Non-Embedded Emissions'!$A$230:$D$259,3,FALSE)), $C17 = "2", 'Inputs-System'!$C$30*'Coincidence Factors'!$B$5*'Inputs-Proposals'!$E$23*'Inputs-Proposals'!$E$25*(VLOOKUP(DZ$3,'Non-Embedded Emissions'!$A$56:$D$90,2,FALSE)+VLOOKUP(DZ$3,'Non-Embedded Emissions'!$A$143:$D$174,2,FALSE)+VLOOKUP(DZ$3,'Non-Embedded Emissions'!$A$230:$D$259,2,FALSE)-VLOOKUP(DZ$3,'Non-Embedded Emissions'!$A$56:$D$90,3,FALSE)-VLOOKUP(DZ$3,'Non-Embedded Emissions'!$A$143:$D$174,3,FALSE)-VLOOKUP(DZ$3,'Non-Embedded Emissions'!$A$230:$D$259,3,FALSE)), $C17 = "3", 'Inputs-System'!$C$30*'Coincidence Factors'!$B$5*'Inputs-Proposals'!$E$29*'Inputs-Proposals'!$E$31*(VLOOKUP(DZ$3,'Non-Embedded Emissions'!$A$56:$D$90,2,FALSE)+VLOOKUP(DZ$3,'Non-Embedded Emissions'!$A$143:$D$174,2,FALSE)+VLOOKUP(DZ$3,'Non-Embedded Emissions'!$A$230:$D$259,2,FALSE)-VLOOKUP(DZ$3,'Non-Embedded Emissions'!$A$56:$D$90,3,FALSE)-VLOOKUP(DZ$3,'Non-Embedded Emissions'!$A$143:$D$174,3,FALSE)-VLOOKUP(DZ$3,'Non-Embedded Emissions'!$A$230:$D$259,3,FALSE)), $C17 = "0", 0), 0)</f>
        <v>0</v>
      </c>
    </row>
    <row r="18" spans="1:135" x14ac:dyDescent="0.35">
      <c r="A18" s="708"/>
      <c r="B18" s="3" t="s">
        <v>158</v>
      </c>
      <c r="C18" s="3" t="str">
        <f>IFERROR(_xlfn.IFS('Benefits Calc'!B18='Inputs-Proposals'!$E$15, "1", 'Benefits Calc'!B18='Inputs-Proposals'!$E$21, "2", 'Benefits Calc'!B18='Inputs-Proposals'!$E$27, "3"), "0")</f>
        <v>0</v>
      </c>
      <c r="D18" s="323">
        <f t="shared" si="0"/>
        <v>0</v>
      </c>
      <c r="E18" s="44">
        <f t="shared" si="1"/>
        <v>0</v>
      </c>
      <c r="F18" s="44">
        <f t="shared" si="2"/>
        <v>0</v>
      </c>
      <c r="G18" s="44">
        <f t="shared" si="3"/>
        <v>0</v>
      </c>
      <c r="H18" s="44">
        <f t="shared" si="4"/>
        <v>0</v>
      </c>
      <c r="I18" s="44">
        <f t="shared" si="5"/>
        <v>0</v>
      </c>
      <c r="J18" s="323">
        <f>NPV('Inputs-System'!$C$20,P18+V18+AB18+AH18+AN18+AT18+AZ18+BF18+BL18+BR18+BX18+CD18+CJ18+CP18+CV18+DB18+DH18+DN18+DT18+DZ18)</f>
        <v>0</v>
      </c>
      <c r="K18" s="44">
        <f>NPV('Inputs-System'!$C$20,Q18+W18+AC18+AI18+AO18+AU18+BA18+BG18+BM18+BS18+BY18+CE18+CK18+CQ18+CW18+DC18+DI18+DO18+DU18+EA18)</f>
        <v>0</v>
      </c>
      <c r="L18" s="44">
        <f>NPV('Inputs-System'!$C$20,R18+X18+AD18+AJ18+AP18+AV18+BB18+BH18+BN18+BT18+BZ18+CF18+CL18+CR18+CX18+DD18+DJ18+DP18+DV18+EB18)</f>
        <v>0</v>
      </c>
      <c r="M18" s="44">
        <f>NPV('Inputs-System'!$C$20,S18+Y18+AE18+AK18+AQ18+AW18+BC18+BI18+BO18+BU18+CA18+CG18+CM18+CS18+CY18+DE18+DK18+DQ18+DW18+EC18)</f>
        <v>0</v>
      </c>
      <c r="N18" s="44">
        <f>NPV('Inputs-System'!$C$20,T18+Z18+AF18+AL18+AR18+AX18+BD18+BJ18+BP18+BV18+CB18+CH18+CN18+CT18+CZ18+DF18+DL18+DR18+DX18+ED18)</f>
        <v>0</v>
      </c>
      <c r="O18" s="44">
        <f>NPV('Inputs-System'!$C$20,U18+AA18+AG18+AM18+AS18+AY18+BE18+BK18+BQ18+BW18+CC18+CI18+CO18+CU18+DA18+DG18+DM18+DS18+DY18+EE18)</f>
        <v>0</v>
      </c>
      <c r="P18" s="347">
        <f>IFERROR(_xlfn.IFS($C18="1",('Inputs-System'!$C$30*'Coincidence Factors'!$B$6*(1+'Inputs-System'!$C$18)*(1+'Inputs-System'!$C$41)*('Inputs-Proposals'!$E$17*'Inputs-Proposals'!$E$19*(1-'Inputs-Proposals'!$E$20^(P$3-'Inputs-System'!$C$7+1)))*(VLOOKUP(P$3,Energy!$A$51:$K$83,5,FALSE))), $C18 = "2",('Inputs-System'!$C$30*'Coincidence Factors'!$B$6)*(1+'Inputs-System'!$C$18)*(1+'Inputs-System'!$C$41)*('Inputs-Proposals'!$E$23*'Inputs-Proposals'!$E$25*(1-'Inputs-Proposals'!$E$26^(P$3-'Inputs-System'!$C$7+1)))*(VLOOKUP(P$3,Energy!$A$51:$K$83,5,FALSE)), $C18= "3", ('Inputs-System'!$C$30*'Coincidence Factors'!$B$6*(1+'Inputs-System'!$C$18)*(1+'Inputs-System'!$C$41)*('Inputs-Proposals'!$E$29*'Inputs-Proposals'!$E$31*(1-'Inputs-Proposals'!$E$32^(P$3-'Inputs-System'!$C$7+1)))*(VLOOKUP(P$3,Energy!$A$51:$K$83,5,FALSE))), $C18= "0", 0), 0)</f>
        <v>0</v>
      </c>
      <c r="Q18" s="44">
        <f>IFERROR(_xlfn.IFS($C18="1",('Inputs-System'!$C$30*'Coincidence Factors'!$B$6*(1+'Inputs-System'!$C$18)*(1+'Inputs-System'!$C$41))*'Inputs-Proposals'!$E$17*'Inputs-Proposals'!$E$19*(1-'Inputs-Proposals'!$E$20^(P$3-'Inputs-System'!$C$7+1))*(VLOOKUP(P$3,'Embedded Emissions'!$A$47:$B$78,2,FALSE)+VLOOKUP(P$3,'Embedded Emissions'!$A$129:$B$158,2,FALSE)), $C18 = "2",('Inputs-System'!$C$30*'Coincidence Factors'!$B$6*(1+'Inputs-System'!$C$18)*(1+'Inputs-System'!$C$41))*'Inputs-Proposals'!$E$23*'Inputs-Proposals'!$E$25*(1-'Inputs-Proposals'!$E$20^(P$3-'Inputs-System'!$C$7+1))*(VLOOKUP(P$3,'Embedded Emissions'!$A$47:$B$78,2,FALSE)+VLOOKUP(P$3,'Embedded Emissions'!$A$129:$B$158,2,FALSE)), $C18 = "3", ('Inputs-System'!$C$30*'Coincidence Factors'!$B$6*(1+'Inputs-System'!$C$18)*(1+'Inputs-System'!$C$41))*'Inputs-Proposals'!$E$29*'Inputs-Proposals'!$E$31*(1-'Inputs-Proposals'!$E$20^(P$3-'Inputs-System'!$C$7+1))*(VLOOKUP(P$3,'Embedded Emissions'!$A$47:$B$78,2,FALSE)+VLOOKUP(P$3,'Embedded Emissions'!$A$129:$B$158,2,FALSE)), $C18 = "0", 0), 0)</f>
        <v>0</v>
      </c>
      <c r="R18" s="44">
        <f>IFERROR(_xlfn.IFS($C18="1",( 'Inputs-System'!$C$30*'Coincidence Factors'!$B$6*(1+'Inputs-System'!$C$18)*(1+'Inputs-System'!$C$41))*('Inputs-Proposals'!$E$17*'Inputs-Proposals'!$E$19*(1-'Inputs-Proposals'!$E$20)^(P$3-'Inputs-System'!$C$7))*(VLOOKUP(P$3,DRIPE!$A$54:$I$82,5,FALSE)+VLOOKUP(P$3,DRIPE!$A$54:$I$82,9,FALSE))+ ('Inputs-System'!$C$26*'Coincidence Factors'!$B$6*(1+'Inputs-System'!$C$18)*(1+'Inputs-System'!$C$42))*'Inputs-Proposals'!$E$16*VLOOKUP(P$3,DRIPE!$A$54:$I$82,8,FALSE), $C18 = "2",( 'Inputs-System'!$C$30*'Coincidence Factors'!$B$6*(1+'Inputs-System'!$C$18)*(1+'Inputs-System'!$C$41))*('Inputs-Proposals'!$E$23*'Inputs-Proposals'!$E$25*(1-'Inputs-Proposals'!$E$26)^(P$3-'Inputs-System'!$C$7))*(VLOOKUP(P$3,DRIPE!$A$54:$I$82,5,FALSE)+VLOOKUP(P$3,DRIPE!$A$54:$I$82,9,FALSE))+ ('Inputs-System'!$C$26*'Coincidence Factors'!$B$6*(1+'Inputs-System'!$C$18)*(1+'Inputs-System'!$C$42))*'Inputs-Proposals'!$E$22*VLOOKUP(P$3,DRIPE!$A$54:$I$82,8,FALSE), $C18= "3", ( 'Inputs-System'!$C$30*'Coincidence Factors'!$B$6*(1+'Inputs-System'!$C$18)*(1+'Inputs-System'!$C$41))*('Inputs-Proposals'!$E$29*'Inputs-Proposals'!$E$31*(1-'Inputs-Proposals'!$E$32)^(P$3-'Inputs-System'!$C$7))*(VLOOKUP(P$3,DRIPE!$A$54:$I$82,5,FALSE)+VLOOKUP(P$3,DRIPE!$A$54:$I$82,9,FALSE))+ ('Inputs-System'!$C$26*'Coincidence Factors'!$B$6*(1+'Inputs-System'!$C$18)*(1+'Inputs-System'!$C$42))*'Inputs-Proposals'!$E$28*VLOOKUP(P$3,DRIPE!$A$54:$I$82,8,FALSE), $C18 = "0", 0), 0)</f>
        <v>0</v>
      </c>
      <c r="S18" s="45">
        <f>IFERROR(_xlfn.IFS($C18="1",('Inputs-System'!$C$26*'Coincidence Factors'!$B$6*(1+'Inputs-System'!$C$18))*'Inputs-Proposals'!$E$16*(VLOOKUP(P$3,Capacity!$A$53:$E$85,4,FALSE)*(1+'Inputs-System'!$C$42)+VLOOKUP(P$3,Capacity!$A$53:$E$85,5,FALSE)*'Inputs-System'!$C$29*(1+'Inputs-System'!$C$43)), $C18 = "2", ('Inputs-System'!$C$26*'Coincidence Factors'!$B$6*(1+'Inputs-System'!$C$18))*'Inputs-Proposals'!$E$22*(VLOOKUP(P$3,Capacity!$A$53:$E$85,4,FALSE)*(1+'Inputs-System'!$C$42)+VLOOKUP(P$3,Capacity!$A$53:$E$85,5,FALSE)*'Inputs-System'!$C$29*(1+'Inputs-System'!$C$43)), $C18 = "3",('Inputs-System'!$C$26*'Coincidence Factors'!$B$6*(1+'Inputs-System'!$C$18))*'Inputs-Proposals'!$E$28*(VLOOKUP(P$3,Capacity!$A$53:$E$85,4,FALSE)*(1+'Inputs-System'!$C$42)+VLOOKUP(P$3,Capacity!$A$53:$E$85,5,FALSE)*'Inputs-System'!$C$29*(1+'Inputs-System'!$C$43)), $C18 = "0", 0), 0)</f>
        <v>0</v>
      </c>
      <c r="T18" s="44">
        <v>0</v>
      </c>
      <c r="U18" s="342">
        <f>IFERROR(_xlfn.IFS($C18="1", 'Inputs-System'!$C$30*'Coincidence Factors'!$B$6*'Inputs-Proposals'!$E$17*'Inputs-Proposals'!$E$19*(VLOOKUP(P$3,'Non-Embedded Emissions'!$A$56:$D$90,2,FALSE)+VLOOKUP(P$3,'Non-Embedded Emissions'!$A$143:$D$174,2,FALSE)+VLOOKUP(P$3,'Non-Embedded Emissions'!$A$230:$D$259,2,FALSE)), $C18 = "2", 'Inputs-System'!$C$30*'Coincidence Factors'!$B$6*'Inputs-Proposals'!$E$23*'Inputs-Proposals'!$E$25*(VLOOKUP(P$3,'Non-Embedded Emissions'!$A$56:$D$90,2,FALSE)+VLOOKUP(P$3,'Non-Embedded Emissions'!$A$143:$D$174,2,FALSE)+VLOOKUP(P$3,'Non-Embedded Emissions'!$A$230:$D$259,2,FALSE)), $C18 = "3", 'Inputs-System'!$C$30*'Coincidence Factors'!$B$6*'Inputs-Proposals'!$E$29*'Inputs-Proposals'!$E$31*(VLOOKUP(P$3,'Non-Embedded Emissions'!$A$56:$D$90,2,FALSE)+VLOOKUP(P$3,'Non-Embedded Emissions'!$A$143:$D$174,2,FALSE)+VLOOKUP(P$3,'Non-Embedded Emissions'!$A$230:$D$259,2,FALSE)), $C18 = "0", 0), 0)</f>
        <v>0</v>
      </c>
      <c r="V18" s="45">
        <f>IFERROR(_xlfn.IFS($C18="1",('Inputs-System'!$C$30*'Coincidence Factors'!$B$6*(1+'Inputs-System'!$C$18)*(1+'Inputs-System'!$C$41)*('Inputs-Proposals'!$E$17*'Inputs-Proposals'!$E$19*(1-'Inputs-Proposals'!$E$20^(V$3-'Inputs-System'!$C$7)))*(VLOOKUP(V$3,Energy!$A$51:$K$83,5,FALSE))), $C18 = "2",('Inputs-System'!$C$30*'Coincidence Factors'!$B$6)*(1+'Inputs-System'!$C$18)*(1+'Inputs-System'!$C$41)*('Inputs-Proposals'!$E$23*'Inputs-Proposals'!$E$25*(1-'Inputs-Proposals'!$E$26^(V$3-'Inputs-System'!$C$7)))*(VLOOKUP(V$3,Energy!$A$51:$K$83,5,FALSE)), $C18= "3", ('Inputs-System'!$C$30*'Coincidence Factors'!$B$6*(1+'Inputs-System'!$C$18)*(1+'Inputs-System'!$C$41)*('Inputs-Proposals'!$E$29*'Inputs-Proposals'!$E$31*(1-'Inputs-Proposals'!$E$32^(V$3-'Inputs-System'!$C$7)))*(VLOOKUP(V$3,Energy!$A$51:$K$83,5,FALSE))), $C18= "0", 0), 0)</f>
        <v>0</v>
      </c>
      <c r="W18" s="44">
        <f>IFERROR(_xlfn.IFS($C18="1",('Inputs-System'!$C$30*'Coincidence Factors'!$B$6*(1+'Inputs-System'!$C$18)*(1+'Inputs-System'!$C$41))*'Inputs-Proposals'!$E$17*'Inputs-Proposals'!$E$19*(1-'Inputs-Proposals'!$E$20^(V$3-'Inputs-System'!$C$7))*(VLOOKUP(V$3,'Embedded Emissions'!$A$47:$B$78,2,FALSE)+VLOOKUP(V$3,'Embedded Emissions'!$A$129:$B$158,2,FALSE)), $C18 = "2",('Inputs-System'!$C$30*'Coincidence Factors'!$B$6*(1+'Inputs-System'!$C$18)*(1+'Inputs-System'!$C$41))*'Inputs-Proposals'!$E$23*'Inputs-Proposals'!$E$25*(1-'Inputs-Proposals'!$E$20^(V$3-'Inputs-System'!$C$7))*(VLOOKUP(V$3,'Embedded Emissions'!$A$47:$B$78,2,FALSE)+VLOOKUP(V$3,'Embedded Emissions'!$A$129:$B$158,2,FALSE)), $C18 = "3", ('Inputs-System'!$C$30*'Coincidence Factors'!$B$6*(1+'Inputs-System'!$C$18)*(1+'Inputs-System'!$C$41))*'Inputs-Proposals'!$E$29*'Inputs-Proposals'!$E$31*(1-'Inputs-Proposals'!$E$20^(V$3-'Inputs-System'!$C$7))*(VLOOKUP(V$3,'Embedded Emissions'!$A$47:$B$78,2,FALSE)+VLOOKUP(V$3,'Embedded Emissions'!$A$129:$B$158,2,FALSE)), $C18 = "0", 0), 0)</f>
        <v>0</v>
      </c>
      <c r="X18" s="44">
        <f>IFERROR(_xlfn.IFS($C18="1",( 'Inputs-System'!$C$30*'Coincidence Factors'!$B$6*(1+'Inputs-System'!$C$18)*(1+'Inputs-System'!$C$41))*('Inputs-Proposals'!$E$17*'Inputs-Proposals'!$E$19*(1-'Inputs-Proposals'!$E$20)^(V$3-'Inputs-System'!$C$7))*(VLOOKUP(V$3,DRIPE!$A$54:$I$82,5,FALSE)+VLOOKUP(V$3,DRIPE!$A$54:$I$82,9,FALSE))+ ('Inputs-System'!$C$26*'Coincidence Factors'!$B$6*(1+'Inputs-System'!$C$18)*(1+'Inputs-System'!$C$42))*'Inputs-Proposals'!$E$16*VLOOKUP(V$3,DRIPE!$A$54:$I$82,8,FALSE), $C18 = "2",( 'Inputs-System'!$C$30*'Coincidence Factors'!$B$6*(1+'Inputs-System'!$C$18)*(1+'Inputs-System'!$C$41))*('Inputs-Proposals'!$E$23*'Inputs-Proposals'!$E$25*(1-'Inputs-Proposals'!$E$26)^(V$3-'Inputs-System'!$C$7))*(VLOOKUP(V$3,DRIPE!$A$54:$I$82,5,FALSE)+VLOOKUP(V$3,DRIPE!$A$54:$I$82,9,FALSE))+ ('Inputs-System'!$C$26*'Coincidence Factors'!$B$6*(1+'Inputs-System'!$C$18)*(1+'Inputs-System'!$C$42))*'Inputs-Proposals'!$E$22*VLOOKUP(V$3,DRIPE!$A$54:$I$82,8,FALSE), $C18= "3", ( 'Inputs-System'!$C$30*'Coincidence Factors'!$B$6*(1+'Inputs-System'!$C$18)*(1+'Inputs-System'!$C$41))*('Inputs-Proposals'!$E$29*'Inputs-Proposals'!$E$31*(1-'Inputs-Proposals'!$E$32)^(V$3-'Inputs-System'!$C$7))*(VLOOKUP(V$3,DRIPE!$A$54:$I$82,5,FALSE)+VLOOKUP(V$3,DRIPE!$A$54:$I$82,9,FALSE))+ ('Inputs-System'!$C$26*'Coincidence Factors'!$B$6*(1+'Inputs-System'!$C$18)*(1+'Inputs-System'!$C$42))*'Inputs-Proposals'!$E$28*VLOOKUP(V$3,DRIPE!$A$54:$I$82,8,FALSE), $C18 = "0", 0), 0)</f>
        <v>0</v>
      </c>
      <c r="Y18" s="45">
        <f>IFERROR(_xlfn.IFS($C18="1",('Inputs-System'!$C$26*'Coincidence Factors'!$B$6*(1+'Inputs-System'!$C$18))*'Inputs-Proposals'!$E$16*(VLOOKUP(V$3,Capacity!$A$53:$E$85,4,FALSE)*(1+'Inputs-System'!$C$42)+VLOOKUP(V$3,Capacity!$A$53:$E$85,5,FALSE)*'Inputs-System'!$C$29*(1+'Inputs-System'!$C$43)), $C18 = "2", ('Inputs-System'!$C$26*'Coincidence Factors'!$B$6*(1+'Inputs-System'!$C$18))*'Inputs-Proposals'!$E$22*(VLOOKUP(V$3,Capacity!$A$53:$E$85,4,FALSE)*(1+'Inputs-System'!$C$42)+VLOOKUP(V$3,Capacity!$A$53:$E$85,5,FALSE)*'Inputs-System'!$C$29*(1+'Inputs-System'!$C$43)), $C18 = "3",('Inputs-System'!$C$26*'Coincidence Factors'!$B$6*(1+'Inputs-System'!$C$18))*'Inputs-Proposals'!$E$28*(VLOOKUP(V$3,Capacity!$A$53:$E$85,4,FALSE)*(1+'Inputs-System'!$C$42)+VLOOKUP(V$3,Capacity!$A$53:$E$85,5,FALSE)*'Inputs-System'!$C$29*(1+'Inputs-System'!$C$43)), $C18 = "0", 0), 0)</f>
        <v>0</v>
      </c>
      <c r="Z18" s="44">
        <v>0</v>
      </c>
      <c r="AA18" s="342">
        <f>IFERROR(_xlfn.IFS($C18="1", 'Inputs-System'!$C$30*'Coincidence Factors'!$B$6*'Inputs-Proposals'!$E$17*'Inputs-Proposals'!$E$19*(VLOOKUP(V$3,'Non-Embedded Emissions'!$A$56:$D$90,2,FALSE)+VLOOKUP(V$3,'Non-Embedded Emissions'!$A$143:$D$174,2,FALSE)+VLOOKUP(V$3,'Non-Embedded Emissions'!$A$230:$D$259,2,FALSE)), $C18 = "2", 'Inputs-System'!$C$30*'Coincidence Factors'!$B$6*'Inputs-Proposals'!$E$23*'Inputs-Proposals'!$E$25*(VLOOKUP(V$3,'Non-Embedded Emissions'!$A$56:$D$90,2,FALSE)+VLOOKUP(V$3,'Non-Embedded Emissions'!$A$143:$D$174,2,FALSE)+VLOOKUP(V$3,'Non-Embedded Emissions'!$A$230:$D$259,2,FALSE)), $C18 = "3", 'Inputs-System'!$C$30*'Coincidence Factors'!$B$6*'Inputs-Proposals'!$E$29*'Inputs-Proposals'!$E$31*(VLOOKUP(V$3,'Non-Embedded Emissions'!$A$56:$D$90,2,FALSE)+VLOOKUP(V$3,'Non-Embedded Emissions'!$A$143:$D$174,2,FALSE)+VLOOKUP(V$3,'Non-Embedded Emissions'!$A$230:$D$259,2,FALSE)), $C18 = "0", 0), 0)</f>
        <v>0</v>
      </c>
      <c r="AB18" s="45">
        <f>IFERROR(_xlfn.IFS($C18="1",('Inputs-System'!$C$30*'Coincidence Factors'!$B$6*(1+'Inputs-System'!$C$18)*(1+'Inputs-System'!$C$41)*('Inputs-Proposals'!$E$17*'Inputs-Proposals'!$E$19*(1-'Inputs-Proposals'!$E$20^(AB$3-'Inputs-System'!$C$7)))*(VLOOKUP(AB$3,Energy!$A$51:$K$83,5,FALSE))), $C18 = "2",('Inputs-System'!$C$30*'Coincidence Factors'!$B$6)*(1+'Inputs-System'!$C$18)*(1+'Inputs-System'!$C$41)*('Inputs-Proposals'!$E$23*'Inputs-Proposals'!$E$25*(1-'Inputs-Proposals'!$E$26^(AB$3-'Inputs-System'!$C$7)))*(VLOOKUP(AB$3,Energy!$A$51:$K$83,5,FALSE)), $C18= "3", ('Inputs-System'!$C$30*'Coincidence Factors'!$B$6*(1+'Inputs-System'!$C$18)*(1+'Inputs-System'!$C$41)*('Inputs-Proposals'!$E$29*'Inputs-Proposals'!$E$31*(1-'Inputs-Proposals'!$E$32^(AB$3-'Inputs-System'!$C$7)))*(VLOOKUP(AB$3,Energy!$A$51:$K$83,5,FALSE))), $C18= "0", 0), 0)</f>
        <v>0</v>
      </c>
      <c r="AC18" s="44">
        <f>IFERROR(_xlfn.IFS($C18="1",('Inputs-System'!$C$30*'Coincidence Factors'!$B$6*(1+'Inputs-System'!$C$18)*(1+'Inputs-System'!$C$41))*'Inputs-Proposals'!$E$17*'Inputs-Proposals'!$E$19*(1-'Inputs-Proposals'!$E$20^(AB$3-'Inputs-System'!$C$7))*(VLOOKUP(AB$3,'Embedded Emissions'!$A$47:$B$78,2,FALSE)+VLOOKUP(AB$3,'Embedded Emissions'!$A$129:$B$158,2,FALSE)), $C18 = "2",('Inputs-System'!$C$30*'Coincidence Factors'!$B$6*(1+'Inputs-System'!$C$18)*(1+'Inputs-System'!$C$41))*'Inputs-Proposals'!$E$23*'Inputs-Proposals'!$E$25*(1-'Inputs-Proposals'!$E$20^(AB$3-'Inputs-System'!$C$7))*(VLOOKUP(AB$3,'Embedded Emissions'!$A$47:$B$78,2,FALSE)+VLOOKUP(AB$3,'Embedded Emissions'!$A$129:$B$158,2,FALSE)), $C18 = "3", ('Inputs-System'!$C$30*'Coincidence Factors'!$B$6*(1+'Inputs-System'!$C$18)*(1+'Inputs-System'!$C$41))*'Inputs-Proposals'!$E$29*'Inputs-Proposals'!$E$31*(1-'Inputs-Proposals'!$E$20^(AB$3-'Inputs-System'!$C$7))*(VLOOKUP(AB$3,'Embedded Emissions'!$A$47:$B$78,2,FALSE)+VLOOKUP(AB$3,'Embedded Emissions'!$A$129:$B$158,2,FALSE)), $C18 = "0", 0), 0)</f>
        <v>0</v>
      </c>
      <c r="AD18" s="44">
        <f>IFERROR(_xlfn.IFS($C18="1",( 'Inputs-System'!$C$30*'Coincidence Factors'!$B$6*(1+'Inputs-System'!$C$18)*(1+'Inputs-System'!$C$41))*('Inputs-Proposals'!$E$17*'Inputs-Proposals'!$E$19*(1-'Inputs-Proposals'!$E$20)^(AB$3-'Inputs-System'!$C$7))*(VLOOKUP(AB$3,DRIPE!$A$54:$I$82,5,FALSE)+VLOOKUP(AB$3,DRIPE!$A$54:$I$82,9,FALSE))+ ('Inputs-System'!$C$26*'Coincidence Factors'!$B$6*(1+'Inputs-System'!$C$18)*(1+'Inputs-System'!$C$42))*'Inputs-Proposals'!$E$16*VLOOKUP(AB$3,DRIPE!$A$54:$I$82,8,FALSE), $C18 = "2",( 'Inputs-System'!$C$30*'Coincidence Factors'!$B$6*(1+'Inputs-System'!$C$18)*(1+'Inputs-System'!$C$41))*('Inputs-Proposals'!$E$23*'Inputs-Proposals'!$E$25*(1-'Inputs-Proposals'!$E$26)^(AB$3-'Inputs-System'!$C$7))*(VLOOKUP(AB$3,DRIPE!$A$54:$I$82,5,FALSE)+VLOOKUP(AB$3,DRIPE!$A$54:$I$82,9,FALSE))+ ('Inputs-System'!$C$26*'Coincidence Factors'!$B$6*(1+'Inputs-System'!$C$18)*(1+'Inputs-System'!$C$42))*'Inputs-Proposals'!$E$22*VLOOKUP(AB$3,DRIPE!$A$54:$I$82,8,FALSE), $C18= "3", ( 'Inputs-System'!$C$30*'Coincidence Factors'!$B$6*(1+'Inputs-System'!$C$18)*(1+'Inputs-System'!$C$41))*('Inputs-Proposals'!$E$29*'Inputs-Proposals'!$E$31*(1-'Inputs-Proposals'!$E$32)^(AB$3-'Inputs-System'!$C$7))*(VLOOKUP(AB$3,DRIPE!$A$54:$I$82,5,FALSE)+VLOOKUP(AB$3,DRIPE!$A$54:$I$82,9,FALSE))+ ('Inputs-System'!$C$26*'Coincidence Factors'!$B$6*(1+'Inputs-System'!$C$18)*(1+'Inputs-System'!$C$42))*'Inputs-Proposals'!$E$28*VLOOKUP(AB$3,DRIPE!$A$54:$I$82,8,FALSE), $C18 = "0", 0), 0)</f>
        <v>0</v>
      </c>
      <c r="AE18" s="45">
        <f>IFERROR(_xlfn.IFS($C18="1",('Inputs-System'!$C$26*'Coincidence Factors'!$B$6*(1+'Inputs-System'!$C$18))*'Inputs-Proposals'!$E$16*(VLOOKUP(AB$3,Capacity!$A$53:$E$85,4,FALSE)*(1+'Inputs-System'!$C$42)+VLOOKUP(AB$3,Capacity!$A$53:$E$85,5,FALSE)*'Inputs-System'!$C$29*(1+'Inputs-System'!$C$43)), $C18 = "2", ('Inputs-System'!$C$26*'Coincidence Factors'!$B$6*(1+'Inputs-System'!$C$18))*'Inputs-Proposals'!$E$22*(VLOOKUP(AB$3,Capacity!$A$53:$E$85,4,FALSE)*(1+'Inputs-System'!$C$42)+VLOOKUP(AB$3,Capacity!$A$53:$E$85,5,FALSE)*'Inputs-System'!$C$29*(1+'Inputs-System'!$C$43)), $C18 = "3",('Inputs-System'!$C$26*'Coincidence Factors'!$B$6*(1+'Inputs-System'!$C$18))*'Inputs-Proposals'!$E$28*(VLOOKUP(AB$3,Capacity!$A$53:$E$85,4,FALSE)*(1+'Inputs-System'!$C$42)+VLOOKUP(AB$3,Capacity!$A$53:$E$85,5,FALSE)*'Inputs-System'!$C$29*(1+'Inputs-System'!$C$43)), $C18 = "0", 0), 0)</f>
        <v>0</v>
      </c>
      <c r="AF18" s="44">
        <v>0</v>
      </c>
      <c r="AG18" s="342">
        <f>IFERROR(_xlfn.IFS($C18="1", 'Inputs-System'!$C$30*'Coincidence Factors'!$B$6*'Inputs-Proposals'!$E$17*'Inputs-Proposals'!$E$19*(VLOOKUP(AB$3,'Non-Embedded Emissions'!$A$56:$D$90,2,FALSE)+VLOOKUP(AB$3,'Non-Embedded Emissions'!$A$143:$D$174,2,FALSE)+VLOOKUP(AB$3,'Non-Embedded Emissions'!$A$230:$D$259,2,FALSE)), $C18 = "2", 'Inputs-System'!$C$30*'Coincidence Factors'!$B$6*'Inputs-Proposals'!$E$23*'Inputs-Proposals'!$E$25*(VLOOKUP(AB$3,'Non-Embedded Emissions'!$A$56:$D$90,2,FALSE)+VLOOKUP(AB$3,'Non-Embedded Emissions'!$A$143:$D$174,2,FALSE)+VLOOKUP(AB$3,'Non-Embedded Emissions'!$A$230:$D$259,2,FALSE)), $C18 = "3", 'Inputs-System'!$C$30*'Coincidence Factors'!$B$6*'Inputs-Proposals'!$E$29*'Inputs-Proposals'!$E$31*(VLOOKUP(AB$3,'Non-Embedded Emissions'!$A$56:$D$90,2,FALSE)+VLOOKUP(AB$3,'Non-Embedded Emissions'!$A$143:$D$174,2,FALSE)+VLOOKUP(AB$3,'Non-Embedded Emissions'!$A$230:$D$259,2,FALSE)), $C18 = "0", 0), 0)</f>
        <v>0</v>
      </c>
      <c r="AH18" s="45">
        <f>IFERROR(_xlfn.IFS($C18="1",('Inputs-System'!$C$30*'Coincidence Factors'!$B$6*(1+'Inputs-System'!$C$18)*(1+'Inputs-System'!$C$41)*('Inputs-Proposals'!$E$17*'Inputs-Proposals'!$E$19*(1-'Inputs-Proposals'!$E$20^(AH$3-'Inputs-System'!$C$7)))*(VLOOKUP(AH$3,Energy!$A$51:$K$83,5,FALSE))), $C18 = "2",('Inputs-System'!$C$30*'Coincidence Factors'!$B$6)*(1+'Inputs-System'!$C$18)*(1+'Inputs-System'!$C$41)*('Inputs-Proposals'!$E$23*'Inputs-Proposals'!$E$25*(1-'Inputs-Proposals'!$E$26^(AH$3-'Inputs-System'!$C$7)))*(VLOOKUP(AH$3,Energy!$A$51:$K$83,5,FALSE)), $C18= "3", ('Inputs-System'!$C$30*'Coincidence Factors'!$B$6*(1+'Inputs-System'!$C$18)*(1+'Inputs-System'!$C$41)*('Inputs-Proposals'!$E$29*'Inputs-Proposals'!$E$31*(1-'Inputs-Proposals'!$E$32^(AH$3-'Inputs-System'!$C$7)))*(VLOOKUP(AH$3,Energy!$A$51:$K$83,5,FALSE))), $C18= "0", 0), 0)</f>
        <v>0</v>
      </c>
      <c r="AI18" s="44">
        <f>IFERROR(_xlfn.IFS($C18="1",('Inputs-System'!$C$30*'Coincidence Factors'!$B$6*(1+'Inputs-System'!$C$18)*(1+'Inputs-System'!$C$41))*'Inputs-Proposals'!$E$17*'Inputs-Proposals'!$E$19*(1-'Inputs-Proposals'!$E$20^(AH$3-'Inputs-System'!$C$7))*(VLOOKUP(AH$3,'Embedded Emissions'!$A$47:$B$78,2,FALSE)+VLOOKUP(AH$3,'Embedded Emissions'!$A$129:$B$158,2,FALSE)), $C18 = "2",('Inputs-System'!$C$30*'Coincidence Factors'!$B$6*(1+'Inputs-System'!$C$18)*(1+'Inputs-System'!$C$41))*'Inputs-Proposals'!$E$23*'Inputs-Proposals'!$E$25*(1-'Inputs-Proposals'!$E$20^(AH$3-'Inputs-System'!$C$7))*(VLOOKUP(AH$3,'Embedded Emissions'!$A$47:$B$78,2,FALSE)+VLOOKUP(AH$3,'Embedded Emissions'!$A$129:$B$158,2,FALSE)), $C18 = "3", ('Inputs-System'!$C$30*'Coincidence Factors'!$B$6*(1+'Inputs-System'!$C$18)*(1+'Inputs-System'!$C$41))*'Inputs-Proposals'!$E$29*'Inputs-Proposals'!$E$31*(1-'Inputs-Proposals'!$E$20^(AH$3-'Inputs-System'!$C$7))*(VLOOKUP(AH$3,'Embedded Emissions'!$A$47:$B$78,2,FALSE)+VLOOKUP(AH$3,'Embedded Emissions'!$A$129:$B$158,2,FALSE)), $C18 = "0", 0), 0)</f>
        <v>0</v>
      </c>
      <c r="AJ18" s="44">
        <f>IFERROR(_xlfn.IFS($C18="1",( 'Inputs-System'!$C$30*'Coincidence Factors'!$B$6*(1+'Inputs-System'!$C$18)*(1+'Inputs-System'!$C$41))*('Inputs-Proposals'!$E$17*'Inputs-Proposals'!$E$19*(1-'Inputs-Proposals'!$E$20)^(AH$3-'Inputs-System'!$C$7))*(VLOOKUP(AH$3,DRIPE!$A$54:$I$82,5,FALSE)+VLOOKUP(AH$3,DRIPE!$A$54:$I$82,9,FALSE))+ ('Inputs-System'!$C$26*'Coincidence Factors'!$B$6*(1+'Inputs-System'!$C$18)*(1+'Inputs-System'!$C$42))*'Inputs-Proposals'!$E$16*VLOOKUP(AH$3,DRIPE!$A$54:$I$82,8,FALSE), $C18 = "2",( 'Inputs-System'!$C$30*'Coincidence Factors'!$B$6*(1+'Inputs-System'!$C$18)*(1+'Inputs-System'!$C$41))*('Inputs-Proposals'!$E$23*'Inputs-Proposals'!$E$25*(1-'Inputs-Proposals'!$E$26)^(AH$3-'Inputs-System'!$C$7))*(VLOOKUP(AH$3,DRIPE!$A$54:$I$82,5,FALSE)+VLOOKUP(AH$3,DRIPE!$A$54:$I$82,9,FALSE))+ ('Inputs-System'!$C$26*'Coincidence Factors'!$B$6*(1+'Inputs-System'!$C$18)*(1+'Inputs-System'!$C$42))*'Inputs-Proposals'!$E$22*VLOOKUP(AH$3,DRIPE!$A$54:$I$82,8,FALSE), $C18= "3", ( 'Inputs-System'!$C$30*'Coincidence Factors'!$B$6*(1+'Inputs-System'!$C$18)*(1+'Inputs-System'!$C$41))*('Inputs-Proposals'!$E$29*'Inputs-Proposals'!$E$31*(1-'Inputs-Proposals'!$E$32)^(AH$3-'Inputs-System'!$C$7))*(VLOOKUP(AH$3,DRIPE!$A$54:$I$82,5,FALSE)+VLOOKUP(AH$3,DRIPE!$A$54:$I$82,9,FALSE))+ ('Inputs-System'!$C$26*'Coincidence Factors'!$B$6*(1+'Inputs-System'!$C$18)*(1+'Inputs-System'!$C$42))*'Inputs-Proposals'!$E$28*VLOOKUP(AH$3,DRIPE!$A$54:$I$82,8,FALSE), $C18 = "0", 0), 0)</f>
        <v>0</v>
      </c>
      <c r="AK18" s="45">
        <f>IFERROR(_xlfn.IFS($C18="1",('Inputs-System'!$C$26*'Coincidence Factors'!$B$6*(1+'Inputs-System'!$C$18))*'Inputs-Proposals'!$E$16*(VLOOKUP(AH$3,Capacity!$A$53:$E$85,4,FALSE)*(1+'Inputs-System'!$C$42)+VLOOKUP(AH$3,Capacity!$A$53:$E$85,5,FALSE)*'Inputs-System'!$C$29*(1+'Inputs-System'!$C$43)), $C18 = "2", ('Inputs-System'!$C$26*'Coincidence Factors'!$B$6*(1+'Inputs-System'!$C$18))*'Inputs-Proposals'!$E$22*(VLOOKUP(AH$3,Capacity!$A$53:$E$85,4,FALSE)*(1+'Inputs-System'!$C$42)+VLOOKUP(AH$3,Capacity!$A$53:$E$85,5,FALSE)*'Inputs-System'!$C$29*(1+'Inputs-System'!$C$43)), $C18 = "3",('Inputs-System'!$C$26*'Coincidence Factors'!$B$6*(1+'Inputs-System'!$C$18))*'Inputs-Proposals'!$E$28*(VLOOKUP(AH$3,Capacity!$A$53:$E$85,4,FALSE)*(1+'Inputs-System'!$C$42)+VLOOKUP(AH$3,Capacity!$A$53:$E$85,5,FALSE)*'Inputs-System'!$C$29*(1+'Inputs-System'!$C$43)), $C18 = "0", 0), 0)</f>
        <v>0</v>
      </c>
      <c r="AL18" s="44">
        <v>0</v>
      </c>
      <c r="AM18" s="342">
        <f>IFERROR(_xlfn.IFS($C18="1", 'Inputs-System'!$C$30*'Coincidence Factors'!$B$6*'Inputs-Proposals'!$E$17*'Inputs-Proposals'!$E$19*(VLOOKUP(AH$3,'Non-Embedded Emissions'!$A$56:$D$90,2,FALSE)+VLOOKUP(AH$3,'Non-Embedded Emissions'!$A$143:$D$174,2,FALSE)+VLOOKUP(AH$3,'Non-Embedded Emissions'!$A$230:$D$259,2,FALSE)), $C18 = "2", 'Inputs-System'!$C$30*'Coincidence Factors'!$B$6*'Inputs-Proposals'!$E$23*'Inputs-Proposals'!$E$25*(VLOOKUP(AH$3,'Non-Embedded Emissions'!$A$56:$D$90,2,FALSE)+VLOOKUP(AH$3,'Non-Embedded Emissions'!$A$143:$D$174,2,FALSE)+VLOOKUP(AH$3,'Non-Embedded Emissions'!$A$230:$D$259,2,FALSE)), $C18 = "3", 'Inputs-System'!$C$30*'Coincidence Factors'!$B$6*'Inputs-Proposals'!$E$29*'Inputs-Proposals'!$E$31*(VLOOKUP(AH$3,'Non-Embedded Emissions'!$A$56:$D$90,2,FALSE)+VLOOKUP(AH$3,'Non-Embedded Emissions'!$A$143:$D$174,2,FALSE)+VLOOKUP(AH$3,'Non-Embedded Emissions'!$A$230:$D$259,2,FALSE)), $C18 = "0", 0), 0)</f>
        <v>0</v>
      </c>
      <c r="AN18" s="45">
        <f>IFERROR(_xlfn.IFS($C18="1",('Inputs-System'!$C$30*'Coincidence Factors'!$B$6*(1+'Inputs-System'!$C$18)*(1+'Inputs-System'!$C$41)*('Inputs-Proposals'!$E$17*'Inputs-Proposals'!$E$19*(1-'Inputs-Proposals'!$E$20^(AN$3-'Inputs-System'!$C$7)))*(VLOOKUP(AN$3,Energy!$A$51:$K$83,5,FALSE))), $C18 = "2",('Inputs-System'!$C$30*'Coincidence Factors'!$B$6)*(1+'Inputs-System'!$C$18)*(1+'Inputs-System'!$C$41)*('Inputs-Proposals'!$E$23*'Inputs-Proposals'!$E$25*(1-'Inputs-Proposals'!$E$26^(AN$3-'Inputs-System'!$C$7)))*(VLOOKUP(AN$3,Energy!$A$51:$K$83,5,FALSE)), $C18= "3", ('Inputs-System'!$C$30*'Coincidence Factors'!$B$6*(1+'Inputs-System'!$C$18)*(1+'Inputs-System'!$C$41)*('Inputs-Proposals'!$E$29*'Inputs-Proposals'!$E$31*(1-'Inputs-Proposals'!$E$32^(AN$3-'Inputs-System'!$C$7)))*(VLOOKUP(AN$3,Energy!$A$51:$K$83,5,FALSE))), $C18= "0", 0), 0)</f>
        <v>0</v>
      </c>
      <c r="AO18" s="44">
        <f>IFERROR(_xlfn.IFS($C18="1",('Inputs-System'!$C$30*'Coincidence Factors'!$B$6*(1+'Inputs-System'!$C$18)*(1+'Inputs-System'!$C$41))*'Inputs-Proposals'!$E$17*'Inputs-Proposals'!$E$19*(1-'Inputs-Proposals'!$E$20^(AN$3-'Inputs-System'!$C$7))*(VLOOKUP(AN$3,'Embedded Emissions'!$A$47:$B$78,2,FALSE)+VLOOKUP(AN$3,'Embedded Emissions'!$A$129:$B$158,2,FALSE)), $C18 = "2",('Inputs-System'!$C$30*'Coincidence Factors'!$B$6*(1+'Inputs-System'!$C$18)*(1+'Inputs-System'!$C$41))*'Inputs-Proposals'!$E$23*'Inputs-Proposals'!$E$25*(1-'Inputs-Proposals'!$E$20^(AN$3-'Inputs-System'!$C$7))*(VLOOKUP(AN$3,'Embedded Emissions'!$A$47:$B$78,2,FALSE)+VLOOKUP(AN$3,'Embedded Emissions'!$A$129:$B$158,2,FALSE)), $C18 = "3", ('Inputs-System'!$C$30*'Coincidence Factors'!$B$6*(1+'Inputs-System'!$C$18)*(1+'Inputs-System'!$C$41))*'Inputs-Proposals'!$E$29*'Inputs-Proposals'!$E$31*(1-'Inputs-Proposals'!$E$20^(AN$3-'Inputs-System'!$C$7))*(VLOOKUP(AN$3,'Embedded Emissions'!$A$47:$B$78,2,FALSE)+VLOOKUP(AN$3,'Embedded Emissions'!$A$129:$B$158,2,FALSE)), $C18 = "0", 0), 0)</f>
        <v>0</v>
      </c>
      <c r="AP18" s="44">
        <f>IFERROR(_xlfn.IFS($C18="1",( 'Inputs-System'!$C$30*'Coincidence Factors'!$B$6*(1+'Inputs-System'!$C$18)*(1+'Inputs-System'!$C$41))*('Inputs-Proposals'!$E$17*'Inputs-Proposals'!$E$19*(1-'Inputs-Proposals'!$E$20)^(AN$3-'Inputs-System'!$C$7))*(VLOOKUP(AN$3,DRIPE!$A$54:$I$82,5,FALSE)+VLOOKUP(AN$3,DRIPE!$A$54:$I$82,9,FALSE))+ ('Inputs-System'!$C$26*'Coincidence Factors'!$B$6*(1+'Inputs-System'!$C$18)*(1+'Inputs-System'!$C$42))*'Inputs-Proposals'!$E$16*VLOOKUP(AN$3,DRIPE!$A$54:$I$82,8,FALSE), $C18 = "2",( 'Inputs-System'!$C$30*'Coincidence Factors'!$B$6*(1+'Inputs-System'!$C$18)*(1+'Inputs-System'!$C$41))*('Inputs-Proposals'!$E$23*'Inputs-Proposals'!$E$25*(1-'Inputs-Proposals'!$E$26)^(AN$3-'Inputs-System'!$C$7))*(VLOOKUP(AN$3,DRIPE!$A$54:$I$82,5,FALSE)+VLOOKUP(AN$3,DRIPE!$A$54:$I$82,9,FALSE))+ ('Inputs-System'!$C$26*'Coincidence Factors'!$B$6*(1+'Inputs-System'!$C$18)*(1+'Inputs-System'!$C$42))*'Inputs-Proposals'!$E$22*VLOOKUP(AN$3,DRIPE!$A$54:$I$82,8,FALSE), $C18= "3", ( 'Inputs-System'!$C$30*'Coincidence Factors'!$B$6*(1+'Inputs-System'!$C$18)*(1+'Inputs-System'!$C$41))*('Inputs-Proposals'!$E$29*'Inputs-Proposals'!$E$31*(1-'Inputs-Proposals'!$E$32)^(AN$3-'Inputs-System'!$C$7))*(VLOOKUP(AN$3,DRIPE!$A$54:$I$82,5,FALSE)+VLOOKUP(AN$3,DRIPE!$A$54:$I$82,9,FALSE))+ ('Inputs-System'!$C$26*'Coincidence Factors'!$B$6*(1+'Inputs-System'!$C$18)*(1+'Inputs-System'!$C$42))*'Inputs-Proposals'!$E$28*VLOOKUP(AN$3,DRIPE!$A$54:$I$82,8,FALSE), $C18 = "0", 0), 0)</f>
        <v>0</v>
      </c>
      <c r="AQ18" s="45">
        <f>IFERROR(_xlfn.IFS($C18="1",('Inputs-System'!$C$26*'Coincidence Factors'!$B$6*(1+'Inputs-System'!$C$18))*'Inputs-Proposals'!$E$16*(VLOOKUP(AN$3,Capacity!$A$53:$E$85,4,FALSE)*(1+'Inputs-System'!$C$42)+VLOOKUP(AN$3,Capacity!$A$53:$E$85,5,FALSE)*'Inputs-System'!$C$29*(1+'Inputs-System'!$C$43)), $C18 = "2", ('Inputs-System'!$C$26*'Coincidence Factors'!$B$6*(1+'Inputs-System'!$C$18))*'Inputs-Proposals'!$E$22*(VLOOKUP(AN$3,Capacity!$A$53:$E$85,4,FALSE)*(1+'Inputs-System'!$C$42)+VLOOKUP(AN$3,Capacity!$A$53:$E$85,5,FALSE)*'Inputs-System'!$C$29*(1+'Inputs-System'!$C$43)), $C18 = "3",('Inputs-System'!$C$26*'Coincidence Factors'!$B$6*(1+'Inputs-System'!$C$18))*'Inputs-Proposals'!$E$28*(VLOOKUP(AN$3,Capacity!$A$53:$E$85,4,FALSE)*(1+'Inputs-System'!$C$42)+VLOOKUP(AN$3,Capacity!$A$53:$E$85,5,FALSE)*'Inputs-System'!$C$29*(1+'Inputs-System'!$C$43)), $C18 = "0", 0), 0)</f>
        <v>0</v>
      </c>
      <c r="AR18" s="44">
        <v>0</v>
      </c>
      <c r="AS18" s="342">
        <f>IFERROR(_xlfn.IFS($C18="1", 'Inputs-System'!$C$30*'Coincidence Factors'!$B$6*'Inputs-Proposals'!$E$17*'Inputs-Proposals'!$E$19*(VLOOKUP(AN$3,'Non-Embedded Emissions'!$A$56:$D$90,2,FALSE)+VLOOKUP(AN$3,'Non-Embedded Emissions'!$A$143:$D$174,2,FALSE)+VLOOKUP(AN$3,'Non-Embedded Emissions'!$A$230:$D$259,2,FALSE)), $C18 = "2", 'Inputs-System'!$C$30*'Coincidence Factors'!$B$6*'Inputs-Proposals'!$E$23*'Inputs-Proposals'!$E$25*(VLOOKUP(AN$3,'Non-Embedded Emissions'!$A$56:$D$90,2,FALSE)+VLOOKUP(AN$3,'Non-Embedded Emissions'!$A$143:$D$174,2,FALSE)+VLOOKUP(AN$3,'Non-Embedded Emissions'!$A$230:$D$259,2,FALSE)), $C18 = "3", 'Inputs-System'!$C$30*'Coincidence Factors'!$B$6*'Inputs-Proposals'!$E$29*'Inputs-Proposals'!$E$31*(VLOOKUP(AN$3,'Non-Embedded Emissions'!$A$56:$D$90,2,FALSE)+VLOOKUP(AN$3,'Non-Embedded Emissions'!$A$143:$D$174,2,FALSE)+VLOOKUP(AN$3,'Non-Embedded Emissions'!$A$230:$D$259,2,FALSE)), $C18 = "0", 0), 0)</f>
        <v>0</v>
      </c>
      <c r="AT18" s="45">
        <f>IFERROR(_xlfn.IFS($C18="1",('Inputs-System'!$C$30*'Coincidence Factors'!$B$6*(1+'Inputs-System'!$C$18)*(1+'Inputs-System'!$C$41)*('Inputs-Proposals'!$E$17*'Inputs-Proposals'!$E$19*(1-'Inputs-Proposals'!$E$20^(AT$3-'Inputs-System'!$C$7)))*(VLOOKUP(AT$3,Energy!$A$51:$K$83,5,FALSE))), $C18 = "2",('Inputs-System'!$C$30*'Coincidence Factors'!$B$6)*(1+'Inputs-System'!$C$18)*(1+'Inputs-System'!$C$41)*('Inputs-Proposals'!$E$23*'Inputs-Proposals'!$E$25*(1-'Inputs-Proposals'!$E$26^(AT$3-'Inputs-System'!$C$7)))*(VLOOKUP(AT$3,Energy!$A$51:$K$83,5,FALSE)), $C18= "3", ('Inputs-System'!$C$30*'Coincidence Factors'!$B$6*(1+'Inputs-System'!$C$18)*(1+'Inputs-System'!$C$41)*('Inputs-Proposals'!$E$29*'Inputs-Proposals'!$E$31*(1-'Inputs-Proposals'!$E$32^(AT$3-'Inputs-System'!$C$7)))*(VLOOKUP(AT$3,Energy!$A$51:$K$83,5,FALSE))), $C18= "0", 0), 0)</f>
        <v>0</v>
      </c>
      <c r="AU18" s="44">
        <f>IFERROR(_xlfn.IFS($C18="1",('Inputs-System'!$C$30*'Coincidence Factors'!$B$6*(1+'Inputs-System'!$C$18)*(1+'Inputs-System'!$C$41))*'Inputs-Proposals'!$E$17*'Inputs-Proposals'!$E$19*(1-'Inputs-Proposals'!$E$20^(AT$3-'Inputs-System'!$C$7))*(VLOOKUP(AT$3,'Embedded Emissions'!$A$47:$B$78,2,FALSE)+VLOOKUP(AT$3,'Embedded Emissions'!$A$129:$B$158,2,FALSE)), $C18 = "2",('Inputs-System'!$C$30*'Coincidence Factors'!$B$6*(1+'Inputs-System'!$C$18)*(1+'Inputs-System'!$C$41))*'Inputs-Proposals'!$E$23*'Inputs-Proposals'!$E$25*(1-'Inputs-Proposals'!$E$20^(AT$3-'Inputs-System'!$C$7))*(VLOOKUP(AT$3,'Embedded Emissions'!$A$47:$B$78,2,FALSE)+VLOOKUP(AT$3,'Embedded Emissions'!$A$129:$B$158,2,FALSE)), $C18 = "3", ('Inputs-System'!$C$30*'Coincidence Factors'!$B$6*(1+'Inputs-System'!$C$18)*(1+'Inputs-System'!$C$41))*'Inputs-Proposals'!$E$29*'Inputs-Proposals'!$E$31*(1-'Inputs-Proposals'!$E$20^(AT$3-'Inputs-System'!$C$7))*(VLOOKUP(AT$3,'Embedded Emissions'!$A$47:$B$78,2,FALSE)+VLOOKUP(AT$3,'Embedded Emissions'!$A$129:$B$158,2,FALSE)), $C18 = "0", 0), 0)</f>
        <v>0</v>
      </c>
      <c r="AV18" s="44">
        <f>IFERROR(_xlfn.IFS($C18="1",( 'Inputs-System'!$C$30*'Coincidence Factors'!$B$6*(1+'Inputs-System'!$C$18)*(1+'Inputs-System'!$C$41))*('Inputs-Proposals'!$E$17*'Inputs-Proposals'!$E$19*(1-'Inputs-Proposals'!$E$20)^(AT$3-'Inputs-System'!$C$7))*(VLOOKUP(AT$3,DRIPE!$A$54:$I$82,5,FALSE)+VLOOKUP(AT$3,DRIPE!$A$54:$I$82,9,FALSE))+ ('Inputs-System'!$C$26*'Coincidence Factors'!$B$6*(1+'Inputs-System'!$C$18)*(1+'Inputs-System'!$C$42))*'Inputs-Proposals'!$E$16*VLOOKUP(AT$3,DRIPE!$A$54:$I$82,8,FALSE), $C18 = "2",( 'Inputs-System'!$C$30*'Coincidence Factors'!$B$6*(1+'Inputs-System'!$C$18)*(1+'Inputs-System'!$C$41))*('Inputs-Proposals'!$E$23*'Inputs-Proposals'!$E$25*(1-'Inputs-Proposals'!$E$26)^(AT$3-'Inputs-System'!$C$7))*(VLOOKUP(AT$3,DRIPE!$A$54:$I$82,5,FALSE)+VLOOKUP(AT$3,DRIPE!$A$54:$I$82,9,FALSE))+ ('Inputs-System'!$C$26*'Coincidence Factors'!$B$6*(1+'Inputs-System'!$C$18)*(1+'Inputs-System'!$C$42))*'Inputs-Proposals'!$E$22*VLOOKUP(AT$3,DRIPE!$A$54:$I$82,8,FALSE), $C18= "3", ( 'Inputs-System'!$C$30*'Coincidence Factors'!$B$6*(1+'Inputs-System'!$C$18)*(1+'Inputs-System'!$C$41))*('Inputs-Proposals'!$E$29*'Inputs-Proposals'!$E$31*(1-'Inputs-Proposals'!$E$32)^(AT$3-'Inputs-System'!$C$7))*(VLOOKUP(AT$3,DRIPE!$A$54:$I$82,5,FALSE)+VLOOKUP(AT$3,DRIPE!$A$54:$I$82,9,FALSE))+ ('Inputs-System'!$C$26*'Coincidence Factors'!$B$6*(1+'Inputs-System'!$C$18)*(1+'Inputs-System'!$C$42))*'Inputs-Proposals'!$E$28*VLOOKUP(AT$3,DRIPE!$A$54:$I$82,8,FALSE), $C18 = "0", 0), 0)</f>
        <v>0</v>
      </c>
      <c r="AW18" s="45">
        <f>IFERROR(_xlfn.IFS($C18="1",('Inputs-System'!$C$26*'Coincidence Factors'!$B$6*(1+'Inputs-System'!$C$18))*'Inputs-Proposals'!$E$16*(VLOOKUP(AT$3,Capacity!$A$53:$E$85,4,FALSE)*(1+'Inputs-System'!$C$42)+VLOOKUP(AT$3,Capacity!$A$53:$E$85,5,FALSE)*'Inputs-System'!$C$29*(1+'Inputs-System'!$C$43)), $C18 = "2", ('Inputs-System'!$C$26*'Coincidence Factors'!$B$6*(1+'Inputs-System'!$C$18))*'Inputs-Proposals'!$E$22*(VLOOKUP(AT$3,Capacity!$A$53:$E$85,4,FALSE)*(1+'Inputs-System'!$C$42)+VLOOKUP(AT$3,Capacity!$A$53:$E$85,5,FALSE)*'Inputs-System'!$C$29*(1+'Inputs-System'!$C$43)), $C18 = "3",('Inputs-System'!$C$26*'Coincidence Factors'!$B$6*(1+'Inputs-System'!$C$18))*'Inputs-Proposals'!$E$28*(VLOOKUP(AT$3,Capacity!$A$53:$E$85,4,FALSE)*(1+'Inputs-System'!$C$42)+VLOOKUP(AT$3,Capacity!$A$53:$E$85,5,FALSE)*'Inputs-System'!$C$29*(1+'Inputs-System'!$C$43)), $C18 = "0", 0), 0)</f>
        <v>0</v>
      </c>
      <c r="AX18" s="44">
        <v>0</v>
      </c>
      <c r="AY18" s="342">
        <f>IFERROR(_xlfn.IFS($C18="1", 'Inputs-System'!$C$30*'Coincidence Factors'!$B$6*'Inputs-Proposals'!$E$17*'Inputs-Proposals'!$E$19*(VLOOKUP(AT$3,'Non-Embedded Emissions'!$A$56:$D$90,2,FALSE)+VLOOKUP(AT$3,'Non-Embedded Emissions'!$A$143:$D$174,2,FALSE)+VLOOKUP(AT$3,'Non-Embedded Emissions'!$A$230:$D$259,2,FALSE)), $C18 = "2", 'Inputs-System'!$C$30*'Coincidence Factors'!$B$6*'Inputs-Proposals'!$E$23*'Inputs-Proposals'!$E$25*(VLOOKUP(AT$3,'Non-Embedded Emissions'!$A$56:$D$90,2,FALSE)+VLOOKUP(AT$3,'Non-Embedded Emissions'!$A$143:$D$174,2,FALSE)+VLOOKUP(AT$3,'Non-Embedded Emissions'!$A$230:$D$259,2,FALSE)), $C18 = "3", 'Inputs-System'!$C$30*'Coincidence Factors'!$B$6*'Inputs-Proposals'!$E$29*'Inputs-Proposals'!$E$31*(VLOOKUP(AT$3,'Non-Embedded Emissions'!$A$56:$D$90,2,FALSE)+VLOOKUP(AT$3,'Non-Embedded Emissions'!$A$143:$D$174,2,FALSE)+VLOOKUP(AT$3,'Non-Embedded Emissions'!$A$230:$D$259,2,FALSE)), $C18 = "0", 0), 0)</f>
        <v>0</v>
      </c>
      <c r="AZ18" s="45">
        <f>IFERROR(_xlfn.IFS($C18="1",('Inputs-System'!$C$30*'Coincidence Factors'!$B$6*(1+'Inputs-System'!$C$18)*(1+'Inputs-System'!$C$41)*('Inputs-Proposals'!$E$17*'Inputs-Proposals'!$E$19*(1-'Inputs-Proposals'!$E$20^(AZ$3-'Inputs-System'!$C$7)))*(VLOOKUP(AZ$3,Energy!$A$51:$K$83,5,FALSE))), $C18 = "2",('Inputs-System'!$C$30*'Coincidence Factors'!$B$6)*(1+'Inputs-System'!$C$18)*(1+'Inputs-System'!$C$41)*('Inputs-Proposals'!$E$23*'Inputs-Proposals'!$E$25*(1-'Inputs-Proposals'!$E$26^(AZ$3-'Inputs-System'!$C$7)))*(VLOOKUP(AZ$3,Energy!$A$51:$K$83,5,FALSE)), $C18= "3", ('Inputs-System'!$C$30*'Coincidence Factors'!$B$6*(1+'Inputs-System'!$C$18)*(1+'Inputs-System'!$C$41)*('Inputs-Proposals'!$E$29*'Inputs-Proposals'!$E$31*(1-'Inputs-Proposals'!$E$32^(AZ$3-'Inputs-System'!$C$7)))*(VLOOKUP(AZ$3,Energy!$A$51:$K$83,5,FALSE))), $C18= "0", 0), 0)</f>
        <v>0</v>
      </c>
      <c r="BA18" s="44">
        <f>IFERROR(_xlfn.IFS($C18="1",('Inputs-System'!$C$30*'Coincidence Factors'!$B$6*(1+'Inputs-System'!$C$18)*(1+'Inputs-System'!$C$41))*'Inputs-Proposals'!$E$17*'Inputs-Proposals'!$E$19*(1-'Inputs-Proposals'!$E$20^(AZ$3-'Inputs-System'!$C$7))*(VLOOKUP(AZ$3,'Embedded Emissions'!$A$47:$B$78,2,FALSE)+VLOOKUP(AZ$3,'Embedded Emissions'!$A$129:$B$158,2,FALSE)), $C18 = "2",('Inputs-System'!$C$30*'Coincidence Factors'!$B$6*(1+'Inputs-System'!$C$18)*(1+'Inputs-System'!$C$41))*'Inputs-Proposals'!$E$23*'Inputs-Proposals'!$E$25*(1-'Inputs-Proposals'!$E$20^(AZ$3-'Inputs-System'!$C$7))*(VLOOKUP(AZ$3,'Embedded Emissions'!$A$47:$B$78,2,FALSE)+VLOOKUP(AZ$3,'Embedded Emissions'!$A$129:$B$158,2,FALSE)), $C18 = "3", ('Inputs-System'!$C$30*'Coincidence Factors'!$B$6*(1+'Inputs-System'!$C$18)*(1+'Inputs-System'!$C$41))*'Inputs-Proposals'!$E$29*'Inputs-Proposals'!$E$31*(1-'Inputs-Proposals'!$E$20^(AZ$3-'Inputs-System'!$C$7))*(VLOOKUP(AZ$3,'Embedded Emissions'!$A$47:$B$78,2,FALSE)+VLOOKUP(AZ$3,'Embedded Emissions'!$A$129:$B$158,2,FALSE)), $C18 = "0", 0), 0)</f>
        <v>0</v>
      </c>
      <c r="BB18" s="44">
        <f>IFERROR(_xlfn.IFS($C18="1",( 'Inputs-System'!$C$30*'Coincidence Factors'!$B$6*(1+'Inputs-System'!$C$18)*(1+'Inputs-System'!$C$41))*('Inputs-Proposals'!$E$17*'Inputs-Proposals'!$E$19*(1-'Inputs-Proposals'!$E$20)^(AZ$3-'Inputs-System'!$C$7))*(VLOOKUP(AZ$3,DRIPE!$A$54:$I$82,5,FALSE)+VLOOKUP(AZ$3,DRIPE!$A$54:$I$82,9,FALSE))+ ('Inputs-System'!$C$26*'Coincidence Factors'!$B$6*(1+'Inputs-System'!$C$18)*(1+'Inputs-System'!$C$42))*'Inputs-Proposals'!$E$16*VLOOKUP(AZ$3,DRIPE!$A$54:$I$82,8,FALSE), $C18 = "2",( 'Inputs-System'!$C$30*'Coincidence Factors'!$B$6*(1+'Inputs-System'!$C$18)*(1+'Inputs-System'!$C$41))*('Inputs-Proposals'!$E$23*'Inputs-Proposals'!$E$25*(1-'Inputs-Proposals'!$E$26)^(AZ$3-'Inputs-System'!$C$7))*(VLOOKUP(AZ$3,DRIPE!$A$54:$I$82,5,FALSE)+VLOOKUP(AZ$3,DRIPE!$A$54:$I$82,9,FALSE))+ ('Inputs-System'!$C$26*'Coincidence Factors'!$B$6*(1+'Inputs-System'!$C$18)*(1+'Inputs-System'!$C$42))*'Inputs-Proposals'!$E$22*VLOOKUP(AZ$3,DRIPE!$A$54:$I$82,8,FALSE), $C18= "3", ( 'Inputs-System'!$C$30*'Coincidence Factors'!$B$6*(1+'Inputs-System'!$C$18)*(1+'Inputs-System'!$C$41))*('Inputs-Proposals'!$E$29*'Inputs-Proposals'!$E$31*(1-'Inputs-Proposals'!$E$32)^(AZ$3-'Inputs-System'!$C$7))*(VLOOKUP(AZ$3,DRIPE!$A$54:$I$82,5,FALSE)+VLOOKUP(AZ$3,DRIPE!$A$54:$I$82,9,FALSE))+ ('Inputs-System'!$C$26*'Coincidence Factors'!$B$6*(1+'Inputs-System'!$C$18)*(1+'Inputs-System'!$C$42))*'Inputs-Proposals'!$E$28*VLOOKUP(AZ$3,DRIPE!$A$54:$I$82,8,FALSE), $C18 = "0", 0), 0)</f>
        <v>0</v>
      </c>
      <c r="BC18" s="45">
        <f>IFERROR(_xlfn.IFS($C18="1",('Inputs-System'!$C$26*'Coincidence Factors'!$B$6*(1+'Inputs-System'!$C$18))*'Inputs-Proposals'!$E$16*(VLOOKUP(AZ$3,Capacity!$A$53:$E$85,4,FALSE)*(1+'Inputs-System'!$C$42)+VLOOKUP(AZ$3,Capacity!$A$53:$E$85,5,FALSE)*'Inputs-System'!$C$29*(1+'Inputs-System'!$C$43)), $C18 = "2", ('Inputs-System'!$C$26*'Coincidence Factors'!$B$6*(1+'Inputs-System'!$C$18))*'Inputs-Proposals'!$E$22*(VLOOKUP(AZ$3,Capacity!$A$53:$E$85,4,FALSE)*(1+'Inputs-System'!$C$42)+VLOOKUP(AZ$3,Capacity!$A$53:$E$85,5,FALSE)*'Inputs-System'!$C$29*(1+'Inputs-System'!$C$43)), $C18 = "3",('Inputs-System'!$C$26*'Coincidence Factors'!$B$6*(1+'Inputs-System'!$C$18))*'Inputs-Proposals'!$E$28*(VLOOKUP(AZ$3,Capacity!$A$53:$E$85,4,FALSE)*(1+'Inputs-System'!$C$42)+VLOOKUP(AZ$3,Capacity!$A$53:$E$85,5,FALSE)*'Inputs-System'!$C$29*(1+'Inputs-System'!$C$43)), $C18 = "0", 0), 0)</f>
        <v>0</v>
      </c>
      <c r="BD18" s="44">
        <v>0</v>
      </c>
      <c r="BE18" s="342">
        <f>IFERROR(_xlfn.IFS($C18="1", 'Inputs-System'!$C$30*'Coincidence Factors'!$B$6*'Inputs-Proposals'!$E$17*'Inputs-Proposals'!$E$19*(VLOOKUP(AZ$3,'Non-Embedded Emissions'!$A$56:$D$90,2,FALSE)+VLOOKUP(AZ$3,'Non-Embedded Emissions'!$A$143:$D$174,2,FALSE)+VLOOKUP(AZ$3,'Non-Embedded Emissions'!$A$230:$D$259,2,FALSE)), $C18 = "2", 'Inputs-System'!$C$30*'Coincidence Factors'!$B$6*'Inputs-Proposals'!$E$23*'Inputs-Proposals'!$E$25*(VLOOKUP(AZ$3,'Non-Embedded Emissions'!$A$56:$D$90,2,FALSE)+VLOOKUP(AZ$3,'Non-Embedded Emissions'!$A$143:$D$174,2,FALSE)+VLOOKUP(AZ$3,'Non-Embedded Emissions'!$A$230:$D$259,2,FALSE)), $C18 = "3", 'Inputs-System'!$C$30*'Coincidence Factors'!$B$6*'Inputs-Proposals'!$E$29*'Inputs-Proposals'!$E$31*(VLOOKUP(AZ$3,'Non-Embedded Emissions'!$A$56:$D$90,2,FALSE)+VLOOKUP(AZ$3,'Non-Embedded Emissions'!$A$143:$D$174,2,FALSE)+VLOOKUP(AZ$3,'Non-Embedded Emissions'!$A$230:$D$259,2,FALSE)), $C18 = "0", 0), 0)</f>
        <v>0</v>
      </c>
      <c r="BF18" s="45">
        <f>IFERROR(_xlfn.IFS($C18="1",('Inputs-System'!$C$30*'Coincidence Factors'!$B$6*(1+'Inputs-System'!$C$18)*(1+'Inputs-System'!$C$41)*('Inputs-Proposals'!$E$17*'Inputs-Proposals'!$E$19*(1-'Inputs-Proposals'!$E$20^(BF$3-'Inputs-System'!$C$7)))*(VLOOKUP(BF$3,Energy!$A$51:$K$83,5,FALSE))), $C18 = "2",('Inputs-System'!$C$30*'Coincidence Factors'!$B$6)*(1+'Inputs-System'!$C$18)*(1+'Inputs-System'!$C$41)*('Inputs-Proposals'!$E$23*'Inputs-Proposals'!$E$25*(1-'Inputs-Proposals'!$E$26^(BF$3-'Inputs-System'!$C$7)))*(VLOOKUP(BF$3,Energy!$A$51:$K$83,5,FALSE)), $C18= "3", ('Inputs-System'!$C$30*'Coincidence Factors'!$B$6*(1+'Inputs-System'!$C$18)*(1+'Inputs-System'!$C$41)*('Inputs-Proposals'!$E$29*'Inputs-Proposals'!$E$31*(1-'Inputs-Proposals'!$E$32^(BF$3-'Inputs-System'!$C$7)))*(VLOOKUP(BF$3,Energy!$A$51:$K$83,5,FALSE))), $C18= "0", 0), 0)</f>
        <v>0</v>
      </c>
      <c r="BG18" s="44">
        <f>IFERROR(_xlfn.IFS($C18="1",('Inputs-System'!$C$30*'Coincidence Factors'!$B$6*(1+'Inputs-System'!$C$18)*(1+'Inputs-System'!$C$41))*'Inputs-Proposals'!$E$17*'Inputs-Proposals'!$E$19*(1-'Inputs-Proposals'!$E$20^(BF$3-'Inputs-System'!$C$7))*(VLOOKUP(BF$3,'Embedded Emissions'!$A$47:$B$78,2,FALSE)+VLOOKUP(BF$3,'Embedded Emissions'!$A$129:$B$158,2,FALSE)), $C18 = "2",('Inputs-System'!$C$30*'Coincidence Factors'!$B$6*(1+'Inputs-System'!$C$18)*(1+'Inputs-System'!$C$41))*'Inputs-Proposals'!$E$23*'Inputs-Proposals'!$E$25*(1-'Inputs-Proposals'!$E$20^(BF$3-'Inputs-System'!$C$7))*(VLOOKUP(BF$3,'Embedded Emissions'!$A$47:$B$78,2,FALSE)+VLOOKUP(BF$3,'Embedded Emissions'!$A$129:$B$158,2,FALSE)), $C18 = "3", ('Inputs-System'!$C$30*'Coincidence Factors'!$B$6*(1+'Inputs-System'!$C$18)*(1+'Inputs-System'!$C$41))*'Inputs-Proposals'!$E$29*'Inputs-Proposals'!$E$31*(1-'Inputs-Proposals'!$E$20^(BF$3-'Inputs-System'!$C$7))*(VLOOKUP(BF$3,'Embedded Emissions'!$A$47:$B$78,2,FALSE)+VLOOKUP(BF$3,'Embedded Emissions'!$A$129:$B$158,2,FALSE)), $C18 = "0", 0), 0)</f>
        <v>0</v>
      </c>
      <c r="BH18" s="44">
        <f>IFERROR(_xlfn.IFS($C18="1",( 'Inputs-System'!$C$30*'Coincidence Factors'!$B$6*(1+'Inputs-System'!$C$18)*(1+'Inputs-System'!$C$41))*('Inputs-Proposals'!$E$17*'Inputs-Proposals'!$E$19*(1-'Inputs-Proposals'!$E$20)^(BF$3-'Inputs-System'!$C$7))*(VLOOKUP(BF$3,DRIPE!$A$54:$I$82,5,FALSE)+VLOOKUP(BF$3,DRIPE!$A$54:$I$82,9,FALSE))+ ('Inputs-System'!$C$26*'Coincidence Factors'!$B$6*(1+'Inputs-System'!$C$18)*(1+'Inputs-System'!$C$42))*'Inputs-Proposals'!$E$16*VLOOKUP(BF$3,DRIPE!$A$54:$I$82,8,FALSE), $C18 = "2",( 'Inputs-System'!$C$30*'Coincidence Factors'!$B$6*(1+'Inputs-System'!$C$18)*(1+'Inputs-System'!$C$41))*('Inputs-Proposals'!$E$23*'Inputs-Proposals'!$E$25*(1-'Inputs-Proposals'!$E$26)^(BF$3-'Inputs-System'!$C$7))*(VLOOKUP(BF$3,DRIPE!$A$54:$I$82,5,FALSE)+VLOOKUP(BF$3,DRIPE!$A$54:$I$82,9,FALSE))+ ('Inputs-System'!$C$26*'Coincidence Factors'!$B$6*(1+'Inputs-System'!$C$18)*(1+'Inputs-System'!$C$42))*'Inputs-Proposals'!$E$22*VLOOKUP(BF$3,DRIPE!$A$54:$I$82,8,FALSE), $C18= "3", ( 'Inputs-System'!$C$30*'Coincidence Factors'!$B$6*(1+'Inputs-System'!$C$18)*(1+'Inputs-System'!$C$41))*('Inputs-Proposals'!$E$29*'Inputs-Proposals'!$E$31*(1-'Inputs-Proposals'!$E$32)^(BF$3-'Inputs-System'!$C$7))*(VLOOKUP(BF$3,DRIPE!$A$54:$I$82,5,FALSE)+VLOOKUP(BF$3,DRIPE!$A$54:$I$82,9,FALSE))+ ('Inputs-System'!$C$26*'Coincidence Factors'!$B$6*(1+'Inputs-System'!$C$18)*(1+'Inputs-System'!$C$42))*'Inputs-Proposals'!$E$28*VLOOKUP(BF$3,DRIPE!$A$54:$I$82,8,FALSE), $C18 = "0", 0), 0)</f>
        <v>0</v>
      </c>
      <c r="BI18" s="45">
        <f>IFERROR(_xlfn.IFS($C18="1",('Inputs-System'!$C$26*'Coincidence Factors'!$B$6*(1+'Inputs-System'!$C$18))*'Inputs-Proposals'!$E$16*(VLOOKUP(BF$3,Capacity!$A$53:$E$85,4,FALSE)*(1+'Inputs-System'!$C$42)+VLOOKUP(BF$3,Capacity!$A$53:$E$85,5,FALSE)*'Inputs-System'!$C$29*(1+'Inputs-System'!$C$43)), $C18 = "2", ('Inputs-System'!$C$26*'Coincidence Factors'!$B$6*(1+'Inputs-System'!$C$18))*'Inputs-Proposals'!$E$22*(VLOOKUP(BF$3,Capacity!$A$53:$E$85,4,FALSE)*(1+'Inputs-System'!$C$42)+VLOOKUP(BF$3,Capacity!$A$53:$E$85,5,FALSE)*'Inputs-System'!$C$29*(1+'Inputs-System'!$C$43)), $C18 = "3",('Inputs-System'!$C$26*'Coincidence Factors'!$B$6*(1+'Inputs-System'!$C$18))*'Inputs-Proposals'!$E$28*(VLOOKUP(BF$3,Capacity!$A$53:$E$85,4,FALSE)*(1+'Inputs-System'!$C$42)+VLOOKUP(BF$3,Capacity!$A$53:$E$85,5,FALSE)*'Inputs-System'!$C$29*(1+'Inputs-System'!$C$43)), $C18 = "0", 0), 0)</f>
        <v>0</v>
      </c>
      <c r="BJ18" s="44">
        <v>0</v>
      </c>
      <c r="BK18" s="342">
        <f>IFERROR(_xlfn.IFS($C18="1", 'Inputs-System'!$C$30*'Coincidence Factors'!$B$6*'Inputs-Proposals'!$E$17*'Inputs-Proposals'!$E$19*(VLOOKUP(BF$3,'Non-Embedded Emissions'!$A$56:$D$90,2,FALSE)+VLOOKUP(BF$3,'Non-Embedded Emissions'!$A$143:$D$174,2,FALSE)+VLOOKUP(BF$3,'Non-Embedded Emissions'!$A$230:$D$259,2,FALSE)), $C18 = "2", 'Inputs-System'!$C$30*'Coincidence Factors'!$B$6*'Inputs-Proposals'!$E$23*'Inputs-Proposals'!$E$25*(VLOOKUP(BF$3,'Non-Embedded Emissions'!$A$56:$D$90,2,FALSE)+VLOOKUP(BF$3,'Non-Embedded Emissions'!$A$143:$D$174,2,FALSE)+VLOOKUP(BF$3,'Non-Embedded Emissions'!$A$230:$D$259,2,FALSE)), $C18 = "3", 'Inputs-System'!$C$30*'Coincidence Factors'!$B$6*'Inputs-Proposals'!$E$29*'Inputs-Proposals'!$E$31*(VLOOKUP(BF$3,'Non-Embedded Emissions'!$A$56:$D$90,2,FALSE)+VLOOKUP(BF$3,'Non-Embedded Emissions'!$A$143:$D$174,2,FALSE)+VLOOKUP(BF$3,'Non-Embedded Emissions'!$A$230:$D$259,2,FALSE)), $C18 = "0", 0), 0)</f>
        <v>0</v>
      </c>
      <c r="BL18" s="45">
        <f>IFERROR(_xlfn.IFS($C18="1",('Inputs-System'!$C$30*'Coincidence Factors'!$B$6*(1+'Inputs-System'!$C$18)*(1+'Inputs-System'!$C$41)*('Inputs-Proposals'!$E$17*'Inputs-Proposals'!$E$19*(1-'Inputs-Proposals'!$E$20^(BL$3-'Inputs-System'!$C$7)))*(VLOOKUP(BL$3,Energy!$A$51:$K$83,5,FALSE))), $C18 = "2",('Inputs-System'!$C$30*'Coincidence Factors'!$B$6)*(1+'Inputs-System'!$C$18)*(1+'Inputs-System'!$C$41)*('Inputs-Proposals'!$E$23*'Inputs-Proposals'!$E$25*(1-'Inputs-Proposals'!$E$26^(BL$3-'Inputs-System'!$C$7)))*(VLOOKUP(BL$3,Energy!$A$51:$K$83,5,FALSE)), $C18= "3", ('Inputs-System'!$C$30*'Coincidence Factors'!$B$6*(1+'Inputs-System'!$C$18)*(1+'Inputs-System'!$C$41)*('Inputs-Proposals'!$E$29*'Inputs-Proposals'!$E$31*(1-'Inputs-Proposals'!$E$32^(BL$3-'Inputs-System'!$C$7)))*(VLOOKUP(BL$3,Energy!$A$51:$K$83,5,FALSE))), $C18= "0", 0), 0)</f>
        <v>0</v>
      </c>
      <c r="BM18" s="44">
        <f>IFERROR(_xlfn.IFS($C18="1",('Inputs-System'!$C$30*'Coincidence Factors'!$B$6*(1+'Inputs-System'!$C$18)*(1+'Inputs-System'!$C$41))*'Inputs-Proposals'!$E$17*'Inputs-Proposals'!$E$19*(1-'Inputs-Proposals'!$E$20^(BL$3-'Inputs-System'!$C$7))*(VLOOKUP(BL$3,'Embedded Emissions'!$A$47:$B$78,2,FALSE)+VLOOKUP(BL$3,'Embedded Emissions'!$A$129:$B$158,2,FALSE)), $C18 = "2",('Inputs-System'!$C$30*'Coincidence Factors'!$B$6*(1+'Inputs-System'!$C$18)*(1+'Inputs-System'!$C$41))*'Inputs-Proposals'!$E$23*'Inputs-Proposals'!$E$25*(1-'Inputs-Proposals'!$E$20^(BL$3-'Inputs-System'!$C$7))*(VLOOKUP(BL$3,'Embedded Emissions'!$A$47:$B$78,2,FALSE)+VLOOKUP(BL$3,'Embedded Emissions'!$A$129:$B$158,2,FALSE)), $C18 = "3", ('Inputs-System'!$C$30*'Coincidence Factors'!$B$6*(1+'Inputs-System'!$C$18)*(1+'Inputs-System'!$C$41))*'Inputs-Proposals'!$E$29*'Inputs-Proposals'!$E$31*(1-'Inputs-Proposals'!$E$20^(BL$3-'Inputs-System'!$C$7))*(VLOOKUP(BL$3,'Embedded Emissions'!$A$47:$B$78,2,FALSE)+VLOOKUP(BL$3,'Embedded Emissions'!$A$129:$B$158,2,FALSE)), $C18 = "0", 0), 0)</f>
        <v>0</v>
      </c>
      <c r="BN18" s="44">
        <f>IFERROR(_xlfn.IFS($C18="1",( 'Inputs-System'!$C$30*'Coincidence Factors'!$B$6*(1+'Inputs-System'!$C$18)*(1+'Inputs-System'!$C$41))*('Inputs-Proposals'!$E$17*'Inputs-Proposals'!$E$19*(1-'Inputs-Proposals'!$E$20)^(BL$3-'Inputs-System'!$C$7))*(VLOOKUP(BL$3,DRIPE!$A$54:$I$82,5,FALSE)+VLOOKUP(BL$3,DRIPE!$A$54:$I$82,9,FALSE))+ ('Inputs-System'!$C$26*'Coincidence Factors'!$B$6*(1+'Inputs-System'!$C$18)*(1+'Inputs-System'!$C$42))*'Inputs-Proposals'!$E$16*VLOOKUP(BL$3,DRIPE!$A$54:$I$82,8,FALSE), $C18 = "2",( 'Inputs-System'!$C$30*'Coincidence Factors'!$B$6*(1+'Inputs-System'!$C$18)*(1+'Inputs-System'!$C$41))*('Inputs-Proposals'!$E$23*'Inputs-Proposals'!$E$25*(1-'Inputs-Proposals'!$E$26)^(BL$3-'Inputs-System'!$C$7))*(VLOOKUP(BL$3,DRIPE!$A$54:$I$82,5,FALSE)+VLOOKUP(BL$3,DRIPE!$A$54:$I$82,9,FALSE))+ ('Inputs-System'!$C$26*'Coincidence Factors'!$B$6*(1+'Inputs-System'!$C$18)*(1+'Inputs-System'!$C$42))*'Inputs-Proposals'!$E$22*VLOOKUP(BL$3,DRIPE!$A$54:$I$82,8,FALSE), $C18= "3", ( 'Inputs-System'!$C$30*'Coincidence Factors'!$B$6*(1+'Inputs-System'!$C$18)*(1+'Inputs-System'!$C$41))*('Inputs-Proposals'!$E$29*'Inputs-Proposals'!$E$31*(1-'Inputs-Proposals'!$E$32)^(BL$3-'Inputs-System'!$C$7))*(VLOOKUP(BL$3,DRIPE!$A$54:$I$82,5,FALSE)+VLOOKUP(BL$3,DRIPE!$A$54:$I$82,9,FALSE))+ ('Inputs-System'!$C$26*'Coincidence Factors'!$B$6*(1+'Inputs-System'!$C$18)*(1+'Inputs-System'!$C$42))*'Inputs-Proposals'!$E$28*VLOOKUP(BL$3,DRIPE!$A$54:$I$82,8,FALSE), $C18 = "0", 0), 0)</f>
        <v>0</v>
      </c>
      <c r="BO18" s="45">
        <f>IFERROR(_xlfn.IFS($C18="1",('Inputs-System'!$C$26*'Coincidence Factors'!$B$6*(1+'Inputs-System'!$C$18))*'Inputs-Proposals'!$E$16*(VLOOKUP(BL$3,Capacity!$A$53:$E$85,4,FALSE)*(1+'Inputs-System'!$C$42)+VLOOKUP(BL$3,Capacity!$A$53:$E$85,5,FALSE)*'Inputs-System'!$C$29*(1+'Inputs-System'!$C$43)), $C18 = "2", ('Inputs-System'!$C$26*'Coincidence Factors'!$B$6*(1+'Inputs-System'!$C$18))*'Inputs-Proposals'!$E$22*(VLOOKUP(BL$3,Capacity!$A$53:$E$85,4,FALSE)*(1+'Inputs-System'!$C$42)+VLOOKUP(BL$3,Capacity!$A$53:$E$85,5,FALSE)*'Inputs-System'!$C$29*(1+'Inputs-System'!$C$43)), $C18 = "3",('Inputs-System'!$C$26*'Coincidence Factors'!$B$6*(1+'Inputs-System'!$C$18))*'Inputs-Proposals'!$E$28*(VLOOKUP(BL$3,Capacity!$A$53:$E$85,4,FALSE)*(1+'Inputs-System'!$C$42)+VLOOKUP(BL$3,Capacity!$A$53:$E$85,5,FALSE)*'Inputs-System'!$C$29*(1+'Inputs-System'!$C$43)), $C18 = "0", 0), 0)</f>
        <v>0</v>
      </c>
      <c r="BP18" s="44">
        <v>0</v>
      </c>
      <c r="BQ18" s="342">
        <f>IFERROR(_xlfn.IFS($C18="1", 'Inputs-System'!$C$30*'Coincidence Factors'!$B$6*'Inputs-Proposals'!$E$17*'Inputs-Proposals'!$E$19*(VLOOKUP(BL$3,'Non-Embedded Emissions'!$A$56:$D$90,2,FALSE)+VLOOKUP(BL$3,'Non-Embedded Emissions'!$A$143:$D$174,2,FALSE)+VLOOKUP(BL$3,'Non-Embedded Emissions'!$A$230:$D$259,2,FALSE)), $C18 = "2", 'Inputs-System'!$C$30*'Coincidence Factors'!$B$6*'Inputs-Proposals'!$E$23*'Inputs-Proposals'!$E$25*(VLOOKUP(BL$3,'Non-Embedded Emissions'!$A$56:$D$90,2,FALSE)+VLOOKUP(BL$3,'Non-Embedded Emissions'!$A$143:$D$174,2,FALSE)+VLOOKUP(BL$3,'Non-Embedded Emissions'!$A$230:$D$259,2,FALSE)), $C18 = "3", 'Inputs-System'!$C$30*'Coincidence Factors'!$B$6*'Inputs-Proposals'!$E$29*'Inputs-Proposals'!$E$31*(VLOOKUP(BL$3,'Non-Embedded Emissions'!$A$56:$D$90,2,FALSE)+VLOOKUP(BL$3,'Non-Embedded Emissions'!$A$143:$D$174,2,FALSE)+VLOOKUP(BL$3,'Non-Embedded Emissions'!$A$230:$D$259,2,FALSE)), $C18 = "0", 0), 0)</f>
        <v>0</v>
      </c>
      <c r="BR18" s="45">
        <f>IFERROR(_xlfn.IFS($C18="1",('Inputs-System'!$C$30*'Coincidence Factors'!$B$6*(1+'Inputs-System'!$C$18)*(1+'Inputs-System'!$C$41)*('Inputs-Proposals'!$E$17*'Inputs-Proposals'!$E$19*(1-'Inputs-Proposals'!$E$20^(BR$3-'Inputs-System'!$C$7)))*(VLOOKUP(BR$3,Energy!$A$51:$K$83,5,FALSE))), $C18 = "2",('Inputs-System'!$C$30*'Coincidence Factors'!$B$6)*(1+'Inputs-System'!$C$18)*(1+'Inputs-System'!$C$41)*('Inputs-Proposals'!$E$23*'Inputs-Proposals'!$E$25*(1-'Inputs-Proposals'!$E$26^(BR$3-'Inputs-System'!$C$7)))*(VLOOKUP(BR$3,Energy!$A$51:$K$83,5,FALSE)), $C18= "3", ('Inputs-System'!$C$30*'Coincidence Factors'!$B$6*(1+'Inputs-System'!$C$18)*(1+'Inputs-System'!$C$41)*('Inputs-Proposals'!$E$29*'Inputs-Proposals'!$E$31*(1-'Inputs-Proposals'!$E$32^(BR$3-'Inputs-System'!$C$7)))*(VLOOKUP(BR$3,Energy!$A$51:$K$83,5,FALSE))), $C18= "0", 0), 0)</f>
        <v>0</v>
      </c>
      <c r="BS18" s="44">
        <f>IFERROR(_xlfn.IFS($C18="1",('Inputs-System'!$C$30*'Coincidence Factors'!$B$6*(1+'Inputs-System'!$C$18)*(1+'Inputs-System'!$C$41))*'Inputs-Proposals'!$E$17*'Inputs-Proposals'!$E$19*(1-'Inputs-Proposals'!$E$20^(BR$3-'Inputs-System'!$C$7))*(VLOOKUP(BR$3,'Embedded Emissions'!$A$47:$B$78,2,FALSE)+VLOOKUP(BR$3,'Embedded Emissions'!$A$129:$B$158,2,FALSE)), $C18 = "2",('Inputs-System'!$C$30*'Coincidence Factors'!$B$6*(1+'Inputs-System'!$C$18)*(1+'Inputs-System'!$C$41))*'Inputs-Proposals'!$E$23*'Inputs-Proposals'!$E$25*(1-'Inputs-Proposals'!$E$20^(BR$3-'Inputs-System'!$C$7))*(VLOOKUP(BR$3,'Embedded Emissions'!$A$47:$B$78,2,FALSE)+VLOOKUP(BR$3,'Embedded Emissions'!$A$129:$B$158,2,FALSE)), $C18 = "3", ('Inputs-System'!$C$30*'Coincidence Factors'!$B$6*(1+'Inputs-System'!$C$18)*(1+'Inputs-System'!$C$41))*'Inputs-Proposals'!$E$29*'Inputs-Proposals'!$E$31*(1-'Inputs-Proposals'!$E$20^(BR$3-'Inputs-System'!$C$7))*(VLOOKUP(BR$3,'Embedded Emissions'!$A$47:$B$78,2,FALSE)+VLOOKUP(BR$3,'Embedded Emissions'!$A$129:$B$158,2,FALSE)), $C18 = "0", 0), 0)</f>
        <v>0</v>
      </c>
      <c r="BT18" s="44">
        <f>IFERROR(_xlfn.IFS($C18="1",( 'Inputs-System'!$C$30*'Coincidence Factors'!$B$6*(1+'Inputs-System'!$C$18)*(1+'Inputs-System'!$C$41))*('Inputs-Proposals'!$E$17*'Inputs-Proposals'!$E$19*(1-'Inputs-Proposals'!$E$20)^(BR$3-'Inputs-System'!$C$7))*(VLOOKUP(BR$3,DRIPE!$A$54:$I$82,5,FALSE)+VLOOKUP(BR$3,DRIPE!$A$54:$I$82,9,FALSE))+ ('Inputs-System'!$C$26*'Coincidence Factors'!$B$6*(1+'Inputs-System'!$C$18)*(1+'Inputs-System'!$C$42))*'Inputs-Proposals'!$E$16*VLOOKUP(BR$3,DRIPE!$A$54:$I$82,8,FALSE), $C18 = "2",( 'Inputs-System'!$C$30*'Coincidence Factors'!$B$6*(1+'Inputs-System'!$C$18)*(1+'Inputs-System'!$C$41))*('Inputs-Proposals'!$E$23*'Inputs-Proposals'!$E$25*(1-'Inputs-Proposals'!$E$26)^(BR$3-'Inputs-System'!$C$7))*(VLOOKUP(BR$3,DRIPE!$A$54:$I$82,5,FALSE)+VLOOKUP(BR$3,DRIPE!$A$54:$I$82,9,FALSE))+ ('Inputs-System'!$C$26*'Coincidence Factors'!$B$6*(1+'Inputs-System'!$C$18)*(1+'Inputs-System'!$C$42))*'Inputs-Proposals'!$E$22*VLOOKUP(BR$3,DRIPE!$A$54:$I$82,8,FALSE), $C18= "3", ( 'Inputs-System'!$C$30*'Coincidence Factors'!$B$6*(1+'Inputs-System'!$C$18)*(1+'Inputs-System'!$C$41))*('Inputs-Proposals'!$E$29*'Inputs-Proposals'!$E$31*(1-'Inputs-Proposals'!$E$32)^(BR$3-'Inputs-System'!$C$7))*(VLOOKUP(BR$3,DRIPE!$A$54:$I$82,5,FALSE)+VLOOKUP(BR$3,DRIPE!$A$54:$I$82,9,FALSE))+ ('Inputs-System'!$C$26*'Coincidence Factors'!$B$6*(1+'Inputs-System'!$C$18)*(1+'Inputs-System'!$C$42))*'Inputs-Proposals'!$E$28*VLOOKUP(BR$3,DRIPE!$A$54:$I$82,8,FALSE), $C18 = "0", 0), 0)</f>
        <v>0</v>
      </c>
      <c r="BU18" s="45">
        <f>IFERROR(_xlfn.IFS($C18="1",('Inputs-System'!$C$26*'Coincidence Factors'!$B$6*(1+'Inputs-System'!$C$18))*'Inputs-Proposals'!$E$16*(VLOOKUP(BR$3,Capacity!$A$53:$E$85,4,FALSE)*(1+'Inputs-System'!$C$42)+VLOOKUP(BR$3,Capacity!$A$53:$E$85,5,FALSE)*'Inputs-System'!$C$29*(1+'Inputs-System'!$C$43)), $C18 = "2", ('Inputs-System'!$C$26*'Coincidence Factors'!$B$6*(1+'Inputs-System'!$C$18))*'Inputs-Proposals'!$E$22*(VLOOKUP(BR$3,Capacity!$A$53:$E$85,4,FALSE)*(1+'Inputs-System'!$C$42)+VLOOKUP(BR$3,Capacity!$A$53:$E$85,5,FALSE)*'Inputs-System'!$C$29*(1+'Inputs-System'!$C$43)), $C18 = "3",('Inputs-System'!$C$26*'Coincidence Factors'!$B$6*(1+'Inputs-System'!$C$18))*'Inputs-Proposals'!$E$28*(VLOOKUP(BR$3,Capacity!$A$53:$E$85,4,FALSE)*(1+'Inputs-System'!$C$42)+VLOOKUP(BR$3,Capacity!$A$53:$E$85,5,FALSE)*'Inputs-System'!$C$29*(1+'Inputs-System'!$C$43)), $C18 = "0", 0), 0)</f>
        <v>0</v>
      </c>
      <c r="BV18" s="44">
        <v>0</v>
      </c>
      <c r="BW18" s="342">
        <f>IFERROR(_xlfn.IFS($C18="1", 'Inputs-System'!$C$30*'Coincidence Factors'!$B$6*'Inputs-Proposals'!$E$17*'Inputs-Proposals'!$E$19*(VLOOKUP(BR$3,'Non-Embedded Emissions'!$A$56:$D$90,2,FALSE)+VLOOKUP(BR$3,'Non-Embedded Emissions'!$A$143:$D$174,2,FALSE)+VLOOKUP(BR$3,'Non-Embedded Emissions'!$A$230:$D$259,2,FALSE)), $C18 = "2", 'Inputs-System'!$C$30*'Coincidence Factors'!$B$6*'Inputs-Proposals'!$E$23*'Inputs-Proposals'!$E$25*(VLOOKUP(BR$3,'Non-Embedded Emissions'!$A$56:$D$90,2,FALSE)+VLOOKUP(BR$3,'Non-Embedded Emissions'!$A$143:$D$174,2,FALSE)+VLOOKUP(BR$3,'Non-Embedded Emissions'!$A$230:$D$259,2,FALSE)), $C18 = "3", 'Inputs-System'!$C$30*'Coincidence Factors'!$B$6*'Inputs-Proposals'!$E$29*'Inputs-Proposals'!$E$31*(VLOOKUP(BR$3,'Non-Embedded Emissions'!$A$56:$D$90,2,FALSE)+VLOOKUP(BR$3,'Non-Embedded Emissions'!$A$143:$D$174,2,FALSE)+VLOOKUP(BR$3,'Non-Embedded Emissions'!$A$230:$D$259,2,FALSE)), $C18 = "0", 0), 0)</f>
        <v>0</v>
      </c>
      <c r="BX18" s="45">
        <f>IFERROR(_xlfn.IFS($C18="1",('Inputs-System'!$C$30*'Coincidence Factors'!$B$6*(1+'Inputs-System'!$C$18)*(1+'Inputs-System'!$C$41)*('Inputs-Proposals'!$E$17*'Inputs-Proposals'!$E$19*(1-'Inputs-Proposals'!$E$20^(BX$3-'Inputs-System'!$C$7)))*(VLOOKUP(BX$3,Energy!$A$51:$K$83,5,FALSE))), $C18 = "2",('Inputs-System'!$C$30*'Coincidence Factors'!$B$6)*(1+'Inputs-System'!$C$18)*(1+'Inputs-System'!$C$41)*('Inputs-Proposals'!$E$23*'Inputs-Proposals'!$E$25*(1-'Inputs-Proposals'!$E$26^(BX$3-'Inputs-System'!$C$7)))*(VLOOKUP(BX$3,Energy!$A$51:$K$83,5,FALSE)), $C18= "3", ('Inputs-System'!$C$30*'Coincidence Factors'!$B$6*(1+'Inputs-System'!$C$18)*(1+'Inputs-System'!$C$41)*('Inputs-Proposals'!$E$29*'Inputs-Proposals'!$E$31*(1-'Inputs-Proposals'!$E$32^(BX$3-'Inputs-System'!$C$7)))*(VLOOKUP(BX$3,Energy!$A$51:$K$83,5,FALSE))), $C18= "0", 0), 0)</f>
        <v>0</v>
      </c>
      <c r="BY18" s="44">
        <f>IFERROR(_xlfn.IFS($C18="1",('Inputs-System'!$C$30*'Coincidence Factors'!$B$6*(1+'Inputs-System'!$C$18)*(1+'Inputs-System'!$C$41))*'Inputs-Proposals'!$E$17*'Inputs-Proposals'!$E$19*(1-'Inputs-Proposals'!$E$20^(BX$3-'Inputs-System'!$C$7))*(VLOOKUP(BX$3,'Embedded Emissions'!$A$47:$B$78,2,FALSE)+VLOOKUP(BX$3,'Embedded Emissions'!$A$129:$B$158,2,FALSE)), $C18 = "2",('Inputs-System'!$C$30*'Coincidence Factors'!$B$6*(1+'Inputs-System'!$C$18)*(1+'Inputs-System'!$C$41))*'Inputs-Proposals'!$E$23*'Inputs-Proposals'!$E$25*(1-'Inputs-Proposals'!$E$20^(BX$3-'Inputs-System'!$C$7))*(VLOOKUP(BX$3,'Embedded Emissions'!$A$47:$B$78,2,FALSE)+VLOOKUP(BX$3,'Embedded Emissions'!$A$129:$B$158,2,FALSE)), $C18 = "3", ('Inputs-System'!$C$30*'Coincidence Factors'!$B$6*(1+'Inputs-System'!$C$18)*(1+'Inputs-System'!$C$41))*'Inputs-Proposals'!$E$29*'Inputs-Proposals'!$E$31*(1-'Inputs-Proposals'!$E$20^(BX$3-'Inputs-System'!$C$7))*(VLOOKUP(BX$3,'Embedded Emissions'!$A$47:$B$78,2,FALSE)+VLOOKUP(BX$3,'Embedded Emissions'!$A$129:$B$158,2,FALSE)), $C18 = "0", 0), 0)</f>
        <v>0</v>
      </c>
      <c r="BZ18" s="44">
        <f>IFERROR(_xlfn.IFS($C18="1",( 'Inputs-System'!$C$30*'Coincidence Factors'!$B$6*(1+'Inputs-System'!$C$18)*(1+'Inputs-System'!$C$41))*('Inputs-Proposals'!$E$17*'Inputs-Proposals'!$E$19*(1-'Inputs-Proposals'!$E$20)^(BX$3-'Inputs-System'!$C$7))*(VLOOKUP(BX$3,DRIPE!$A$54:$I$82,5,FALSE)+VLOOKUP(BX$3,DRIPE!$A$54:$I$82,9,FALSE))+ ('Inputs-System'!$C$26*'Coincidence Factors'!$B$6*(1+'Inputs-System'!$C$18)*(1+'Inputs-System'!$C$42))*'Inputs-Proposals'!$E$16*VLOOKUP(BX$3,DRIPE!$A$54:$I$82,8,FALSE), $C18 = "2",( 'Inputs-System'!$C$30*'Coincidence Factors'!$B$6*(1+'Inputs-System'!$C$18)*(1+'Inputs-System'!$C$41))*('Inputs-Proposals'!$E$23*'Inputs-Proposals'!$E$25*(1-'Inputs-Proposals'!$E$26)^(BX$3-'Inputs-System'!$C$7))*(VLOOKUP(BX$3,DRIPE!$A$54:$I$82,5,FALSE)+VLOOKUP(BX$3,DRIPE!$A$54:$I$82,9,FALSE))+ ('Inputs-System'!$C$26*'Coincidence Factors'!$B$6*(1+'Inputs-System'!$C$18)*(1+'Inputs-System'!$C$42))*'Inputs-Proposals'!$E$22*VLOOKUP(BX$3,DRIPE!$A$54:$I$82,8,FALSE), $C18= "3", ( 'Inputs-System'!$C$30*'Coincidence Factors'!$B$6*(1+'Inputs-System'!$C$18)*(1+'Inputs-System'!$C$41))*('Inputs-Proposals'!$E$29*'Inputs-Proposals'!$E$31*(1-'Inputs-Proposals'!$E$32)^(BX$3-'Inputs-System'!$C$7))*(VLOOKUP(BX$3,DRIPE!$A$54:$I$82,5,FALSE)+VLOOKUP(BX$3,DRIPE!$A$54:$I$82,9,FALSE))+ ('Inputs-System'!$C$26*'Coincidence Factors'!$B$6*(1+'Inputs-System'!$C$18)*(1+'Inputs-System'!$C$42))*'Inputs-Proposals'!$E$28*VLOOKUP(BX$3,DRIPE!$A$54:$I$82,8,FALSE), $C18 = "0", 0), 0)</f>
        <v>0</v>
      </c>
      <c r="CA18" s="45">
        <f>IFERROR(_xlfn.IFS($C18="1",('Inputs-System'!$C$26*'Coincidence Factors'!$B$6*(1+'Inputs-System'!$C$18))*'Inputs-Proposals'!$E$16*(VLOOKUP(BX$3,Capacity!$A$53:$E$85,4,FALSE)*(1+'Inputs-System'!$C$42)+VLOOKUP(BX$3,Capacity!$A$53:$E$85,5,FALSE)*'Inputs-System'!$C$29*(1+'Inputs-System'!$C$43)), $C18 = "2", ('Inputs-System'!$C$26*'Coincidence Factors'!$B$6*(1+'Inputs-System'!$C$18))*'Inputs-Proposals'!$E$22*(VLOOKUP(BX$3,Capacity!$A$53:$E$85,4,FALSE)*(1+'Inputs-System'!$C$42)+VLOOKUP(BX$3,Capacity!$A$53:$E$85,5,FALSE)*'Inputs-System'!$C$29*(1+'Inputs-System'!$C$43)), $C18 = "3",('Inputs-System'!$C$26*'Coincidence Factors'!$B$6*(1+'Inputs-System'!$C$18))*'Inputs-Proposals'!$E$28*(VLOOKUP(BX$3,Capacity!$A$53:$E$85,4,FALSE)*(1+'Inputs-System'!$C$42)+VLOOKUP(BX$3,Capacity!$A$53:$E$85,5,FALSE)*'Inputs-System'!$C$29*(1+'Inputs-System'!$C$43)), $C18 = "0", 0), 0)</f>
        <v>0</v>
      </c>
      <c r="CB18" s="44">
        <v>0</v>
      </c>
      <c r="CC18" s="342">
        <f>IFERROR(_xlfn.IFS($C18="1", 'Inputs-System'!$C$30*'Coincidence Factors'!$B$6*'Inputs-Proposals'!$E$17*'Inputs-Proposals'!$E$19*(VLOOKUP(BX$3,'Non-Embedded Emissions'!$A$56:$D$90,2,FALSE)+VLOOKUP(BX$3,'Non-Embedded Emissions'!$A$143:$D$174,2,FALSE)+VLOOKUP(BX$3,'Non-Embedded Emissions'!$A$230:$D$259,2,FALSE)), $C18 = "2", 'Inputs-System'!$C$30*'Coincidence Factors'!$B$6*'Inputs-Proposals'!$E$23*'Inputs-Proposals'!$E$25*(VLOOKUP(BX$3,'Non-Embedded Emissions'!$A$56:$D$90,2,FALSE)+VLOOKUP(BX$3,'Non-Embedded Emissions'!$A$143:$D$174,2,FALSE)+VLOOKUP(BX$3,'Non-Embedded Emissions'!$A$230:$D$259,2,FALSE)), $C18 = "3", 'Inputs-System'!$C$30*'Coincidence Factors'!$B$6*'Inputs-Proposals'!$E$29*'Inputs-Proposals'!$E$31*(VLOOKUP(BX$3,'Non-Embedded Emissions'!$A$56:$D$90,2,FALSE)+VLOOKUP(BX$3,'Non-Embedded Emissions'!$A$143:$D$174,2,FALSE)+VLOOKUP(BX$3,'Non-Embedded Emissions'!$A$230:$D$259,2,FALSE)), $C18 = "0", 0), 0)</f>
        <v>0</v>
      </c>
      <c r="CD18" s="45">
        <f>IFERROR(_xlfn.IFS($C18="1",('Inputs-System'!$C$30*'Coincidence Factors'!$B$6*(1+'Inputs-System'!$C$18)*(1+'Inputs-System'!$C$41)*('Inputs-Proposals'!$E$17*'Inputs-Proposals'!$E$19*(1-'Inputs-Proposals'!$E$20^(CD$3-'Inputs-System'!$C$7)))*(VLOOKUP(CD$3,Energy!$A$51:$K$83,5,FALSE))), $C18 = "2",('Inputs-System'!$C$30*'Coincidence Factors'!$B$6)*(1+'Inputs-System'!$C$18)*(1+'Inputs-System'!$C$41)*('Inputs-Proposals'!$E$23*'Inputs-Proposals'!$E$25*(1-'Inputs-Proposals'!$E$26^(CD$3-'Inputs-System'!$C$7)))*(VLOOKUP(CD$3,Energy!$A$51:$K$83,5,FALSE)), $C18= "3", ('Inputs-System'!$C$30*'Coincidence Factors'!$B$6*(1+'Inputs-System'!$C$18)*(1+'Inputs-System'!$C$41)*('Inputs-Proposals'!$E$29*'Inputs-Proposals'!$E$31*(1-'Inputs-Proposals'!$E$32^(CD$3-'Inputs-System'!$C$7)))*(VLOOKUP(CD$3,Energy!$A$51:$K$83,5,FALSE))), $C18= "0", 0), 0)</f>
        <v>0</v>
      </c>
      <c r="CE18" s="44">
        <f>IFERROR(_xlfn.IFS($C18="1",('Inputs-System'!$C$30*'Coincidence Factors'!$B$6*(1+'Inputs-System'!$C$18)*(1+'Inputs-System'!$C$41))*'Inputs-Proposals'!$E$17*'Inputs-Proposals'!$E$19*(1-'Inputs-Proposals'!$E$20^(CD$3-'Inputs-System'!$C$7))*(VLOOKUP(CD$3,'Embedded Emissions'!$A$47:$B$78,2,FALSE)+VLOOKUP(CD$3,'Embedded Emissions'!$A$129:$B$158,2,FALSE)), $C18 = "2",('Inputs-System'!$C$30*'Coincidence Factors'!$B$6*(1+'Inputs-System'!$C$18)*(1+'Inputs-System'!$C$41))*'Inputs-Proposals'!$E$23*'Inputs-Proposals'!$E$25*(1-'Inputs-Proposals'!$E$20^(CD$3-'Inputs-System'!$C$7))*(VLOOKUP(CD$3,'Embedded Emissions'!$A$47:$B$78,2,FALSE)+VLOOKUP(CD$3,'Embedded Emissions'!$A$129:$B$158,2,FALSE)), $C18 = "3", ('Inputs-System'!$C$30*'Coincidence Factors'!$B$6*(1+'Inputs-System'!$C$18)*(1+'Inputs-System'!$C$41))*'Inputs-Proposals'!$E$29*'Inputs-Proposals'!$E$31*(1-'Inputs-Proposals'!$E$20^(CD$3-'Inputs-System'!$C$7))*(VLOOKUP(CD$3,'Embedded Emissions'!$A$47:$B$78,2,FALSE)+VLOOKUP(CD$3,'Embedded Emissions'!$A$129:$B$158,2,FALSE)), $C18 = "0", 0), 0)</f>
        <v>0</v>
      </c>
      <c r="CF18" s="44">
        <f>IFERROR(_xlfn.IFS($C18="1",( 'Inputs-System'!$C$30*'Coincidence Factors'!$B$6*(1+'Inputs-System'!$C$18)*(1+'Inputs-System'!$C$41))*('Inputs-Proposals'!$E$17*'Inputs-Proposals'!$E$19*(1-'Inputs-Proposals'!$E$20)^(CD$3-'Inputs-System'!$C$7))*(VLOOKUP(CD$3,DRIPE!$A$54:$I$82,5,FALSE)+VLOOKUP(CD$3,DRIPE!$A$54:$I$82,9,FALSE))+ ('Inputs-System'!$C$26*'Coincidence Factors'!$B$6*(1+'Inputs-System'!$C$18)*(1+'Inputs-System'!$C$42))*'Inputs-Proposals'!$E$16*VLOOKUP(CD$3,DRIPE!$A$54:$I$82,8,FALSE), $C18 = "2",( 'Inputs-System'!$C$30*'Coincidence Factors'!$B$6*(1+'Inputs-System'!$C$18)*(1+'Inputs-System'!$C$41))*('Inputs-Proposals'!$E$23*'Inputs-Proposals'!$E$25*(1-'Inputs-Proposals'!$E$26)^(CD$3-'Inputs-System'!$C$7))*(VLOOKUP(CD$3,DRIPE!$A$54:$I$82,5,FALSE)+VLOOKUP(CD$3,DRIPE!$A$54:$I$82,9,FALSE))+ ('Inputs-System'!$C$26*'Coincidence Factors'!$B$6*(1+'Inputs-System'!$C$18)*(1+'Inputs-System'!$C$42))*'Inputs-Proposals'!$E$22*VLOOKUP(CD$3,DRIPE!$A$54:$I$82,8,FALSE), $C18= "3", ( 'Inputs-System'!$C$30*'Coincidence Factors'!$B$6*(1+'Inputs-System'!$C$18)*(1+'Inputs-System'!$C$41))*('Inputs-Proposals'!$E$29*'Inputs-Proposals'!$E$31*(1-'Inputs-Proposals'!$E$32)^(CD$3-'Inputs-System'!$C$7))*(VLOOKUP(CD$3,DRIPE!$A$54:$I$82,5,FALSE)+VLOOKUP(CD$3,DRIPE!$A$54:$I$82,9,FALSE))+ ('Inputs-System'!$C$26*'Coincidence Factors'!$B$6*(1+'Inputs-System'!$C$18)*(1+'Inputs-System'!$C$42))*'Inputs-Proposals'!$E$28*VLOOKUP(CD$3,DRIPE!$A$54:$I$82,8,FALSE), $C18 = "0", 0), 0)</f>
        <v>0</v>
      </c>
      <c r="CG18" s="45">
        <f>IFERROR(_xlfn.IFS($C18="1",('Inputs-System'!$C$26*'Coincidence Factors'!$B$6*(1+'Inputs-System'!$C$18))*'Inputs-Proposals'!$E$16*(VLOOKUP(CD$3,Capacity!$A$53:$E$85,4,FALSE)*(1+'Inputs-System'!$C$42)+VLOOKUP(CD$3,Capacity!$A$53:$E$85,5,FALSE)*'Inputs-System'!$C$29*(1+'Inputs-System'!$C$43)), $C18 = "2", ('Inputs-System'!$C$26*'Coincidence Factors'!$B$6*(1+'Inputs-System'!$C$18))*'Inputs-Proposals'!$E$22*(VLOOKUP(CD$3,Capacity!$A$53:$E$85,4,FALSE)*(1+'Inputs-System'!$C$42)+VLOOKUP(CD$3,Capacity!$A$53:$E$85,5,FALSE)*'Inputs-System'!$C$29*(1+'Inputs-System'!$C$43)), $C18 = "3",('Inputs-System'!$C$26*'Coincidence Factors'!$B$6*(1+'Inputs-System'!$C$18))*'Inputs-Proposals'!$E$28*(VLOOKUP(CD$3,Capacity!$A$53:$E$85,4,FALSE)*(1+'Inputs-System'!$C$42)+VLOOKUP(CD$3,Capacity!$A$53:$E$85,5,FALSE)*'Inputs-System'!$C$29*(1+'Inputs-System'!$C$43)), $C18 = "0", 0), 0)</f>
        <v>0</v>
      </c>
      <c r="CH18" s="44">
        <v>0</v>
      </c>
      <c r="CI18" s="342">
        <f>IFERROR(_xlfn.IFS($C18="1", 'Inputs-System'!$C$30*'Coincidence Factors'!$B$6*'Inputs-Proposals'!$E$17*'Inputs-Proposals'!$E$19*(VLOOKUP(CD$3,'Non-Embedded Emissions'!$A$56:$D$90,2,FALSE)+VLOOKUP(CD$3,'Non-Embedded Emissions'!$A$143:$D$174,2,FALSE)+VLOOKUP(CD$3,'Non-Embedded Emissions'!$A$230:$D$259,2,FALSE)), $C18 = "2", 'Inputs-System'!$C$30*'Coincidence Factors'!$B$6*'Inputs-Proposals'!$E$23*'Inputs-Proposals'!$E$25*(VLOOKUP(CD$3,'Non-Embedded Emissions'!$A$56:$D$90,2,FALSE)+VLOOKUP(CD$3,'Non-Embedded Emissions'!$A$143:$D$174,2,FALSE)+VLOOKUP(CD$3,'Non-Embedded Emissions'!$A$230:$D$259,2,FALSE)), $C18 = "3", 'Inputs-System'!$C$30*'Coincidence Factors'!$B$6*'Inputs-Proposals'!$E$29*'Inputs-Proposals'!$E$31*(VLOOKUP(CD$3,'Non-Embedded Emissions'!$A$56:$D$90,2,FALSE)+VLOOKUP(CD$3,'Non-Embedded Emissions'!$A$143:$D$174,2,FALSE)+VLOOKUP(CD$3,'Non-Embedded Emissions'!$A$230:$D$259,2,FALSE)), $C18 = "0", 0), 0)</f>
        <v>0</v>
      </c>
      <c r="CJ18" s="45">
        <f>IFERROR(_xlfn.IFS($C18="1",('Inputs-System'!$C$30*'Coincidence Factors'!$B$6*(1+'Inputs-System'!$C$18)*(1+'Inputs-System'!$C$41)*('Inputs-Proposals'!$E$17*'Inputs-Proposals'!$E$19*(1-'Inputs-Proposals'!$E$20^(CJ$3-'Inputs-System'!$C$7)))*(VLOOKUP(CJ$3,Energy!$A$51:$K$83,5,FALSE))), $C18 = "2",('Inputs-System'!$C$30*'Coincidence Factors'!$B$6)*(1+'Inputs-System'!$C$18)*(1+'Inputs-System'!$C$41)*('Inputs-Proposals'!$E$23*'Inputs-Proposals'!$E$25*(1-'Inputs-Proposals'!$E$26^(CJ$3-'Inputs-System'!$C$7)))*(VLOOKUP(CJ$3,Energy!$A$51:$K$83,5,FALSE)), $C18= "3", ('Inputs-System'!$C$30*'Coincidence Factors'!$B$6*(1+'Inputs-System'!$C$18)*(1+'Inputs-System'!$C$41)*('Inputs-Proposals'!$E$29*'Inputs-Proposals'!$E$31*(1-'Inputs-Proposals'!$E$32^(CJ$3-'Inputs-System'!$C$7)))*(VLOOKUP(CJ$3,Energy!$A$51:$K$83,5,FALSE))), $C18= "0", 0), 0)</f>
        <v>0</v>
      </c>
      <c r="CK18" s="44">
        <f>IFERROR(_xlfn.IFS($C18="1",('Inputs-System'!$C$30*'Coincidence Factors'!$B$6*(1+'Inputs-System'!$C$18)*(1+'Inputs-System'!$C$41))*'Inputs-Proposals'!$E$17*'Inputs-Proposals'!$E$19*(1-'Inputs-Proposals'!$E$20^(CJ$3-'Inputs-System'!$C$7))*(VLOOKUP(CJ$3,'Embedded Emissions'!$A$47:$B$78,2,FALSE)+VLOOKUP(CJ$3,'Embedded Emissions'!$A$129:$B$158,2,FALSE)), $C18 = "2",('Inputs-System'!$C$30*'Coincidence Factors'!$B$6*(1+'Inputs-System'!$C$18)*(1+'Inputs-System'!$C$41))*'Inputs-Proposals'!$E$23*'Inputs-Proposals'!$E$25*(1-'Inputs-Proposals'!$E$20^(CJ$3-'Inputs-System'!$C$7))*(VLOOKUP(CJ$3,'Embedded Emissions'!$A$47:$B$78,2,FALSE)+VLOOKUP(CJ$3,'Embedded Emissions'!$A$129:$B$158,2,FALSE)), $C18 = "3", ('Inputs-System'!$C$30*'Coincidence Factors'!$B$6*(1+'Inputs-System'!$C$18)*(1+'Inputs-System'!$C$41))*'Inputs-Proposals'!$E$29*'Inputs-Proposals'!$E$31*(1-'Inputs-Proposals'!$E$20^(CJ$3-'Inputs-System'!$C$7))*(VLOOKUP(CJ$3,'Embedded Emissions'!$A$47:$B$78,2,FALSE)+VLOOKUP(CJ$3,'Embedded Emissions'!$A$129:$B$158,2,FALSE)), $C18 = "0", 0), 0)</f>
        <v>0</v>
      </c>
      <c r="CL18" s="44">
        <f>IFERROR(_xlfn.IFS($C18="1",( 'Inputs-System'!$C$30*'Coincidence Factors'!$B$6*(1+'Inputs-System'!$C$18)*(1+'Inputs-System'!$C$41))*('Inputs-Proposals'!$E$17*'Inputs-Proposals'!$E$19*(1-'Inputs-Proposals'!$E$20)^(CJ$3-'Inputs-System'!$C$7))*(VLOOKUP(CJ$3,DRIPE!$A$54:$I$82,5,FALSE)+VLOOKUP(CJ$3,DRIPE!$A$54:$I$82,9,FALSE))+ ('Inputs-System'!$C$26*'Coincidence Factors'!$B$6*(1+'Inputs-System'!$C$18)*(1+'Inputs-System'!$C$42))*'Inputs-Proposals'!$E$16*VLOOKUP(CJ$3,DRIPE!$A$54:$I$82,8,FALSE), $C18 = "2",( 'Inputs-System'!$C$30*'Coincidence Factors'!$B$6*(1+'Inputs-System'!$C$18)*(1+'Inputs-System'!$C$41))*('Inputs-Proposals'!$E$23*'Inputs-Proposals'!$E$25*(1-'Inputs-Proposals'!$E$26)^(CJ$3-'Inputs-System'!$C$7))*(VLOOKUP(CJ$3,DRIPE!$A$54:$I$82,5,FALSE)+VLOOKUP(CJ$3,DRIPE!$A$54:$I$82,9,FALSE))+ ('Inputs-System'!$C$26*'Coincidence Factors'!$B$6*(1+'Inputs-System'!$C$18)*(1+'Inputs-System'!$C$42))*'Inputs-Proposals'!$E$22*VLOOKUP(CJ$3,DRIPE!$A$54:$I$82,8,FALSE), $C18= "3", ( 'Inputs-System'!$C$30*'Coincidence Factors'!$B$6*(1+'Inputs-System'!$C$18)*(1+'Inputs-System'!$C$41))*('Inputs-Proposals'!$E$29*'Inputs-Proposals'!$E$31*(1-'Inputs-Proposals'!$E$32)^(CJ$3-'Inputs-System'!$C$7))*(VLOOKUP(CJ$3,DRIPE!$A$54:$I$82,5,FALSE)+VLOOKUP(CJ$3,DRIPE!$A$54:$I$82,9,FALSE))+ ('Inputs-System'!$C$26*'Coincidence Factors'!$B$6*(1+'Inputs-System'!$C$18)*(1+'Inputs-System'!$C$42))*'Inputs-Proposals'!$E$28*VLOOKUP(CJ$3,DRIPE!$A$54:$I$82,8,FALSE), $C18 = "0", 0), 0)</f>
        <v>0</v>
      </c>
      <c r="CM18" s="45">
        <f>IFERROR(_xlfn.IFS($C18="1",('Inputs-System'!$C$26*'Coincidence Factors'!$B$6*(1+'Inputs-System'!$C$18))*'Inputs-Proposals'!$E$16*(VLOOKUP(CJ$3,Capacity!$A$53:$E$85,4,FALSE)*(1+'Inputs-System'!$C$42)+VLOOKUP(CJ$3,Capacity!$A$53:$E$85,5,FALSE)*'Inputs-System'!$C$29*(1+'Inputs-System'!$C$43)), $C18 = "2", ('Inputs-System'!$C$26*'Coincidence Factors'!$B$6*(1+'Inputs-System'!$C$18))*'Inputs-Proposals'!$E$22*(VLOOKUP(CJ$3,Capacity!$A$53:$E$85,4,FALSE)*(1+'Inputs-System'!$C$42)+VLOOKUP(CJ$3,Capacity!$A$53:$E$85,5,FALSE)*'Inputs-System'!$C$29*(1+'Inputs-System'!$C$43)), $C18 = "3",('Inputs-System'!$C$26*'Coincidence Factors'!$B$6*(1+'Inputs-System'!$C$18))*'Inputs-Proposals'!$E$28*(VLOOKUP(CJ$3,Capacity!$A$53:$E$85,4,FALSE)*(1+'Inputs-System'!$C$42)+VLOOKUP(CJ$3,Capacity!$A$53:$E$85,5,FALSE)*'Inputs-System'!$C$29*(1+'Inputs-System'!$C$43)), $C18 = "0", 0), 0)</f>
        <v>0</v>
      </c>
      <c r="CN18" s="44">
        <v>0</v>
      </c>
      <c r="CO18" s="342">
        <f>IFERROR(_xlfn.IFS($C18="1", 'Inputs-System'!$C$30*'Coincidence Factors'!$B$6*'Inputs-Proposals'!$E$17*'Inputs-Proposals'!$E$19*(VLOOKUP(CJ$3,'Non-Embedded Emissions'!$A$56:$D$90,2,FALSE)+VLOOKUP(CJ$3,'Non-Embedded Emissions'!$A$143:$D$174,2,FALSE)+VLOOKUP(CJ$3,'Non-Embedded Emissions'!$A$230:$D$259,2,FALSE)), $C18 = "2", 'Inputs-System'!$C$30*'Coincidence Factors'!$B$6*'Inputs-Proposals'!$E$23*'Inputs-Proposals'!$E$25*(VLOOKUP(CJ$3,'Non-Embedded Emissions'!$A$56:$D$90,2,FALSE)+VLOOKUP(CJ$3,'Non-Embedded Emissions'!$A$143:$D$174,2,FALSE)+VLOOKUP(CJ$3,'Non-Embedded Emissions'!$A$230:$D$259,2,FALSE)), $C18 = "3", 'Inputs-System'!$C$30*'Coincidence Factors'!$B$6*'Inputs-Proposals'!$E$29*'Inputs-Proposals'!$E$31*(VLOOKUP(CJ$3,'Non-Embedded Emissions'!$A$56:$D$90,2,FALSE)+VLOOKUP(CJ$3,'Non-Embedded Emissions'!$A$143:$D$174,2,FALSE)+VLOOKUP(CJ$3,'Non-Embedded Emissions'!$A$230:$D$259,2,FALSE)), $C18 = "0", 0), 0)</f>
        <v>0</v>
      </c>
      <c r="CP18" s="45">
        <f>IFERROR(_xlfn.IFS($C18="1",('Inputs-System'!$C$30*'Coincidence Factors'!$B$6*(1+'Inputs-System'!$C$18)*(1+'Inputs-System'!$C$41)*('Inputs-Proposals'!$E$17*'Inputs-Proposals'!$E$19*(1-'Inputs-Proposals'!$E$20^(CP$3-'Inputs-System'!$C$7)))*(VLOOKUP(CP$3,Energy!$A$51:$K$83,5,FALSE))), $C18 = "2",('Inputs-System'!$C$30*'Coincidence Factors'!$B$6)*(1+'Inputs-System'!$C$18)*(1+'Inputs-System'!$C$41)*('Inputs-Proposals'!$E$23*'Inputs-Proposals'!$E$25*(1-'Inputs-Proposals'!$E$26^(CP$3-'Inputs-System'!$C$7)))*(VLOOKUP(CP$3,Energy!$A$51:$K$83,5,FALSE)), $C18= "3", ('Inputs-System'!$C$30*'Coincidence Factors'!$B$6*(1+'Inputs-System'!$C$18)*(1+'Inputs-System'!$C$41)*('Inputs-Proposals'!$E$29*'Inputs-Proposals'!$E$31*(1-'Inputs-Proposals'!$E$32^(CP$3-'Inputs-System'!$C$7)))*(VLOOKUP(CP$3,Energy!$A$51:$K$83,5,FALSE))), $C18= "0", 0), 0)</f>
        <v>0</v>
      </c>
      <c r="CQ18" s="44">
        <f>IFERROR(_xlfn.IFS($C18="1",('Inputs-System'!$C$30*'Coincidence Factors'!$B$6*(1+'Inputs-System'!$C$18)*(1+'Inputs-System'!$C$41))*'Inputs-Proposals'!$E$17*'Inputs-Proposals'!$E$19*(1-'Inputs-Proposals'!$E$20^(CP$3-'Inputs-System'!$C$7))*(VLOOKUP(CP$3,'Embedded Emissions'!$A$47:$B$78,2,FALSE)+VLOOKUP(CP$3,'Embedded Emissions'!$A$129:$B$158,2,FALSE)), $C18 = "2",('Inputs-System'!$C$30*'Coincidence Factors'!$B$6*(1+'Inputs-System'!$C$18)*(1+'Inputs-System'!$C$41))*'Inputs-Proposals'!$E$23*'Inputs-Proposals'!$E$25*(1-'Inputs-Proposals'!$E$20^(CP$3-'Inputs-System'!$C$7))*(VLOOKUP(CP$3,'Embedded Emissions'!$A$47:$B$78,2,FALSE)+VLOOKUP(CP$3,'Embedded Emissions'!$A$129:$B$158,2,FALSE)), $C18 = "3", ('Inputs-System'!$C$30*'Coincidence Factors'!$B$6*(1+'Inputs-System'!$C$18)*(1+'Inputs-System'!$C$41))*'Inputs-Proposals'!$E$29*'Inputs-Proposals'!$E$31*(1-'Inputs-Proposals'!$E$20^(CP$3-'Inputs-System'!$C$7))*(VLOOKUP(CP$3,'Embedded Emissions'!$A$47:$B$78,2,FALSE)+VLOOKUP(CP$3,'Embedded Emissions'!$A$129:$B$158,2,FALSE)), $C18 = "0", 0), 0)</f>
        <v>0</v>
      </c>
      <c r="CR18" s="44">
        <f>IFERROR(_xlfn.IFS($C18="1",( 'Inputs-System'!$C$30*'Coincidence Factors'!$B$6*(1+'Inputs-System'!$C$18)*(1+'Inputs-System'!$C$41))*('Inputs-Proposals'!$E$17*'Inputs-Proposals'!$E$19*(1-'Inputs-Proposals'!$E$20)^(CP$3-'Inputs-System'!$C$7))*(VLOOKUP(CP$3,DRIPE!$A$54:$I$82,5,FALSE)+VLOOKUP(CP$3,DRIPE!$A$54:$I$82,9,FALSE))+ ('Inputs-System'!$C$26*'Coincidence Factors'!$B$6*(1+'Inputs-System'!$C$18)*(1+'Inputs-System'!$C$42))*'Inputs-Proposals'!$E$16*VLOOKUP(CP$3,DRIPE!$A$54:$I$82,8,FALSE), $C18 = "2",( 'Inputs-System'!$C$30*'Coincidence Factors'!$B$6*(1+'Inputs-System'!$C$18)*(1+'Inputs-System'!$C$41))*('Inputs-Proposals'!$E$23*'Inputs-Proposals'!$E$25*(1-'Inputs-Proposals'!$E$26)^(CP$3-'Inputs-System'!$C$7))*(VLOOKUP(CP$3,DRIPE!$A$54:$I$82,5,FALSE)+VLOOKUP(CP$3,DRIPE!$A$54:$I$82,9,FALSE))+ ('Inputs-System'!$C$26*'Coincidence Factors'!$B$6*(1+'Inputs-System'!$C$18)*(1+'Inputs-System'!$C$42))*'Inputs-Proposals'!$E$22*VLOOKUP(CP$3,DRIPE!$A$54:$I$82,8,FALSE), $C18= "3", ( 'Inputs-System'!$C$30*'Coincidence Factors'!$B$6*(1+'Inputs-System'!$C$18)*(1+'Inputs-System'!$C$41))*('Inputs-Proposals'!$E$29*'Inputs-Proposals'!$E$31*(1-'Inputs-Proposals'!$E$32)^(CP$3-'Inputs-System'!$C$7))*(VLOOKUP(CP$3,DRIPE!$A$54:$I$82,5,FALSE)+VLOOKUP(CP$3,DRIPE!$A$54:$I$82,9,FALSE))+ ('Inputs-System'!$C$26*'Coincidence Factors'!$B$6*(1+'Inputs-System'!$C$18)*(1+'Inputs-System'!$C$42))*'Inputs-Proposals'!$E$28*VLOOKUP(CP$3,DRIPE!$A$54:$I$82,8,FALSE), $C18 = "0", 0), 0)</f>
        <v>0</v>
      </c>
      <c r="CS18" s="45">
        <f>IFERROR(_xlfn.IFS($C18="1",('Inputs-System'!$C$26*'Coincidence Factors'!$B$6*(1+'Inputs-System'!$C$18))*'Inputs-Proposals'!$E$16*(VLOOKUP(CP$3,Capacity!$A$53:$E$85,4,FALSE)*(1+'Inputs-System'!$C$42)+VLOOKUP(CP$3,Capacity!$A$53:$E$85,5,FALSE)*'Inputs-System'!$C$29*(1+'Inputs-System'!$C$43)), $C18 = "2", ('Inputs-System'!$C$26*'Coincidence Factors'!$B$6*(1+'Inputs-System'!$C$18))*'Inputs-Proposals'!$E$22*(VLOOKUP(CP$3,Capacity!$A$53:$E$85,4,FALSE)*(1+'Inputs-System'!$C$42)+VLOOKUP(CP$3,Capacity!$A$53:$E$85,5,FALSE)*'Inputs-System'!$C$29*(1+'Inputs-System'!$C$43)), $C18 = "3",('Inputs-System'!$C$26*'Coincidence Factors'!$B$6*(1+'Inputs-System'!$C$18))*'Inputs-Proposals'!$E$28*(VLOOKUP(CP$3,Capacity!$A$53:$E$85,4,FALSE)*(1+'Inputs-System'!$C$42)+VLOOKUP(CP$3,Capacity!$A$53:$E$85,5,FALSE)*'Inputs-System'!$C$29*(1+'Inputs-System'!$C$43)), $C18 = "0", 0), 0)</f>
        <v>0</v>
      </c>
      <c r="CT18" s="44">
        <v>0</v>
      </c>
      <c r="CU18" s="342">
        <f>IFERROR(_xlfn.IFS($C18="1", 'Inputs-System'!$C$30*'Coincidence Factors'!$B$6*'Inputs-Proposals'!$E$17*'Inputs-Proposals'!$E$19*(VLOOKUP(CP$3,'Non-Embedded Emissions'!$A$56:$D$90,2,FALSE)+VLOOKUP(CP$3,'Non-Embedded Emissions'!$A$143:$D$174,2,FALSE)+VLOOKUP(CP$3,'Non-Embedded Emissions'!$A$230:$D$259,2,FALSE)), $C18 = "2", 'Inputs-System'!$C$30*'Coincidence Factors'!$B$6*'Inputs-Proposals'!$E$23*'Inputs-Proposals'!$E$25*(VLOOKUP(CP$3,'Non-Embedded Emissions'!$A$56:$D$90,2,FALSE)+VLOOKUP(CP$3,'Non-Embedded Emissions'!$A$143:$D$174,2,FALSE)+VLOOKUP(CP$3,'Non-Embedded Emissions'!$A$230:$D$259,2,FALSE)), $C18 = "3", 'Inputs-System'!$C$30*'Coincidence Factors'!$B$6*'Inputs-Proposals'!$E$29*'Inputs-Proposals'!$E$31*(VLOOKUP(CP$3,'Non-Embedded Emissions'!$A$56:$D$90,2,FALSE)+VLOOKUP(CP$3,'Non-Embedded Emissions'!$A$143:$D$174,2,FALSE)+VLOOKUP(CP$3,'Non-Embedded Emissions'!$A$230:$D$259,2,FALSE)), $C18 = "0", 0), 0)</f>
        <v>0</v>
      </c>
      <c r="CV18" s="45">
        <f>IFERROR(_xlfn.IFS($C18="1",('Inputs-System'!$C$30*'Coincidence Factors'!$B$6*(1+'Inputs-System'!$C$18)*(1+'Inputs-System'!$C$41)*('Inputs-Proposals'!$E$17*'Inputs-Proposals'!$E$19*(1-'Inputs-Proposals'!$E$20^(CV$3-'Inputs-System'!$C$7)))*(VLOOKUP(CV$3,Energy!$A$51:$K$83,5,FALSE))), $C18 = "2",('Inputs-System'!$C$30*'Coincidence Factors'!$B$6)*(1+'Inputs-System'!$C$18)*(1+'Inputs-System'!$C$41)*('Inputs-Proposals'!$E$23*'Inputs-Proposals'!$E$25*(1-'Inputs-Proposals'!$E$26^(CV$3-'Inputs-System'!$C$7)))*(VLOOKUP(CV$3,Energy!$A$51:$K$83,5,FALSE)), $C18= "3", ('Inputs-System'!$C$30*'Coincidence Factors'!$B$6*(1+'Inputs-System'!$C$18)*(1+'Inputs-System'!$C$41)*('Inputs-Proposals'!$E$29*'Inputs-Proposals'!$E$31*(1-'Inputs-Proposals'!$E$32^(CV$3-'Inputs-System'!$C$7)))*(VLOOKUP(CV$3,Energy!$A$51:$K$83,5,FALSE))), $C18= "0", 0), 0)</f>
        <v>0</v>
      </c>
      <c r="CW18" s="44">
        <f>IFERROR(_xlfn.IFS($C18="1",('Inputs-System'!$C$30*'Coincidence Factors'!$B$6*(1+'Inputs-System'!$C$18)*(1+'Inputs-System'!$C$41))*'Inputs-Proposals'!$E$17*'Inputs-Proposals'!$E$19*(1-'Inputs-Proposals'!$E$20^(CV$3-'Inputs-System'!$C$7))*(VLOOKUP(CV$3,'Embedded Emissions'!$A$47:$B$78,2,FALSE)+VLOOKUP(CV$3,'Embedded Emissions'!$A$129:$B$158,2,FALSE)), $C18 = "2",('Inputs-System'!$C$30*'Coincidence Factors'!$B$6*(1+'Inputs-System'!$C$18)*(1+'Inputs-System'!$C$41))*'Inputs-Proposals'!$E$23*'Inputs-Proposals'!$E$25*(1-'Inputs-Proposals'!$E$20^(CV$3-'Inputs-System'!$C$7))*(VLOOKUP(CV$3,'Embedded Emissions'!$A$47:$B$78,2,FALSE)+VLOOKUP(CV$3,'Embedded Emissions'!$A$129:$B$158,2,FALSE)), $C18 = "3", ('Inputs-System'!$C$30*'Coincidence Factors'!$B$6*(1+'Inputs-System'!$C$18)*(1+'Inputs-System'!$C$41))*'Inputs-Proposals'!$E$29*'Inputs-Proposals'!$E$31*(1-'Inputs-Proposals'!$E$20^(CV$3-'Inputs-System'!$C$7))*(VLOOKUP(CV$3,'Embedded Emissions'!$A$47:$B$78,2,FALSE)+VLOOKUP(CV$3,'Embedded Emissions'!$A$129:$B$158,2,FALSE)), $C18 = "0", 0), 0)</f>
        <v>0</v>
      </c>
      <c r="CX18" s="44">
        <f>IFERROR(_xlfn.IFS($C18="1",( 'Inputs-System'!$C$30*'Coincidence Factors'!$B$6*(1+'Inputs-System'!$C$18)*(1+'Inputs-System'!$C$41))*('Inputs-Proposals'!$E$17*'Inputs-Proposals'!$E$19*(1-'Inputs-Proposals'!$E$20)^(CV$3-'Inputs-System'!$C$7))*(VLOOKUP(CV$3,DRIPE!$A$54:$I$82,5,FALSE)+VLOOKUP(CV$3,DRIPE!$A$54:$I$82,9,FALSE))+ ('Inputs-System'!$C$26*'Coincidence Factors'!$B$6*(1+'Inputs-System'!$C$18)*(1+'Inputs-System'!$C$42))*'Inputs-Proposals'!$E$16*VLOOKUP(CV$3,DRIPE!$A$54:$I$82,8,FALSE), $C18 = "2",( 'Inputs-System'!$C$30*'Coincidence Factors'!$B$6*(1+'Inputs-System'!$C$18)*(1+'Inputs-System'!$C$41))*('Inputs-Proposals'!$E$23*'Inputs-Proposals'!$E$25*(1-'Inputs-Proposals'!$E$26)^(CV$3-'Inputs-System'!$C$7))*(VLOOKUP(CV$3,DRIPE!$A$54:$I$82,5,FALSE)+VLOOKUP(CV$3,DRIPE!$A$54:$I$82,9,FALSE))+ ('Inputs-System'!$C$26*'Coincidence Factors'!$B$6*(1+'Inputs-System'!$C$18)*(1+'Inputs-System'!$C$42))*'Inputs-Proposals'!$E$22*VLOOKUP(CV$3,DRIPE!$A$54:$I$82,8,FALSE), $C18= "3", ( 'Inputs-System'!$C$30*'Coincidence Factors'!$B$6*(1+'Inputs-System'!$C$18)*(1+'Inputs-System'!$C$41))*('Inputs-Proposals'!$E$29*'Inputs-Proposals'!$E$31*(1-'Inputs-Proposals'!$E$32)^(CV$3-'Inputs-System'!$C$7))*(VLOOKUP(CV$3,DRIPE!$A$54:$I$82,5,FALSE)+VLOOKUP(CV$3,DRIPE!$A$54:$I$82,9,FALSE))+ ('Inputs-System'!$C$26*'Coincidence Factors'!$B$6*(1+'Inputs-System'!$C$18)*(1+'Inputs-System'!$C$42))*'Inputs-Proposals'!$E$28*VLOOKUP(CV$3,DRIPE!$A$54:$I$82,8,FALSE), $C18 = "0", 0), 0)</f>
        <v>0</v>
      </c>
      <c r="CY18" s="45">
        <f>IFERROR(_xlfn.IFS($C18="1",('Inputs-System'!$C$26*'Coincidence Factors'!$B$6*(1+'Inputs-System'!$C$18))*'Inputs-Proposals'!$E$16*(VLOOKUP(CV$3,Capacity!$A$53:$E$85,4,FALSE)*(1+'Inputs-System'!$C$42)+VLOOKUP(CV$3,Capacity!$A$53:$E$85,5,FALSE)*'Inputs-System'!$C$29*(1+'Inputs-System'!$C$43)), $C18 = "2", ('Inputs-System'!$C$26*'Coincidence Factors'!$B$6*(1+'Inputs-System'!$C$18))*'Inputs-Proposals'!$E$22*(VLOOKUP(CV$3,Capacity!$A$53:$E$85,4,FALSE)*(1+'Inputs-System'!$C$42)+VLOOKUP(CV$3,Capacity!$A$53:$E$85,5,FALSE)*'Inputs-System'!$C$29*(1+'Inputs-System'!$C$43)), $C18 = "3",('Inputs-System'!$C$26*'Coincidence Factors'!$B$6*(1+'Inputs-System'!$C$18))*'Inputs-Proposals'!$E$28*(VLOOKUP(CV$3,Capacity!$A$53:$E$85,4,FALSE)*(1+'Inputs-System'!$C$42)+VLOOKUP(CV$3,Capacity!$A$53:$E$85,5,FALSE)*'Inputs-System'!$C$29*(1+'Inputs-System'!$C$43)), $C18 = "0", 0), 0)</f>
        <v>0</v>
      </c>
      <c r="CZ18" s="44">
        <v>0</v>
      </c>
      <c r="DA18" s="342">
        <f>IFERROR(_xlfn.IFS($C18="1", 'Inputs-System'!$C$30*'Coincidence Factors'!$B$6*'Inputs-Proposals'!$E$17*'Inputs-Proposals'!$E$19*(VLOOKUP(CV$3,'Non-Embedded Emissions'!$A$56:$D$90,2,FALSE)+VLOOKUP(CV$3,'Non-Embedded Emissions'!$A$143:$D$174,2,FALSE)+VLOOKUP(CV$3,'Non-Embedded Emissions'!$A$230:$D$259,2,FALSE)), $C18 = "2", 'Inputs-System'!$C$30*'Coincidence Factors'!$B$6*'Inputs-Proposals'!$E$23*'Inputs-Proposals'!$E$25*(VLOOKUP(CV$3,'Non-Embedded Emissions'!$A$56:$D$90,2,FALSE)+VLOOKUP(CV$3,'Non-Embedded Emissions'!$A$143:$D$174,2,FALSE)+VLOOKUP(CV$3,'Non-Embedded Emissions'!$A$230:$D$259,2,FALSE)), $C18 = "3", 'Inputs-System'!$C$30*'Coincidence Factors'!$B$6*'Inputs-Proposals'!$E$29*'Inputs-Proposals'!$E$31*(VLOOKUP(CV$3,'Non-Embedded Emissions'!$A$56:$D$90,2,FALSE)+VLOOKUP(CV$3,'Non-Embedded Emissions'!$A$143:$D$174,2,FALSE)+VLOOKUP(CV$3,'Non-Embedded Emissions'!$A$230:$D$259,2,FALSE)), $C18 = "0", 0), 0)</f>
        <v>0</v>
      </c>
      <c r="DB18" s="45">
        <f>IFERROR(_xlfn.IFS($C18="1",('Inputs-System'!$C$30*'Coincidence Factors'!$B$6*(1+'Inputs-System'!$C$18)*(1+'Inputs-System'!$C$41)*('Inputs-Proposals'!$E$17*'Inputs-Proposals'!$E$19*(1-'Inputs-Proposals'!$E$20^(DB$3-'Inputs-System'!$C$7)))*(VLOOKUP(DB$3,Energy!$A$51:$K$83,5,FALSE))), $C18 = "2",('Inputs-System'!$C$30*'Coincidence Factors'!$B$6)*(1+'Inputs-System'!$C$18)*(1+'Inputs-System'!$C$41)*('Inputs-Proposals'!$E$23*'Inputs-Proposals'!$E$25*(1-'Inputs-Proposals'!$E$26^(DB$3-'Inputs-System'!$C$7)))*(VLOOKUP(DB$3,Energy!$A$51:$K$83,5,FALSE)), $C18= "3", ('Inputs-System'!$C$30*'Coincidence Factors'!$B$6*(1+'Inputs-System'!$C$18)*(1+'Inputs-System'!$C$41)*('Inputs-Proposals'!$E$29*'Inputs-Proposals'!$E$31*(1-'Inputs-Proposals'!$E$32^(DB$3-'Inputs-System'!$C$7)))*(VLOOKUP(DB$3,Energy!$A$51:$K$83,5,FALSE))), $C18= "0", 0), 0)</f>
        <v>0</v>
      </c>
      <c r="DC18" s="44">
        <f>IFERROR(_xlfn.IFS($C18="1",('Inputs-System'!$C$30*'Coincidence Factors'!$B$6*(1+'Inputs-System'!$C$18)*(1+'Inputs-System'!$C$41))*'Inputs-Proposals'!$E$17*'Inputs-Proposals'!$E$19*(1-'Inputs-Proposals'!$E$20^(DB$3-'Inputs-System'!$C$7))*(VLOOKUP(DB$3,'Embedded Emissions'!$A$47:$B$78,2,FALSE)+VLOOKUP(DB$3,'Embedded Emissions'!$A$129:$B$158,2,FALSE)), $C18 = "2",('Inputs-System'!$C$30*'Coincidence Factors'!$B$6*(1+'Inputs-System'!$C$18)*(1+'Inputs-System'!$C$41))*'Inputs-Proposals'!$E$23*'Inputs-Proposals'!$E$25*(1-'Inputs-Proposals'!$E$20^(DB$3-'Inputs-System'!$C$7))*(VLOOKUP(DB$3,'Embedded Emissions'!$A$47:$B$78,2,FALSE)+VLOOKUP(DB$3,'Embedded Emissions'!$A$129:$B$158,2,FALSE)), $C18 = "3", ('Inputs-System'!$C$30*'Coincidence Factors'!$B$6*(1+'Inputs-System'!$C$18)*(1+'Inputs-System'!$C$41))*'Inputs-Proposals'!$E$29*'Inputs-Proposals'!$E$31*(1-'Inputs-Proposals'!$E$20^(DB$3-'Inputs-System'!$C$7))*(VLOOKUP(DB$3,'Embedded Emissions'!$A$47:$B$78,2,FALSE)+VLOOKUP(DB$3,'Embedded Emissions'!$A$129:$B$158,2,FALSE)), $C18 = "0", 0), 0)</f>
        <v>0</v>
      </c>
      <c r="DD18" s="44">
        <f>IFERROR(_xlfn.IFS($C18="1",( 'Inputs-System'!$C$30*'Coincidence Factors'!$B$6*(1+'Inputs-System'!$C$18)*(1+'Inputs-System'!$C$41))*('Inputs-Proposals'!$E$17*'Inputs-Proposals'!$E$19*(1-'Inputs-Proposals'!$E$20)^(DB$3-'Inputs-System'!$C$7))*(VLOOKUP(DB$3,DRIPE!$A$54:$I$82,5,FALSE)+VLOOKUP(DB$3,DRIPE!$A$54:$I$82,9,FALSE))+ ('Inputs-System'!$C$26*'Coincidence Factors'!$B$6*(1+'Inputs-System'!$C$18)*(1+'Inputs-System'!$C$42))*'Inputs-Proposals'!$E$16*VLOOKUP(DB$3,DRIPE!$A$54:$I$82,8,FALSE), $C18 = "2",( 'Inputs-System'!$C$30*'Coincidence Factors'!$B$6*(1+'Inputs-System'!$C$18)*(1+'Inputs-System'!$C$41))*('Inputs-Proposals'!$E$23*'Inputs-Proposals'!$E$25*(1-'Inputs-Proposals'!$E$26)^(DB$3-'Inputs-System'!$C$7))*(VLOOKUP(DB$3,DRIPE!$A$54:$I$82,5,FALSE)+VLOOKUP(DB$3,DRIPE!$A$54:$I$82,9,FALSE))+ ('Inputs-System'!$C$26*'Coincidence Factors'!$B$6*(1+'Inputs-System'!$C$18)*(1+'Inputs-System'!$C$42))*'Inputs-Proposals'!$E$22*VLOOKUP(DB$3,DRIPE!$A$54:$I$82,8,FALSE), $C18= "3", ( 'Inputs-System'!$C$30*'Coincidence Factors'!$B$6*(1+'Inputs-System'!$C$18)*(1+'Inputs-System'!$C$41))*('Inputs-Proposals'!$E$29*'Inputs-Proposals'!$E$31*(1-'Inputs-Proposals'!$E$32)^(DB$3-'Inputs-System'!$C$7))*(VLOOKUP(DB$3,DRIPE!$A$54:$I$82,5,FALSE)+VLOOKUP(DB$3,DRIPE!$A$54:$I$82,9,FALSE))+ ('Inputs-System'!$C$26*'Coincidence Factors'!$B$6*(1+'Inputs-System'!$C$18)*(1+'Inputs-System'!$C$42))*'Inputs-Proposals'!$E$28*VLOOKUP(DB$3,DRIPE!$A$54:$I$82,8,FALSE), $C18 = "0", 0), 0)</f>
        <v>0</v>
      </c>
      <c r="DE18" s="45">
        <f>IFERROR(_xlfn.IFS($C18="1",('Inputs-System'!$C$26*'Coincidence Factors'!$B$6*(1+'Inputs-System'!$C$18))*'Inputs-Proposals'!$E$16*(VLOOKUP(DB$3,Capacity!$A$53:$E$85,4,FALSE)*(1+'Inputs-System'!$C$42)+VLOOKUP(DB$3,Capacity!$A$53:$E$85,5,FALSE)*'Inputs-System'!$C$29*(1+'Inputs-System'!$C$43)), $C18 = "2", ('Inputs-System'!$C$26*'Coincidence Factors'!$B$6*(1+'Inputs-System'!$C$18))*'Inputs-Proposals'!$E$22*(VLOOKUP(DB$3,Capacity!$A$53:$E$85,4,FALSE)*(1+'Inputs-System'!$C$42)+VLOOKUP(DB$3,Capacity!$A$53:$E$85,5,FALSE)*'Inputs-System'!$C$29*(1+'Inputs-System'!$C$43)), $C18 = "3",('Inputs-System'!$C$26*'Coincidence Factors'!$B$6*(1+'Inputs-System'!$C$18))*'Inputs-Proposals'!$E$28*(VLOOKUP(DB$3,Capacity!$A$53:$E$85,4,FALSE)*(1+'Inputs-System'!$C$42)+VLOOKUP(DB$3,Capacity!$A$53:$E$85,5,FALSE)*'Inputs-System'!$C$29*(1+'Inputs-System'!$C$43)), $C18 = "0", 0), 0)</f>
        <v>0</v>
      </c>
      <c r="DF18" s="44">
        <v>0</v>
      </c>
      <c r="DG18" s="342">
        <f>IFERROR(_xlfn.IFS($C18="1", 'Inputs-System'!$C$30*'Coincidence Factors'!$B$6*'Inputs-Proposals'!$E$17*'Inputs-Proposals'!$E$19*(VLOOKUP(DB$3,'Non-Embedded Emissions'!$A$56:$D$90,2,FALSE)+VLOOKUP(DB$3,'Non-Embedded Emissions'!$A$143:$D$174,2,FALSE)+VLOOKUP(DB$3,'Non-Embedded Emissions'!$A$230:$D$259,2,FALSE)), $C18 = "2", 'Inputs-System'!$C$30*'Coincidence Factors'!$B$6*'Inputs-Proposals'!$E$23*'Inputs-Proposals'!$E$25*(VLOOKUP(DB$3,'Non-Embedded Emissions'!$A$56:$D$90,2,FALSE)+VLOOKUP(DB$3,'Non-Embedded Emissions'!$A$143:$D$174,2,FALSE)+VLOOKUP(DB$3,'Non-Embedded Emissions'!$A$230:$D$259,2,FALSE)), $C18 = "3", 'Inputs-System'!$C$30*'Coincidence Factors'!$B$6*'Inputs-Proposals'!$E$29*'Inputs-Proposals'!$E$31*(VLOOKUP(DB$3,'Non-Embedded Emissions'!$A$56:$D$90,2,FALSE)+VLOOKUP(DB$3,'Non-Embedded Emissions'!$A$143:$D$174,2,FALSE)+VLOOKUP(DB$3,'Non-Embedded Emissions'!$A$230:$D$259,2,FALSE)), $C18 = "0", 0), 0)</f>
        <v>0</v>
      </c>
      <c r="DH18" s="45">
        <f>IFERROR(_xlfn.IFS($C18="1",('Inputs-System'!$C$30*'Coincidence Factors'!$B$6*(1+'Inputs-System'!$C$18)*(1+'Inputs-System'!$C$41)*('Inputs-Proposals'!$E$17*'Inputs-Proposals'!$E$19*(1-'Inputs-Proposals'!$E$20^(DH$3-'Inputs-System'!$C$7)))*(VLOOKUP(DH$3,Energy!$A$51:$K$83,5,FALSE))), $C18 = "2",('Inputs-System'!$C$30*'Coincidence Factors'!$B$6)*(1+'Inputs-System'!$C$18)*(1+'Inputs-System'!$C$41)*('Inputs-Proposals'!$E$23*'Inputs-Proposals'!$E$25*(1-'Inputs-Proposals'!$E$26^(DH$3-'Inputs-System'!$C$7)))*(VLOOKUP(DH$3,Energy!$A$51:$K$83,5,FALSE)), $C18= "3", ('Inputs-System'!$C$30*'Coincidence Factors'!$B$6*(1+'Inputs-System'!$C$18)*(1+'Inputs-System'!$C$41)*('Inputs-Proposals'!$E$29*'Inputs-Proposals'!$E$31*(1-'Inputs-Proposals'!$E$32^(DH$3-'Inputs-System'!$C$7)))*(VLOOKUP(DH$3,Energy!$A$51:$K$83,5,FALSE))), $C18= "0", 0), 0)</f>
        <v>0</v>
      </c>
      <c r="DI18" s="44">
        <f>IFERROR(_xlfn.IFS($C18="1",('Inputs-System'!$C$30*'Coincidence Factors'!$B$6*(1+'Inputs-System'!$C$18)*(1+'Inputs-System'!$C$41))*'Inputs-Proposals'!$E$17*'Inputs-Proposals'!$E$19*(1-'Inputs-Proposals'!$E$20^(DH$3-'Inputs-System'!$C$7))*(VLOOKUP(DH$3,'Embedded Emissions'!$A$47:$B$78,2,FALSE)+VLOOKUP(DH$3,'Embedded Emissions'!$A$129:$B$158,2,FALSE)), $C18 = "2",('Inputs-System'!$C$30*'Coincidence Factors'!$B$6*(1+'Inputs-System'!$C$18)*(1+'Inputs-System'!$C$41))*'Inputs-Proposals'!$E$23*'Inputs-Proposals'!$E$25*(1-'Inputs-Proposals'!$E$20^(DH$3-'Inputs-System'!$C$7))*(VLOOKUP(DH$3,'Embedded Emissions'!$A$47:$B$78,2,FALSE)+VLOOKUP(DH$3,'Embedded Emissions'!$A$129:$B$158,2,FALSE)), $C18 = "3", ('Inputs-System'!$C$30*'Coincidence Factors'!$B$6*(1+'Inputs-System'!$C$18)*(1+'Inputs-System'!$C$41))*'Inputs-Proposals'!$E$29*'Inputs-Proposals'!$E$31*(1-'Inputs-Proposals'!$E$20^(DH$3-'Inputs-System'!$C$7))*(VLOOKUP(DH$3,'Embedded Emissions'!$A$47:$B$78,2,FALSE)+VLOOKUP(DH$3,'Embedded Emissions'!$A$129:$B$158,2,FALSE)), $C18 = "0", 0), 0)</f>
        <v>0</v>
      </c>
      <c r="DJ18" s="44">
        <f>IFERROR(_xlfn.IFS($C18="1",( 'Inputs-System'!$C$30*'Coincidence Factors'!$B$6*(1+'Inputs-System'!$C$18)*(1+'Inputs-System'!$C$41))*('Inputs-Proposals'!$E$17*'Inputs-Proposals'!$E$19*(1-'Inputs-Proposals'!$E$20)^(DH$3-'Inputs-System'!$C$7))*(VLOOKUP(DH$3,DRIPE!$A$54:$I$82,5,FALSE)+VLOOKUP(DH$3,DRIPE!$A$54:$I$82,9,FALSE))+ ('Inputs-System'!$C$26*'Coincidence Factors'!$B$6*(1+'Inputs-System'!$C$18)*(1+'Inputs-System'!$C$42))*'Inputs-Proposals'!$E$16*VLOOKUP(DH$3,DRIPE!$A$54:$I$82,8,FALSE), $C18 = "2",( 'Inputs-System'!$C$30*'Coincidence Factors'!$B$6*(1+'Inputs-System'!$C$18)*(1+'Inputs-System'!$C$41))*('Inputs-Proposals'!$E$23*'Inputs-Proposals'!$E$25*(1-'Inputs-Proposals'!$E$26)^(DH$3-'Inputs-System'!$C$7))*(VLOOKUP(DH$3,DRIPE!$A$54:$I$82,5,FALSE)+VLOOKUP(DH$3,DRIPE!$A$54:$I$82,9,FALSE))+ ('Inputs-System'!$C$26*'Coincidence Factors'!$B$6*(1+'Inputs-System'!$C$18)*(1+'Inputs-System'!$C$42))*'Inputs-Proposals'!$E$22*VLOOKUP(DH$3,DRIPE!$A$54:$I$82,8,FALSE), $C18= "3", ( 'Inputs-System'!$C$30*'Coincidence Factors'!$B$6*(1+'Inputs-System'!$C$18)*(1+'Inputs-System'!$C$41))*('Inputs-Proposals'!$E$29*'Inputs-Proposals'!$E$31*(1-'Inputs-Proposals'!$E$32)^(DH$3-'Inputs-System'!$C$7))*(VLOOKUP(DH$3,DRIPE!$A$54:$I$82,5,FALSE)+VLOOKUP(DH$3,DRIPE!$A$54:$I$82,9,FALSE))+ ('Inputs-System'!$C$26*'Coincidence Factors'!$B$6*(1+'Inputs-System'!$C$18)*(1+'Inputs-System'!$C$42))*'Inputs-Proposals'!$E$28*VLOOKUP(DH$3,DRIPE!$A$54:$I$82,8,FALSE), $C18 = "0", 0), 0)</f>
        <v>0</v>
      </c>
      <c r="DK18" s="45">
        <f>IFERROR(_xlfn.IFS($C18="1",('Inputs-System'!$C$26*'Coincidence Factors'!$B$6*(1+'Inputs-System'!$C$18))*'Inputs-Proposals'!$E$16*(VLOOKUP(DH$3,Capacity!$A$53:$E$85,4,FALSE)*(1+'Inputs-System'!$C$42)+VLOOKUP(DH$3,Capacity!$A$53:$E$85,5,FALSE)*'Inputs-System'!$C$29*(1+'Inputs-System'!$C$43)), $C18 = "2", ('Inputs-System'!$C$26*'Coincidence Factors'!$B$6*(1+'Inputs-System'!$C$18))*'Inputs-Proposals'!$E$22*(VLOOKUP(DH$3,Capacity!$A$53:$E$85,4,FALSE)*(1+'Inputs-System'!$C$42)+VLOOKUP(DH$3,Capacity!$A$53:$E$85,5,FALSE)*'Inputs-System'!$C$29*(1+'Inputs-System'!$C$43)), $C18 = "3",('Inputs-System'!$C$26*'Coincidence Factors'!$B$6*(1+'Inputs-System'!$C$18))*'Inputs-Proposals'!$E$28*(VLOOKUP(DH$3,Capacity!$A$53:$E$85,4,FALSE)*(1+'Inputs-System'!$C$42)+VLOOKUP(DH$3,Capacity!$A$53:$E$85,5,FALSE)*'Inputs-System'!$C$29*(1+'Inputs-System'!$C$43)), $C18 = "0", 0), 0)</f>
        <v>0</v>
      </c>
      <c r="DL18" s="44">
        <v>0</v>
      </c>
      <c r="DM18" s="342">
        <f>IFERROR(_xlfn.IFS($C18="1", 'Inputs-System'!$C$30*'Coincidence Factors'!$B$6*'Inputs-Proposals'!$E$17*'Inputs-Proposals'!$E$19*(VLOOKUP(DH$3,'Non-Embedded Emissions'!$A$56:$D$90,2,FALSE)+VLOOKUP(DH$3,'Non-Embedded Emissions'!$A$143:$D$174,2,FALSE)+VLOOKUP(DH$3,'Non-Embedded Emissions'!$A$230:$D$259,2,FALSE)), $C18 = "2", 'Inputs-System'!$C$30*'Coincidence Factors'!$B$6*'Inputs-Proposals'!$E$23*'Inputs-Proposals'!$E$25*(VLOOKUP(DH$3,'Non-Embedded Emissions'!$A$56:$D$90,2,FALSE)+VLOOKUP(DH$3,'Non-Embedded Emissions'!$A$143:$D$174,2,FALSE)+VLOOKUP(DH$3,'Non-Embedded Emissions'!$A$230:$D$259,2,FALSE)), $C18 = "3", 'Inputs-System'!$C$30*'Coincidence Factors'!$B$6*'Inputs-Proposals'!$E$29*'Inputs-Proposals'!$E$31*(VLOOKUP(DH$3,'Non-Embedded Emissions'!$A$56:$D$90,2,FALSE)+VLOOKUP(DH$3,'Non-Embedded Emissions'!$A$143:$D$174,2,FALSE)+VLOOKUP(DH$3,'Non-Embedded Emissions'!$A$230:$D$259,2,FALSE)), $C18 = "0", 0), 0)</f>
        <v>0</v>
      </c>
      <c r="DN18" s="45">
        <f>IFERROR(_xlfn.IFS($C18="1",('Inputs-System'!$C$30*'Coincidence Factors'!$B$6*(1+'Inputs-System'!$C$18)*(1+'Inputs-System'!$C$41)*('Inputs-Proposals'!$E$17*'Inputs-Proposals'!$E$19*(1-'Inputs-Proposals'!$E$20^(DN$3-'Inputs-System'!$C$7)))*(VLOOKUP(DN$3,Energy!$A$51:$K$83,5,FALSE))), $C18 = "2",('Inputs-System'!$C$30*'Coincidence Factors'!$B$6)*(1+'Inputs-System'!$C$18)*(1+'Inputs-System'!$C$41)*('Inputs-Proposals'!$E$23*'Inputs-Proposals'!$E$25*(1-'Inputs-Proposals'!$E$26^(DN$3-'Inputs-System'!$C$7)))*(VLOOKUP(DN$3,Energy!$A$51:$K$83,5,FALSE)), $C18= "3", ('Inputs-System'!$C$30*'Coincidence Factors'!$B$6*(1+'Inputs-System'!$C$18)*(1+'Inputs-System'!$C$41)*('Inputs-Proposals'!$E$29*'Inputs-Proposals'!$E$31*(1-'Inputs-Proposals'!$E$32^(DN$3-'Inputs-System'!$C$7)))*(VLOOKUP(DN$3,Energy!$A$51:$K$83,5,FALSE))), $C18= "0", 0), 0)</f>
        <v>0</v>
      </c>
      <c r="DO18" s="44">
        <f>IFERROR(_xlfn.IFS($C18="1",('Inputs-System'!$C$30*'Coincidence Factors'!$B$6*(1+'Inputs-System'!$C$18)*(1+'Inputs-System'!$C$41))*'Inputs-Proposals'!$E$17*'Inputs-Proposals'!$E$19*(1-'Inputs-Proposals'!$E$20^(DN$3-'Inputs-System'!$C$7))*(VLOOKUP(DN$3,'Embedded Emissions'!$A$47:$B$78,2,FALSE)+VLOOKUP(DN$3,'Embedded Emissions'!$A$129:$B$158,2,FALSE)), $C18 = "2",('Inputs-System'!$C$30*'Coincidence Factors'!$B$6*(1+'Inputs-System'!$C$18)*(1+'Inputs-System'!$C$41))*'Inputs-Proposals'!$E$23*'Inputs-Proposals'!$E$25*(1-'Inputs-Proposals'!$E$20^(DN$3-'Inputs-System'!$C$7))*(VLOOKUP(DN$3,'Embedded Emissions'!$A$47:$B$78,2,FALSE)+VLOOKUP(DN$3,'Embedded Emissions'!$A$129:$B$158,2,FALSE)), $C18 = "3", ('Inputs-System'!$C$30*'Coincidence Factors'!$B$6*(1+'Inputs-System'!$C$18)*(1+'Inputs-System'!$C$41))*'Inputs-Proposals'!$E$29*'Inputs-Proposals'!$E$31*(1-'Inputs-Proposals'!$E$20^(DN$3-'Inputs-System'!$C$7))*(VLOOKUP(DN$3,'Embedded Emissions'!$A$47:$B$78,2,FALSE)+VLOOKUP(DN$3,'Embedded Emissions'!$A$129:$B$158,2,FALSE)), $C18 = "0", 0), 0)</f>
        <v>0</v>
      </c>
      <c r="DP18" s="44">
        <f>IFERROR(_xlfn.IFS($C18="1",( 'Inputs-System'!$C$30*'Coincidence Factors'!$B$6*(1+'Inputs-System'!$C$18)*(1+'Inputs-System'!$C$41))*('Inputs-Proposals'!$E$17*'Inputs-Proposals'!$E$19*(1-'Inputs-Proposals'!$E$20)^(DN$3-'Inputs-System'!$C$7))*(VLOOKUP(DN$3,DRIPE!$A$54:$I$82,5,FALSE)+VLOOKUP(DN$3,DRIPE!$A$54:$I$82,9,FALSE))+ ('Inputs-System'!$C$26*'Coincidence Factors'!$B$6*(1+'Inputs-System'!$C$18)*(1+'Inputs-System'!$C$42))*'Inputs-Proposals'!$E$16*VLOOKUP(DN$3,DRIPE!$A$54:$I$82,8,FALSE), $C18 = "2",( 'Inputs-System'!$C$30*'Coincidence Factors'!$B$6*(1+'Inputs-System'!$C$18)*(1+'Inputs-System'!$C$41))*('Inputs-Proposals'!$E$23*'Inputs-Proposals'!$E$25*(1-'Inputs-Proposals'!$E$26)^(DN$3-'Inputs-System'!$C$7))*(VLOOKUP(DN$3,DRIPE!$A$54:$I$82,5,FALSE)+VLOOKUP(DN$3,DRIPE!$A$54:$I$82,9,FALSE))+ ('Inputs-System'!$C$26*'Coincidence Factors'!$B$6*(1+'Inputs-System'!$C$18)*(1+'Inputs-System'!$C$42))*'Inputs-Proposals'!$E$22*VLOOKUP(DN$3,DRIPE!$A$54:$I$82,8,FALSE), $C18= "3", ( 'Inputs-System'!$C$30*'Coincidence Factors'!$B$6*(1+'Inputs-System'!$C$18)*(1+'Inputs-System'!$C$41))*('Inputs-Proposals'!$E$29*'Inputs-Proposals'!$E$31*(1-'Inputs-Proposals'!$E$32)^(DN$3-'Inputs-System'!$C$7))*(VLOOKUP(DN$3,DRIPE!$A$54:$I$82,5,FALSE)+VLOOKUP(DN$3,DRIPE!$A$54:$I$82,9,FALSE))+ ('Inputs-System'!$C$26*'Coincidence Factors'!$B$6*(1+'Inputs-System'!$C$18)*(1+'Inputs-System'!$C$42))*'Inputs-Proposals'!$E$28*VLOOKUP(DN$3,DRIPE!$A$54:$I$82,8,FALSE), $C18 = "0", 0), 0)</f>
        <v>0</v>
      </c>
      <c r="DQ18" s="45">
        <f>IFERROR(_xlfn.IFS($C18="1",('Inputs-System'!$C$26*'Coincidence Factors'!$B$6*(1+'Inputs-System'!$C$18))*'Inputs-Proposals'!$E$16*(VLOOKUP(DN$3,Capacity!$A$53:$E$85,4,FALSE)*(1+'Inputs-System'!$C$42)+VLOOKUP(DN$3,Capacity!$A$53:$E$85,5,FALSE)*'Inputs-System'!$C$29*(1+'Inputs-System'!$C$43)), $C18 = "2", ('Inputs-System'!$C$26*'Coincidence Factors'!$B$6*(1+'Inputs-System'!$C$18))*'Inputs-Proposals'!$E$22*(VLOOKUP(DN$3,Capacity!$A$53:$E$85,4,FALSE)*(1+'Inputs-System'!$C$42)+VLOOKUP(DN$3,Capacity!$A$53:$E$85,5,FALSE)*'Inputs-System'!$C$29*(1+'Inputs-System'!$C$43)), $C18 = "3",('Inputs-System'!$C$26*'Coincidence Factors'!$B$6*(1+'Inputs-System'!$C$18))*'Inputs-Proposals'!$E$28*(VLOOKUP(DN$3,Capacity!$A$53:$E$85,4,FALSE)*(1+'Inputs-System'!$C$42)+VLOOKUP(DN$3,Capacity!$A$53:$E$85,5,FALSE)*'Inputs-System'!$C$29*(1+'Inputs-System'!$C$43)), $C18 = "0", 0), 0)</f>
        <v>0</v>
      </c>
      <c r="DR18" s="44">
        <v>0</v>
      </c>
      <c r="DS18" s="342">
        <f>IFERROR(_xlfn.IFS($C18="1", 'Inputs-System'!$C$30*'Coincidence Factors'!$B$6*'Inputs-Proposals'!$E$17*'Inputs-Proposals'!$E$19*(VLOOKUP(DN$3,'Non-Embedded Emissions'!$A$56:$D$90,2,FALSE)+VLOOKUP(DN$3,'Non-Embedded Emissions'!$A$143:$D$174,2,FALSE)+VLOOKUP(DN$3,'Non-Embedded Emissions'!$A$230:$D$259,2,FALSE)), $C18 = "2", 'Inputs-System'!$C$30*'Coincidence Factors'!$B$6*'Inputs-Proposals'!$E$23*'Inputs-Proposals'!$E$25*(VLOOKUP(DN$3,'Non-Embedded Emissions'!$A$56:$D$90,2,FALSE)+VLOOKUP(DN$3,'Non-Embedded Emissions'!$A$143:$D$174,2,FALSE)+VLOOKUP(DN$3,'Non-Embedded Emissions'!$A$230:$D$259,2,FALSE)), $C18 = "3", 'Inputs-System'!$C$30*'Coincidence Factors'!$B$6*'Inputs-Proposals'!$E$29*'Inputs-Proposals'!$E$31*(VLOOKUP(DN$3,'Non-Embedded Emissions'!$A$56:$D$90,2,FALSE)+VLOOKUP(DN$3,'Non-Embedded Emissions'!$A$143:$D$174,2,FALSE)+VLOOKUP(DN$3,'Non-Embedded Emissions'!$A$230:$D$259,2,FALSE)), $C18 = "0", 0), 0)</f>
        <v>0</v>
      </c>
      <c r="DT18" s="45">
        <f>IFERROR(_xlfn.IFS($C18="1",('Inputs-System'!$C$30*'Coincidence Factors'!$B$6*(1+'Inputs-System'!$C$18)*(1+'Inputs-System'!$C$41)*('Inputs-Proposals'!$E$17*'Inputs-Proposals'!$E$19*(1-'Inputs-Proposals'!$E$20^(DT$3-'Inputs-System'!$C$7)))*(VLOOKUP(DT$3,Energy!$A$51:$K$83,5,FALSE))), $C18 = "2",('Inputs-System'!$C$30*'Coincidence Factors'!$B$6)*(1+'Inputs-System'!$C$18)*(1+'Inputs-System'!$C$41)*('Inputs-Proposals'!$E$23*'Inputs-Proposals'!$E$25*(1-'Inputs-Proposals'!$E$26^(DT$3-'Inputs-System'!$C$7)))*(VLOOKUP(DT$3,Energy!$A$51:$K$83,5,FALSE)), $C18= "3", ('Inputs-System'!$C$30*'Coincidence Factors'!$B$6*(1+'Inputs-System'!$C$18)*(1+'Inputs-System'!$C$41)*('Inputs-Proposals'!$E$29*'Inputs-Proposals'!$E$31*(1-'Inputs-Proposals'!$E$32^(DT$3-'Inputs-System'!$C$7)))*(VLOOKUP(DT$3,Energy!$A$51:$K$83,5,FALSE))), $C18= "0", 0), 0)</f>
        <v>0</v>
      </c>
      <c r="DU18" s="44">
        <f>IFERROR(_xlfn.IFS($C18="1",('Inputs-System'!$C$30*'Coincidence Factors'!$B$6*(1+'Inputs-System'!$C$18)*(1+'Inputs-System'!$C$41))*'Inputs-Proposals'!$E$17*'Inputs-Proposals'!$E$19*(1-'Inputs-Proposals'!$E$20^(DT$3-'Inputs-System'!$C$7))*(VLOOKUP(DT$3,'Embedded Emissions'!$A$47:$B$78,2,FALSE)+VLOOKUP(DT$3,'Embedded Emissions'!$A$129:$B$158,2,FALSE)), $C18 = "2",('Inputs-System'!$C$30*'Coincidence Factors'!$B$6*(1+'Inputs-System'!$C$18)*(1+'Inputs-System'!$C$41))*'Inputs-Proposals'!$E$23*'Inputs-Proposals'!$E$25*(1-'Inputs-Proposals'!$E$20^(DT$3-'Inputs-System'!$C$7))*(VLOOKUP(DT$3,'Embedded Emissions'!$A$47:$B$78,2,FALSE)+VLOOKUP(DT$3,'Embedded Emissions'!$A$129:$B$158,2,FALSE)), $C18 = "3", ('Inputs-System'!$C$30*'Coincidence Factors'!$B$6*(1+'Inputs-System'!$C$18)*(1+'Inputs-System'!$C$41))*'Inputs-Proposals'!$E$29*'Inputs-Proposals'!$E$31*(1-'Inputs-Proposals'!$E$20^(DT$3-'Inputs-System'!$C$7))*(VLOOKUP(DT$3,'Embedded Emissions'!$A$47:$B$78,2,FALSE)+VLOOKUP(DT$3,'Embedded Emissions'!$A$129:$B$158,2,FALSE)), $C18 = "0", 0), 0)</f>
        <v>0</v>
      </c>
      <c r="DV18" s="44">
        <f>IFERROR(_xlfn.IFS($C18="1",( 'Inputs-System'!$C$30*'Coincidence Factors'!$B$6*(1+'Inputs-System'!$C$18)*(1+'Inputs-System'!$C$41))*('Inputs-Proposals'!$E$17*'Inputs-Proposals'!$E$19*(1-'Inputs-Proposals'!$E$20)^(DT$3-'Inputs-System'!$C$7))*(VLOOKUP(DT$3,DRIPE!$A$54:$I$82,5,FALSE)+VLOOKUP(DT$3,DRIPE!$A$54:$I$82,9,FALSE))+ ('Inputs-System'!$C$26*'Coincidence Factors'!$B$6*(1+'Inputs-System'!$C$18)*(1+'Inputs-System'!$C$42))*'Inputs-Proposals'!$E$16*VLOOKUP(DT$3,DRIPE!$A$54:$I$82,8,FALSE), $C18 = "2",( 'Inputs-System'!$C$30*'Coincidence Factors'!$B$6*(1+'Inputs-System'!$C$18)*(1+'Inputs-System'!$C$41))*('Inputs-Proposals'!$E$23*'Inputs-Proposals'!$E$25*(1-'Inputs-Proposals'!$E$26)^(DT$3-'Inputs-System'!$C$7))*(VLOOKUP(DT$3,DRIPE!$A$54:$I$82,5,FALSE)+VLOOKUP(DT$3,DRIPE!$A$54:$I$82,9,FALSE))+ ('Inputs-System'!$C$26*'Coincidence Factors'!$B$6*(1+'Inputs-System'!$C$18)*(1+'Inputs-System'!$C$42))*'Inputs-Proposals'!$E$22*VLOOKUP(DT$3,DRIPE!$A$54:$I$82,8,FALSE), $C18= "3", ( 'Inputs-System'!$C$30*'Coincidence Factors'!$B$6*(1+'Inputs-System'!$C$18)*(1+'Inputs-System'!$C$41))*('Inputs-Proposals'!$E$29*'Inputs-Proposals'!$E$31*(1-'Inputs-Proposals'!$E$32)^(DT$3-'Inputs-System'!$C$7))*(VLOOKUP(DT$3,DRIPE!$A$54:$I$82,5,FALSE)+VLOOKUP(DT$3,DRIPE!$A$54:$I$82,9,FALSE))+ ('Inputs-System'!$C$26*'Coincidence Factors'!$B$6*(1+'Inputs-System'!$C$18)*(1+'Inputs-System'!$C$42))*'Inputs-Proposals'!$E$28*VLOOKUP(DT$3,DRIPE!$A$54:$I$82,8,FALSE), $C18 = "0", 0), 0)</f>
        <v>0</v>
      </c>
      <c r="DW18" s="45">
        <f>IFERROR(_xlfn.IFS($C18="1",('Inputs-System'!$C$26*'Coincidence Factors'!$B$6*(1+'Inputs-System'!$C$18))*'Inputs-Proposals'!$E$16*(VLOOKUP(DT$3,Capacity!$A$53:$E$85,4,FALSE)*(1+'Inputs-System'!$C$42)+VLOOKUP(DT$3,Capacity!$A$53:$E$85,5,FALSE)*'Inputs-System'!$C$29*(1+'Inputs-System'!$C$43)), $C18 = "2", ('Inputs-System'!$C$26*'Coincidence Factors'!$B$6*(1+'Inputs-System'!$C$18))*'Inputs-Proposals'!$E$22*(VLOOKUP(DT$3,Capacity!$A$53:$E$85,4,FALSE)*(1+'Inputs-System'!$C$42)+VLOOKUP(DT$3,Capacity!$A$53:$E$85,5,FALSE)*'Inputs-System'!$C$29*(1+'Inputs-System'!$C$43)), $C18 = "3",('Inputs-System'!$C$26*'Coincidence Factors'!$B$6*(1+'Inputs-System'!$C$18))*'Inputs-Proposals'!$E$28*(VLOOKUP(DT$3,Capacity!$A$53:$E$85,4,FALSE)*(1+'Inputs-System'!$C$42)+VLOOKUP(DT$3,Capacity!$A$53:$E$85,5,FALSE)*'Inputs-System'!$C$29*(1+'Inputs-System'!$C$43)), $C18 = "0", 0), 0)</f>
        <v>0</v>
      </c>
      <c r="DX18" s="44">
        <v>0</v>
      </c>
      <c r="DY18" s="342">
        <f>IFERROR(_xlfn.IFS($C18="1", 'Inputs-System'!$C$30*'Coincidence Factors'!$B$6*'Inputs-Proposals'!$E$17*'Inputs-Proposals'!$E$19*(VLOOKUP(DT$3,'Non-Embedded Emissions'!$A$56:$D$90,2,FALSE)+VLOOKUP(DT$3,'Non-Embedded Emissions'!$A$143:$D$174,2,FALSE)+VLOOKUP(DT$3,'Non-Embedded Emissions'!$A$230:$D$259,2,FALSE)), $C18 = "2", 'Inputs-System'!$C$30*'Coincidence Factors'!$B$6*'Inputs-Proposals'!$E$23*'Inputs-Proposals'!$E$25*(VLOOKUP(DT$3,'Non-Embedded Emissions'!$A$56:$D$90,2,FALSE)+VLOOKUP(DT$3,'Non-Embedded Emissions'!$A$143:$D$174,2,FALSE)+VLOOKUP(DT$3,'Non-Embedded Emissions'!$A$230:$D$259,2,FALSE)), $C18 = "3", 'Inputs-System'!$C$30*'Coincidence Factors'!$B$6*'Inputs-Proposals'!$E$29*'Inputs-Proposals'!$E$31*(VLOOKUP(DT$3,'Non-Embedded Emissions'!$A$56:$D$90,2,FALSE)+VLOOKUP(DT$3,'Non-Embedded Emissions'!$A$143:$D$174,2,FALSE)+VLOOKUP(DT$3,'Non-Embedded Emissions'!$A$230:$D$259,2,FALSE)), $C18 = "0", 0), 0)</f>
        <v>0</v>
      </c>
      <c r="DZ18" s="45">
        <f>IFERROR(_xlfn.IFS($C18="1",('Inputs-System'!$C$30*'Coincidence Factors'!$B$6*(1+'Inputs-System'!$C$18)*(1+'Inputs-System'!$C$41)*('Inputs-Proposals'!$E$17*'Inputs-Proposals'!$E$19*(1-'Inputs-Proposals'!$E$20^(DZ$3-'Inputs-System'!$C$7)))*(VLOOKUP(DZ$3,Energy!$A$51:$K$83,5,FALSE))), $C18 = "2",('Inputs-System'!$C$30*'Coincidence Factors'!$B$6)*(1+'Inputs-System'!$C$18)*(1+'Inputs-System'!$C$41)*('Inputs-Proposals'!$E$23*'Inputs-Proposals'!$E$25*(1-'Inputs-Proposals'!$E$26^(DZ$3-'Inputs-System'!$C$7)))*(VLOOKUP(DZ$3,Energy!$A$51:$K$83,5,FALSE)), $C18= "3", ('Inputs-System'!$C$30*'Coincidence Factors'!$B$6*(1+'Inputs-System'!$C$18)*(1+'Inputs-System'!$C$41)*('Inputs-Proposals'!$E$29*'Inputs-Proposals'!$E$31*(1-'Inputs-Proposals'!$E$32^(DZ$3-'Inputs-System'!$C$7)))*(VLOOKUP(DZ$3,Energy!$A$51:$K$83,5,FALSE))), $C18= "0", 0), 0)</f>
        <v>0</v>
      </c>
      <c r="EA18" s="44">
        <f>IFERROR(_xlfn.IFS($C18="1",('Inputs-System'!$C$30*'Coincidence Factors'!$B$6*(1+'Inputs-System'!$C$18)*(1+'Inputs-System'!$C$41))*'Inputs-Proposals'!$E$17*'Inputs-Proposals'!$E$19*(1-'Inputs-Proposals'!$E$20^(DZ$3-'Inputs-System'!$C$7))*(VLOOKUP(DZ$3,'Embedded Emissions'!$A$47:$B$78,2,FALSE)+VLOOKUP(DZ$3,'Embedded Emissions'!$A$129:$B$158,2,FALSE)), $C18 = "2",('Inputs-System'!$C$30*'Coincidence Factors'!$B$6*(1+'Inputs-System'!$C$18)*(1+'Inputs-System'!$C$41))*'Inputs-Proposals'!$E$23*'Inputs-Proposals'!$E$25*(1-'Inputs-Proposals'!$E$20^(DZ$3-'Inputs-System'!$C$7))*(VLOOKUP(DZ$3,'Embedded Emissions'!$A$47:$B$78,2,FALSE)+VLOOKUP(DZ$3,'Embedded Emissions'!$A$129:$B$158,2,FALSE)), $C18 = "3", ('Inputs-System'!$C$30*'Coincidence Factors'!$B$6*(1+'Inputs-System'!$C$18)*(1+'Inputs-System'!$C$41))*'Inputs-Proposals'!$E$29*'Inputs-Proposals'!$E$31*(1-'Inputs-Proposals'!$E$20^(DZ$3-'Inputs-System'!$C$7))*(VLOOKUP(DZ$3,'Embedded Emissions'!$A$47:$B$78,2,FALSE)+VLOOKUP(DZ$3,'Embedded Emissions'!$A$129:$B$158,2,FALSE)), $C18 = "0", 0), 0)</f>
        <v>0</v>
      </c>
      <c r="EB18" s="44">
        <f>IFERROR(_xlfn.IFS($C18="1",( 'Inputs-System'!$C$30*'Coincidence Factors'!$B$6*(1+'Inputs-System'!$C$18)*(1+'Inputs-System'!$C$41))*('Inputs-Proposals'!$E$17*'Inputs-Proposals'!$E$19*(1-'Inputs-Proposals'!$E$20)^(DZ$3-'Inputs-System'!$C$7))*(VLOOKUP(DZ$3,DRIPE!$A$54:$I$82,5,FALSE)+VLOOKUP(DZ$3,DRIPE!$A$54:$I$82,9,FALSE))+ ('Inputs-System'!$C$26*'Coincidence Factors'!$B$6*(1+'Inputs-System'!$C$18)*(1+'Inputs-System'!$C$42))*'Inputs-Proposals'!$E$16*VLOOKUP(DZ$3,DRIPE!$A$54:$I$82,8,FALSE), $C18 = "2",( 'Inputs-System'!$C$30*'Coincidence Factors'!$B$6*(1+'Inputs-System'!$C$18)*(1+'Inputs-System'!$C$41))*('Inputs-Proposals'!$E$23*'Inputs-Proposals'!$E$25*(1-'Inputs-Proposals'!$E$26)^(DZ$3-'Inputs-System'!$C$7))*(VLOOKUP(DZ$3,DRIPE!$A$54:$I$82,5,FALSE)+VLOOKUP(DZ$3,DRIPE!$A$54:$I$82,9,FALSE))+ ('Inputs-System'!$C$26*'Coincidence Factors'!$B$6*(1+'Inputs-System'!$C$18)*(1+'Inputs-System'!$C$42))*'Inputs-Proposals'!$E$22*VLOOKUP(DZ$3,DRIPE!$A$54:$I$82,8,FALSE), $C18= "3", ( 'Inputs-System'!$C$30*'Coincidence Factors'!$B$6*(1+'Inputs-System'!$C$18)*(1+'Inputs-System'!$C$41))*('Inputs-Proposals'!$E$29*'Inputs-Proposals'!$E$31*(1-'Inputs-Proposals'!$E$32)^(DZ$3-'Inputs-System'!$C$7))*(VLOOKUP(DZ$3,DRIPE!$A$54:$I$82,5,FALSE)+VLOOKUP(DZ$3,DRIPE!$A$54:$I$82,9,FALSE))+ ('Inputs-System'!$C$26*'Coincidence Factors'!$B$6*(1+'Inputs-System'!$C$18)*(1+'Inputs-System'!$C$42))*'Inputs-Proposals'!$E$28*VLOOKUP(DZ$3,DRIPE!$A$54:$I$82,8,FALSE), $C18 = "0", 0), 0)</f>
        <v>0</v>
      </c>
      <c r="EC18" s="45">
        <f>IFERROR(_xlfn.IFS($C18="1",('Inputs-System'!$C$26*'Coincidence Factors'!$B$6*(1+'Inputs-System'!$C$18))*'Inputs-Proposals'!$E$16*(VLOOKUP(DZ$3,Capacity!$A$53:$E$85,4,FALSE)*(1+'Inputs-System'!$C$42)+VLOOKUP(DZ$3,Capacity!$A$53:$E$85,5,FALSE)*'Inputs-System'!$C$29*(1+'Inputs-System'!$C$43)), $C18 = "2", ('Inputs-System'!$C$26*'Coincidence Factors'!$B$6*(1+'Inputs-System'!$C$18))*'Inputs-Proposals'!$E$22*(VLOOKUP(DZ$3,Capacity!$A$53:$E$85,4,FALSE)*(1+'Inputs-System'!$C$42)+VLOOKUP(DZ$3,Capacity!$A$53:$E$85,5,FALSE)*'Inputs-System'!$C$29*(1+'Inputs-System'!$C$43)), $C18 = "3",('Inputs-System'!$C$26*'Coincidence Factors'!$B$6*(1+'Inputs-System'!$C$18))*'Inputs-Proposals'!$E$28*(VLOOKUP(DZ$3,Capacity!$A$53:$E$85,4,FALSE)*(1+'Inputs-System'!$C$42)+VLOOKUP(DZ$3,Capacity!$A$53:$E$85,5,FALSE)*'Inputs-System'!$C$29*(1+'Inputs-System'!$C$43)), $C18 = "0", 0), 0)</f>
        <v>0</v>
      </c>
      <c r="ED18" s="44">
        <v>0</v>
      </c>
      <c r="EE18" s="342">
        <f>IFERROR(_xlfn.IFS($C18="1", 'Inputs-System'!$C$30*'Coincidence Factors'!$B$6*'Inputs-Proposals'!$E$17*'Inputs-Proposals'!$E$19*(VLOOKUP(DZ$3,'Non-Embedded Emissions'!$A$56:$D$90,2,FALSE)+VLOOKUP(DZ$3,'Non-Embedded Emissions'!$A$143:$D$174,2,FALSE)+VLOOKUP(DZ$3,'Non-Embedded Emissions'!$A$230:$D$259,2,FALSE)), $C18 = "2", 'Inputs-System'!$C$30*'Coincidence Factors'!$B$6*'Inputs-Proposals'!$E$23*'Inputs-Proposals'!$E$25*(VLOOKUP(DZ$3,'Non-Embedded Emissions'!$A$56:$D$90,2,FALSE)+VLOOKUP(DZ$3,'Non-Embedded Emissions'!$A$143:$D$174,2,FALSE)+VLOOKUP(DZ$3,'Non-Embedded Emissions'!$A$230:$D$259,2,FALSE)), $C18 = "3", 'Inputs-System'!$C$30*'Coincidence Factors'!$B$6*'Inputs-Proposals'!$E$29*'Inputs-Proposals'!$E$31*(VLOOKUP(DZ$3,'Non-Embedded Emissions'!$A$56:$D$90,2,FALSE)+VLOOKUP(DZ$3,'Non-Embedded Emissions'!$A$143:$D$174,2,FALSE)+VLOOKUP(DZ$3,'Non-Embedded Emissions'!$A$230:$D$259,2,FALSE)), $C18 = "0", 0), 0)</f>
        <v>0</v>
      </c>
    </row>
    <row r="19" spans="1:135" x14ac:dyDescent="0.35">
      <c r="A19" s="708"/>
      <c r="B19" s="3" t="s">
        <v>159</v>
      </c>
      <c r="C19" s="3" t="str">
        <f>IFERROR(_xlfn.IFS('Benefits Calc'!B19='Inputs-Proposals'!$E$15, "1", 'Benefits Calc'!B19='Inputs-Proposals'!$E$21, "2", 'Benefits Calc'!B19='Inputs-Proposals'!$E$27, "3"), "0")</f>
        <v>0</v>
      </c>
      <c r="D19" s="323">
        <f t="shared" si="0"/>
        <v>0</v>
      </c>
      <c r="E19" s="44">
        <f t="shared" si="1"/>
        <v>0</v>
      </c>
      <c r="F19" s="44">
        <f t="shared" si="2"/>
        <v>0</v>
      </c>
      <c r="G19" s="44">
        <f t="shared" si="3"/>
        <v>0</v>
      </c>
      <c r="H19" s="44">
        <f t="shared" si="4"/>
        <v>0</v>
      </c>
      <c r="I19" s="44">
        <f t="shared" si="5"/>
        <v>0</v>
      </c>
      <c r="J19" s="323">
        <f>NPV('Inputs-System'!$C$20,P19+V19+AB19+AH19+AN19+AT19+AZ19+BF19+BL19+BR19+BX19+CD19+CJ19+CP19+CV19+DB19+DH19+DN19+DT19+DZ19)</f>
        <v>0</v>
      </c>
      <c r="K19" s="44">
        <f>NPV('Inputs-System'!$C$20,Q19+W19+AC19+AI19+AO19+AU19+BA19+BG19+BM19+BS19+BY19+CE19+CK19+CQ19+CW19+DC19+DI19+DO19+DU19+EA19)</f>
        <v>0</v>
      </c>
      <c r="L19" s="44">
        <f>NPV('Inputs-System'!$C$20,R19+X19+AD19+AJ19+AP19+AV19+BB19+BH19+BN19+BT19+BZ19+CF19+CL19+CR19+CX19+DD19+DJ19+DP19+DV19+EB19)</f>
        <v>0</v>
      </c>
      <c r="M19" s="44">
        <f>NPV('Inputs-System'!$C$20,S19+Y19+AE19+AK19+AQ19+AW19+BC19+BI19+BO19+BU19+CA19+CG19+CM19+CS19+CY19+DE19+DK19+DQ19+DW19+EC19)</f>
        <v>0</v>
      </c>
      <c r="N19" s="44">
        <f>NPV('Inputs-System'!$C$20,T19+Z19+AF19+AL19+AR19+AX19+BD19+BJ19+BP19+BV19+CB19+CH19+CN19+CT19+CZ19+DF19+DL19+DR19+DX19+ED19)</f>
        <v>0</v>
      </c>
      <c r="O19" s="44">
        <f>NPV('Inputs-System'!$C$20,U19+AA19+AG19+AM19+AS19+AY19+BE19+BK19+BQ19+BW19+CC19+CI19+CO19+CU19+DA19+DG19+DM19+DS19+DY19+EE19)</f>
        <v>0</v>
      </c>
      <c r="P19" s="347">
        <f>IFERROR(_xlfn.IFS($C19="1",('Inputs-System'!$C$30*'Coincidence Factors'!$B$7*(1+'Inputs-System'!$C$18)*(1+'Inputs-System'!$C$41)*('Inputs-Proposals'!$E$17*'Inputs-Proposals'!$E$19*('Inputs-Proposals'!$E$20))*(VLOOKUP(P$3,Energy!$A$51:$K$83,5,FALSE))), $C19 = "2",('Inputs-System'!$C$30*'Coincidence Factors'!$B$7)*(1+'Inputs-System'!$C$18)*(1+'Inputs-System'!$C$41)*('Inputs-Proposals'!$E$23*'Inputs-Proposals'!$E$25*('Inputs-Proposals'!$E$26))*(VLOOKUP(P$3,Energy!$A$51:$K$83,5,FALSE)), $C19= "3", ('Inputs-System'!$C$30*'Coincidence Factors'!$B$7*(1+'Inputs-System'!$C$18)*(1+'Inputs-System'!$C$41)*('Inputs-Proposals'!$E$29*'Inputs-Proposals'!$E$31*('Inputs-Proposals'!$E$32))*(VLOOKUP(P$3,Energy!$A$51:$K$83,5,FALSE))), $C19= "0", 0), 0)</f>
        <v>0</v>
      </c>
      <c r="Q19" s="44">
        <f>IFERROR(_xlfn.IFS($C19="1",'Inputs-System'!$C$30*'Coincidence Factors'!$B$7*(1+'Inputs-System'!$C$18)*(1+'Inputs-System'!$C$41)*'Inputs-Proposals'!$E$17*'Inputs-Proposals'!$E$19*('Inputs-Proposals'!$E$20)*(VLOOKUP(P$3,'Embedded Emissions'!$A$47:$B$78,2,FALSE)+VLOOKUP(P$3,'Embedded Emissions'!$A$129:$B$158,2,FALSE)), $C19 = "2",'Inputs-System'!$C$30*'Coincidence Factors'!$B$7*(1+'Inputs-System'!$C$18)*(1+'Inputs-System'!$C$41)*'Inputs-Proposals'!$E$23*'Inputs-Proposals'!$E$25*('Inputs-Proposals'!$E$20)*(VLOOKUP(P$3,'Embedded Emissions'!$A$47:$B$78,2,FALSE)+VLOOKUP(P$3,'Embedded Emissions'!$A$129:$B$158,2,FALSE)), $C19 = "3", 'Inputs-System'!$C$30*'Coincidence Factors'!$B$7*(1+'Inputs-System'!$C$18)*(1+'Inputs-System'!$C$41)*'Inputs-Proposals'!$E$29*'Inputs-Proposals'!$E$31*('Inputs-Proposals'!$E$20)*(VLOOKUP(P$3,'Embedded Emissions'!$A$47:$B$78,2,FALSE)+VLOOKUP(P$3,'Embedded Emissions'!$A$129:$B$158,2,FALSE)), $C19 = "0", 0), 0)</f>
        <v>0</v>
      </c>
      <c r="R19" s="44">
        <f>IFERROR(_xlfn.IFS($C19="1",( 'Inputs-System'!$C$30*'Coincidence Factors'!$B$7*(1+'Inputs-System'!$C$18)*(1+'Inputs-System'!$C$41))*('Inputs-Proposals'!$E$17*'Inputs-Proposals'!$E$19*('Inputs-Proposals'!$E$20))*(VLOOKUP(P$3,DRIPE!$A$54:$I$82,5,FALSE)+VLOOKUP(P$3,DRIPE!$A$54:$I$82,9,FALSE))+ ('Inputs-System'!$C$26*'Coincidence Factors'!$B$7*(1+'Inputs-System'!$C$18)*(1+'Inputs-System'!$C$42))*'Inputs-Proposals'!$E$16*VLOOKUP(P$3,DRIPE!$A$54:$I$82,8,FALSE), $C19 = "2",( 'Inputs-System'!$C$30*'Coincidence Factors'!$B$7*(1+'Inputs-System'!$C$18)*(1+'Inputs-System'!$C$41))*('Inputs-Proposals'!$E$23*'Inputs-Proposals'!$E$25*('Inputs-Proposals'!$E$26))*(VLOOKUP(P$3,DRIPE!$A$54:$I$82,5,FALSE)+VLOOKUP(P$3,DRIPE!$A$54:$I$82,12,FALSE))+ ('Inputs-System'!$C$26*'Coincidence Factors'!$B$7*(1+'Inputs-System'!$C$18)*(1+'Inputs-System'!$C$42))*'Inputs-Proposals'!$E$22*VLOOKUP(P$3,DRIPE!$A$54:$I$82,8,FALSE), $C19= "3", ( 'Inputs-System'!$C$30*'Coincidence Factors'!$B$7*(1+'Inputs-System'!$C$18)*(1+'Inputs-System'!$C$41))*('Inputs-Proposals'!$E$29*'Inputs-Proposals'!$E$31*('Inputs-Proposals'!$E$32))*(VLOOKUP(P$3,DRIPE!$A$54:$I$82,5,FALSE)+VLOOKUP(P$3,DRIPE!$A$54:$I$82,12,FALSE))+ ('Inputs-System'!$C$26*'Coincidence Factors'!$B$7*(1+'Inputs-System'!$C$18)*(1+'Inputs-System'!$C$42))*'Inputs-Proposals'!$E$28*VLOOKUP(P$3,DRIPE!$A$54:$I$82,8,FALSE), $C19 = "0", 0), 0)</f>
        <v>0</v>
      </c>
      <c r="S19" s="45">
        <f>IFERROR(_xlfn.IFS($C19="1",('Inputs-System'!$C$26*'Coincidence Factors'!$B$7*(1+'Inputs-System'!$C$18))*'Inputs-Proposals'!$E$16*(VLOOKUP(P$3,Capacity!$A$53:$E$85,4,FALSE)*(1+'Inputs-System'!$C$42)+VLOOKUP(P$3,Capacity!$A$53:$E$85,5,FALSE)*'Inputs-System'!$C$29*(1+'Inputs-System'!$C$43)), $C19 = "2", ('Inputs-System'!$C$26*'Coincidence Factors'!$B$7*(1+'Inputs-System'!$C$18))*'Inputs-Proposals'!$E$22*(VLOOKUP(P$3,Capacity!$A$53:$E$85,4,FALSE)*(1+'Inputs-System'!$C$42)+VLOOKUP(P$3,Capacity!$A$53:$E$85,5,FALSE)*'Inputs-System'!$C$29*(1+'Inputs-System'!$C$43)), $C19 = "3",('Inputs-System'!$C$26*'Coincidence Factors'!$B$7*(1+'Inputs-System'!$C$18))*'Inputs-Proposals'!$E$28*(VLOOKUP(P$3,Capacity!$A$53:$E$85,4,FALSE)*(1+'Inputs-System'!$C$42)+VLOOKUP(P$3,Capacity!$A$53:$E$85,5,FALSE)*'Inputs-System'!$C$29*(1+'Inputs-System'!$C$43)), $C19 = "0", 0), 0)</f>
        <v>0</v>
      </c>
      <c r="T19" s="44">
        <v>0</v>
      </c>
      <c r="U19" s="342">
        <f>IFERROR(_xlfn.IFS($C19="1", 'Inputs-System'!$C$30*'Coincidence Factors'!$B$7*'Inputs-Proposals'!$E$17*'Inputs-Proposals'!$E$19*(VLOOKUP(P$3,'Non-Embedded Emissions'!$A$56:$D$90,2,FALSE)+VLOOKUP(P$3,'Non-Embedded Emissions'!$A$143:$D$174,2,FALSE)+VLOOKUP(P$3,'Non-Embedded Emissions'!$A$230:$D$259,2,FALSE)), $C19 = "2", 'Inputs-System'!$C$30*'Coincidence Factors'!$B$7*'Inputs-Proposals'!$E$23*'Inputs-Proposals'!$E$25*(VLOOKUP(P$3,'Non-Embedded Emissions'!$A$56:$D$90,2,FALSE)+VLOOKUP(P$3,'Non-Embedded Emissions'!$A$143:$D$174,2,FALSE)+VLOOKUP(P$3,'Non-Embedded Emissions'!$A$230:$D$259,2,FALSE)), $C19 = "3", 'Inputs-System'!$C$30*'Coincidence Factors'!$B$7*'Inputs-Proposals'!$E$29*'Inputs-Proposals'!$E$31*(VLOOKUP(P$3,'Non-Embedded Emissions'!$A$56:$D$90,2,FALSE)+VLOOKUP(P$3,'Non-Embedded Emissions'!$A$143:$D$174,2,FALSE)+VLOOKUP(P$3,'Non-Embedded Emissions'!$A$230:$D$259,2,FALSE)), $C19 = "0", 0), 0)</f>
        <v>0</v>
      </c>
      <c r="V19" s="45">
        <f>IFERROR(_xlfn.IFS($C19="1",('Inputs-System'!$C$30*'Coincidence Factors'!$B$7*(1+'Inputs-System'!$C$18)*(1+'Inputs-System'!$C$41)*('Inputs-Proposals'!$E$17*'Inputs-Proposals'!$E$19*('Inputs-Proposals'!$E$20))*(VLOOKUP(V$3,Energy!$A$51:$K$83,5,FALSE))), $C19 = "2",('Inputs-System'!$C$30*'Coincidence Factors'!$B$7)*(1+'Inputs-System'!$C$18)*(1+'Inputs-System'!$C$41)*('Inputs-Proposals'!$E$23*'Inputs-Proposals'!$E$25*('Inputs-Proposals'!$E$26))*(VLOOKUP(V$3,Energy!$A$51:$K$83,5,FALSE)), $C19= "3", ('Inputs-System'!$C$30*'Coincidence Factors'!$B$7*(1+'Inputs-System'!$C$18)*(1+'Inputs-System'!$C$41)*('Inputs-Proposals'!$E$29*'Inputs-Proposals'!$E$31*('Inputs-Proposals'!$E$32))*(VLOOKUP(V$3,Energy!$A$51:$K$83,5,FALSE))), $C19= "0", 0), 0)</f>
        <v>0</v>
      </c>
      <c r="W19" s="44">
        <f>IFERROR(_xlfn.IFS($C19="1",'Inputs-System'!$C$30*'Coincidence Factors'!$B$7*(1+'Inputs-System'!$C$18)*(1+'Inputs-System'!$C$41)*'Inputs-Proposals'!$E$17*'Inputs-Proposals'!$E$19*('Inputs-Proposals'!$E$20)*(VLOOKUP(V$3,'Embedded Emissions'!$A$47:$B$78,2,FALSE)+VLOOKUP(V$3,'Embedded Emissions'!$A$129:$B$158,2,FALSE)), $C19 = "2",'Inputs-System'!$C$30*'Coincidence Factors'!$B$7*(1+'Inputs-System'!$C$18)*(1+'Inputs-System'!$C$41)*'Inputs-Proposals'!$E$23*'Inputs-Proposals'!$E$25*('Inputs-Proposals'!$E$20)*(VLOOKUP(V$3,'Embedded Emissions'!$A$47:$B$78,2,FALSE)+VLOOKUP(V$3,'Embedded Emissions'!$A$129:$B$158,2,FALSE)), $C19 = "3", 'Inputs-System'!$C$30*'Coincidence Factors'!$B$7*(1+'Inputs-System'!$C$18)*(1+'Inputs-System'!$C$41)*'Inputs-Proposals'!$E$29*'Inputs-Proposals'!$E$31*('Inputs-Proposals'!$E$20)*(VLOOKUP(V$3,'Embedded Emissions'!$A$47:$B$78,2,FALSE)+VLOOKUP(V$3,'Embedded Emissions'!$A$129:$B$158,2,FALSE)), $C19 = "0", 0), 0)</f>
        <v>0</v>
      </c>
      <c r="X19" s="44">
        <f>IFERROR(_xlfn.IFS($C19="1",( 'Inputs-System'!$C$30*'Coincidence Factors'!$B$7*(1+'Inputs-System'!$C$18)*(1+'Inputs-System'!$C$41))*('Inputs-Proposals'!$E$17*'Inputs-Proposals'!$E$19*('Inputs-Proposals'!$E$20))*(VLOOKUP(V$3,DRIPE!$A$54:$I$82,5,FALSE)+VLOOKUP(V$3,DRIPE!$A$54:$I$82,9,FALSE))+ ('Inputs-System'!$C$26*'Coincidence Factors'!$B$7*(1+'Inputs-System'!$C$18)*(1+'Inputs-System'!$C$42))*'Inputs-Proposals'!$E$16*VLOOKUP(V$3,DRIPE!$A$54:$I$82,8,FALSE), $C19 = "2",( 'Inputs-System'!$C$30*'Coincidence Factors'!$B$7*(1+'Inputs-System'!$C$18)*(1+'Inputs-System'!$C$41))*('Inputs-Proposals'!$E$23*'Inputs-Proposals'!$E$25*('Inputs-Proposals'!$E$26))*(VLOOKUP(V$3,DRIPE!$A$54:$I$82,5,FALSE)+VLOOKUP(V$3,DRIPE!$A$54:$I$82,12,FALSE))+ ('Inputs-System'!$C$26*'Coincidence Factors'!$B$7*(1+'Inputs-System'!$C$18)*(1+'Inputs-System'!$C$42))*'Inputs-Proposals'!$E$22*VLOOKUP(V$3,DRIPE!$A$54:$I$82,8,FALSE), $C19= "3", ( 'Inputs-System'!$C$30*'Coincidence Factors'!$B$7*(1+'Inputs-System'!$C$18)*(1+'Inputs-System'!$C$41))*('Inputs-Proposals'!$E$29*'Inputs-Proposals'!$E$31*('Inputs-Proposals'!$E$32))*(VLOOKUP(V$3,DRIPE!$A$54:$I$82,5,FALSE)+VLOOKUP(V$3,DRIPE!$A$54:$I$82,12,FALSE))+ ('Inputs-System'!$C$26*'Coincidence Factors'!$B$7*(1+'Inputs-System'!$C$18)*(1+'Inputs-System'!$C$42))*'Inputs-Proposals'!$E$28*VLOOKUP(V$3,DRIPE!$A$54:$I$82,8,FALSE), $C19 = "0", 0), 0)</f>
        <v>0</v>
      </c>
      <c r="Y19" s="45">
        <f>IFERROR(_xlfn.IFS($C19="1",('Inputs-System'!$C$26*'Coincidence Factors'!$B$7*(1+'Inputs-System'!$C$18))*'Inputs-Proposals'!$E$16*(VLOOKUP(V$3,Capacity!$A$53:$E$85,4,FALSE)*(1+'Inputs-System'!$C$42)+VLOOKUP(V$3,Capacity!$A$53:$E$85,5,FALSE)*'Inputs-System'!$C$29*(1+'Inputs-System'!$C$43)), $C19 = "2", ('Inputs-System'!$C$26*'Coincidence Factors'!$B$7*(1+'Inputs-System'!$C$18))*'Inputs-Proposals'!$E$22*(VLOOKUP(V$3,Capacity!$A$53:$E$85,4,FALSE)*(1+'Inputs-System'!$C$42)+VLOOKUP(V$3,Capacity!$A$53:$E$85,5,FALSE)*'Inputs-System'!$C$29*(1+'Inputs-System'!$C$43)), $C19 = "3",('Inputs-System'!$C$26*'Coincidence Factors'!$B$7*(1+'Inputs-System'!$C$18))*'Inputs-Proposals'!$E$28*(VLOOKUP(V$3,Capacity!$A$53:$E$85,4,FALSE)*(1+'Inputs-System'!$C$42)+VLOOKUP(V$3,Capacity!$A$53:$E$85,5,FALSE)*'Inputs-System'!$C$29*(1+'Inputs-System'!$C$43)), $C19 = "0", 0), 0)</f>
        <v>0</v>
      </c>
      <c r="Z19" s="44">
        <v>0</v>
      </c>
      <c r="AA19" s="342">
        <f>IFERROR(_xlfn.IFS($C19="1", 'Inputs-System'!$C$30*'Coincidence Factors'!$B$7*'Inputs-Proposals'!$E$17*'Inputs-Proposals'!$E$19*(VLOOKUP(V$3,'Non-Embedded Emissions'!$A$56:$D$90,2,FALSE)+VLOOKUP(V$3,'Non-Embedded Emissions'!$A$143:$D$174,2,FALSE)+VLOOKUP(V$3,'Non-Embedded Emissions'!$A$230:$D$259,2,FALSE)), $C19 = "2", 'Inputs-System'!$C$30*'Coincidence Factors'!$B$7*'Inputs-Proposals'!$E$23*'Inputs-Proposals'!$E$25*(VLOOKUP(V$3,'Non-Embedded Emissions'!$A$56:$D$90,2,FALSE)+VLOOKUP(V$3,'Non-Embedded Emissions'!$A$143:$D$174,2,FALSE)+VLOOKUP(V$3,'Non-Embedded Emissions'!$A$230:$D$259,2,FALSE)), $C19 = "3", 'Inputs-System'!$C$30*'Coincidence Factors'!$B$7*'Inputs-Proposals'!$E$29*'Inputs-Proposals'!$E$31*(VLOOKUP(V$3,'Non-Embedded Emissions'!$A$56:$D$90,2,FALSE)+VLOOKUP(V$3,'Non-Embedded Emissions'!$A$143:$D$174,2,FALSE)+VLOOKUP(V$3,'Non-Embedded Emissions'!$A$230:$D$259,2,FALSE)), $C19 = "0", 0), 0)</f>
        <v>0</v>
      </c>
      <c r="AB19" s="45">
        <f>IFERROR(_xlfn.IFS($C19="1",('Inputs-System'!$C$30*'Coincidence Factors'!$B$7*(1+'Inputs-System'!$C$18)*(1+'Inputs-System'!$C$41)*('Inputs-Proposals'!$E$17*'Inputs-Proposals'!$E$19*('Inputs-Proposals'!$E$20))*(VLOOKUP(AB$3,Energy!$A$51:$K$83,5,FALSE))), $C19 = "2",('Inputs-System'!$C$30*'Coincidence Factors'!$B$7)*(1+'Inputs-System'!$C$18)*(1+'Inputs-System'!$C$41)*('Inputs-Proposals'!$E$23*'Inputs-Proposals'!$E$25*('Inputs-Proposals'!$E$26))*(VLOOKUP(AB$3,Energy!$A$51:$K$83,5,FALSE)), $C19= "3", ('Inputs-System'!$C$30*'Coincidence Factors'!$B$7*(1+'Inputs-System'!$C$18)*(1+'Inputs-System'!$C$41)*('Inputs-Proposals'!$E$29*'Inputs-Proposals'!$E$31*('Inputs-Proposals'!$E$32))*(VLOOKUP(AB$3,Energy!$A$51:$K$83,5,FALSE))), $C19= "0", 0), 0)</f>
        <v>0</v>
      </c>
      <c r="AC19" s="44">
        <f>IFERROR(_xlfn.IFS($C19="1",'Inputs-System'!$C$30*'Coincidence Factors'!$B$7*(1+'Inputs-System'!$C$18)*(1+'Inputs-System'!$C$41)*'Inputs-Proposals'!$E$17*'Inputs-Proposals'!$E$19*('Inputs-Proposals'!$E$20)*(VLOOKUP(AB$3,'Embedded Emissions'!$A$47:$B$78,2,FALSE)+VLOOKUP(AB$3,'Embedded Emissions'!$A$129:$B$158,2,FALSE)), $C19 = "2",'Inputs-System'!$C$30*'Coincidence Factors'!$B$7*(1+'Inputs-System'!$C$18)*(1+'Inputs-System'!$C$41)*'Inputs-Proposals'!$E$23*'Inputs-Proposals'!$E$25*('Inputs-Proposals'!$E$20)*(VLOOKUP(AB$3,'Embedded Emissions'!$A$47:$B$78,2,FALSE)+VLOOKUP(AB$3,'Embedded Emissions'!$A$129:$B$158,2,FALSE)), $C19 = "3", 'Inputs-System'!$C$30*'Coincidence Factors'!$B$7*(1+'Inputs-System'!$C$18)*(1+'Inputs-System'!$C$41)*'Inputs-Proposals'!$E$29*'Inputs-Proposals'!$E$31*('Inputs-Proposals'!$E$20)*(VLOOKUP(AB$3,'Embedded Emissions'!$A$47:$B$78,2,FALSE)+VLOOKUP(AB$3,'Embedded Emissions'!$A$129:$B$158,2,FALSE)), $C19 = "0", 0), 0)</f>
        <v>0</v>
      </c>
      <c r="AD19" s="44">
        <f>IFERROR(_xlfn.IFS($C19="1",( 'Inputs-System'!$C$30*'Coincidence Factors'!$B$7*(1+'Inputs-System'!$C$18)*(1+'Inputs-System'!$C$41))*('Inputs-Proposals'!$E$17*'Inputs-Proposals'!$E$19*('Inputs-Proposals'!$E$20))*(VLOOKUP(AB$3,DRIPE!$A$54:$I$82,5,FALSE)+VLOOKUP(AB$3,DRIPE!$A$54:$I$82,9,FALSE))+ ('Inputs-System'!$C$26*'Coincidence Factors'!$B$7*(1+'Inputs-System'!$C$18)*(1+'Inputs-System'!$C$42))*'Inputs-Proposals'!$E$16*VLOOKUP(AB$3,DRIPE!$A$54:$I$82,8,FALSE), $C19 = "2",( 'Inputs-System'!$C$30*'Coincidence Factors'!$B$7*(1+'Inputs-System'!$C$18)*(1+'Inputs-System'!$C$41))*('Inputs-Proposals'!$E$23*'Inputs-Proposals'!$E$25*('Inputs-Proposals'!$E$26))*(VLOOKUP(AB$3,DRIPE!$A$54:$I$82,5,FALSE)+VLOOKUP(AB$3,DRIPE!$A$54:$I$82,12,FALSE))+ ('Inputs-System'!$C$26*'Coincidence Factors'!$B$7*(1+'Inputs-System'!$C$18)*(1+'Inputs-System'!$C$42))*'Inputs-Proposals'!$E$22*VLOOKUP(AB$3,DRIPE!$A$54:$I$82,8,FALSE), $C19= "3", ( 'Inputs-System'!$C$30*'Coincidence Factors'!$B$7*(1+'Inputs-System'!$C$18)*(1+'Inputs-System'!$C$41))*('Inputs-Proposals'!$E$29*'Inputs-Proposals'!$E$31*('Inputs-Proposals'!$E$32))*(VLOOKUP(AB$3,DRIPE!$A$54:$I$82,5,FALSE)+VLOOKUP(AB$3,DRIPE!$A$54:$I$82,12,FALSE))+ ('Inputs-System'!$C$26*'Coincidence Factors'!$B$7*(1+'Inputs-System'!$C$18)*(1+'Inputs-System'!$C$42))*'Inputs-Proposals'!$E$28*VLOOKUP(AB$3,DRIPE!$A$54:$I$82,8,FALSE), $C19 = "0", 0), 0)</f>
        <v>0</v>
      </c>
      <c r="AE19" s="45">
        <f>IFERROR(_xlfn.IFS($C19="1",('Inputs-System'!$C$26*'Coincidence Factors'!$B$7*(1+'Inputs-System'!$C$18))*'Inputs-Proposals'!$E$16*(VLOOKUP(AB$3,Capacity!$A$53:$E$85,4,FALSE)*(1+'Inputs-System'!$C$42)+VLOOKUP(AB$3,Capacity!$A$53:$E$85,5,FALSE)*'Inputs-System'!$C$29*(1+'Inputs-System'!$C$43)), $C19 = "2", ('Inputs-System'!$C$26*'Coincidence Factors'!$B$7*(1+'Inputs-System'!$C$18))*'Inputs-Proposals'!$E$22*(VLOOKUP(AB$3,Capacity!$A$53:$E$85,4,FALSE)*(1+'Inputs-System'!$C$42)+VLOOKUP(AB$3,Capacity!$A$53:$E$85,5,FALSE)*'Inputs-System'!$C$29*(1+'Inputs-System'!$C$43)), $C19 = "3",('Inputs-System'!$C$26*'Coincidence Factors'!$B$7*(1+'Inputs-System'!$C$18))*'Inputs-Proposals'!$E$28*(VLOOKUP(AB$3,Capacity!$A$53:$E$85,4,FALSE)*(1+'Inputs-System'!$C$42)+VLOOKUP(AB$3,Capacity!$A$53:$E$85,5,FALSE)*'Inputs-System'!$C$29*(1+'Inputs-System'!$C$43)), $C19 = "0", 0), 0)</f>
        <v>0</v>
      </c>
      <c r="AF19" s="44">
        <v>0</v>
      </c>
      <c r="AG19" s="342">
        <f>IFERROR(_xlfn.IFS($C19="1", 'Inputs-System'!$C$30*'Coincidence Factors'!$B$7*'Inputs-Proposals'!$E$17*'Inputs-Proposals'!$E$19*(VLOOKUP(AB$3,'Non-Embedded Emissions'!$A$56:$D$90,2,FALSE)+VLOOKUP(AB$3,'Non-Embedded Emissions'!$A$143:$D$174,2,FALSE)+VLOOKUP(AB$3,'Non-Embedded Emissions'!$A$230:$D$259,2,FALSE)), $C19 = "2", 'Inputs-System'!$C$30*'Coincidence Factors'!$B$7*'Inputs-Proposals'!$E$23*'Inputs-Proposals'!$E$25*(VLOOKUP(AB$3,'Non-Embedded Emissions'!$A$56:$D$90,2,FALSE)+VLOOKUP(AB$3,'Non-Embedded Emissions'!$A$143:$D$174,2,FALSE)+VLOOKUP(AB$3,'Non-Embedded Emissions'!$A$230:$D$259,2,FALSE)), $C19 = "3", 'Inputs-System'!$C$30*'Coincidence Factors'!$B$7*'Inputs-Proposals'!$E$29*'Inputs-Proposals'!$E$31*(VLOOKUP(AB$3,'Non-Embedded Emissions'!$A$56:$D$90,2,FALSE)+VLOOKUP(AB$3,'Non-Embedded Emissions'!$A$143:$D$174,2,FALSE)+VLOOKUP(AB$3,'Non-Embedded Emissions'!$A$230:$D$259,2,FALSE)), $C19 = "0", 0), 0)</f>
        <v>0</v>
      </c>
      <c r="AH19" s="45">
        <f>IFERROR(_xlfn.IFS($C19="1",('Inputs-System'!$C$30*'Coincidence Factors'!$B$7*(1+'Inputs-System'!$C$18)*(1+'Inputs-System'!$C$41)*('Inputs-Proposals'!$E$17*'Inputs-Proposals'!$E$19*('Inputs-Proposals'!$E$20))*(VLOOKUP(AH$3,Energy!$A$51:$K$83,5,FALSE))), $C19 = "2",('Inputs-System'!$C$30*'Coincidence Factors'!$B$7)*(1+'Inputs-System'!$C$18)*(1+'Inputs-System'!$C$41)*('Inputs-Proposals'!$E$23*'Inputs-Proposals'!$E$25*('Inputs-Proposals'!$E$26))*(VLOOKUP(AH$3,Energy!$A$51:$K$83,5,FALSE)), $C19= "3", ('Inputs-System'!$C$30*'Coincidence Factors'!$B$7*(1+'Inputs-System'!$C$18)*(1+'Inputs-System'!$C$41)*('Inputs-Proposals'!$E$29*'Inputs-Proposals'!$E$31*('Inputs-Proposals'!$E$32))*(VLOOKUP(AH$3,Energy!$A$51:$K$83,5,FALSE))), $C19= "0", 0), 0)</f>
        <v>0</v>
      </c>
      <c r="AI19" s="44">
        <f>IFERROR(_xlfn.IFS($C19="1",'Inputs-System'!$C$30*'Coincidence Factors'!$B$7*(1+'Inputs-System'!$C$18)*(1+'Inputs-System'!$C$41)*'Inputs-Proposals'!$E$17*'Inputs-Proposals'!$E$19*('Inputs-Proposals'!$E$20)*(VLOOKUP(AH$3,'Embedded Emissions'!$A$47:$B$78,2,FALSE)+VLOOKUP(AH$3,'Embedded Emissions'!$A$129:$B$158,2,FALSE)), $C19 = "2",'Inputs-System'!$C$30*'Coincidence Factors'!$B$7*(1+'Inputs-System'!$C$18)*(1+'Inputs-System'!$C$41)*'Inputs-Proposals'!$E$23*'Inputs-Proposals'!$E$25*('Inputs-Proposals'!$E$20)*(VLOOKUP(AH$3,'Embedded Emissions'!$A$47:$B$78,2,FALSE)+VLOOKUP(AH$3,'Embedded Emissions'!$A$129:$B$158,2,FALSE)), $C19 = "3", 'Inputs-System'!$C$30*'Coincidence Factors'!$B$7*(1+'Inputs-System'!$C$18)*(1+'Inputs-System'!$C$41)*'Inputs-Proposals'!$E$29*'Inputs-Proposals'!$E$31*('Inputs-Proposals'!$E$20)*(VLOOKUP(AH$3,'Embedded Emissions'!$A$47:$B$78,2,FALSE)+VLOOKUP(AH$3,'Embedded Emissions'!$A$129:$B$158,2,FALSE)), $C19 = "0", 0), 0)</f>
        <v>0</v>
      </c>
      <c r="AJ19" s="44">
        <f>IFERROR(_xlfn.IFS($C19="1",( 'Inputs-System'!$C$30*'Coincidence Factors'!$B$7*(1+'Inputs-System'!$C$18)*(1+'Inputs-System'!$C$41))*('Inputs-Proposals'!$E$17*'Inputs-Proposals'!$E$19*('Inputs-Proposals'!$E$20))*(VLOOKUP(AH$3,DRIPE!$A$54:$I$82,5,FALSE)+VLOOKUP(AH$3,DRIPE!$A$54:$I$82,9,FALSE))+ ('Inputs-System'!$C$26*'Coincidence Factors'!$B$7*(1+'Inputs-System'!$C$18)*(1+'Inputs-System'!$C$42))*'Inputs-Proposals'!$E$16*VLOOKUP(AH$3,DRIPE!$A$54:$I$82,8,FALSE), $C19 = "2",( 'Inputs-System'!$C$30*'Coincidence Factors'!$B$7*(1+'Inputs-System'!$C$18)*(1+'Inputs-System'!$C$41))*('Inputs-Proposals'!$E$23*'Inputs-Proposals'!$E$25*('Inputs-Proposals'!$E$26))*(VLOOKUP(AH$3,DRIPE!$A$54:$I$82,5,FALSE)+VLOOKUP(AH$3,DRIPE!$A$54:$I$82,12,FALSE))+ ('Inputs-System'!$C$26*'Coincidence Factors'!$B$7*(1+'Inputs-System'!$C$18)*(1+'Inputs-System'!$C$42))*'Inputs-Proposals'!$E$22*VLOOKUP(AH$3,DRIPE!$A$54:$I$82,8,FALSE), $C19= "3", ( 'Inputs-System'!$C$30*'Coincidence Factors'!$B$7*(1+'Inputs-System'!$C$18)*(1+'Inputs-System'!$C$41))*('Inputs-Proposals'!$E$29*'Inputs-Proposals'!$E$31*('Inputs-Proposals'!$E$32))*(VLOOKUP(AH$3,DRIPE!$A$54:$I$82,5,FALSE)+VLOOKUP(AH$3,DRIPE!$A$54:$I$82,12,FALSE))+ ('Inputs-System'!$C$26*'Coincidence Factors'!$B$7*(1+'Inputs-System'!$C$18)*(1+'Inputs-System'!$C$42))*'Inputs-Proposals'!$E$28*VLOOKUP(AH$3,DRIPE!$A$54:$I$82,8,FALSE), $C19 = "0", 0), 0)</f>
        <v>0</v>
      </c>
      <c r="AK19" s="45">
        <f>IFERROR(_xlfn.IFS($C19="1",('Inputs-System'!$C$26*'Coincidence Factors'!$B$7*(1+'Inputs-System'!$C$18))*'Inputs-Proposals'!$E$16*(VLOOKUP(AH$3,Capacity!$A$53:$E$85,4,FALSE)*(1+'Inputs-System'!$C$42)+VLOOKUP(AH$3,Capacity!$A$53:$E$85,5,FALSE)*'Inputs-System'!$C$29*(1+'Inputs-System'!$C$43)), $C19 = "2", ('Inputs-System'!$C$26*'Coincidence Factors'!$B$7*(1+'Inputs-System'!$C$18))*'Inputs-Proposals'!$E$22*(VLOOKUP(AH$3,Capacity!$A$53:$E$85,4,FALSE)*(1+'Inputs-System'!$C$42)+VLOOKUP(AH$3,Capacity!$A$53:$E$85,5,FALSE)*'Inputs-System'!$C$29*(1+'Inputs-System'!$C$43)), $C19 = "3",('Inputs-System'!$C$26*'Coincidence Factors'!$B$7*(1+'Inputs-System'!$C$18))*'Inputs-Proposals'!$E$28*(VLOOKUP(AH$3,Capacity!$A$53:$E$85,4,FALSE)*(1+'Inputs-System'!$C$42)+VLOOKUP(AH$3,Capacity!$A$53:$E$85,5,FALSE)*'Inputs-System'!$C$29*(1+'Inputs-System'!$C$43)), $C19 = "0", 0), 0)</f>
        <v>0</v>
      </c>
      <c r="AL19" s="44">
        <v>0</v>
      </c>
      <c r="AM19" s="342">
        <f>IFERROR(_xlfn.IFS($C19="1", 'Inputs-System'!$C$30*'Coincidence Factors'!$B$7*'Inputs-Proposals'!$E$17*'Inputs-Proposals'!$E$19*(VLOOKUP(AH$3,'Non-Embedded Emissions'!$A$56:$D$90,2,FALSE)+VLOOKUP(AH$3,'Non-Embedded Emissions'!$A$143:$D$174,2,FALSE)+VLOOKUP(AH$3,'Non-Embedded Emissions'!$A$230:$D$259,2,FALSE)), $C19 = "2", 'Inputs-System'!$C$30*'Coincidence Factors'!$B$7*'Inputs-Proposals'!$E$23*'Inputs-Proposals'!$E$25*(VLOOKUP(AH$3,'Non-Embedded Emissions'!$A$56:$D$90,2,FALSE)+VLOOKUP(AH$3,'Non-Embedded Emissions'!$A$143:$D$174,2,FALSE)+VLOOKUP(AH$3,'Non-Embedded Emissions'!$A$230:$D$259,2,FALSE)), $C19 = "3", 'Inputs-System'!$C$30*'Coincidence Factors'!$B$7*'Inputs-Proposals'!$E$29*'Inputs-Proposals'!$E$31*(VLOOKUP(AH$3,'Non-Embedded Emissions'!$A$56:$D$90,2,FALSE)+VLOOKUP(AH$3,'Non-Embedded Emissions'!$A$143:$D$174,2,FALSE)+VLOOKUP(AH$3,'Non-Embedded Emissions'!$A$230:$D$259,2,FALSE)), $C19 = "0", 0), 0)</f>
        <v>0</v>
      </c>
      <c r="AN19" s="45">
        <f>IFERROR(_xlfn.IFS($C19="1",('Inputs-System'!$C$30*'Coincidence Factors'!$B$7*(1+'Inputs-System'!$C$18)*(1+'Inputs-System'!$C$41)*('Inputs-Proposals'!$E$17*'Inputs-Proposals'!$E$19*('Inputs-Proposals'!$E$20))*(VLOOKUP(AN$3,Energy!$A$51:$K$83,5,FALSE))), $C19 = "2",('Inputs-System'!$C$30*'Coincidence Factors'!$B$7)*(1+'Inputs-System'!$C$18)*(1+'Inputs-System'!$C$41)*('Inputs-Proposals'!$E$23*'Inputs-Proposals'!$E$25*('Inputs-Proposals'!$E$26))*(VLOOKUP(AN$3,Energy!$A$51:$K$83,5,FALSE)), $C19= "3", ('Inputs-System'!$C$30*'Coincidence Factors'!$B$7*(1+'Inputs-System'!$C$18)*(1+'Inputs-System'!$C$41)*('Inputs-Proposals'!$E$29*'Inputs-Proposals'!$E$31*('Inputs-Proposals'!$E$32))*(VLOOKUP(AN$3,Energy!$A$51:$K$83,5,FALSE))), $C19= "0", 0), 0)</f>
        <v>0</v>
      </c>
      <c r="AO19" s="44">
        <f>IFERROR(_xlfn.IFS($C19="1",'Inputs-System'!$C$30*'Coincidence Factors'!$B$7*(1+'Inputs-System'!$C$18)*(1+'Inputs-System'!$C$41)*'Inputs-Proposals'!$E$17*'Inputs-Proposals'!$E$19*('Inputs-Proposals'!$E$20)*(VLOOKUP(AN$3,'Embedded Emissions'!$A$47:$B$78,2,FALSE)+VLOOKUP(AN$3,'Embedded Emissions'!$A$129:$B$158,2,FALSE)), $C19 = "2",'Inputs-System'!$C$30*'Coincidence Factors'!$B$7*(1+'Inputs-System'!$C$18)*(1+'Inputs-System'!$C$41)*'Inputs-Proposals'!$E$23*'Inputs-Proposals'!$E$25*('Inputs-Proposals'!$E$20)*(VLOOKUP(AN$3,'Embedded Emissions'!$A$47:$B$78,2,FALSE)+VLOOKUP(AN$3,'Embedded Emissions'!$A$129:$B$158,2,FALSE)), $C19 = "3", 'Inputs-System'!$C$30*'Coincidence Factors'!$B$7*(1+'Inputs-System'!$C$18)*(1+'Inputs-System'!$C$41)*'Inputs-Proposals'!$E$29*'Inputs-Proposals'!$E$31*('Inputs-Proposals'!$E$20)*(VLOOKUP(AN$3,'Embedded Emissions'!$A$47:$B$78,2,FALSE)+VLOOKUP(AN$3,'Embedded Emissions'!$A$129:$B$158,2,FALSE)), $C19 = "0", 0), 0)</f>
        <v>0</v>
      </c>
      <c r="AP19" s="44">
        <f>IFERROR(_xlfn.IFS($C19="1",( 'Inputs-System'!$C$30*'Coincidence Factors'!$B$7*(1+'Inputs-System'!$C$18)*(1+'Inputs-System'!$C$41))*('Inputs-Proposals'!$E$17*'Inputs-Proposals'!$E$19*('Inputs-Proposals'!$E$20))*(VLOOKUP(AN$3,DRIPE!$A$54:$I$82,5,FALSE)+VLOOKUP(AN$3,DRIPE!$A$54:$I$82,9,FALSE))+ ('Inputs-System'!$C$26*'Coincidence Factors'!$B$7*(1+'Inputs-System'!$C$18)*(1+'Inputs-System'!$C$42))*'Inputs-Proposals'!$E$16*VLOOKUP(AN$3,DRIPE!$A$54:$I$82,8,FALSE), $C19 = "2",( 'Inputs-System'!$C$30*'Coincidence Factors'!$B$7*(1+'Inputs-System'!$C$18)*(1+'Inputs-System'!$C$41))*('Inputs-Proposals'!$E$23*'Inputs-Proposals'!$E$25*('Inputs-Proposals'!$E$26))*(VLOOKUP(AN$3,DRIPE!$A$54:$I$82,5,FALSE)+VLOOKUP(AN$3,DRIPE!$A$54:$I$82,12,FALSE))+ ('Inputs-System'!$C$26*'Coincidence Factors'!$B$7*(1+'Inputs-System'!$C$18)*(1+'Inputs-System'!$C$42))*'Inputs-Proposals'!$E$22*VLOOKUP(AN$3,DRIPE!$A$54:$I$82,8,FALSE), $C19= "3", ( 'Inputs-System'!$C$30*'Coincidence Factors'!$B$7*(1+'Inputs-System'!$C$18)*(1+'Inputs-System'!$C$41))*('Inputs-Proposals'!$E$29*'Inputs-Proposals'!$E$31*('Inputs-Proposals'!$E$32))*(VLOOKUP(AN$3,DRIPE!$A$54:$I$82,5,FALSE)+VLOOKUP(AN$3,DRIPE!$A$54:$I$82,12,FALSE))+ ('Inputs-System'!$C$26*'Coincidence Factors'!$B$7*(1+'Inputs-System'!$C$18)*(1+'Inputs-System'!$C$42))*'Inputs-Proposals'!$E$28*VLOOKUP(AN$3,DRIPE!$A$54:$I$82,8,FALSE), $C19 = "0", 0), 0)</f>
        <v>0</v>
      </c>
      <c r="AQ19" s="45">
        <f>IFERROR(_xlfn.IFS($C19="1",('Inputs-System'!$C$26*'Coincidence Factors'!$B$7*(1+'Inputs-System'!$C$18))*'Inputs-Proposals'!$E$16*(VLOOKUP(AN$3,Capacity!$A$53:$E$85,4,FALSE)*(1+'Inputs-System'!$C$42)+VLOOKUP(AN$3,Capacity!$A$53:$E$85,5,FALSE)*'Inputs-System'!$C$29*(1+'Inputs-System'!$C$43)), $C19 = "2", ('Inputs-System'!$C$26*'Coincidence Factors'!$B$7*(1+'Inputs-System'!$C$18))*'Inputs-Proposals'!$E$22*(VLOOKUP(AN$3,Capacity!$A$53:$E$85,4,FALSE)*(1+'Inputs-System'!$C$42)+VLOOKUP(AN$3,Capacity!$A$53:$E$85,5,FALSE)*'Inputs-System'!$C$29*(1+'Inputs-System'!$C$43)), $C19 = "3",('Inputs-System'!$C$26*'Coincidence Factors'!$B$7*(1+'Inputs-System'!$C$18))*'Inputs-Proposals'!$E$28*(VLOOKUP(AN$3,Capacity!$A$53:$E$85,4,FALSE)*(1+'Inputs-System'!$C$42)+VLOOKUP(AN$3,Capacity!$A$53:$E$85,5,FALSE)*'Inputs-System'!$C$29*(1+'Inputs-System'!$C$43)), $C19 = "0", 0), 0)</f>
        <v>0</v>
      </c>
      <c r="AR19" s="44">
        <v>0</v>
      </c>
      <c r="AS19" s="342">
        <f>IFERROR(_xlfn.IFS($C19="1", 'Inputs-System'!$C$30*'Coincidence Factors'!$B$7*'Inputs-Proposals'!$E$17*'Inputs-Proposals'!$E$19*(VLOOKUP(AN$3,'Non-Embedded Emissions'!$A$56:$D$90,2,FALSE)+VLOOKUP(AN$3,'Non-Embedded Emissions'!$A$143:$D$174,2,FALSE)+VLOOKUP(AN$3,'Non-Embedded Emissions'!$A$230:$D$259,2,FALSE)), $C19 = "2", 'Inputs-System'!$C$30*'Coincidence Factors'!$B$7*'Inputs-Proposals'!$E$23*'Inputs-Proposals'!$E$25*(VLOOKUP(AN$3,'Non-Embedded Emissions'!$A$56:$D$90,2,FALSE)+VLOOKUP(AN$3,'Non-Embedded Emissions'!$A$143:$D$174,2,FALSE)+VLOOKUP(AN$3,'Non-Embedded Emissions'!$A$230:$D$259,2,FALSE)), $C19 = "3", 'Inputs-System'!$C$30*'Coincidence Factors'!$B$7*'Inputs-Proposals'!$E$29*'Inputs-Proposals'!$E$31*(VLOOKUP(AN$3,'Non-Embedded Emissions'!$A$56:$D$90,2,FALSE)+VLOOKUP(AN$3,'Non-Embedded Emissions'!$A$143:$D$174,2,FALSE)+VLOOKUP(AN$3,'Non-Embedded Emissions'!$A$230:$D$259,2,FALSE)), $C19 = "0", 0), 0)</f>
        <v>0</v>
      </c>
      <c r="AT19" s="45">
        <f>IFERROR(_xlfn.IFS($C19="1",('Inputs-System'!$C$30*'Coincidence Factors'!$B$7*(1+'Inputs-System'!$C$18)*(1+'Inputs-System'!$C$41)*('Inputs-Proposals'!$E$17*'Inputs-Proposals'!$E$19*('Inputs-Proposals'!$E$20))*(VLOOKUP(AT$3,Energy!$A$51:$K$83,5,FALSE))), $C19 = "2",('Inputs-System'!$C$30*'Coincidence Factors'!$B$7)*(1+'Inputs-System'!$C$18)*(1+'Inputs-System'!$C$41)*('Inputs-Proposals'!$E$23*'Inputs-Proposals'!$E$25*('Inputs-Proposals'!$E$26))*(VLOOKUP(AT$3,Energy!$A$51:$K$83,5,FALSE)), $C19= "3", ('Inputs-System'!$C$30*'Coincidence Factors'!$B$7*(1+'Inputs-System'!$C$18)*(1+'Inputs-System'!$C$41)*('Inputs-Proposals'!$E$29*'Inputs-Proposals'!$E$31*('Inputs-Proposals'!$E$32))*(VLOOKUP(AT$3,Energy!$A$51:$K$83,5,FALSE))), $C19= "0", 0), 0)</f>
        <v>0</v>
      </c>
      <c r="AU19" s="44">
        <f>IFERROR(_xlfn.IFS($C19="1",'Inputs-System'!$C$30*'Coincidence Factors'!$B$7*(1+'Inputs-System'!$C$18)*(1+'Inputs-System'!$C$41)*'Inputs-Proposals'!$E$17*'Inputs-Proposals'!$E$19*('Inputs-Proposals'!$E$20)*(VLOOKUP(AT$3,'Embedded Emissions'!$A$47:$B$78,2,FALSE)+VLOOKUP(AT$3,'Embedded Emissions'!$A$129:$B$158,2,FALSE)), $C19 = "2",'Inputs-System'!$C$30*'Coincidence Factors'!$B$7*(1+'Inputs-System'!$C$18)*(1+'Inputs-System'!$C$41)*'Inputs-Proposals'!$E$23*'Inputs-Proposals'!$E$25*('Inputs-Proposals'!$E$20)*(VLOOKUP(AT$3,'Embedded Emissions'!$A$47:$B$78,2,FALSE)+VLOOKUP(AT$3,'Embedded Emissions'!$A$129:$B$158,2,FALSE)), $C19 = "3", 'Inputs-System'!$C$30*'Coincidence Factors'!$B$7*(1+'Inputs-System'!$C$18)*(1+'Inputs-System'!$C$41)*'Inputs-Proposals'!$E$29*'Inputs-Proposals'!$E$31*('Inputs-Proposals'!$E$20)*(VLOOKUP(AT$3,'Embedded Emissions'!$A$47:$B$78,2,FALSE)+VLOOKUP(AT$3,'Embedded Emissions'!$A$129:$B$158,2,FALSE)), $C19 = "0", 0), 0)</f>
        <v>0</v>
      </c>
      <c r="AV19" s="44">
        <f>IFERROR(_xlfn.IFS($C19="1",( 'Inputs-System'!$C$30*'Coincidence Factors'!$B$7*(1+'Inputs-System'!$C$18)*(1+'Inputs-System'!$C$41))*('Inputs-Proposals'!$E$17*'Inputs-Proposals'!$E$19*('Inputs-Proposals'!$E$20))*(VLOOKUP(AT$3,DRIPE!$A$54:$I$82,5,FALSE)+VLOOKUP(AT$3,DRIPE!$A$54:$I$82,9,FALSE))+ ('Inputs-System'!$C$26*'Coincidence Factors'!$B$7*(1+'Inputs-System'!$C$18)*(1+'Inputs-System'!$C$42))*'Inputs-Proposals'!$E$16*VLOOKUP(AT$3,DRIPE!$A$54:$I$82,8,FALSE), $C19 = "2",( 'Inputs-System'!$C$30*'Coincidence Factors'!$B$7*(1+'Inputs-System'!$C$18)*(1+'Inputs-System'!$C$41))*('Inputs-Proposals'!$E$23*'Inputs-Proposals'!$E$25*('Inputs-Proposals'!$E$26))*(VLOOKUP(AT$3,DRIPE!$A$54:$I$82,5,FALSE)+VLOOKUP(AT$3,DRIPE!$A$54:$I$82,12,FALSE))+ ('Inputs-System'!$C$26*'Coincidence Factors'!$B$7*(1+'Inputs-System'!$C$18)*(1+'Inputs-System'!$C$42))*'Inputs-Proposals'!$E$22*VLOOKUP(AT$3,DRIPE!$A$54:$I$82,8,FALSE), $C19= "3", ( 'Inputs-System'!$C$30*'Coincidence Factors'!$B$7*(1+'Inputs-System'!$C$18)*(1+'Inputs-System'!$C$41))*('Inputs-Proposals'!$E$29*'Inputs-Proposals'!$E$31*('Inputs-Proposals'!$E$32))*(VLOOKUP(AT$3,DRIPE!$A$54:$I$82,5,FALSE)+VLOOKUP(AT$3,DRIPE!$A$54:$I$82,12,FALSE))+ ('Inputs-System'!$C$26*'Coincidence Factors'!$B$7*(1+'Inputs-System'!$C$18)*(1+'Inputs-System'!$C$42))*'Inputs-Proposals'!$E$28*VLOOKUP(AT$3,DRIPE!$A$54:$I$82,8,FALSE), $C19 = "0", 0), 0)</f>
        <v>0</v>
      </c>
      <c r="AW19" s="45">
        <f>IFERROR(_xlfn.IFS($C19="1",('Inputs-System'!$C$26*'Coincidence Factors'!$B$7*(1+'Inputs-System'!$C$18))*'Inputs-Proposals'!$E$16*(VLOOKUP(AT$3,Capacity!$A$53:$E$85,4,FALSE)*(1+'Inputs-System'!$C$42)+VLOOKUP(AT$3,Capacity!$A$53:$E$85,5,FALSE)*'Inputs-System'!$C$29*(1+'Inputs-System'!$C$43)), $C19 = "2", ('Inputs-System'!$C$26*'Coincidence Factors'!$B$7*(1+'Inputs-System'!$C$18))*'Inputs-Proposals'!$E$22*(VLOOKUP(AT$3,Capacity!$A$53:$E$85,4,FALSE)*(1+'Inputs-System'!$C$42)+VLOOKUP(AT$3,Capacity!$A$53:$E$85,5,FALSE)*'Inputs-System'!$C$29*(1+'Inputs-System'!$C$43)), $C19 = "3",('Inputs-System'!$C$26*'Coincidence Factors'!$B$7*(1+'Inputs-System'!$C$18))*'Inputs-Proposals'!$E$28*(VLOOKUP(AT$3,Capacity!$A$53:$E$85,4,FALSE)*(1+'Inputs-System'!$C$42)+VLOOKUP(AT$3,Capacity!$A$53:$E$85,5,FALSE)*'Inputs-System'!$C$29*(1+'Inputs-System'!$C$43)), $C19 = "0", 0), 0)</f>
        <v>0</v>
      </c>
      <c r="AX19" s="44">
        <v>0</v>
      </c>
      <c r="AY19" s="342">
        <f>IFERROR(_xlfn.IFS($C19="1", 'Inputs-System'!$C$30*'Coincidence Factors'!$B$7*'Inputs-Proposals'!$E$17*'Inputs-Proposals'!$E$19*(VLOOKUP(AT$3,'Non-Embedded Emissions'!$A$56:$D$90,2,FALSE)+VLOOKUP(AT$3,'Non-Embedded Emissions'!$A$143:$D$174,2,FALSE)+VLOOKUP(AT$3,'Non-Embedded Emissions'!$A$230:$D$259,2,FALSE)), $C19 = "2", 'Inputs-System'!$C$30*'Coincidence Factors'!$B$7*'Inputs-Proposals'!$E$23*'Inputs-Proposals'!$E$25*(VLOOKUP(AT$3,'Non-Embedded Emissions'!$A$56:$D$90,2,FALSE)+VLOOKUP(AT$3,'Non-Embedded Emissions'!$A$143:$D$174,2,FALSE)+VLOOKUP(AT$3,'Non-Embedded Emissions'!$A$230:$D$259,2,FALSE)), $C19 = "3", 'Inputs-System'!$C$30*'Coincidence Factors'!$B$7*'Inputs-Proposals'!$E$29*'Inputs-Proposals'!$E$31*(VLOOKUP(AT$3,'Non-Embedded Emissions'!$A$56:$D$90,2,FALSE)+VLOOKUP(AT$3,'Non-Embedded Emissions'!$A$143:$D$174,2,FALSE)+VLOOKUP(AT$3,'Non-Embedded Emissions'!$A$230:$D$259,2,FALSE)), $C19 = "0", 0), 0)</f>
        <v>0</v>
      </c>
      <c r="AZ19" s="45">
        <f>IFERROR(_xlfn.IFS($C19="1",('Inputs-System'!$C$30*'Coincidence Factors'!$B$7*(1+'Inputs-System'!$C$18)*(1+'Inputs-System'!$C$41)*('Inputs-Proposals'!$E$17*'Inputs-Proposals'!$E$19*('Inputs-Proposals'!$E$20))*(VLOOKUP(AZ$3,Energy!$A$51:$K$83,5,FALSE))), $C19 = "2",('Inputs-System'!$C$30*'Coincidence Factors'!$B$7)*(1+'Inputs-System'!$C$18)*(1+'Inputs-System'!$C$41)*('Inputs-Proposals'!$E$23*'Inputs-Proposals'!$E$25*('Inputs-Proposals'!$E$26))*(VLOOKUP(AZ$3,Energy!$A$51:$K$83,5,FALSE)), $C19= "3", ('Inputs-System'!$C$30*'Coincidence Factors'!$B$7*(1+'Inputs-System'!$C$18)*(1+'Inputs-System'!$C$41)*('Inputs-Proposals'!$E$29*'Inputs-Proposals'!$E$31*('Inputs-Proposals'!$E$32))*(VLOOKUP(AZ$3,Energy!$A$51:$K$83,5,FALSE))), $C19= "0", 0), 0)</f>
        <v>0</v>
      </c>
      <c r="BA19" s="44">
        <f>IFERROR(_xlfn.IFS($C19="1",'Inputs-System'!$C$30*'Coincidence Factors'!$B$7*(1+'Inputs-System'!$C$18)*(1+'Inputs-System'!$C$41)*'Inputs-Proposals'!$E$17*'Inputs-Proposals'!$E$19*('Inputs-Proposals'!$E$20)*(VLOOKUP(AZ$3,'Embedded Emissions'!$A$47:$B$78,2,FALSE)+VLOOKUP(AZ$3,'Embedded Emissions'!$A$129:$B$158,2,FALSE)), $C19 = "2",'Inputs-System'!$C$30*'Coincidence Factors'!$B$7*(1+'Inputs-System'!$C$18)*(1+'Inputs-System'!$C$41)*'Inputs-Proposals'!$E$23*'Inputs-Proposals'!$E$25*('Inputs-Proposals'!$E$20)*(VLOOKUP(AZ$3,'Embedded Emissions'!$A$47:$B$78,2,FALSE)+VLOOKUP(AZ$3,'Embedded Emissions'!$A$129:$B$158,2,FALSE)), $C19 = "3", 'Inputs-System'!$C$30*'Coincidence Factors'!$B$7*(1+'Inputs-System'!$C$18)*(1+'Inputs-System'!$C$41)*'Inputs-Proposals'!$E$29*'Inputs-Proposals'!$E$31*('Inputs-Proposals'!$E$20)*(VLOOKUP(AZ$3,'Embedded Emissions'!$A$47:$B$78,2,FALSE)+VLOOKUP(AZ$3,'Embedded Emissions'!$A$129:$B$158,2,FALSE)), $C19 = "0", 0), 0)</f>
        <v>0</v>
      </c>
      <c r="BB19" s="44">
        <f>IFERROR(_xlfn.IFS($C19="1",( 'Inputs-System'!$C$30*'Coincidence Factors'!$B$7*(1+'Inputs-System'!$C$18)*(1+'Inputs-System'!$C$41))*('Inputs-Proposals'!$E$17*'Inputs-Proposals'!$E$19*('Inputs-Proposals'!$E$20))*(VLOOKUP(AZ$3,DRIPE!$A$54:$I$82,5,FALSE)+VLOOKUP(AZ$3,DRIPE!$A$54:$I$82,9,FALSE))+ ('Inputs-System'!$C$26*'Coincidence Factors'!$B$7*(1+'Inputs-System'!$C$18)*(1+'Inputs-System'!$C$42))*'Inputs-Proposals'!$E$16*VLOOKUP(AZ$3,DRIPE!$A$54:$I$82,8,FALSE), $C19 = "2",( 'Inputs-System'!$C$30*'Coincidence Factors'!$B$7*(1+'Inputs-System'!$C$18)*(1+'Inputs-System'!$C$41))*('Inputs-Proposals'!$E$23*'Inputs-Proposals'!$E$25*('Inputs-Proposals'!$E$26))*(VLOOKUP(AZ$3,DRIPE!$A$54:$I$82,5,FALSE)+VLOOKUP(AZ$3,DRIPE!$A$54:$I$82,12,FALSE))+ ('Inputs-System'!$C$26*'Coincidence Factors'!$B$7*(1+'Inputs-System'!$C$18)*(1+'Inputs-System'!$C$42))*'Inputs-Proposals'!$E$22*VLOOKUP(AZ$3,DRIPE!$A$54:$I$82,8,FALSE), $C19= "3", ( 'Inputs-System'!$C$30*'Coincidence Factors'!$B$7*(1+'Inputs-System'!$C$18)*(1+'Inputs-System'!$C$41))*('Inputs-Proposals'!$E$29*'Inputs-Proposals'!$E$31*('Inputs-Proposals'!$E$32))*(VLOOKUP(AZ$3,DRIPE!$A$54:$I$82,5,FALSE)+VLOOKUP(AZ$3,DRIPE!$A$54:$I$82,12,FALSE))+ ('Inputs-System'!$C$26*'Coincidence Factors'!$B$7*(1+'Inputs-System'!$C$18)*(1+'Inputs-System'!$C$42))*'Inputs-Proposals'!$E$28*VLOOKUP(AZ$3,DRIPE!$A$54:$I$82,8,FALSE), $C19 = "0", 0), 0)</f>
        <v>0</v>
      </c>
      <c r="BC19" s="45">
        <f>IFERROR(_xlfn.IFS($C19="1",('Inputs-System'!$C$26*'Coincidence Factors'!$B$7*(1+'Inputs-System'!$C$18))*'Inputs-Proposals'!$E$16*(VLOOKUP(AZ$3,Capacity!$A$53:$E$85,4,FALSE)*(1+'Inputs-System'!$C$42)+VLOOKUP(AZ$3,Capacity!$A$53:$E$85,5,FALSE)*'Inputs-System'!$C$29*(1+'Inputs-System'!$C$43)), $C19 = "2", ('Inputs-System'!$C$26*'Coincidence Factors'!$B$7*(1+'Inputs-System'!$C$18))*'Inputs-Proposals'!$E$22*(VLOOKUP(AZ$3,Capacity!$A$53:$E$85,4,FALSE)*(1+'Inputs-System'!$C$42)+VLOOKUP(AZ$3,Capacity!$A$53:$E$85,5,FALSE)*'Inputs-System'!$C$29*(1+'Inputs-System'!$C$43)), $C19 = "3",('Inputs-System'!$C$26*'Coincidence Factors'!$B$7*(1+'Inputs-System'!$C$18))*'Inputs-Proposals'!$E$28*(VLOOKUP(AZ$3,Capacity!$A$53:$E$85,4,FALSE)*(1+'Inputs-System'!$C$42)+VLOOKUP(AZ$3,Capacity!$A$53:$E$85,5,FALSE)*'Inputs-System'!$C$29*(1+'Inputs-System'!$C$43)), $C19 = "0", 0), 0)</f>
        <v>0</v>
      </c>
      <c r="BD19" s="44">
        <v>0</v>
      </c>
      <c r="BE19" s="342">
        <f>IFERROR(_xlfn.IFS($C19="1", 'Inputs-System'!$C$30*'Coincidence Factors'!$B$7*'Inputs-Proposals'!$E$17*'Inputs-Proposals'!$E$19*(VLOOKUP(AZ$3,'Non-Embedded Emissions'!$A$56:$D$90,2,FALSE)+VLOOKUP(AZ$3,'Non-Embedded Emissions'!$A$143:$D$174,2,FALSE)+VLOOKUP(AZ$3,'Non-Embedded Emissions'!$A$230:$D$259,2,FALSE)), $C19 = "2", 'Inputs-System'!$C$30*'Coincidence Factors'!$B$7*'Inputs-Proposals'!$E$23*'Inputs-Proposals'!$E$25*(VLOOKUP(AZ$3,'Non-Embedded Emissions'!$A$56:$D$90,2,FALSE)+VLOOKUP(AZ$3,'Non-Embedded Emissions'!$A$143:$D$174,2,FALSE)+VLOOKUP(AZ$3,'Non-Embedded Emissions'!$A$230:$D$259,2,FALSE)), $C19 = "3", 'Inputs-System'!$C$30*'Coincidence Factors'!$B$7*'Inputs-Proposals'!$E$29*'Inputs-Proposals'!$E$31*(VLOOKUP(AZ$3,'Non-Embedded Emissions'!$A$56:$D$90,2,FALSE)+VLOOKUP(AZ$3,'Non-Embedded Emissions'!$A$143:$D$174,2,FALSE)+VLOOKUP(AZ$3,'Non-Embedded Emissions'!$A$230:$D$259,2,FALSE)), $C19 = "0", 0), 0)</f>
        <v>0</v>
      </c>
      <c r="BF19" s="45">
        <f>IFERROR(_xlfn.IFS($C19="1",('Inputs-System'!$C$30*'Coincidence Factors'!$B$7*(1+'Inputs-System'!$C$18)*(1+'Inputs-System'!$C$41)*('Inputs-Proposals'!$E$17*'Inputs-Proposals'!$E$19*('Inputs-Proposals'!$E$20))*(VLOOKUP(BF$3,Energy!$A$51:$K$83,5,FALSE))), $C19 = "2",('Inputs-System'!$C$30*'Coincidence Factors'!$B$7)*(1+'Inputs-System'!$C$18)*(1+'Inputs-System'!$C$41)*('Inputs-Proposals'!$E$23*'Inputs-Proposals'!$E$25*('Inputs-Proposals'!$E$26))*(VLOOKUP(BF$3,Energy!$A$51:$K$83,5,FALSE)), $C19= "3", ('Inputs-System'!$C$30*'Coincidence Factors'!$B$7*(1+'Inputs-System'!$C$18)*(1+'Inputs-System'!$C$41)*('Inputs-Proposals'!$E$29*'Inputs-Proposals'!$E$31*('Inputs-Proposals'!$E$32))*(VLOOKUP(BF$3,Energy!$A$51:$K$83,5,FALSE))), $C19= "0", 0), 0)</f>
        <v>0</v>
      </c>
      <c r="BG19" s="44">
        <f>IFERROR(_xlfn.IFS($C19="1",'Inputs-System'!$C$30*'Coincidence Factors'!$B$7*(1+'Inputs-System'!$C$18)*(1+'Inputs-System'!$C$41)*'Inputs-Proposals'!$E$17*'Inputs-Proposals'!$E$19*('Inputs-Proposals'!$E$20)*(VLOOKUP(BF$3,'Embedded Emissions'!$A$47:$B$78,2,FALSE)+VLOOKUP(BF$3,'Embedded Emissions'!$A$129:$B$158,2,FALSE)), $C19 = "2",'Inputs-System'!$C$30*'Coincidence Factors'!$B$7*(1+'Inputs-System'!$C$18)*(1+'Inputs-System'!$C$41)*'Inputs-Proposals'!$E$23*'Inputs-Proposals'!$E$25*('Inputs-Proposals'!$E$20)*(VLOOKUP(BF$3,'Embedded Emissions'!$A$47:$B$78,2,FALSE)+VLOOKUP(BF$3,'Embedded Emissions'!$A$129:$B$158,2,FALSE)), $C19 = "3", 'Inputs-System'!$C$30*'Coincidence Factors'!$B$7*(1+'Inputs-System'!$C$18)*(1+'Inputs-System'!$C$41)*'Inputs-Proposals'!$E$29*'Inputs-Proposals'!$E$31*('Inputs-Proposals'!$E$20)*(VLOOKUP(BF$3,'Embedded Emissions'!$A$47:$B$78,2,FALSE)+VLOOKUP(BF$3,'Embedded Emissions'!$A$129:$B$158,2,FALSE)), $C19 = "0", 0), 0)</f>
        <v>0</v>
      </c>
      <c r="BH19" s="44">
        <f>IFERROR(_xlfn.IFS($C19="1",( 'Inputs-System'!$C$30*'Coincidence Factors'!$B$7*(1+'Inputs-System'!$C$18)*(1+'Inputs-System'!$C$41))*('Inputs-Proposals'!$E$17*'Inputs-Proposals'!$E$19*('Inputs-Proposals'!$E$20))*(VLOOKUP(BF$3,DRIPE!$A$54:$I$82,5,FALSE)+VLOOKUP(BF$3,DRIPE!$A$54:$I$82,9,FALSE))+ ('Inputs-System'!$C$26*'Coincidence Factors'!$B$7*(1+'Inputs-System'!$C$18)*(1+'Inputs-System'!$C$42))*'Inputs-Proposals'!$E$16*VLOOKUP(BF$3,DRIPE!$A$54:$I$82,8,FALSE), $C19 = "2",( 'Inputs-System'!$C$30*'Coincidence Factors'!$B$7*(1+'Inputs-System'!$C$18)*(1+'Inputs-System'!$C$41))*('Inputs-Proposals'!$E$23*'Inputs-Proposals'!$E$25*('Inputs-Proposals'!$E$26))*(VLOOKUP(BF$3,DRIPE!$A$54:$I$82,5,FALSE)+VLOOKUP(BF$3,DRIPE!$A$54:$I$82,12,FALSE))+ ('Inputs-System'!$C$26*'Coincidence Factors'!$B$7*(1+'Inputs-System'!$C$18)*(1+'Inputs-System'!$C$42))*'Inputs-Proposals'!$E$22*VLOOKUP(BF$3,DRIPE!$A$54:$I$82,8,FALSE), $C19= "3", ( 'Inputs-System'!$C$30*'Coincidence Factors'!$B$7*(1+'Inputs-System'!$C$18)*(1+'Inputs-System'!$C$41))*('Inputs-Proposals'!$E$29*'Inputs-Proposals'!$E$31*('Inputs-Proposals'!$E$32))*(VLOOKUP(BF$3,DRIPE!$A$54:$I$82,5,FALSE)+VLOOKUP(BF$3,DRIPE!$A$54:$I$82,12,FALSE))+ ('Inputs-System'!$C$26*'Coincidence Factors'!$B$7*(1+'Inputs-System'!$C$18)*(1+'Inputs-System'!$C$42))*'Inputs-Proposals'!$E$28*VLOOKUP(BF$3,DRIPE!$A$54:$I$82,8,FALSE), $C19 = "0", 0), 0)</f>
        <v>0</v>
      </c>
      <c r="BI19" s="45">
        <f>IFERROR(_xlfn.IFS($C19="1",('Inputs-System'!$C$26*'Coincidence Factors'!$B$7*(1+'Inputs-System'!$C$18))*'Inputs-Proposals'!$E$16*(VLOOKUP(BF$3,Capacity!$A$53:$E$85,4,FALSE)*(1+'Inputs-System'!$C$42)+VLOOKUP(BF$3,Capacity!$A$53:$E$85,5,FALSE)*'Inputs-System'!$C$29*(1+'Inputs-System'!$C$43)), $C19 = "2", ('Inputs-System'!$C$26*'Coincidence Factors'!$B$7*(1+'Inputs-System'!$C$18))*'Inputs-Proposals'!$E$22*(VLOOKUP(BF$3,Capacity!$A$53:$E$85,4,FALSE)*(1+'Inputs-System'!$C$42)+VLOOKUP(BF$3,Capacity!$A$53:$E$85,5,FALSE)*'Inputs-System'!$C$29*(1+'Inputs-System'!$C$43)), $C19 = "3",('Inputs-System'!$C$26*'Coincidence Factors'!$B$7*(1+'Inputs-System'!$C$18))*'Inputs-Proposals'!$E$28*(VLOOKUP(BF$3,Capacity!$A$53:$E$85,4,FALSE)*(1+'Inputs-System'!$C$42)+VLOOKUP(BF$3,Capacity!$A$53:$E$85,5,FALSE)*'Inputs-System'!$C$29*(1+'Inputs-System'!$C$43)), $C19 = "0", 0), 0)</f>
        <v>0</v>
      </c>
      <c r="BJ19" s="44">
        <v>0</v>
      </c>
      <c r="BK19" s="342">
        <f>IFERROR(_xlfn.IFS($C19="1", 'Inputs-System'!$C$30*'Coincidence Factors'!$B$7*'Inputs-Proposals'!$E$17*'Inputs-Proposals'!$E$19*(VLOOKUP(BF$3,'Non-Embedded Emissions'!$A$56:$D$90,2,FALSE)+VLOOKUP(BF$3,'Non-Embedded Emissions'!$A$143:$D$174,2,FALSE)+VLOOKUP(BF$3,'Non-Embedded Emissions'!$A$230:$D$259,2,FALSE)), $C19 = "2", 'Inputs-System'!$C$30*'Coincidence Factors'!$B$7*'Inputs-Proposals'!$E$23*'Inputs-Proposals'!$E$25*(VLOOKUP(BF$3,'Non-Embedded Emissions'!$A$56:$D$90,2,FALSE)+VLOOKUP(BF$3,'Non-Embedded Emissions'!$A$143:$D$174,2,FALSE)+VLOOKUP(BF$3,'Non-Embedded Emissions'!$A$230:$D$259,2,FALSE)), $C19 = "3", 'Inputs-System'!$C$30*'Coincidence Factors'!$B$7*'Inputs-Proposals'!$E$29*'Inputs-Proposals'!$E$31*(VLOOKUP(BF$3,'Non-Embedded Emissions'!$A$56:$D$90,2,FALSE)+VLOOKUP(BF$3,'Non-Embedded Emissions'!$A$143:$D$174,2,FALSE)+VLOOKUP(BF$3,'Non-Embedded Emissions'!$A$230:$D$259,2,FALSE)), $C19 = "0", 0), 0)</f>
        <v>0</v>
      </c>
      <c r="BL19" s="45">
        <f>IFERROR(_xlfn.IFS($C19="1",('Inputs-System'!$C$30*'Coincidence Factors'!$B$7*(1+'Inputs-System'!$C$18)*(1+'Inputs-System'!$C$41)*('Inputs-Proposals'!$E$17*'Inputs-Proposals'!$E$19*('Inputs-Proposals'!$E$20))*(VLOOKUP(BL$3,Energy!$A$51:$K$83,5,FALSE))), $C19 = "2",('Inputs-System'!$C$30*'Coincidence Factors'!$B$7)*(1+'Inputs-System'!$C$18)*(1+'Inputs-System'!$C$41)*('Inputs-Proposals'!$E$23*'Inputs-Proposals'!$E$25*('Inputs-Proposals'!$E$26))*(VLOOKUP(BL$3,Energy!$A$51:$K$83,5,FALSE)), $C19= "3", ('Inputs-System'!$C$30*'Coincidence Factors'!$B$7*(1+'Inputs-System'!$C$18)*(1+'Inputs-System'!$C$41)*('Inputs-Proposals'!$E$29*'Inputs-Proposals'!$E$31*('Inputs-Proposals'!$E$32))*(VLOOKUP(BL$3,Energy!$A$51:$K$83,5,FALSE))), $C19= "0", 0), 0)</f>
        <v>0</v>
      </c>
      <c r="BM19" s="44">
        <f>IFERROR(_xlfn.IFS($C19="1",'Inputs-System'!$C$30*'Coincidence Factors'!$B$7*(1+'Inputs-System'!$C$18)*(1+'Inputs-System'!$C$41)*'Inputs-Proposals'!$E$17*'Inputs-Proposals'!$E$19*('Inputs-Proposals'!$E$20)*(VLOOKUP(BL$3,'Embedded Emissions'!$A$47:$B$78,2,FALSE)+VLOOKUP(BL$3,'Embedded Emissions'!$A$129:$B$158,2,FALSE)), $C19 = "2",'Inputs-System'!$C$30*'Coincidence Factors'!$B$7*(1+'Inputs-System'!$C$18)*(1+'Inputs-System'!$C$41)*'Inputs-Proposals'!$E$23*'Inputs-Proposals'!$E$25*('Inputs-Proposals'!$E$20)*(VLOOKUP(BL$3,'Embedded Emissions'!$A$47:$B$78,2,FALSE)+VLOOKUP(BL$3,'Embedded Emissions'!$A$129:$B$158,2,FALSE)), $C19 = "3", 'Inputs-System'!$C$30*'Coincidence Factors'!$B$7*(1+'Inputs-System'!$C$18)*(1+'Inputs-System'!$C$41)*'Inputs-Proposals'!$E$29*'Inputs-Proposals'!$E$31*('Inputs-Proposals'!$E$20)*(VLOOKUP(BL$3,'Embedded Emissions'!$A$47:$B$78,2,FALSE)+VLOOKUP(BL$3,'Embedded Emissions'!$A$129:$B$158,2,FALSE)), $C19 = "0", 0), 0)</f>
        <v>0</v>
      </c>
      <c r="BN19" s="44">
        <f>IFERROR(_xlfn.IFS($C19="1",( 'Inputs-System'!$C$30*'Coincidence Factors'!$B$7*(1+'Inputs-System'!$C$18)*(1+'Inputs-System'!$C$41))*('Inputs-Proposals'!$E$17*'Inputs-Proposals'!$E$19*('Inputs-Proposals'!$E$20))*(VLOOKUP(BL$3,DRIPE!$A$54:$I$82,5,FALSE)+VLOOKUP(BL$3,DRIPE!$A$54:$I$82,9,FALSE))+ ('Inputs-System'!$C$26*'Coincidence Factors'!$B$7*(1+'Inputs-System'!$C$18)*(1+'Inputs-System'!$C$42))*'Inputs-Proposals'!$E$16*VLOOKUP(BL$3,DRIPE!$A$54:$I$82,8,FALSE), $C19 = "2",( 'Inputs-System'!$C$30*'Coincidence Factors'!$B$7*(1+'Inputs-System'!$C$18)*(1+'Inputs-System'!$C$41))*('Inputs-Proposals'!$E$23*'Inputs-Proposals'!$E$25*('Inputs-Proposals'!$E$26))*(VLOOKUP(BL$3,DRIPE!$A$54:$I$82,5,FALSE)+VLOOKUP(BL$3,DRIPE!$A$54:$I$82,12,FALSE))+ ('Inputs-System'!$C$26*'Coincidence Factors'!$B$7*(1+'Inputs-System'!$C$18)*(1+'Inputs-System'!$C$42))*'Inputs-Proposals'!$E$22*VLOOKUP(BL$3,DRIPE!$A$54:$I$82,8,FALSE), $C19= "3", ( 'Inputs-System'!$C$30*'Coincidence Factors'!$B$7*(1+'Inputs-System'!$C$18)*(1+'Inputs-System'!$C$41))*('Inputs-Proposals'!$E$29*'Inputs-Proposals'!$E$31*('Inputs-Proposals'!$E$32))*(VLOOKUP(BL$3,DRIPE!$A$54:$I$82,5,FALSE)+VLOOKUP(BL$3,DRIPE!$A$54:$I$82,12,FALSE))+ ('Inputs-System'!$C$26*'Coincidence Factors'!$B$7*(1+'Inputs-System'!$C$18)*(1+'Inputs-System'!$C$42))*'Inputs-Proposals'!$E$28*VLOOKUP(BL$3,DRIPE!$A$54:$I$82,8,FALSE), $C19 = "0", 0), 0)</f>
        <v>0</v>
      </c>
      <c r="BO19" s="45">
        <f>IFERROR(_xlfn.IFS($C19="1",('Inputs-System'!$C$26*'Coincidence Factors'!$B$7*(1+'Inputs-System'!$C$18))*'Inputs-Proposals'!$E$16*(VLOOKUP(BL$3,Capacity!$A$53:$E$85,4,FALSE)*(1+'Inputs-System'!$C$42)+VLOOKUP(BL$3,Capacity!$A$53:$E$85,5,FALSE)*'Inputs-System'!$C$29*(1+'Inputs-System'!$C$43)), $C19 = "2", ('Inputs-System'!$C$26*'Coincidence Factors'!$B$7*(1+'Inputs-System'!$C$18))*'Inputs-Proposals'!$E$22*(VLOOKUP(BL$3,Capacity!$A$53:$E$85,4,FALSE)*(1+'Inputs-System'!$C$42)+VLOOKUP(BL$3,Capacity!$A$53:$E$85,5,FALSE)*'Inputs-System'!$C$29*(1+'Inputs-System'!$C$43)), $C19 = "3",('Inputs-System'!$C$26*'Coincidence Factors'!$B$7*(1+'Inputs-System'!$C$18))*'Inputs-Proposals'!$E$28*(VLOOKUP(BL$3,Capacity!$A$53:$E$85,4,FALSE)*(1+'Inputs-System'!$C$42)+VLOOKUP(BL$3,Capacity!$A$53:$E$85,5,FALSE)*'Inputs-System'!$C$29*(1+'Inputs-System'!$C$43)), $C19 = "0", 0), 0)</f>
        <v>0</v>
      </c>
      <c r="BP19" s="44">
        <v>0</v>
      </c>
      <c r="BQ19" s="342">
        <f>IFERROR(_xlfn.IFS($C19="1", 'Inputs-System'!$C$30*'Coincidence Factors'!$B$7*'Inputs-Proposals'!$E$17*'Inputs-Proposals'!$E$19*(VLOOKUP(BL$3,'Non-Embedded Emissions'!$A$56:$D$90,2,FALSE)+VLOOKUP(BL$3,'Non-Embedded Emissions'!$A$143:$D$174,2,FALSE)+VLOOKUP(BL$3,'Non-Embedded Emissions'!$A$230:$D$259,2,FALSE)), $C19 = "2", 'Inputs-System'!$C$30*'Coincidence Factors'!$B$7*'Inputs-Proposals'!$E$23*'Inputs-Proposals'!$E$25*(VLOOKUP(BL$3,'Non-Embedded Emissions'!$A$56:$D$90,2,FALSE)+VLOOKUP(BL$3,'Non-Embedded Emissions'!$A$143:$D$174,2,FALSE)+VLOOKUP(BL$3,'Non-Embedded Emissions'!$A$230:$D$259,2,FALSE)), $C19 = "3", 'Inputs-System'!$C$30*'Coincidence Factors'!$B$7*'Inputs-Proposals'!$E$29*'Inputs-Proposals'!$E$31*(VLOOKUP(BL$3,'Non-Embedded Emissions'!$A$56:$D$90,2,FALSE)+VLOOKUP(BL$3,'Non-Embedded Emissions'!$A$143:$D$174,2,FALSE)+VLOOKUP(BL$3,'Non-Embedded Emissions'!$A$230:$D$259,2,FALSE)), $C19 = "0", 0), 0)</f>
        <v>0</v>
      </c>
      <c r="BR19" s="45">
        <f>IFERROR(_xlfn.IFS($C19="1",('Inputs-System'!$C$30*'Coincidence Factors'!$B$7*(1+'Inputs-System'!$C$18)*(1+'Inputs-System'!$C$41)*('Inputs-Proposals'!$E$17*'Inputs-Proposals'!$E$19*('Inputs-Proposals'!$E$20))*(VLOOKUP(BR$3,Energy!$A$51:$K$83,5,FALSE))), $C19 = "2",('Inputs-System'!$C$30*'Coincidence Factors'!$B$7)*(1+'Inputs-System'!$C$18)*(1+'Inputs-System'!$C$41)*('Inputs-Proposals'!$E$23*'Inputs-Proposals'!$E$25*('Inputs-Proposals'!$E$26))*(VLOOKUP(BR$3,Energy!$A$51:$K$83,5,FALSE)), $C19= "3", ('Inputs-System'!$C$30*'Coincidence Factors'!$B$7*(1+'Inputs-System'!$C$18)*(1+'Inputs-System'!$C$41)*('Inputs-Proposals'!$E$29*'Inputs-Proposals'!$E$31*('Inputs-Proposals'!$E$32))*(VLOOKUP(BR$3,Energy!$A$51:$K$83,5,FALSE))), $C19= "0", 0), 0)</f>
        <v>0</v>
      </c>
      <c r="BS19" s="44">
        <f>IFERROR(_xlfn.IFS($C19="1",'Inputs-System'!$C$30*'Coincidence Factors'!$B$7*(1+'Inputs-System'!$C$18)*(1+'Inputs-System'!$C$41)*'Inputs-Proposals'!$E$17*'Inputs-Proposals'!$E$19*('Inputs-Proposals'!$E$20)*(VLOOKUP(BR$3,'Embedded Emissions'!$A$47:$B$78,2,FALSE)+VLOOKUP(BR$3,'Embedded Emissions'!$A$129:$B$158,2,FALSE)), $C19 = "2",'Inputs-System'!$C$30*'Coincidence Factors'!$B$7*(1+'Inputs-System'!$C$18)*(1+'Inputs-System'!$C$41)*'Inputs-Proposals'!$E$23*'Inputs-Proposals'!$E$25*('Inputs-Proposals'!$E$20)*(VLOOKUP(BR$3,'Embedded Emissions'!$A$47:$B$78,2,FALSE)+VLOOKUP(BR$3,'Embedded Emissions'!$A$129:$B$158,2,FALSE)), $C19 = "3", 'Inputs-System'!$C$30*'Coincidence Factors'!$B$7*(1+'Inputs-System'!$C$18)*(1+'Inputs-System'!$C$41)*'Inputs-Proposals'!$E$29*'Inputs-Proposals'!$E$31*('Inputs-Proposals'!$E$20)*(VLOOKUP(BR$3,'Embedded Emissions'!$A$47:$B$78,2,FALSE)+VLOOKUP(BR$3,'Embedded Emissions'!$A$129:$B$158,2,FALSE)), $C19 = "0", 0), 0)</f>
        <v>0</v>
      </c>
      <c r="BT19" s="44">
        <f>IFERROR(_xlfn.IFS($C19="1",( 'Inputs-System'!$C$30*'Coincidence Factors'!$B$7*(1+'Inputs-System'!$C$18)*(1+'Inputs-System'!$C$41))*('Inputs-Proposals'!$E$17*'Inputs-Proposals'!$E$19*('Inputs-Proposals'!$E$20))*(VLOOKUP(BR$3,DRIPE!$A$54:$I$82,5,FALSE)+VLOOKUP(BR$3,DRIPE!$A$54:$I$82,9,FALSE))+ ('Inputs-System'!$C$26*'Coincidence Factors'!$B$7*(1+'Inputs-System'!$C$18)*(1+'Inputs-System'!$C$42))*'Inputs-Proposals'!$E$16*VLOOKUP(BR$3,DRIPE!$A$54:$I$82,8,FALSE), $C19 = "2",( 'Inputs-System'!$C$30*'Coincidence Factors'!$B$7*(1+'Inputs-System'!$C$18)*(1+'Inputs-System'!$C$41))*('Inputs-Proposals'!$E$23*'Inputs-Proposals'!$E$25*('Inputs-Proposals'!$E$26))*(VLOOKUP(BR$3,DRIPE!$A$54:$I$82,5,FALSE)+VLOOKUP(BR$3,DRIPE!$A$54:$I$82,12,FALSE))+ ('Inputs-System'!$C$26*'Coincidence Factors'!$B$7*(1+'Inputs-System'!$C$18)*(1+'Inputs-System'!$C$42))*'Inputs-Proposals'!$E$22*VLOOKUP(BR$3,DRIPE!$A$54:$I$82,8,FALSE), $C19= "3", ( 'Inputs-System'!$C$30*'Coincidence Factors'!$B$7*(1+'Inputs-System'!$C$18)*(1+'Inputs-System'!$C$41))*('Inputs-Proposals'!$E$29*'Inputs-Proposals'!$E$31*('Inputs-Proposals'!$E$32))*(VLOOKUP(BR$3,DRIPE!$A$54:$I$82,5,FALSE)+VLOOKUP(BR$3,DRIPE!$A$54:$I$82,12,FALSE))+ ('Inputs-System'!$C$26*'Coincidence Factors'!$B$7*(1+'Inputs-System'!$C$18)*(1+'Inputs-System'!$C$42))*'Inputs-Proposals'!$E$28*VLOOKUP(BR$3,DRIPE!$A$54:$I$82,8,FALSE), $C19 = "0", 0), 0)</f>
        <v>0</v>
      </c>
      <c r="BU19" s="45">
        <f>IFERROR(_xlfn.IFS($C19="1",('Inputs-System'!$C$26*'Coincidence Factors'!$B$7*(1+'Inputs-System'!$C$18))*'Inputs-Proposals'!$E$16*(VLOOKUP(BR$3,Capacity!$A$53:$E$85,4,FALSE)*(1+'Inputs-System'!$C$42)+VLOOKUP(BR$3,Capacity!$A$53:$E$85,5,FALSE)*'Inputs-System'!$C$29*(1+'Inputs-System'!$C$43)), $C19 = "2", ('Inputs-System'!$C$26*'Coincidence Factors'!$B$7*(1+'Inputs-System'!$C$18))*'Inputs-Proposals'!$E$22*(VLOOKUP(BR$3,Capacity!$A$53:$E$85,4,FALSE)*(1+'Inputs-System'!$C$42)+VLOOKUP(BR$3,Capacity!$A$53:$E$85,5,FALSE)*'Inputs-System'!$C$29*(1+'Inputs-System'!$C$43)), $C19 = "3",('Inputs-System'!$C$26*'Coincidence Factors'!$B$7*(1+'Inputs-System'!$C$18))*'Inputs-Proposals'!$E$28*(VLOOKUP(BR$3,Capacity!$A$53:$E$85,4,FALSE)*(1+'Inputs-System'!$C$42)+VLOOKUP(BR$3,Capacity!$A$53:$E$85,5,FALSE)*'Inputs-System'!$C$29*(1+'Inputs-System'!$C$43)), $C19 = "0", 0), 0)</f>
        <v>0</v>
      </c>
      <c r="BV19" s="44">
        <v>0</v>
      </c>
      <c r="BW19" s="342">
        <f>IFERROR(_xlfn.IFS($C19="1", 'Inputs-System'!$C$30*'Coincidence Factors'!$B$7*'Inputs-Proposals'!$E$17*'Inputs-Proposals'!$E$19*(VLOOKUP(BR$3,'Non-Embedded Emissions'!$A$56:$D$90,2,FALSE)+VLOOKUP(BR$3,'Non-Embedded Emissions'!$A$143:$D$174,2,FALSE)+VLOOKUP(BR$3,'Non-Embedded Emissions'!$A$230:$D$259,2,FALSE)), $C19 = "2", 'Inputs-System'!$C$30*'Coincidence Factors'!$B$7*'Inputs-Proposals'!$E$23*'Inputs-Proposals'!$E$25*(VLOOKUP(BR$3,'Non-Embedded Emissions'!$A$56:$D$90,2,FALSE)+VLOOKUP(BR$3,'Non-Embedded Emissions'!$A$143:$D$174,2,FALSE)+VLOOKUP(BR$3,'Non-Embedded Emissions'!$A$230:$D$259,2,FALSE)), $C19 = "3", 'Inputs-System'!$C$30*'Coincidence Factors'!$B$7*'Inputs-Proposals'!$E$29*'Inputs-Proposals'!$E$31*(VLOOKUP(BR$3,'Non-Embedded Emissions'!$A$56:$D$90,2,FALSE)+VLOOKUP(BR$3,'Non-Embedded Emissions'!$A$143:$D$174,2,FALSE)+VLOOKUP(BR$3,'Non-Embedded Emissions'!$A$230:$D$259,2,FALSE)), $C19 = "0", 0), 0)</f>
        <v>0</v>
      </c>
      <c r="BX19" s="45">
        <f>IFERROR(_xlfn.IFS($C19="1",('Inputs-System'!$C$30*'Coincidence Factors'!$B$7*(1+'Inputs-System'!$C$18)*(1+'Inputs-System'!$C$41)*('Inputs-Proposals'!$E$17*'Inputs-Proposals'!$E$19*('Inputs-Proposals'!$E$20))*(VLOOKUP(BX$3,Energy!$A$51:$K$83,5,FALSE))), $C19 = "2",('Inputs-System'!$C$30*'Coincidence Factors'!$B$7)*(1+'Inputs-System'!$C$18)*(1+'Inputs-System'!$C$41)*('Inputs-Proposals'!$E$23*'Inputs-Proposals'!$E$25*('Inputs-Proposals'!$E$26))*(VLOOKUP(BX$3,Energy!$A$51:$K$83,5,FALSE)), $C19= "3", ('Inputs-System'!$C$30*'Coincidence Factors'!$B$7*(1+'Inputs-System'!$C$18)*(1+'Inputs-System'!$C$41)*('Inputs-Proposals'!$E$29*'Inputs-Proposals'!$E$31*('Inputs-Proposals'!$E$32))*(VLOOKUP(BX$3,Energy!$A$51:$K$83,5,FALSE))), $C19= "0", 0), 0)</f>
        <v>0</v>
      </c>
      <c r="BY19" s="44">
        <f>IFERROR(_xlfn.IFS($C19="1",'Inputs-System'!$C$30*'Coincidence Factors'!$B$7*(1+'Inputs-System'!$C$18)*(1+'Inputs-System'!$C$41)*'Inputs-Proposals'!$E$17*'Inputs-Proposals'!$E$19*('Inputs-Proposals'!$E$20)*(VLOOKUP(BX$3,'Embedded Emissions'!$A$47:$B$78,2,FALSE)+VLOOKUP(BX$3,'Embedded Emissions'!$A$129:$B$158,2,FALSE)), $C19 = "2",'Inputs-System'!$C$30*'Coincidence Factors'!$B$7*(1+'Inputs-System'!$C$18)*(1+'Inputs-System'!$C$41)*'Inputs-Proposals'!$E$23*'Inputs-Proposals'!$E$25*('Inputs-Proposals'!$E$20)*(VLOOKUP(BX$3,'Embedded Emissions'!$A$47:$B$78,2,FALSE)+VLOOKUP(BX$3,'Embedded Emissions'!$A$129:$B$158,2,FALSE)), $C19 = "3", 'Inputs-System'!$C$30*'Coincidence Factors'!$B$7*(1+'Inputs-System'!$C$18)*(1+'Inputs-System'!$C$41)*'Inputs-Proposals'!$E$29*'Inputs-Proposals'!$E$31*('Inputs-Proposals'!$E$20)*(VLOOKUP(BX$3,'Embedded Emissions'!$A$47:$B$78,2,FALSE)+VLOOKUP(BX$3,'Embedded Emissions'!$A$129:$B$158,2,FALSE)), $C19 = "0", 0), 0)</f>
        <v>0</v>
      </c>
      <c r="BZ19" s="44">
        <f>IFERROR(_xlfn.IFS($C19="1",( 'Inputs-System'!$C$30*'Coincidence Factors'!$B$7*(1+'Inputs-System'!$C$18)*(1+'Inputs-System'!$C$41))*('Inputs-Proposals'!$E$17*'Inputs-Proposals'!$E$19*('Inputs-Proposals'!$E$20))*(VLOOKUP(BX$3,DRIPE!$A$54:$I$82,5,FALSE)+VLOOKUP(BX$3,DRIPE!$A$54:$I$82,9,FALSE))+ ('Inputs-System'!$C$26*'Coincidence Factors'!$B$7*(1+'Inputs-System'!$C$18)*(1+'Inputs-System'!$C$42))*'Inputs-Proposals'!$E$16*VLOOKUP(BX$3,DRIPE!$A$54:$I$82,8,FALSE), $C19 = "2",( 'Inputs-System'!$C$30*'Coincidence Factors'!$B$7*(1+'Inputs-System'!$C$18)*(1+'Inputs-System'!$C$41))*('Inputs-Proposals'!$E$23*'Inputs-Proposals'!$E$25*('Inputs-Proposals'!$E$26))*(VLOOKUP(BX$3,DRIPE!$A$54:$I$82,5,FALSE)+VLOOKUP(BX$3,DRIPE!$A$54:$I$82,12,FALSE))+ ('Inputs-System'!$C$26*'Coincidence Factors'!$B$7*(1+'Inputs-System'!$C$18)*(1+'Inputs-System'!$C$42))*'Inputs-Proposals'!$E$22*VLOOKUP(BX$3,DRIPE!$A$54:$I$82,8,FALSE), $C19= "3", ( 'Inputs-System'!$C$30*'Coincidence Factors'!$B$7*(1+'Inputs-System'!$C$18)*(1+'Inputs-System'!$C$41))*('Inputs-Proposals'!$E$29*'Inputs-Proposals'!$E$31*('Inputs-Proposals'!$E$32))*(VLOOKUP(BX$3,DRIPE!$A$54:$I$82,5,FALSE)+VLOOKUP(BX$3,DRIPE!$A$54:$I$82,12,FALSE))+ ('Inputs-System'!$C$26*'Coincidence Factors'!$B$7*(1+'Inputs-System'!$C$18)*(1+'Inputs-System'!$C$42))*'Inputs-Proposals'!$E$28*VLOOKUP(BX$3,DRIPE!$A$54:$I$82,8,FALSE), $C19 = "0", 0), 0)</f>
        <v>0</v>
      </c>
      <c r="CA19" s="45">
        <f>IFERROR(_xlfn.IFS($C19="1",('Inputs-System'!$C$26*'Coincidence Factors'!$B$7*(1+'Inputs-System'!$C$18))*'Inputs-Proposals'!$E$16*(VLOOKUP(BX$3,Capacity!$A$53:$E$85,4,FALSE)*(1+'Inputs-System'!$C$42)+VLOOKUP(BX$3,Capacity!$A$53:$E$85,5,FALSE)*'Inputs-System'!$C$29*(1+'Inputs-System'!$C$43)), $C19 = "2", ('Inputs-System'!$C$26*'Coincidence Factors'!$B$7*(1+'Inputs-System'!$C$18))*'Inputs-Proposals'!$E$22*(VLOOKUP(BX$3,Capacity!$A$53:$E$85,4,FALSE)*(1+'Inputs-System'!$C$42)+VLOOKUP(BX$3,Capacity!$A$53:$E$85,5,FALSE)*'Inputs-System'!$C$29*(1+'Inputs-System'!$C$43)), $C19 = "3",('Inputs-System'!$C$26*'Coincidence Factors'!$B$7*(1+'Inputs-System'!$C$18))*'Inputs-Proposals'!$E$28*(VLOOKUP(BX$3,Capacity!$A$53:$E$85,4,FALSE)*(1+'Inputs-System'!$C$42)+VLOOKUP(BX$3,Capacity!$A$53:$E$85,5,FALSE)*'Inputs-System'!$C$29*(1+'Inputs-System'!$C$43)), $C19 = "0", 0), 0)</f>
        <v>0</v>
      </c>
      <c r="CB19" s="44">
        <v>0</v>
      </c>
      <c r="CC19" s="342">
        <f>IFERROR(_xlfn.IFS($C19="1", 'Inputs-System'!$C$30*'Coincidence Factors'!$B$7*'Inputs-Proposals'!$E$17*'Inputs-Proposals'!$E$19*(VLOOKUP(BX$3,'Non-Embedded Emissions'!$A$56:$D$90,2,FALSE)+VLOOKUP(BX$3,'Non-Embedded Emissions'!$A$143:$D$174,2,FALSE)+VLOOKUP(BX$3,'Non-Embedded Emissions'!$A$230:$D$259,2,FALSE)), $C19 = "2", 'Inputs-System'!$C$30*'Coincidence Factors'!$B$7*'Inputs-Proposals'!$E$23*'Inputs-Proposals'!$E$25*(VLOOKUP(BX$3,'Non-Embedded Emissions'!$A$56:$D$90,2,FALSE)+VLOOKUP(BX$3,'Non-Embedded Emissions'!$A$143:$D$174,2,FALSE)+VLOOKUP(BX$3,'Non-Embedded Emissions'!$A$230:$D$259,2,FALSE)), $C19 = "3", 'Inputs-System'!$C$30*'Coincidence Factors'!$B$7*'Inputs-Proposals'!$E$29*'Inputs-Proposals'!$E$31*(VLOOKUP(BX$3,'Non-Embedded Emissions'!$A$56:$D$90,2,FALSE)+VLOOKUP(BX$3,'Non-Embedded Emissions'!$A$143:$D$174,2,FALSE)+VLOOKUP(BX$3,'Non-Embedded Emissions'!$A$230:$D$259,2,FALSE)), $C19 = "0", 0), 0)</f>
        <v>0</v>
      </c>
      <c r="CD19" s="45">
        <f>IFERROR(_xlfn.IFS($C19="1",('Inputs-System'!$C$30*'Coincidence Factors'!$B$7*(1+'Inputs-System'!$C$18)*(1+'Inputs-System'!$C$41)*('Inputs-Proposals'!$E$17*'Inputs-Proposals'!$E$19*('Inputs-Proposals'!$E$20))*(VLOOKUP(CD$3,Energy!$A$51:$K$83,5,FALSE))), $C19 = "2",('Inputs-System'!$C$30*'Coincidence Factors'!$B$7)*(1+'Inputs-System'!$C$18)*(1+'Inputs-System'!$C$41)*('Inputs-Proposals'!$E$23*'Inputs-Proposals'!$E$25*('Inputs-Proposals'!$E$26))*(VLOOKUP(CD$3,Energy!$A$51:$K$83,5,FALSE)), $C19= "3", ('Inputs-System'!$C$30*'Coincidence Factors'!$B$7*(1+'Inputs-System'!$C$18)*(1+'Inputs-System'!$C$41)*('Inputs-Proposals'!$E$29*'Inputs-Proposals'!$E$31*('Inputs-Proposals'!$E$32))*(VLOOKUP(CD$3,Energy!$A$51:$K$83,5,FALSE))), $C19= "0", 0), 0)</f>
        <v>0</v>
      </c>
      <c r="CE19" s="44">
        <f>IFERROR(_xlfn.IFS($C19="1",'Inputs-System'!$C$30*'Coincidence Factors'!$B$7*(1+'Inputs-System'!$C$18)*(1+'Inputs-System'!$C$41)*'Inputs-Proposals'!$E$17*'Inputs-Proposals'!$E$19*('Inputs-Proposals'!$E$20)*(VLOOKUP(CD$3,'Embedded Emissions'!$A$47:$B$78,2,FALSE)+VLOOKUP(CD$3,'Embedded Emissions'!$A$129:$B$158,2,FALSE)), $C19 = "2",'Inputs-System'!$C$30*'Coincidence Factors'!$B$7*(1+'Inputs-System'!$C$18)*(1+'Inputs-System'!$C$41)*'Inputs-Proposals'!$E$23*'Inputs-Proposals'!$E$25*('Inputs-Proposals'!$E$20)*(VLOOKUP(CD$3,'Embedded Emissions'!$A$47:$B$78,2,FALSE)+VLOOKUP(CD$3,'Embedded Emissions'!$A$129:$B$158,2,FALSE)), $C19 = "3", 'Inputs-System'!$C$30*'Coincidence Factors'!$B$7*(1+'Inputs-System'!$C$18)*(1+'Inputs-System'!$C$41)*'Inputs-Proposals'!$E$29*'Inputs-Proposals'!$E$31*('Inputs-Proposals'!$E$20)*(VLOOKUP(CD$3,'Embedded Emissions'!$A$47:$B$78,2,FALSE)+VLOOKUP(CD$3,'Embedded Emissions'!$A$129:$B$158,2,FALSE)), $C19 = "0", 0), 0)</f>
        <v>0</v>
      </c>
      <c r="CF19" s="44">
        <f>IFERROR(_xlfn.IFS($C19="1",( 'Inputs-System'!$C$30*'Coincidence Factors'!$B$7*(1+'Inputs-System'!$C$18)*(1+'Inputs-System'!$C$41))*('Inputs-Proposals'!$E$17*'Inputs-Proposals'!$E$19*('Inputs-Proposals'!$E$20))*(VLOOKUP(CD$3,DRIPE!$A$54:$I$82,5,FALSE)+VLOOKUP(CD$3,DRIPE!$A$54:$I$82,9,FALSE))+ ('Inputs-System'!$C$26*'Coincidence Factors'!$B$7*(1+'Inputs-System'!$C$18)*(1+'Inputs-System'!$C$42))*'Inputs-Proposals'!$E$16*VLOOKUP(CD$3,DRIPE!$A$54:$I$82,8,FALSE), $C19 = "2",( 'Inputs-System'!$C$30*'Coincidence Factors'!$B$7*(1+'Inputs-System'!$C$18)*(1+'Inputs-System'!$C$41))*('Inputs-Proposals'!$E$23*'Inputs-Proposals'!$E$25*('Inputs-Proposals'!$E$26))*(VLOOKUP(CD$3,DRIPE!$A$54:$I$82,5,FALSE)+VLOOKUP(CD$3,DRIPE!$A$54:$I$82,12,FALSE))+ ('Inputs-System'!$C$26*'Coincidence Factors'!$B$7*(1+'Inputs-System'!$C$18)*(1+'Inputs-System'!$C$42))*'Inputs-Proposals'!$E$22*VLOOKUP(CD$3,DRIPE!$A$54:$I$82,8,FALSE), $C19= "3", ( 'Inputs-System'!$C$30*'Coincidence Factors'!$B$7*(1+'Inputs-System'!$C$18)*(1+'Inputs-System'!$C$41))*('Inputs-Proposals'!$E$29*'Inputs-Proposals'!$E$31*('Inputs-Proposals'!$E$32))*(VLOOKUP(CD$3,DRIPE!$A$54:$I$82,5,FALSE)+VLOOKUP(CD$3,DRIPE!$A$54:$I$82,12,FALSE))+ ('Inputs-System'!$C$26*'Coincidence Factors'!$B$7*(1+'Inputs-System'!$C$18)*(1+'Inputs-System'!$C$42))*'Inputs-Proposals'!$E$28*VLOOKUP(CD$3,DRIPE!$A$54:$I$82,8,FALSE), $C19 = "0", 0), 0)</f>
        <v>0</v>
      </c>
      <c r="CG19" s="45">
        <f>IFERROR(_xlfn.IFS($C19="1",('Inputs-System'!$C$26*'Coincidence Factors'!$B$7*(1+'Inputs-System'!$C$18))*'Inputs-Proposals'!$E$16*(VLOOKUP(CD$3,Capacity!$A$53:$E$85,4,FALSE)*(1+'Inputs-System'!$C$42)+VLOOKUP(CD$3,Capacity!$A$53:$E$85,5,FALSE)*'Inputs-System'!$C$29*(1+'Inputs-System'!$C$43)), $C19 = "2", ('Inputs-System'!$C$26*'Coincidence Factors'!$B$7*(1+'Inputs-System'!$C$18))*'Inputs-Proposals'!$E$22*(VLOOKUP(CD$3,Capacity!$A$53:$E$85,4,FALSE)*(1+'Inputs-System'!$C$42)+VLOOKUP(CD$3,Capacity!$A$53:$E$85,5,FALSE)*'Inputs-System'!$C$29*(1+'Inputs-System'!$C$43)), $C19 = "3",('Inputs-System'!$C$26*'Coincidence Factors'!$B$7*(1+'Inputs-System'!$C$18))*'Inputs-Proposals'!$E$28*(VLOOKUP(CD$3,Capacity!$A$53:$E$85,4,FALSE)*(1+'Inputs-System'!$C$42)+VLOOKUP(CD$3,Capacity!$A$53:$E$85,5,FALSE)*'Inputs-System'!$C$29*(1+'Inputs-System'!$C$43)), $C19 = "0", 0), 0)</f>
        <v>0</v>
      </c>
      <c r="CH19" s="44">
        <v>0</v>
      </c>
      <c r="CI19" s="342">
        <f>IFERROR(_xlfn.IFS($C19="1", 'Inputs-System'!$C$30*'Coincidence Factors'!$B$7*'Inputs-Proposals'!$E$17*'Inputs-Proposals'!$E$19*(VLOOKUP(CD$3,'Non-Embedded Emissions'!$A$56:$D$90,2,FALSE)+VLOOKUP(CD$3,'Non-Embedded Emissions'!$A$143:$D$174,2,FALSE)+VLOOKUP(CD$3,'Non-Embedded Emissions'!$A$230:$D$259,2,FALSE)), $C19 = "2", 'Inputs-System'!$C$30*'Coincidence Factors'!$B$7*'Inputs-Proposals'!$E$23*'Inputs-Proposals'!$E$25*(VLOOKUP(CD$3,'Non-Embedded Emissions'!$A$56:$D$90,2,FALSE)+VLOOKUP(CD$3,'Non-Embedded Emissions'!$A$143:$D$174,2,FALSE)+VLOOKUP(CD$3,'Non-Embedded Emissions'!$A$230:$D$259,2,FALSE)), $C19 = "3", 'Inputs-System'!$C$30*'Coincidence Factors'!$B$7*'Inputs-Proposals'!$E$29*'Inputs-Proposals'!$E$31*(VLOOKUP(CD$3,'Non-Embedded Emissions'!$A$56:$D$90,2,FALSE)+VLOOKUP(CD$3,'Non-Embedded Emissions'!$A$143:$D$174,2,FALSE)+VLOOKUP(CD$3,'Non-Embedded Emissions'!$A$230:$D$259,2,FALSE)), $C19 = "0", 0), 0)</f>
        <v>0</v>
      </c>
      <c r="CJ19" s="45">
        <f>IFERROR(_xlfn.IFS($C19="1",('Inputs-System'!$C$30*'Coincidence Factors'!$B$7*(1+'Inputs-System'!$C$18)*(1+'Inputs-System'!$C$41)*('Inputs-Proposals'!$E$17*'Inputs-Proposals'!$E$19*('Inputs-Proposals'!$E$20))*(VLOOKUP(CJ$3,Energy!$A$51:$K$83,5,FALSE))), $C19 = "2",('Inputs-System'!$C$30*'Coincidence Factors'!$B$7)*(1+'Inputs-System'!$C$18)*(1+'Inputs-System'!$C$41)*('Inputs-Proposals'!$E$23*'Inputs-Proposals'!$E$25*('Inputs-Proposals'!$E$26))*(VLOOKUP(CJ$3,Energy!$A$51:$K$83,5,FALSE)), $C19= "3", ('Inputs-System'!$C$30*'Coincidence Factors'!$B$7*(1+'Inputs-System'!$C$18)*(1+'Inputs-System'!$C$41)*('Inputs-Proposals'!$E$29*'Inputs-Proposals'!$E$31*('Inputs-Proposals'!$E$32))*(VLOOKUP(CJ$3,Energy!$A$51:$K$83,5,FALSE))), $C19= "0", 0), 0)</f>
        <v>0</v>
      </c>
      <c r="CK19" s="44">
        <f>IFERROR(_xlfn.IFS($C19="1",'Inputs-System'!$C$30*'Coincidence Factors'!$B$7*(1+'Inputs-System'!$C$18)*(1+'Inputs-System'!$C$41)*'Inputs-Proposals'!$E$17*'Inputs-Proposals'!$E$19*('Inputs-Proposals'!$E$20)*(VLOOKUP(CJ$3,'Embedded Emissions'!$A$47:$B$78,2,FALSE)+VLOOKUP(CJ$3,'Embedded Emissions'!$A$129:$B$158,2,FALSE)), $C19 = "2",'Inputs-System'!$C$30*'Coincidence Factors'!$B$7*(1+'Inputs-System'!$C$18)*(1+'Inputs-System'!$C$41)*'Inputs-Proposals'!$E$23*'Inputs-Proposals'!$E$25*('Inputs-Proposals'!$E$20)*(VLOOKUP(CJ$3,'Embedded Emissions'!$A$47:$B$78,2,FALSE)+VLOOKUP(CJ$3,'Embedded Emissions'!$A$129:$B$158,2,FALSE)), $C19 = "3", 'Inputs-System'!$C$30*'Coincidence Factors'!$B$7*(1+'Inputs-System'!$C$18)*(1+'Inputs-System'!$C$41)*'Inputs-Proposals'!$E$29*'Inputs-Proposals'!$E$31*('Inputs-Proposals'!$E$20)*(VLOOKUP(CJ$3,'Embedded Emissions'!$A$47:$B$78,2,FALSE)+VLOOKUP(CJ$3,'Embedded Emissions'!$A$129:$B$158,2,FALSE)), $C19 = "0", 0), 0)</f>
        <v>0</v>
      </c>
      <c r="CL19" s="44">
        <f>IFERROR(_xlfn.IFS($C19="1",( 'Inputs-System'!$C$30*'Coincidence Factors'!$B$7*(1+'Inputs-System'!$C$18)*(1+'Inputs-System'!$C$41))*('Inputs-Proposals'!$E$17*'Inputs-Proposals'!$E$19*('Inputs-Proposals'!$E$20))*(VLOOKUP(CJ$3,DRIPE!$A$54:$I$82,5,FALSE)+VLOOKUP(CJ$3,DRIPE!$A$54:$I$82,9,FALSE))+ ('Inputs-System'!$C$26*'Coincidence Factors'!$B$7*(1+'Inputs-System'!$C$18)*(1+'Inputs-System'!$C$42))*'Inputs-Proposals'!$E$16*VLOOKUP(CJ$3,DRIPE!$A$54:$I$82,8,FALSE), $C19 = "2",( 'Inputs-System'!$C$30*'Coincidence Factors'!$B$7*(1+'Inputs-System'!$C$18)*(1+'Inputs-System'!$C$41))*('Inputs-Proposals'!$E$23*'Inputs-Proposals'!$E$25*('Inputs-Proposals'!$E$26))*(VLOOKUP(CJ$3,DRIPE!$A$54:$I$82,5,FALSE)+VLOOKUP(CJ$3,DRIPE!$A$54:$I$82,12,FALSE))+ ('Inputs-System'!$C$26*'Coincidence Factors'!$B$7*(1+'Inputs-System'!$C$18)*(1+'Inputs-System'!$C$42))*'Inputs-Proposals'!$E$22*VLOOKUP(CJ$3,DRIPE!$A$54:$I$82,8,FALSE), $C19= "3", ( 'Inputs-System'!$C$30*'Coincidence Factors'!$B$7*(1+'Inputs-System'!$C$18)*(1+'Inputs-System'!$C$41))*('Inputs-Proposals'!$E$29*'Inputs-Proposals'!$E$31*('Inputs-Proposals'!$E$32))*(VLOOKUP(CJ$3,DRIPE!$A$54:$I$82,5,FALSE)+VLOOKUP(CJ$3,DRIPE!$A$54:$I$82,12,FALSE))+ ('Inputs-System'!$C$26*'Coincidence Factors'!$B$7*(1+'Inputs-System'!$C$18)*(1+'Inputs-System'!$C$42))*'Inputs-Proposals'!$E$28*VLOOKUP(CJ$3,DRIPE!$A$54:$I$82,8,FALSE), $C19 = "0", 0), 0)</f>
        <v>0</v>
      </c>
      <c r="CM19" s="45">
        <f>IFERROR(_xlfn.IFS($C19="1",('Inputs-System'!$C$26*'Coincidence Factors'!$B$7*(1+'Inputs-System'!$C$18))*'Inputs-Proposals'!$E$16*(VLOOKUP(CJ$3,Capacity!$A$53:$E$85,4,FALSE)*(1+'Inputs-System'!$C$42)+VLOOKUP(CJ$3,Capacity!$A$53:$E$85,5,FALSE)*'Inputs-System'!$C$29*(1+'Inputs-System'!$C$43)), $C19 = "2", ('Inputs-System'!$C$26*'Coincidence Factors'!$B$7*(1+'Inputs-System'!$C$18))*'Inputs-Proposals'!$E$22*(VLOOKUP(CJ$3,Capacity!$A$53:$E$85,4,FALSE)*(1+'Inputs-System'!$C$42)+VLOOKUP(CJ$3,Capacity!$A$53:$E$85,5,FALSE)*'Inputs-System'!$C$29*(1+'Inputs-System'!$C$43)), $C19 = "3",('Inputs-System'!$C$26*'Coincidence Factors'!$B$7*(1+'Inputs-System'!$C$18))*'Inputs-Proposals'!$E$28*(VLOOKUP(CJ$3,Capacity!$A$53:$E$85,4,FALSE)*(1+'Inputs-System'!$C$42)+VLOOKUP(CJ$3,Capacity!$A$53:$E$85,5,FALSE)*'Inputs-System'!$C$29*(1+'Inputs-System'!$C$43)), $C19 = "0", 0), 0)</f>
        <v>0</v>
      </c>
      <c r="CN19" s="44">
        <v>0</v>
      </c>
      <c r="CO19" s="342">
        <f>IFERROR(_xlfn.IFS($C19="1", 'Inputs-System'!$C$30*'Coincidence Factors'!$B$7*'Inputs-Proposals'!$E$17*'Inputs-Proposals'!$E$19*(VLOOKUP(CJ$3,'Non-Embedded Emissions'!$A$56:$D$90,2,FALSE)+VLOOKUP(CJ$3,'Non-Embedded Emissions'!$A$143:$D$174,2,FALSE)+VLOOKUP(CJ$3,'Non-Embedded Emissions'!$A$230:$D$259,2,FALSE)), $C19 = "2", 'Inputs-System'!$C$30*'Coincidence Factors'!$B$7*'Inputs-Proposals'!$E$23*'Inputs-Proposals'!$E$25*(VLOOKUP(CJ$3,'Non-Embedded Emissions'!$A$56:$D$90,2,FALSE)+VLOOKUP(CJ$3,'Non-Embedded Emissions'!$A$143:$D$174,2,FALSE)+VLOOKUP(CJ$3,'Non-Embedded Emissions'!$A$230:$D$259,2,FALSE)), $C19 = "3", 'Inputs-System'!$C$30*'Coincidence Factors'!$B$7*'Inputs-Proposals'!$E$29*'Inputs-Proposals'!$E$31*(VLOOKUP(CJ$3,'Non-Embedded Emissions'!$A$56:$D$90,2,FALSE)+VLOOKUP(CJ$3,'Non-Embedded Emissions'!$A$143:$D$174,2,FALSE)+VLOOKUP(CJ$3,'Non-Embedded Emissions'!$A$230:$D$259,2,FALSE)), $C19 = "0", 0), 0)</f>
        <v>0</v>
      </c>
      <c r="CP19" s="45">
        <f>IFERROR(_xlfn.IFS($C19="1",('Inputs-System'!$C$30*'Coincidence Factors'!$B$7*(1+'Inputs-System'!$C$18)*(1+'Inputs-System'!$C$41)*('Inputs-Proposals'!$E$17*'Inputs-Proposals'!$E$19*('Inputs-Proposals'!$E$20))*(VLOOKUP(CP$3,Energy!$A$51:$K$83,5,FALSE))), $C19 = "2",('Inputs-System'!$C$30*'Coincidence Factors'!$B$7)*(1+'Inputs-System'!$C$18)*(1+'Inputs-System'!$C$41)*('Inputs-Proposals'!$E$23*'Inputs-Proposals'!$E$25*('Inputs-Proposals'!$E$26))*(VLOOKUP(CP$3,Energy!$A$51:$K$83,5,FALSE)), $C19= "3", ('Inputs-System'!$C$30*'Coincidence Factors'!$B$7*(1+'Inputs-System'!$C$18)*(1+'Inputs-System'!$C$41)*('Inputs-Proposals'!$E$29*'Inputs-Proposals'!$E$31*('Inputs-Proposals'!$E$32))*(VLOOKUP(CP$3,Energy!$A$51:$K$83,5,FALSE))), $C19= "0", 0), 0)</f>
        <v>0</v>
      </c>
      <c r="CQ19" s="44">
        <f>IFERROR(_xlfn.IFS($C19="1",'Inputs-System'!$C$30*'Coincidence Factors'!$B$7*(1+'Inputs-System'!$C$18)*(1+'Inputs-System'!$C$41)*'Inputs-Proposals'!$E$17*'Inputs-Proposals'!$E$19*('Inputs-Proposals'!$E$20)*(VLOOKUP(CP$3,'Embedded Emissions'!$A$47:$B$78,2,FALSE)+VLOOKUP(CP$3,'Embedded Emissions'!$A$129:$B$158,2,FALSE)), $C19 = "2",'Inputs-System'!$C$30*'Coincidence Factors'!$B$7*(1+'Inputs-System'!$C$18)*(1+'Inputs-System'!$C$41)*'Inputs-Proposals'!$E$23*'Inputs-Proposals'!$E$25*('Inputs-Proposals'!$E$20)*(VLOOKUP(CP$3,'Embedded Emissions'!$A$47:$B$78,2,FALSE)+VLOOKUP(CP$3,'Embedded Emissions'!$A$129:$B$158,2,FALSE)), $C19 = "3", 'Inputs-System'!$C$30*'Coincidence Factors'!$B$7*(1+'Inputs-System'!$C$18)*(1+'Inputs-System'!$C$41)*'Inputs-Proposals'!$E$29*'Inputs-Proposals'!$E$31*('Inputs-Proposals'!$E$20)*(VLOOKUP(CP$3,'Embedded Emissions'!$A$47:$B$78,2,FALSE)+VLOOKUP(CP$3,'Embedded Emissions'!$A$129:$B$158,2,FALSE)), $C19 = "0", 0), 0)</f>
        <v>0</v>
      </c>
      <c r="CR19" s="44">
        <f>IFERROR(_xlfn.IFS($C19="1",( 'Inputs-System'!$C$30*'Coincidence Factors'!$B$7*(1+'Inputs-System'!$C$18)*(1+'Inputs-System'!$C$41))*('Inputs-Proposals'!$E$17*'Inputs-Proposals'!$E$19*('Inputs-Proposals'!$E$20))*(VLOOKUP(CP$3,DRIPE!$A$54:$I$82,5,FALSE)+VLOOKUP(CP$3,DRIPE!$A$54:$I$82,9,FALSE))+ ('Inputs-System'!$C$26*'Coincidence Factors'!$B$7*(1+'Inputs-System'!$C$18)*(1+'Inputs-System'!$C$42))*'Inputs-Proposals'!$E$16*VLOOKUP(CP$3,DRIPE!$A$54:$I$82,8,FALSE), $C19 = "2",( 'Inputs-System'!$C$30*'Coincidence Factors'!$B$7*(1+'Inputs-System'!$C$18)*(1+'Inputs-System'!$C$41))*('Inputs-Proposals'!$E$23*'Inputs-Proposals'!$E$25*('Inputs-Proposals'!$E$26))*(VLOOKUP(CP$3,DRIPE!$A$54:$I$82,5,FALSE)+VLOOKUP(CP$3,DRIPE!$A$54:$I$82,12,FALSE))+ ('Inputs-System'!$C$26*'Coincidence Factors'!$B$7*(1+'Inputs-System'!$C$18)*(1+'Inputs-System'!$C$42))*'Inputs-Proposals'!$E$22*VLOOKUP(CP$3,DRIPE!$A$54:$I$82,8,FALSE), $C19= "3", ( 'Inputs-System'!$C$30*'Coincidence Factors'!$B$7*(1+'Inputs-System'!$C$18)*(1+'Inputs-System'!$C$41))*('Inputs-Proposals'!$E$29*'Inputs-Proposals'!$E$31*('Inputs-Proposals'!$E$32))*(VLOOKUP(CP$3,DRIPE!$A$54:$I$82,5,FALSE)+VLOOKUP(CP$3,DRIPE!$A$54:$I$82,12,FALSE))+ ('Inputs-System'!$C$26*'Coincidence Factors'!$B$7*(1+'Inputs-System'!$C$18)*(1+'Inputs-System'!$C$42))*'Inputs-Proposals'!$E$28*VLOOKUP(CP$3,DRIPE!$A$54:$I$82,8,FALSE), $C19 = "0", 0), 0)</f>
        <v>0</v>
      </c>
      <c r="CS19" s="45">
        <f>IFERROR(_xlfn.IFS($C19="1",('Inputs-System'!$C$26*'Coincidence Factors'!$B$7*(1+'Inputs-System'!$C$18))*'Inputs-Proposals'!$E$16*(VLOOKUP(CP$3,Capacity!$A$53:$E$85,4,FALSE)*(1+'Inputs-System'!$C$42)+VLOOKUP(CP$3,Capacity!$A$53:$E$85,5,FALSE)*'Inputs-System'!$C$29*(1+'Inputs-System'!$C$43)), $C19 = "2", ('Inputs-System'!$C$26*'Coincidence Factors'!$B$7*(1+'Inputs-System'!$C$18))*'Inputs-Proposals'!$E$22*(VLOOKUP(CP$3,Capacity!$A$53:$E$85,4,FALSE)*(1+'Inputs-System'!$C$42)+VLOOKUP(CP$3,Capacity!$A$53:$E$85,5,FALSE)*'Inputs-System'!$C$29*(1+'Inputs-System'!$C$43)), $C19 = "3",('Inputs-System'!$C$26*'Coincidence Factors'!$B$7*(1+'Inputs-System'!$C$18))*'Inputs-Proposals'!$E$28*(VLOOKUP(CP$3,Capacity!$A$53:$E$85,4,FALSE)*(1+'Inputs-System'!$C$42)+VLOOKUP(CP$3,Capacity!$A$53:$E$85,5,FALSE)*'Inputs-System'!$C$29*(1+'Inputs-System'!$C$43)), $C19 = "0", 0), 0)</f>
        <v>0</v>
      </c>
      <c r="CT19" s="44">
        <v>0</v>
      </c>
      <c r="CU19" s="342">
        <f>IFERROR(_xlfn.IFS($C19="1", 'Inputs-System'!$C$30*'Coincidence Factors'!$B$7*'Inputs-Proposals'!$E$17*'Inputs-Proposals'!$E$19*(VLOOKUP(CP$3,'Non-Embedded Emissions'!$A$56:$D$90,2,FALSE)+VLOOKUP(CP$3,'Non-Embedded Emissions'!$A$143:$D$174,2,FALSE)+VLOOKUP(CP$3,'Non-Embedded Emissions'!$A$230:$D$259,2,FALSE)), $C19 = "2", 'Inputs-System'!$C$30*'Coincidence Factors'!$B$7*'Inputs-Proposals'!$E$23*'Inputs-Proposals'!$E$25*(VLOOKUP(CP$3,'Non-Embedded Emissions'!$A$56:$D$90,2,FALSE)+VLOOKUP(CP$3,'Non-Embedded Emissions'!$A$143:$D$174,2,FALSE)+VLOOKUP(CP$3,'Non-Embedded Emissions'!$A$230:$D$259,2,FALSE)), $C19 = "3", 'Inputs-System'!$C$30*'Coincidence Factors'!$B$7*'Inputs-Proposals'!$E$29*'Inputs-Proposals'!$E$31*(VLOOKUP(CP$3,'Non-Embedded Emissions'!$A$56:$D$90,2,FALSE)+VLOOKUP(CP$3,'Non-Embedded Emissions'!$A$143:$D$174,2,FALSE)+VLOOKUP(CP$3,'Non-Embedded Emissions'!$A$230:$D$259,2,FALSE)), $C19 = "0", 0), 0)</f>
        <v>0</v>
      </c>
      <c r="CV19" s="45">
        <f>IFERROR(_xlfn.IFS($C19="1",('Inputs-System'!$C$30*'Coincidence Factors'!$B$7*(1+'Inputs-System'!$C$18)*(1+'Inputs-System'!$C$41)*('Inputs-Proposals'!$E$17*'Inputs-Proposals'!$E$19*('Inputs-Proposals'!$E$20))*(VLOOKUP(CV$3,Energy!$A$51:$K$83,5,FALSE))), $C19 = "2",('Inputs-System'!$C$30*'Coincidence Factors'!$B$7)*(1+'Inputs-System'!$C$18)*(1+'Inputs-System'!$C$41)*('Inputs-Proposals'!$E$23*'Inputs-Proposals'!$E$25*('Inputs-Proposals'!$E$26))*(VLOOKUP(CV$3,Energy!$A$51:$K$83,5,FALSE)), $C19= "3", ('Inputs-System'!$C$30*'Coincidence Factors'!$B$7*(1+'Inputs-System'!$C$18)*(1+'Inputs-System'!$C$41)*('Inputs-Proposals'!$E$29*'Inputs-Proposals'!$E$31*('Inputs-Proposals'!$E$32))*(VLOOKUP(CV$3,Energy!$A$51:$K$83,5,FALSE))), $C19= "0", 0), 0)</f>
        <v>0</v>
      </c>
      <c r="CW19" s="44">
        <f>IFERROR(_xlfn.IFS($C19="1",'Inputs-System'!$C$30*'Coincidence Factors'!$B$7*(1+'Inputs-System'!$C$18)*(1+'Inputs-System'!$C$41)*'Inputs-Proposals'!$E$17*'Inputs-Proposals'!$E$19*('Inputs-Proposals'!$E$20)*(VLOOKUP(CV$3,'Embedded Emissions'!$A$47:$B$78,2,FALSE)+VLOOKUP(CV$3,'Embedded Emissions'!$A$129:$B$158,2,FALSE)), $C19 = "2",'Inputs-System'!$C$30*'Coincidence Factors'!$B$7*(1+'Inputs-System'!$C$18)*(1+'Inputs-System'!$C$41)*'Inputs-Proposals'!$E$23*'Inputs-Proposals'!$E$25*('Inputs-Proposals'!$E$20)*(VLOOKUP(CV$3,'Embedded Emissions'!$A$47:$B$78,2,FALSE)+VLOOKUP(CV$3,'Embedded Emissions'!$A$129:$B$158,2,FALSE)), $C19 = "3", 'Inputs-System'!$C$30*'Coincidence Factors'!$B$7*(1+'Inputs-System'!$C$18)*(1+'Inputs-System'!$C$41)*'Inputs-Proposals'!$E$29*'Inputs-Proposals'!$E$31*('Inputs-Proposals'!$E$20)*(VLOOKUP(CV$3,'Embedded Emissions'!$A$47:$B$78,2,FALSE)+VLOOKUP(CV$3,'Embedded Emissions'!$A$129:$B$158,2,FALSE)), $C19 = "0", 0), 0)</f>
        <v>0</v>
      </c>
      <c r="CX19" s="44">
        <f>IFERROR(_xlfn.IFS($C19="1",( 'Inputs-System'!$C$30*'Coincidence Factors'!$B$7*(1+'Inputs-System'!$C$18)*(1+'Inputs-System'!$C$41))*('Inputs-Proposals'!$E$17*'Inputs-Proposals'!$E$19*('Inputs-Proposals'!$E$20))*(VLOOKUP(CV$3,DRIPE!$A$54:$I$82,5,FALSE)+VLOOKUP(CV$3,DRIPE!$A$54:$I$82,9,FALSE))+ ('Inputs-System'!$C$26*'Coincidence Factors'!$B$7*(1+'Inputs-System'!$C$18)*(1+'Inputs-System'!$C$42))*'Inputs-Proposals'!$E$16*VLOOKUP(CV$3,DRIPE!$A$54:$I$82,8,FALSE), $C19 = "2",( 'Inputs-System'!$C$30*'Coincidence Factors'!$B$7*(1+'Inputs-System'!$C$18)*(1+'Inputs-System'!$C$41))*('Inputs-Proposals'!$E$23*'Inputs-Proposals'!$E$25*('Inputs-Proposals'!$E$26))*(VLOOKUP(CV$3,DRIPE!$A$54:$I$82,5,FALSE)+VLOOKUP(CV$3,DRIPE!$A$54:$I$82,12,FALSE))+ ('Inputs-System'!$C$26*'Coincidence Factors'!$B$7*(1+'Inputs-System'!$C$18)*(1+'Inputs-System'!$C$42))*'Inputs-Proposals'!$E$22*VLOOKUP(CV$3,DRIPE!$A$54:$I$82,8,FALSE), $C19= "3", ( 'Inputs-System'!$C$30*'Coincidence Factors'!$B$7*(1+'Inputs-System'!$C$18)*(1+'Inputs-System'!$C$41))*('Inputs-Proposals'!$E$29*'Inputs-Proposals'!$E$31*('Inputs-Proposals'!$E$32))*(VLOOKUP(CV$3,DRIPE!$A$54:$I$82,5,FALSE)+VLOOKUP(CV$3,DRIPE!$A$54:$I$82,12,FALSE))+ ('Inputs-System'!$C$26*'Coincidence Factors'!$B$7*(1+'Inputs-System'!$C$18)*(1+'Inputs-System'!$C$42))*'Inputs-Proposals'!$E$28*VLOOKUP(CV$3,DRIPE!$A$54:$I$82,8,FALSE), $C19 = "0", 0), 0)</f>
        <v>0</v>
      </c>
      <c r="CY19" s="45">
        <f>IFERROR(_xlfn.IFS($C19="1",('Inputs-System'!$C$26*'Coincidence Factors'!$B$7*(1+'Inputs-System'!$C$18))*'Inputs-Proposals'!$E$16*(VLOOKUP(CV$3,Capacity!$A$53:$E$85,4,FALSE)*(1+'Inputs-System'!$C$42)+VLOOKUP(CV$3,Capacity!$A$53:$E$85,5,FALSE)*'Inputs-System'!$C$29*(1+'Inputs-System'!$C$43)), $C19 = "2", ('Inputs-System'!$C$26*'Coincidence Factors'!$B$7*(1+'Inputs-System'!$C$18))*'Inputs-Proposals'!$E$22*(VLOOKUP(CV$3,Capacity!$A$53:$E$85,4,FALSE)*(1+'Inputs-System'!$C$42)+VLOOKUP(CV$3,Capacity!$A$53:$E$85,5,FALSE)*'Inputs-System'!$C$29*(1+'Inputs-System'!$C$43)), $C19 = "3",('Inputs-System'!$C$26*'Coincidence Factors'!$B$7*(1+'Inputs-System'!$C$18))*'Inputs-Proposals'!$E$28*(VLOOKUP(CV$3,Capacity!$A$53:$E$85,4,FALSE)*(1+'Inputs-System'!$C$42)+VLOOKUP(CV$3,Capacity!$A$53:$E$85,5,FALSE)*'Inputs-System'!$C$29*(1+'Inputs-System'!$C$43)), $C19 = "0", 0), 0)</f>
        <v>0</v>
      </c>
      <c r="CZ19" s="44">
        <v>0</v>
      </c>
      <c r="DA19" s="342">
        <f>IFERROR(_xlfn.IFS($C19="1", 'Inputs-System'!$C$30*'Coincidence Factors'!$B$7*'Inputs-Proposals'!$E$17*'Inputs-Proposals'!$E$19*(VLOOKUP(CV$3,'Non-Embedded Emissions'!$A$56:$D$90,2,FALSE)+VLOOKUP(CV$3,'Non-Embedded Emissions'!$A$143:$D$174,2,FALSE)+VLOOKUP(CV$3,'Non-Embedded Emissions'!$A$230:$D$259,2,FALSE)), $C19 = "2", 'Inputs-System'!$C$30*'Coincidence Factors'!$B$7*'Inputs-Proposals'!$E$23*'Inputs-Proposals'!$E$25*(VLOOKUP(CV$3,'Non-Embedded Emissions'!$A$56:$D$90,2,FALSE)+VLOOKUP(CV$3,'Non-Embedded Emissions'!$A$143:$D$174,2,FALSE)+VLOOKUP(CV$3,'Non-Embedded Emissions'!$A$230:$D$259,2,FALSE)), $C19 = "3", 'Inputs-System'!$C$30*'Coincidence Factors'!$B$7*'Inputs-Proposals'!$E$29*'Inputs-Proposals'!$E$31*(VLOOKUP(CV$3,'Non-Embedded Emissions'!$A$56:$D$90,2,FALSE)+VLOOKUP(CV$3,'Non-Embedded Emissions'!$A$143:$D$174,2,FALSE)+VLOOKUP(CV$3,'Non-Embedded Emissions'!$A$230:$D$259,2,FALSE)), $C19 = "0", 0), 0)</f>
        <v>0</v>
      </c>
      <c r="DB19" s="45">
        <f>IFERROR(_xlfn.IFS($C19="1",('Inputs-System'!$C$30*'Coincidence Factors'!$B$7*(1+'Inputs-System'!$C$18)*(1+'Inputs-System'!$C$41)*('Inputs-Proposals'!$E$17*'Inputs-Proposals'!$E$19*('Inputs-Proposals'!$E$20))*(VLOOKUP(DB$3,Energy!$A$51:$K$83,5,FALSE))), $C19 = "2",('Inputs-System'!$C$30*'Coincidence Factors'!$B$7)*(1+'Inputs-System'!$C$18)*(1+'Inputs-System'!$C$41)*('Inputs-Proposals'!$E$23*'Inputs-Proposals'!$E$25*('Inputs-Proposals'!$E$26))*(VLOOKUP(DB$3,Energy!$A$51:$K$83,5,FALSE)), $C19= "3", ('Inputs-System'!$C$30*'Coincidence Factors'!$B$7*(1+'Inputs-System'!$C$18)*(1+'Inputs-System'!$C$41)*('Inputs-Proposals'!$E$29*'Inputs-Proposals'!$E$31*('Inputs-Proposals'!$E$32))*(VLOOKUP(DB$3,Energy!$A$51:$K$83,5,FALSE))), $C19= "0", 0), 0)</f>
        <v>0</v>
      </c>
      <c r="DC19" s="44">
        <f>IFERROR(_xlfn.IFS($C19="1",'Inputs-System'!$C$30*'Coincidence Factors'!$B$7*(1+'Inputs-System'!$C$18)*(1+'Inputs-System'!$C$41)*'Inputs-Proposals'!$E$17*'Inputs-Proposals'!$E$19*('Inputs-Proposals'!$E$20)*(VLOOKUP(DB$3,'Embedded Emissions'!$A$47:$B$78,2,FALSE)+VLOOKUP(DB$3,'Embedded Emissions'!$A$129:$B$158,2,FALSE)), $C19 = "2",'Inputs-System'!$C$30*'Coincidence Factors'!$B$7*(1+'Inputs-System'!$C$18)*(1+'Inputs-System'!$C$41)*'Inputs-Proposals'!$E$23*'Inputs-Proposals'!$E$25*('Inputs-Proposals'!$E$20)*(VLOOKUP(DB$3,'Embedded Emissions'!$A$47:$B$78,2,FALSE)+VLOOKUP(DB$3,'Embedded Emissions'!$A$129:$B$158,2,FALSE)), $C19 = "3", 'Inputs-System'!$C$30*'Coincidence Factors'!$B$7*(1+'Inputs-System'!$C$18)*(1+'Inputs-System'!$C$41)*'Inputs-Proposals'!$E$29*'Inputs-Proposals'!$E$31*('Inputs-Proposals'!$E$20)*(VLOOKUP(DB$3,'Embedded Emissions'!$A$47:$B$78,2,FALSE)+VLOOKUP(DB$3,'Embedded Emissions'!$A$129:$B$158,2,FALSE)), $C19 = "0", 0), 0)</f>
        <v>0</v>
      </c>
      <c r="DD19" s="44">
        <f>IFERROR(_xlfn.IFS($C19="1",( 'Inputs-System'!$C$30*'Coincidence Factors'!$B$7*(1+'Inputs-System'!$C$18)*(1+'Inputs-System'!$C$41))*('Inputs-Proposals'!$E$17*'Inputs-Proposals'!$E$19*('Inputs-Proposals'!$E$20))*(VLOOKUP(DB$3,DRIPE!$A$54:$I$82,5,FALSE)+VLOOKUP(DB$3,DRIPE!$A$54:$I$82,9,FALSE))+ ('Inputs-System'!$C$26*'Coincidence Factors'!$B$7*(1+'Inputs-System'!$C$18)*(1+'Inputs-System'!$C$42))*'Inputs-Proposals'!$E$16*VLOOKUP(DB$3,DRIPE!$A$54:$I$82,8,FALSE), $C19 = "2",( 'Inputs-System'!$C$30*'Coincidence Factors'!$B$7*(1+'Inputs-System'!$C$18)*(1+'Inputs-System'!$C$41))*('Inputs-Proposals'!$E$23*'Inputs-Proposals'!$E$25*('Inputs-Proposals'!$E$26))*(VLOOKUP(DB$3,DRIPE!$A$54:$I$82,5,FALSE)+VLOOKUP(DB$3,DRIPE!$A$54:$I$82,12,FALSE))+ ('Inputs-System'!$C$26*'Coincidence Factors'!$B$7*(1+'Inputs-System'!$C$18)*(1+'Inputs-System'!$C$42))*'Inputs-Proposals'!$E$22*VLOOKUP(DB$3,DRIPE!$A$54:$I$82,8,FALSE), $C19= "3", ( 'Inputs-System'!$C$30*'Coincidence Factors'!$B$7*(1+'Inputs-System'!$C$18)*(1+'Inputs-System'!$C$41))*('Inputs-Proposals'!$E$29*'Inputs-Proposals'!$E$31*('Inputs-Proposals'!$E$32))*(VLOOKUP(DB$3,DRIPE!$A$54:$I$82,5,FALSE)+VLOOKUP(DB$3,DRIPE!$A$54:$I$82,12,FALSE))+ ('Inputs-System'!$C$26*'Coincidence Factors'!$B$7*(1+'Inputs-System'!$C$18)*(1+'Inputs-System'!$C$42))*'Inputs-Proposals'!$E$28*VLOOKUP(DB$3,DRIPE!$A$54:$I$82,8,FALSE), $C19 = "0", 0), 0)</f>
        <v>0</v>
      </c>
      <c r="DE19" s="45">
        <f>IFERROR(_xlfn.IFS($C19="1",('Inputs-System'!$C$26*'Coincidence Factors'!$B$7*(1+'Inputs-System'!$C$18))*'Inputs-Proposals'!$E$16*(VLOOKUP(DB$3,Capacity!$A$53:$E$85,4,FALSE)*(1+'Inputs-System'!$C$42)+VLOOKUP(DB$3,Capacity!$A$53:$E$85,5,FALSE)*'Inputs-System'!$C$29*(1+'Inputs-System'!$C$43)), $C19 = "2", ('Inputs-System'!$C$26*'Coincidence Factors'!$B$7*(1+'Inputs-System'!$C$18))*'Inputs-Proposals'!$E$22*(VLOOKUP(DB$3,Capacity!$A$53:$E$85,4,FALSE)*(1+'Inputs-System'!$C$42)+VLOOKUP(DB$3,Capacity!$A$53:$E$85,5,FALSE)*'Inputs-System'!$C$29*(1+'Inputs-System'!$C$43)), $C19 = "3",('Inputs-System'!$C$26*'Coincidence Factors'!$B$7*(1+'Inputs-System'!$C$18))*'Inputs-Proposals'!$E$28*(VLOOKUP(DB$3,Capacity!$A$53:$E$85,4,FALSE)*(1+'Inputs-System'!$C$42)+VLOOKUP(DB$3,Capacity!$A$53:$E$85,5,FALSE)*'Inputs-System'!$C$29*(1+'Inputs-System'!$C$43)), $C19 = "0", 0), 0)</f>
        <v>0</v>
      </c>
      <c r="DF19" s="44">
        <v>0</v>
      </c>
      <c r="DG19" s="342">
        <f>IFERROR(_xlfn.IFS($C19="1", 'Inputs-System'!$C$30*'Coincidence Factors'!$B$7*'Inputs-Proposals'!$E$17*'Inputs-Proposals'!$E$19*(VLOOKUP(DB$3,'Non-Embedded Emissions'!$A$56:$D$90,2,FALSE)+VLOOKUP(DB$3,'Non-Embedded Emissions'!$A$143:$D$174,2,FALSE)+VLOOKUP(DB$3,'Non-Embedded Emissions'!$A$230:$D$259,2,FALSE)), $C19 = "2", 'Inputs-System'!$C$30*'Coincidence Factors'!$B$7*'Inputs-Proposals'!$E$23*'Inputs-Proposals'!$E$25*(VLOOKUP(DB$3,'Non-Embedded Emissions'!$A$56:$D$90,2,FALSE)+VLOOKUP(DB$3,'Non-Embedded Emissions'!$A$143:$D$174,2,FALSE)+VLOOKUP(DB$3,'Non-Embedded Emissions'!$A$230:$D$259,2,FALSE)), $C19 = "3", 'Inputs-System'!$C$30*'Coincidence Factors'!$B$7*'Inputs-Proposals'!$E$29*'Inputs-Proposals'!$E$31*(VLOOKUP(DB$3,'Non-Embedded Emissions'!$A$56:$D$90,2,FALSE)+VLOOKUP(DB$3,'Non-Embedded Emissions'!$A$143:$D$174,2,FALSE)+VLOOKUP(DB$3,'Non-Embedded Emissions'!$A$230:$D$259,2,FALSE)), $C19 = "0", 0), 0)</f>
        <v>0</v>
      </c>
      <c r="DH19" s="45">
        <f>IFERROR(_xlfn.IFS($C19="1",('Inputs-System'!$C$30*'Coincidence Factors'!$B$7*(1+'Inputs-System'!$C$18)*(1+'Inputs-System'!$C$41)*('Inputs-Proposals'!$E$17*'Inputs-Proposals'!$E$19*('Inputs-Proposals'!$E$20))*(VLOOKUP(DH$3,Energy!$A$51:$K$83,5,FALSE))), $C19 = "2",('Inputs-System'!$C$30*'Coincidence Factors'!$B$7)*(1+'Inputs-System'!$C$18)*(1+'Inputs-System'!$C$41)*('Inputs-Proposals'!$E$23*'Inputs-Proposals'!$E$25*('Inputs-Proposals'!$E$26))*(VLOOKUP(DH$3,Energy!$A$51:$K$83,5,FALSE)), $C19= "3", ('Inputs-System'!$C$30*'Coincidence Factors'!$B$7*(1+'Inputs-System'!$C$18)*(1+'Inputs-System'!$C$41)*('Inputs-Proposals'!$E$29*'Inputs-Proposals'!$E$31*('Inputs-Proposals'!$E$32))*(VLOOKUP(DH$3,Energy!$A$51:$K$83,5,FALSE))), $C19= "0", 0), 0)</f>
        <v>0</v>
      </c>
      <c r="DI19" s="44">
        <f>IFERROR(_xlfn.IFS($C19="1",'Inputs-System'!$C$30*'Coincidence Factors'!$B$7*(1+'Inputs-System'!$C$18)*(1+'Inputs-System'!$C$41)*'Inputs-Proposals'!$E$17*'Inputs-Proposals'!$E$19*('Inputs-Proposals'!$E$20)*(VLOOKUP(DH$3,'Embedded Emissions'!$A$47:$B$78,2,FALSE)+VLOOKUP(DH$3,'Embedded Emissions'!$A$129:$B$158,2,FALSE)), $C19 = "2",'Inputs-System'!$C$30*'Coincidence Factors'!$B$7*(1+'Inputs-System'!$C$18)*(1+'Inputs-System'!$C$41)*'Inputs-Proposals'!$E$23*'Inputs-Proposals'!$E$25*('Inputs-Proposals'!$E$20)*(VLOOKUP(DH$3,'Embedded Emissions'!$A$47:$B$78,2,FALSE)+VLOOKUP(DH$3,'Embedded Emissions'!$A$129:$B$158,2,FALSE)), $C19 = "3", 'Inputs-System'!$C$30*'Coincidence Factors'!$B$7*(1+'Inputs-System'!$C$18)*(1+'Inputs-System'!$C$41)*'Inputs-Proposals'!$E$29*'Inputs-Proposals'!$E$31*('Inputs-Proposals'!$E$20)*(VLOOKUP(DH$3,'Embedded Emissions'!$A$47:$B$78,2,FALSE)+VLOOKUP(DH$3,'Embedded Emissions'!$A$129:$B$158,2,FALSE)), $C19 = "0", 0), 0)</f>
        <v>0</v>
      </c>
      <c r="DJ19" s="44">
        <f>IFERROR(_xlfn.IFS($C19="1",( 'Inputs-System'!$C$30*'Coincidence Factors'!$B$7*(1+'Inputs-System'!$C$18)*(1+'Inputs-System'!$C$41))*('Inputs-Proposals'!$E$17*'Inputs-Proposals'!$E$19*('Inputs-Proposals'!$E$20))*(VLOOKUP(DH$3,DRIPE!$A$54:$I$82,5,FALSE)+VLOOKUP(DH$3,DRIPE!$A$54:$I$82,9,FALSE))+ ('Inputs-System'!$C$26*'Coincidence Factors'!$B$7*(1+'Inputs-System'!$C$18)*(1+'Inputs-System'!$C$42))*'Inputs-Proposals'!$E$16*VLOOKUP(DH$3,DRIPE!$A$54:$I$82,8,FALSE), $C19 = "2",( 'Inputs-System'!$C$30*'Coincidence Factors'!$B$7*(1+'Inputs-System'!$C$18)*(1+'Inputs-System'!$C$41))*('Inputs-Proposals'!$E$23*'Inputs-Proposals'!$E$25*('Inputs-Proposals'!$E$26))*(VLOOKUP(DH$3,DRIPE!$A$54:$I$82,5,FALSE)+VLOOKUP(DH$3,DRIPE!$A$54:$I$82,12,FALSE))+ ('Inputs-System'!$C$26*'Coincidence Factors'!$B$7*(1+'Inputs-System'!$C$18)*(1+'Inputs-System'!$C$42))*'Inputs-Proposals'!$E$22*VLOOKUP(DH$3,DRIPE!$A$54:$I$82,8,FALSE), $C19= "3", ( 'Inputs-System'!$C$30*'Coincidence Factors'!$B$7*(1+'Inputs-System'!$C$18)*(1+'Inputs-System'!$C$41))*('Inputs-Proposals'!$E$29*'Inputs-Proposals'!$E$31*('Inputs-Proposals'!$E$32))*(VLOOKUP(DH$3,DRIPE!$A$54:$I$82,5,FALSE)+VLOOKUP(DH$3,DRIPE!$A$54:$I$82,12,FALSE))+ ('Inputs-System'!$C$26*'Coincidence Factors'!$B$7*(1+'Inputs-System'!$C$18)*(1+'Inputs-System'!$C$42))*'Inputs-Proposals'!$E$28*VLOOKUP(DH$3,DRIPE!$A$54:$I$82,8,FALSE), $C19 = "0", 0), 0)</f>
        <v>0</v>
      </c>
      <c r="DK19" s="45">
        <f>IFERROR(_xlfn.IFS($C19="1",('Inputs-System'!$C$26*'Coincidence Factors'!$B$7*(1+'Inputs-System'!$C$18))*'Inputs-Proposals'!$E$16*(VLOOKUP(DH$3,Capacity!$A$53:$E$85,4,FALSE)*(1+'Inputs-System'!$C$42)+VLOOKUP(DH$3,Capacity!$A$53:$E$85,5,FALSE)*'Inputs-System'!$C$29*(1+'Inputs-System'!$C$43)), $C19 = "2", ('Inputs-System'!$C$26*'Coincidence Factors'!$B$7*(1+'Inputs-System'!$C$18))*'Inputs-Proposals'!$E$22*(VLOOKUP(DH$3,Capacity!$A$53:$E$85,4,FALSE)*(1+'Inputs-System'!$C$42)+VLOOKUP(DH$3,Capacity!$A$53:$E$85,5,FALSE)*'Inputs-System'!$C$29*(1+'Inputs-System'!$C$43)), $C19 = "3",('Inputs-System'!$C$26*'Coincidence Factors'!$B$7*(1+'Inputs-System'!$C$18))*'Inputs-Proposals'!$E$28*(VLOOKUP(DH$3,Capacity!$A$53:$E$85,4,FALSE)*(1+'Inputs-System'!$C$42)+VLOOKUP(DH$3,Capacity!$A$53:$E$85,5,FALSE)*'Inputs-System'!$C$29*(1+'Inputs-System'!$C$43)), $C19 = "0", 0), 0)</f>
        <v>0</v>
      </c>
      <c r="DL19" s="44">
        <v>0</v>
      </c>
      <c r="DM19" s="342">
        <f>IFERROR(_xlfn.IFS($C19="1", 'Inputs-System'!$C$30*'Coincidence Factors'!$B$7*'Inputs-Proposals'!$E$17*'Inputs-Proposals'!$E$19*(VLOOKUP(DH$3,'Non-Embedded Emissions'!$A$56:$D$90,2,FALSE)+VLOOKUP(DH$3,'Non-Embedded Emissions'!$A$143:$D$174,2,FALSE)+VLOOKUP(DH$3,'Non-Embedded Emissions'!$A$230:$D$259,2,FALSE)), $C19 = "2", 'Inputs-System'!$C$30*'Coincidence Factors'!$B$7*'Inputs-Proposals'!$E$23*'Inputs-Proposals'!$E$25*(VLOOKUP(DH$3,'Non-Embedded Emissions'!$A$56:$D$90,2,FALSE)+VLOOKUP(DH$3,'Non-Embedded Emissions'!$A$143:$D$174,2,FALSE)+VLOOKUP(DH$3,'Non-Embedded Emissions'!$A$230:$D$259,2,FALSE)), $C19 = "3", 'Inputs-System'!$C$30*'Coincidence Factors'!$B$7*'Inputs-Proposals'!$E$29*'Inputs-Proposals'!$E$31*(VLOOKUP(DH$3,'Non-Embedded Emissions'!$A$56:$D$90,2,FALSE)+VLOOKUP(DH$3,'Non-Embedded Emissions'!$A$143:$D$174,2,FALSE)+VLOOKUP(DH$3,'Non-Embedded Emissions'!$A$230:$D$259,2,FALSE)), $C19 = "0", 0), 0)</f>
        <v>0</v>
      </c>
      <c r="DN19" s="45">
        <f>IFERROR(_xlfn.IFS($C19="1",('Inputs-System'!$C$30*'Coincidence Factors'!$B$7*(1+'Inputs-System'!$C$18)*(1+'Inputs-System'!$C$41)*('Inputs-Proposals'!$E$17*'Inputs-Proposals'!$E$19*('Inputs-Proposals'!$E$20))*(VLOOKUP(DN$3,Energy!$A$51:$K$83,5,FALSE))), $C19 = "2",('Inputs-System'!$C$30*'Coincidence Factors'!$B$7)*(1+'Inputs-System'!$C$18)*(1+'Inputs-System'!$C$41)*('Inputs-Proposals'!$E$23*'Inputs-Proposals'!$E$25*('Inputs-Proposals'!$E$26))*(VLOOKUP(DN$3,Energy!$A$51:$K$83,5,FALSE)), $C19= "3", ('Inputs-System'!$C$30*'Coincidence Factors'!$B$7*(1+'Inputs-System'!$C$18)*(1+'Inputs-System'!$C$41)*('Inputs-Proposals'!$E$29*'Inputs-Proposals'!$E$31*('Inputs-Proposals'!$E$32))*(VLOOKUP(DN$3,Energy!$A$51:$K$83,5,FALSE))), $C19= "0", 0), 0)</f>
        <v>0</v>
      </c>
      <c r="DO19" s="44">
        <f>IFERROR(_xlfn.IFS($C19="1",'Inputs-System'!$C$30*'Coincidence Factors'!$B$7*(1+'Inputs-System'!$C$18)*(1+'Inputs-System'!$C$41)*'Inputs-Proposals'!$E$17*'Inputs-Proposals'!$E$19*('Inputs-Proposals'!$E$20)*(VLOOKUP(DN$3,'Embedded Emissions'!$A$47:$B$78,2,FALSE)+VLOOKUP(DN$3,'Embedded Emissions'!$A$129:$B$158,2,FALSE)), $C19 = "2",'Inputs-System'!$C$30*'Coincidence Factors'!$B$7*(1+'Inputs-System'!$C$18)*(1+'Inputs-System'!$C$41)*'Inputs-Proposals'!$E$23*'Inputs-Proposals'!$E$25*('Inputs-Proposals'!$E$20)*(VLOOKUP(DN$3,'Embedded Emissions'!$A$47:$B$78,2,FALSE)+VLOOKUP(DN$3,'Embedded Emissions'!$A$129:$B$158,2,FALSE)), $C19 = "3", 'Inputs-System'!$C$30*'Coincidence Factors'!$B$7*(1+'Inputs-System'!$C$18)*(1+'Inputs-System'!$C$41)*'Inputs-Proposals'!$E$29*'Inputs-Proposals'!$E$31*('Inputs-Proposals'!$E$20)*(VLOOKUP(DN$3,'Embedded Emissions'!$A$47:$B$78,2,FALSE)+VLOOKUP(DN$3,'Embedded Emissions'!$A$129:$B$158,2,FALSE)), $C19 = "0", 0), 0)</f>
        <v>0</v>
      </c>
      <c r="DP19" s="44">
        <f>IFERROR(_xlfn.IFS($C19="1",( 'Inputs-System'!$C$30*'Coincidence Factors'!$B$7*(1+'Inputs-System'!$C$18)*(1+'Inputs-System'!$C$41))*('Inputs-Proposals'!$E$17*'Inputs-Proposals'!$E$19*('Inputs-Proposals'!$E$20))*(VLOOKUP(DN$3,DRIPE!$A$54:$I$82,5,FALSE)+VLOOKUP(DN$3,DRIPE!$A$54:$I$82,9,FALSE))+ ('Inputs-System'!$C$26*'Coincidence Factors'!$B$7*(1+'Inputs-System'!$C$18)*(1+'Inputs-System'!$C$42))*'Inputs-Proposals'!$E$16*VLOOKUP(DN$3,DRIPE!$A$54:$I$82,8,FALSE), $C19 = "2",( 'Inputs-System'!$C$30*'Coincidence Factors'!$B$7*(1+'Inputs-System'!$C$18)*(1+'Inputs-System'!$C$41))*('Inputs-Proposals'!$E$23*'Inputs-Proposals'!$E$25*('Inputs-Proposals'!$E$26))*(VLOOKUP(DN$3,DRIPE!$A$54:$I$82,5,FALSE)+VLOOKUP(DN$3,DRIPE!$A$54:$I$82,12,FALSE))+ ('Inputs-System'!$C$26*'Coincidence Factors'!$B$7*(1+'Inputs-System'!$C$18)*(1+'Inputs-System'!$C$42))*'Inputs-Proposals'!$E$22*VLOOKUP(DN$3,DRIPE!$A$54:$I$82,8,FALSE), $C19= "3", ( 'Inputs-System'!$C$30*'Coincidence Factors'!$B$7*(1+'Inputs-System'!$C$18)*(1+'Inputs-System'!$C$41))*('Inputs-Proposals'!$E$29*'Inputs-Proposals'!$E$31*('Inputs-Proposals'!$E$32))*(VLOOKUP(DN$3,DRIPE!$A$54:$I$82,5,FALSE)+VLOOKUP(DN$3,DRIPE!$A$54:$I$82,12,FALSE))+ ('Inputs-System'!$C$26*'Coincidence Factors'!$B$7*(1+'Inputs-System'!$C$18)*(1+'Inputs-System'!$C$42))*'Inputs-Proposals'!$E$28*VLOOKUP(DN$3,DRIPE!$A$54:$I$82,8,FALSE), $C19 = "0", 0), 0)</f>
        <v>0</v>
      </c>
      <c r="DQ19" s="45">
        <f>IFERROR(_xlfn.IFS($C19="1",('Inputs-System'!$C$26*'Coincidence Factors'!$B$7*(1+'Inputs-System'!$C$18))*'Inputs-Proposals'!$E$16*(VLOOKUP(DN$3,Capacity!$A$53:$E$85,4,FALSE)*(1+'Inputs-System'!$C$42)+VLOOKUP(DN$3,Capacity!$A$53:$E$85,5,FALSE)*'Inputs-System'!$C$29*(1+'Inputs-System'!$C$43)), $C19 = "2", ('Inputs-System'!$C$26*'Coincidence Factors'!$B$7*(1+'Inputs-System'!$C$18))*'Inputs-Proposals'!$E$22*(VLOOKUP(DN$3,Capacity!$A$53:$E$85,4,FALSE)*(1+'Inputs-System'!$C$42)+VLOOKUP(DN$3,Capacity!$A$53:$E$85,5,FALSE)*'Inputs-System'!$C$29*(1+'Inputs-System'!$C$43)), $C19 = "3",('Inputs-System'!$C$26*'Coincidence Factors'!$B$7*(1+'Inputs-System'!$C$18))*'Inputs-Proposals'!$E$28*(VLOOKUP(DN$3,Capacity!$A$53:$E$85,4,FALSE)*(1+'Inputs-System'!$C$42)+VLOOKUP(DN$3,Capacity!$A$53:$E$85,5,FALSE)*'Inputs-System'!$C$29*(1+'Inputs-System'!$C$43)), $C19 = "0", 0), 0)</f>
        <v>0</v>
      </c>
      <c r="DR19" s="44">
        <v>0</v>
      </c>
      <c r="DS19" s="342">
        <f>IFERROR(_xlfn.IFS($C19="1", 'Inputs-System'!$C$30*'Coincidence Factors'!$B$7*'Inputs-Proposals'!$E$17*'Inputs-Proposals'!$E$19*(VLOOKUP(DN$3,'Non-Embedded Emissions'!$A$56:$D$90,2,FALSE)+VLOOKUP(DN$3,'Non-Embedded Emissions'!$A$143:$D$174,2,FALSE)+VLOOKUP(DN$3,'Non-Embedded Emissions'!$A$230:$D$259,2,FALSE)), $C19 = "2", 'Inputs-System'!$C$30*'Coincidence Factors'!$B$7*'Inputs-Proposals'!$E$23*'Inputs-Proposals'!$E$25*(VLOOKUP(DN$3,'Non-Embedded Emissions'!$A$56:$D$90,2,FALSE)+VLOOKUP(DN$3,'Non-Embedded Emissions'!$A$143:$D$174,2,FALSE)+VLOOKUP(DN$3,'Non-Embedded Emissions'!$A$230:$D$259,2,FALSE)), $C19 = "3", 'Inputs-System'!$C$30*'Coincidence Factors'!$B$7*'Inputs-Proposals'!$E$29*'Inputs-Proposals'!$E$31*(VLOOKUP(DN$3,'Non-Embedded Emissions'!$A$56:$D$90,2,FALSE)+VLOOKUP(DN$3,'Non-Embedded Emissions'!$A$143:$D$174,2,FALSE)+VLOOKUP(DN$3,'Non-Embedded Emissions'!$A$230:$D$259,2,FALSE)), $C19 = "0", 0), 0)</f>
        <v>0</v>
      </c>
      <c r="DT19" s="45">
        <f>IFERROR(_xlfn.IFS($C19="1",('Inputs-System'!$C$30*'Coincidence Factors'!$B$7*(1+'Inputs-System'!$C$18)*(1+'Inputs-System'!$C$41)*('Inputs-Proposals'!$E$17*'Inputs-Proposals'!$E$19*('Inputs-Proposals'!$E$20))*(VLOOKUP(DT$3,Energy!$A$51:$K$83,5,FALSE))), $C19 = "2",('Inputs-System'!$C$30*'Coincidence Factors'!$B$7)*(1+'Inputs-System'!$C$18)*(1+'Inputs-System'!$C$41)*('Inputs-Proposals'!$E$23*'Inputs-Proposals'!$E$25*('Inputs-Proposals'!$E$26))*(VLOOKUP(DT$3,Energy!$A$51:$K$83,5,FALSE)), $C19= "3", ('Inputs-System'!$C$30*'Coincidence Factors'!$B$7*(1+'Inputs-System'!$C$18)*(1+'Inputs-System'!$C$41)*('Inputs-Proposals'!$E$29*'Inputs-Proposals'!$E$31*('Inputs-Proposals'!$E$32))*(VLOOKUP(DT$3,Energy!$A$51:$K$83,5,FALSE))), $C19= "0", 0), 0)</f>
        <v>0</v>
      </c>
      <c r="DU19" s="44">
        <f>IFERROR(_xlfn.IFS($C19="1",'Inputs-System'!$C$30*'Coincidence Factors'!$B$7*(1+'Inputs-System'!$C$18)*(1+'Inputs-System'!$C$41)*'Inputs-Proposals'!$E$17*'Inputs-Proposals'!$E$19*('Inputs-Proposals'!$E$20)*(VLOOKUP(DT$3,'Embedded Emissions'!$A$47:$B$78,2,FALSE)+VLOOKUP(DT$3,'Embedded Emissions'!$A$129:$B$158,2,FALSE)), $C19 = "2",'Inputs-System'!$C$30*'Coincidence Factors'!$B$7*(1+'Inputs-System'!$C$18)*(1+'Inputs-System'!$C$41)*'Inputs-Proposals'!$E$23*'Inputs-Proposals'!$E$25*('Inputs-Proposals'!$E$20)*(VLOOKUP(DT$3,'Embedded Emissions'!$A$47:$B$78,2,FALSE)+VLOOKUP(DT$3,'Embedded Emissions'!$A$129:$B$158,2,FALSE)), $C19 = "3", 'Inputs-System'!$C$30*'Coincidence Factors'!$B$7*(1+'Inputs-System'!$C$18)*(1+'Inputs-System'!$C$41)*'Inputs-Proposals'!$E$29*'Inputs-Proposals'!$E$31*('Inputs-Proposals'!$E$20)*(VLOOKUP(DT$3,'Embedded Emissions'!$A$47:$B$78,2,FALSE)+VLOOKUP(DT$3,'Embedded Emissions'!$A$129:$B$158,2,FALSE)), $C19 = "0", 0), 0)</f>
        <v>0</v>
      </c>
      <c r="DV19" s="44">
        <f>IFERROR(_xlfn.IFS($C19="1",( 'Inputs-System'!$C$30*'Coincidence Factors'!$B$7*(1+'Inputs-System'!$C$18)*(1+'Inputs-System'!$C$41))*('Inputs-Proposals'!$E$17*'Inputs-Proposals'!$E$19*('Inputs-Proposals'!$E$20))*(VLOOKUP(DT$3,DRIPE!$A$54:$I$82,5,FALSE)+VLOOKUP(DT$3,DRIPE!$A$54:$I$82,9,FALSE))+ ('Inputs-System'!$C$26*'Coincidence Factors'!$B$7*(1+'Inputs-System'!$C$18)*(1+'Inputs-System'!$C$42))*'Inputs-Proposals'!$E$16*VLOOKUP(DT$3,DRIPE!$A$54:$I$82,8,FALSE), $C19 = "2",( 'Inputs-System'!$C$30*'Coincidence Factors'!$B$7*(1+'Inputs-System'!$C$18)*(1+'Inputs-System'!$C$41))*('Inputs-Proposals'!$E$23*'Inputs-Proposals'!$E$25*('Inputs-Proposals'!$E$26))*(VLOOKUP(DT$3,DRIPE!$A$54:$I$82,5,FALSE)+VLOOKUP(DT$3,DRIPE!$A$54:$I$82,12,FALSE))+ ('Inputs-System'!$C$26*'Coincidence Factors'!$B$7*(1+'Inputs-System'!$C$18)*(1+'Inputs-System'!$C$42))*'Inputs-Proposals'!$E$22*VLOOKUP(DT$3,DRIPE!$A$54:$I$82,8,FALSE), $C19= "3", ( 'Inputs-System'!$C$30*'Coincidence Factors'!$B$7*(1+'Inputs-System'!$C$18)*(1+'Inputs-System'!$C$41))*('Inputs-Proposals'!$E$29*'Inputs-Proposals'!$E$31*('Inputs-Proposals'!$E$32))*(VLOOKUP(DT$3,DRIPE!$A$54:$I$82,5,FALSE)+VLOOKUP(DT$3,DRIPE!$A$54:$I$82,12,FALSE))+ ('Inputs-System'!$C$26*'Coincidence Factors'!$B$7*(1+'Inputs-System'!$C$18)*(1+'Inputs-System'!$C$42))*'Inputs-Proposals'!$E$28*VLOOKUP(DT$3,DRIPE!$A$54:$I$82,8,FALSE), $C19 = "0", 0), 0)</f>
        <v>0</v>
      </c>
      <c r="DW19" s="45">
        <f>IFERROR(_xlfn.IFS($C19="1",('Inputs-System'!$C$26*'Coincidence Factors'!$B$7*(1+'Inputs-System'!$C$18))*'Inputs-Proposals'!$E$16*(VLOOKUP(DT$3,Capacity!$A$53:$E$85,4,FALSE)*(1+'Inputs-System'!$C$42)+VLOOKUP(DT$3,Capacity!$A$53:$E$85,5,FALSE)*'Inputs-System'!$C$29*(1+'Inputs-System'!$C$43)), $C19 = "2", ('Inputs-System'!$C$26*'Coincidence Factors'!$B$7*(1+'Inputs-System'!$C$18))*'Inputs-Proposals'!$E$22*(VLOOKUP(DT$3,Capacity!$A$53:$E$85,4,FALSE)*(1+'Inputs-System'!$C$42)+VLOOKUP(DT$3,Capacity!$A$53:$E$85,5,FALSE)*'Inputs-System'!$C$29*(1+'Inputs-System'!$C$43)), $C19 = "3",('Inputs-System'!$C$26*'Coincidence Factors'!$B$7*(1+'Inputs-System'!$C$18))*'Inputs-Proposals'!$E$28*(VLOOKUP(DT$3,Capacity!$A$53:$E$85,4,FALSE)*(1+'Inputs-System'!$C$42)+VLOOKUP(DT$3,Capacity!$A$53:$E$85,5,FALSE)*'Inputs-System'!$C$29*(1+'Inputs-System'!$C$43)), $C19 = "0", 0), 0)</f>
        <v>0</v>
      </c>
      <c r="DX19" s="44">
        <v>0</v>
      </c>
      <c r="DY19" s="342">
        <f>IFERROR(_xlfn.IFS($C19="1", 'Inputs-System'!$C$30*'Coincidence Factors'!$B$7*'Inputs-Proposals'!$E$17*'Inputs-Proposals'!$E$19*(VLOOKUP(DT$3,'Non-Embedded Emissions'!$A$56:$D$90,2,FALSE)+VLOOKUP(DT$3,'Non-Embedded Emissions'!$A$143:$D$174,2,FALSE)+VLOOKUP(DT$3,'Non-Embedded Emissions'!$A$230:$D$259,2,FALSE)), $C19 = "2", 'Inputs-System'!$C$30*'Coincidence Factors'!$B$7*'Inputs-Proposals'!$E$23*'Inputs-Proposals'!$E$25*(VLOOKUP(DT$3,'Non-Embedded Emissions'!$A$56:$D$90,2,FALSE)+VLOOKUP(DT$3,'Non-Embedded Emissions'!$A$143:$D$174,2,FALSE)+VLOOKUP(DT$3,'Non-Embedded Emissions'!$A$230:$D$259,2,FALSE)), $C19 = "3", 'Inputs-System'!$C$30*'Coincidence Factors'!$B$7*'Inputs-Proposals'!$E$29*'Inputs-Proposals'!$E$31*(VLOOKUP(DT$3,'Non-Embedded Emissions'!$A$56:$D$90,2,FALSE)+VLOOKUP(DT$3,'Non-Embedded Emissions'!$A$143:$D$174,2,FALSE)+VLOOKUP(DT$3,'Non-Embedded Emissions'!$A$230:$D$259,2,FALSE)), $C19 = "0", 0), 0)</f>
        <v>0</v>
      </c>
      <c r="DZ19" s="45">
        <f>IFERROR(_xlfn.IFS($C19="1",('Inputs-System'!$C$30*'Coincidence Factors'!$B$7*(1+'Inputs-System'!$C$18)*(1+'Inputs-System'!$C$41)*('Inputs-Proposals'!$E$17*'Inputs-Proposals'!$E$19*('Inputs-Proposals'!$E$20))*(VLOOKUP(DZ$3,Energy!$A$51:$K$83,5,FALSE))), $C19 = "2",('Inputs-System'!$C$30*'Coincidence Factors'!$B$7)*(1+'Inputs-System'!$C$18)*(1+'Inputs-System'!$C$41)*('Inputs-Proposals'!$E$23*'Inputs-Proposals'!$E$25*('Inputs-Proposals'!$E$26))*(VLOOKUP(DZ$3,Energy!$A$51:$K$83,5,FALSE)), $C19= "3", ('Inputs-System'!$C$30*'Coincidence Factors'!$B$7*(1+'Inputs-System'!$C$18)*(1+'Inputs-System'!$C$41)*('Inputs-Proposals'!$E$29*'Inputs-Proposals'!$E$31*('Inputs-Proposals'!$E$32))*(VLOOKUP(DZ$3,Energy!$A$51:$K$83,5,FALSE))), $C19= "0", 0), 0)</f>
        <v>0</v>
      </c>
      <c r="EA19" s="44">
        <f>IFERROR(_xlfn.IFS($C19="1",'Inputs-System'!$C$30*'Coincidence Factors'!$B$7*(1+'Inputs-System'!$C$18)*(1+'Inputs-System'!$C$41)*'Inputs-Proposals'!$E$17*'Inputs-Proposals'!$E$19*('Inputs-Proposals'!$E$20)*(VLOOKUP(DZ$3,'Embedded Emissions'!$A$47:$B$78,2,FALSE)+VLOOKUP(DZ$3,'Embedded Emissions'!$A$129:$B$158,2,FALSE)), $C19 = "2",'Inputs-System'!$C$30*'Coincidence Factors'!$B$7*(1+'Inputs-System'!$C$18)*(1+'Inputs-System'!$C$41)*'Inputs-Proposals'!$E$23*'Inputs-Proposals'!$E$25*('Inputs-Proposals'!$E$20)*(VLOOKUP(DZ$3,'Embedded Emissions'!$A$47:$B$78,2,FALSE)+VLOOKUP(DZ$3,'Embedded Emissions'!$A$129:$B$158,2,FALSE)), $C19 = "3", 'Inputs-System'!$C$30*'Coincidence Factors'!$B$7*(1+'Inputs-System'!$C$18)*(1+'Inputs-System'!$C$41)*'Inputs-Proposals'!$E$29*'Inputs-Proposals'!$E$31*('Inputs-Proposals'!$E$20)*(VLOOKUP(DZ$3,'Embedded Emissions'!$A$47:$B$78,2,FALSE)+VLOOKUP(DZ$3,'Embedded Emissions'!$A$129:$B$158,2,FALSE)), $C19 = "0", 0), 0)</f>
        <v>0</v>
      </c>
      <c r="EB19" s="44">
        <f>IFERROR(_xlfn.IFS($C19="1",( 'Inputs-System'!$C$30*'Coincidence Factors'!$B$7*(1+'Inputs-System'!$C$18)*(1+'Inputs-System'!$C$41))*('Inputs-Proposals'!$E$17*'Inputs-Proposals'!$E$19*('Inputs-Proposals'!$E$20))*(VLOOKUP(DZ$3,DRIPE!$A$54:$I$82,5,FALSE)+VLOOKUP(DZ$3,DRIPE!$A$54:$I$82,9,FALSE))+ ('Inputs-System'!$C$26*'Coincidence Factors'!$B$7*(1+'Inputs-System'!$C$18)*(1+'Inputs-System'!$C$42))*'Inputs-Proposals'!$E$16*VLOOKUP(DZ$3,DRIPE!$A$54:$I$82,8,FALSE), $C19 = "2",( 'Inputs-System'!$C$30*'Coincidence Factors'!$B$7*(1+'Inputs-System'!$C$18)*(1+'Inputs-System'!$C$41))*('Inputs-Proposals'!$E$23*'Inputs-Proposals'!$E$25*('Inputs-Proposals'!$E$26))*(VLOOKUP(DZ$3,DRIPE!$A$54:$I$82,5,FALSE)+VLOOKUP(DZ$3,DRIPE!$A$54:$I$82,12,FALSE))+ ('Inputs-System'!$C$26*'Coincidence Factors'!$B$7*(1+'Inputs-System'!$C$18)*(1+'Inputs-System'!$C$42))*'Inputs-Proposals'!$E$22*VLOOKUP(DZ$3,DRIPE!$A$54:$I$82,8,FALSE), $C19= "3", ( 'Inputs-System'!$C$30*'Coincidence Factors'!$B$7*(1+'Inputs-System'!$C$18)*(1+'Inputs-System'!$C$41))*('Inputs-Proposals'!$E$29*'Inputs-Proposals'!$E$31*('Inputs-Proposals'!$E$32))*(VLOOKUP(DZ$3,DRIPE!$A$54:$I$82,5,FALSE)+VLOOKUP(DZ$3,DRIPE!$A$54:$I$82,12,FALSE))+ ('Inputs-System'!$C$26*'Coincidence Factors'!$B$7*(1+'Inputs-System'!$C$18)*(1+'Inputs-System'!$C$42))*'Inputs-Proposals'!$E$28*VLOOKUP(DZ$3,DRIPE!$A$54:$I$82,8,FALSE), $C19 = "0", 0), 0)</f>
        <v>0</v>
      </c>
      <c r="EC19" s="45">
        <f>IFERROR(_xlfn.IFS($C19="1",('Inputs-System'!$C$26*'Coincidence Factors'!$B$7*(1+'Inputs-System'!$C$18))*'Inputs-Proposals'!$E$16*(VLOOKUP(DZ$3,Capacity!$A$53:$E$85,4,FALSE)*(1+'Inputs-System'!$C$42)+VLOOKUP(DZ$3,Capacity!$A$53:$E$85,5,FALSE)*'Inputs-System'!$C$29*(1+'Inputs-System'!$C$43)), $C19 = "2", ('Inputs-System'!$C$26*'Coincidence Factors'!$B$7*(1+'Inputs-System'!$C$18))*'Inputs-Proposals'!$E$22*(VLOOKUP(DZ$3,Capacity!$A$53:$E$85,4,FALSE)*(1+'Inputs-System'!$C$42)+VLOOKUP(DZ$3,Capacity!$A$53:$E$85,5,FALSE)*'Inputs-System'!$C$29*(1+'Inputs-System'!$C$43)), $C19 = "3",('Inputs-System'!$C$26*'Coincidence Factors'!$B$7*(1+'Inputs-System'!$C$18))*'Inputs-Proposals'!$E$28*(VLOOKUP(DZ$3,Capacity!$A$53:$E$85,4,FALSE)*(1+'Inputs-System'!$C$42)+VLOOKUP(DZ$3,Capacity!$A$53:$E$85,5,FALSE)*'Inputs-System'!$C$29*(1+'Inputs-System'!$C$43)), $C19 = "0", 0), 0)</f>
        <v>0</v>
      </c>
      <c r="ED19" s="44">
        <v>0</v>
      </c>
      <c r="EE19" s="342">
        <f>IFERROR(_xlfn.IFS($C19="1", 'Inputs-System'!$C$30*'Coincidence Factors'!$B$7*'Inputs-Proposals'!$E$17*'Inputs-Proposals'!$E$19*(VLOOKUP(DZ$3,'Non-Embedded Emissions'!$A$56:$D$90,2,FALSE)+VLOOKUP(DZ$3,'Non-Embedded Emissions'!$A$143:$D$174,2,FALSE)+VLOOKUP(DZ$3,'Non-Embedded Emissions'!$A$230:$D$259,2,FALSE)), $C19 = "2", 'Inputs-System'!$C$30*'Coincidence Factors'!$B$7*'Inputs-Proposals'!$E$23*'Inputs-Proposals'!$E$25*(VLOOKUP(DZ$3,'Non-Embedded Emissions'!$A$56:$D$90,2,FALSE)+VLOOKUP(DZ$3,'Non-Embedded Emissions'!$A$143:$D$174,2,FALSE)+VLOOKUP(DZ$3,'Non-Embedded Emissions'!$A$230:$D$259,2,FALSE)), $C19 = "3", 'Inputs-System'!$C$30*'Coincidence Factors'!$B$7*'Inputs-Proposals'!$E$29*'Inputs-Proposals'!$E$31*(VLOOKUP(DZ$3,'Non-Embedded Emissions'!$A$56:$D$90,2,FALSE)+VLOOKUP(DZ$3,'Non-Embedded Emissions'!$A$143:$D$174,2,FALSE)+VLOOKUP(DZ$3,'Non-Embedded Emissions'!$A$230:$D$259,2,FALSE)), $C19 = "0", 0), 0)</f>
        <v>0</v>
      </c>
    </row>
    <row r="20" spans="1:135" x14ac:dyDescent="0.35">
      <c r="A20" s="708"/>
      <c r="B20" s="3" t="s">
        <v>160</v>
      </c>
      <c r="C20" s="3" t="str">
        <f>IFERROR(_xlfn.IFS('Benefits Calc'!B20='Inputs-Proposals'!$E$15, "1", 'Benefits Calc'!B20='Inputs-Proposals'!$E$21, "2", 'Benefits Calc'!B20='Inputs-Proposals'!$E$27, "3"), "0")</f>
        <v>0</v>
      </c>
      <c r="D20" s="323">
        <f t="shared" si="0"/>
        <v>0</v>
      </c>
      <c r="E20" s="44">
        <f t="shared" si="1"/>
        <v>0</v>
      </c>
      <c r="F20" s="44">
        <f t="shared" si="2"/>
        <v>0</v>
      </c>
      <c r="G20" s="44">
        <f t="shared" si="3"/>
        <v>0</v>
      </c>
      <c r="H20" s="44">
        <f t="shared" si="4"/>
        <v>0</v>
      </c>
      <c r="I20" s="44">
        <f t="shared" si="5"/>
        <v>0</v>
      </c>
      <c r="J20" s="323">
        <f>NPV('Inputs-System'!$C$20,P20+V20+AB20+AH20+AN20+AT20+AZ20+BF20+BL20+BR20+BX20+CD20+CJ20+CP20+CV20+DB20+DH20+DN20+DT20+DZ20)</f>
        <v>0</v>
      </c>
      <c r="K20" s="44">
        <f>NPV('Inputs-System'!$C$20,Q20+W20+AC20+AI20+AO20+AU20+BA20+BG20+BM20+BS20+BY20+CE20+CK20+CQ20+CW20+DC20+DI20+DO20+DU20+EA20)</f>
        <v>0</v>
      </c>
      <c r="L20" s="44">
        <f>NPV('Inputs-System'!$C$20,R20+X20+AD20+AJ20+AP20+AV20+BB20+BH20+BN20+BT20+BZ20+CF20+CL20+CR20+CX20+DD20+DJ20+DP20+DV20+EB20)</f>
        <v>0</v>
      </c>
      <c r="M20" s="44">
        <f>NPV('Inputs-System'!$C$20,S20+Y20+AE20+AK20+AQ20+AW20+BC20+BI20+BO20+BU20+CA20+CG20+CM20+CS20+CY20+DE20+DK20+DQ20+DW20+EC20)</f>
        <v>0</v>
      </c>
      <c r="N20" s="44">
        <f>NPV('Inputs-System'!$C$20,T20+Z20+AF20+AL20+AR20+AX20+BD20+BJ20+BP20+BV20+CB20+CH20+CN20+CT20+CZ20+DF20+DL20+DR20+DX20+ED20)</f>
        <v>0</v>
      </c>
      <c r="O20" s="44">
        <f>NPV('Inputs-System'!$C$20,U20+AA20+AG20+AM20+AS20+AY20+BE20+BK20+BQ20+BW20+CC20+CI20+CO20+CU20+DA20+DG20+DM20+DS20+DY20+EE20)</f>
        <v>0</v>
      </c>
      <c r="P20" s="347">
        <f>IFERROR(_xlfn.IFS($C20="1",('Inputs-System'!$C$30*'Coincidence Factors'!$B$8*(1+'Inputs-System'!$C$18)*(1+'Inputs-System'!$C$41)*('Inputs-Proposals'!$E$17*'Inputs-Proposals'!$E$19*('Inputs-Proposals'!$E$20))*(VLOOKUP(P$3,Energy!$A$51:$K$83,5,FALSE))), $C20 = "2",('Inputs-System'!$C$30*'Coincidence Factors'!$B$8)*(1+'Inputs-System'!$C$18)*(1+'Inputs-System'!$C$41)*('Inputs-Proposals'!$E$23*'Inputs-Proposals'!$E$25*('Inputs-Proposals'!$E$26))*(VLOOKUP(P$3,Energy!$A$51:$K$83,5,FALSE)), $C20= "3", ('Inputs-System'!$C$30*'Coincidence Factors'!$B$8*(1+'Inputs-System'!$C$18)*(1+'Inputs-System'!$C$41)*('Inputs-Proposals'!$E$29*'Inputs-Proposals'!$E$31*('Inputs-Proposals'!$E$32))*(VLOOKUP(P$3,Energy!$A$51:$K$83,5,FALSE))), $C20= "0", 0), 0)</f>
        <v>0</v>
      </c>
      <c r="Q20" s="44">
        <f>IFERROR(_xlfn.IFS($C20="1",'Inputs-System'!$C$30*'Coincidence Factors'!$B$8*(1+'Inputs-System'!$C$18)*(1+'Inputs-System'!$C$41)*'Inputs-Proposals'!$E$17*'Inputs-Proposals'!$E$19*('Inputs-Proposals'!$E$20)*(VLOOKUP(P$3,'Embedded Emissions'!$A$47:$B$78,2,FALSE)+VLOOKUP(P$3,'Embedded Emissions'!$A$129:$B$158,2,FALSE)), $C20 = "2", 'Inputs-System'!$C$30*'Coincidence Factors'!$B$8*(1+'Inputs-System'!$C$18)*(1+'Inputs-System'!$C$41)*'Inputs-Proposals'!$E$23*'Inputs-Proposals'!$E$25*('Inputs-Proposals'!$E$20)*(VLOOKUP(P$3,'Embedded Emissions'!$A$47:$B$78,2,FALSE)+VLOOKUP(P$3,'Embedded Emissions'!$A$129:$B$158,2,FALSE)), $C20 = "3",'Inputs-System'!$C$30*'Coincidence Factors'!$B$8*(1+'Inputs-System'!$C$18)*(1+'Inputs-System'!$C$41)*'Inputs-Proposals'!$E$29*'Inputs-Proposals'!$E$31*('Inputs-Proposals'!$E$20)*(VLOOKUP(P$3,'Embedded Emissions'!$A$47:$B$78,2,FALSE)+VLOOKUP(P$3,'Embedded Emissions'!$A$129:$B$158,2,FALSE)), $C20 = "0", 0), 0)</f>
        <v>0</v>
      </c>
      <c r="R20" s="44">
        <f>IFERROR(_xlfn.IFS($C20="1",( 'Inputs-System'!$C$30*'Coincidence Factors'!$B$8*(1+'Inputs-System'!$C$18)*(1+'Inputs-System'!$C$41))*('Inputs-Proposals'!$E$17*'Inputs-Proposals'!$E$19*('Inputs-Proposals'!$E$20))*(VLOOKUP(P$3,DRIPE!$A$54:$I$82,5,FALSE)+VLOOKUP(P$3,DRIPE!$A$54:$I$82,9,FALSE))+ ('Inputs-System'!$C$26*'Coincidence Factors'!$B$8*(1+'Inputs-System'!$C$18)*(1+'Inputs-System'!$C$42))*'Inputs-Proposals'!$E$16*VLOOKUP(P$3,DRIPE!$A$54:$I$82,8,FALSE), $C20 = "2",( 'Inputs-System'!$C$30*'Coincidence Factors'!$B$8*(1+'Inputs-System'!$C$18)*(1+'Inputs-System'!$C$41))*('Inputs-Proposals'!$E$23*'Inputs-Proposals'!$E$25*('Inputs-Proposals'!$E$26))*(VLOOKUP(P$3,DRIPE!$A$54:$I$82,5,FALSE)+VLOOKUP(P$3,DRIPE!$A$54:$I$82,9,FALSE))+  ('Inputs-System'!$C$26*'Coincidence Factors'!$B$8*(1+'Inputs-System'!$C$18)*(1+'Inputs-System'!$C$42))*'Inputs-Proposals'!$E$22*VLOOKUP(P$3,DRIPE!$A$54:$I$82,8,FALSE), $C20= "3", ( 'Inputs-System'!$C$30*'Coincidence Factors'!$B$8*(1+'Inputs-System'!$C$18)*(1+'Inputs-System'!$C$41))*('Inputs-Proposals'!$E$29*'Inputs-Proposals'!$E$31*('Inputs-Proposals'!$E$32))*(VLOOKUP(P$3,DRIPE!$A$54:$I$82,5,FALSE)+VLOOKUP(P$3,DRIPE!$A$54:$I$82,9,FALSE))+  ('Inputs-System'!$C$26*'Coincidence Factors'!$B$8*(1+'Inputs-System'!$C$18)*(1+'Inputs-System'!$C$42))*'Inputs-Proposals'!$E$28*VLOOKUP(P$3,DRIPE!$A$54:$I$82,8,FALSE), $C20 = "0", 0), 0)</f>
        <v>0</v>
      </c>
      <c r="S20" s="45">
        <f>IFERROR(_xlfn.IFS($C20="1",('Inputs-System'!$C$30*'Coincidence Factors'!$B$8*(1+'Inputs-System'!$C$18))*'Inputs-Proposals'!$E$16*(VLOOKUP(P$3,Capacity!$A$53:$E$85,4,FALSE)*(1+'Inputs-System'!$C$42)+VLOOKUP(P$3,Capacity!$A$53:$E$85,5,FALSE)*'Inputs-System'!$C$29*(1+'Inputs-System'!$C$43)), $C20 = "2", ('Inputs-System'!$C$30*'Coincidence Factors'!$B$8*(1+'Inputs-System'!$C$18))*'Inputs-Proposals'!$E$22*(VLOOKUP(P$3,Capacity!$A$53:$E$85,4,FALSE)*(1+'Inputs-System'!$C$42)+VLOOKUP(P$3,Capacity!$A$53:$E$85,5,FALSE)*'Inputs-System'!$C$29*(1+'Inputs-System'!$C$43)), $C20 = "3",('Inputs-System'!$C$30*'Coincidence Factors'!$B$8*(1+'Inputs-System'!$C$18))*'Inputs-Proposals'!$E$28*(VLOOKUP(P$3,Capacity!$A$53:$E$85,4,FALSE)*(1+'Inputs-System'!$C$42)+VLOOKUP(P$3,Capacity!$A$53:$E$85,5,FALSE)*'Inputs-System'!$C$29*(1+'Inputs-System'!$C$43)), $C20 = "0", 0), 0)</f>
        <v>0</v>
      </c>
      <c r="T20" s="44">
        <v>0</v>
      </c>
      <c r="U20" s="342">
        <f>IFERROR(_xlfn.IFS($C20="1", 'Inputs-System'!$C$30*'Coincidence Factors'!$B$8*'Inputs-Proposals'!$E$17*'Inputs-Proposals'!$E$19*(VLOOKUP(P$3,'Non-Embedded Emissions'!$A$56:$D$90,2,FALSE)+VLOOKUP(P$3,'Non-Embedded Emissions'!$A$143:$D$174,2,FALSE)+VLOOKUP(P$3,'Non-Embedded Emissions'!$A$230:$D$259,2,FALSE)), $C20 = "2", 'Inputs-System'!$C$30*'Coincidence Factors'!$B$8*'Inputs-Proposals'!$E$23*'Inputs-Proposals'!$E$25*(VLOOKUP(P$3,'Non-Embedded Emissions'!$A$56:$D$90,2,FALSE)+VLOOKUP(P$3,'Non-Embedded Emissions'!$A$143:$D$174,2,FALSE)+VLOOKUP(P$3,'Non-Embedded Emissions'!$A$230:$D$259,2,FALSE)), $C20 = "3", 'Inputs-System'!$C$30*'Coincidence Factors'!$B$8*'Inputs-Proposals'!$E$29*'Inputs-Proposals'!$E$31*(VLOOKUP(P$3,'Non-Embedded Emissions'!$A$56:$D$90,2,FALSE)+VLOOKUP(P$3,'Non-Embedded Emissions'!$A$143:$D$174,2,FALSE)+VLOOKUP(P$3,'Non-Embedded Emissions'!$A$230:$D$259,2,FALSE)), $C20 = "0", 0), 0)</f>
        <v>0</v>
      </c>
      <c r="V20" s="45">
        <f>IFERROR(_xlfn.IFS($C20="1",('Inputs-System'!$C$30*'Coincidence Factors'!$B$8*(1+'Inputs-System'!$C$18)*(1+'Inputs-System'!$C$41)*('Inputs-Proposals'!$E$17*'Inputs-Proposals'!$E$19*('Inputs-Proposals'!$E$20))*(VLOOKUP(V$3,Energy!$A$51:$K$83,5,FALSE))), $C20 = "2",('Inputs-System'!$C$30*'Coincidence Factors'!$B$8)*(1+'Inputs-System'!$C$18)*(1+'Inputs-System'!$C$41)*('Inputs-Proposals'!$E$23*'Inputs-Proposals'!$E$25*('Inputs-Proposals'!$E$26))*(VLOOKUP(V$3,Energy!$A$51:$K$83,5,FALSE)), $C20= "3", ('Inputs-System'!$C$30*'Coincidence Factors'!$B$8*(1+'Inputs-System'!$C$18)*(1+'Inputs-System'!$C$41)*('Inputs-Proposals'!$E$29*'Inputs-Proposals'!$E$31*('Inputs-Proposals'!$E$32))*(VLOOKUP(V$3,Energy!$A$51:$K$83,5,FALSE))), $C20= "0", 0), 0)</f>
        <v>0</v>
      </c>
      <c r="W20" s="44">
        <f>IFERROR(_xlfn.IFS($C20="1",'Inputs-System'!$C$30*'Coincidence Factors'!$B$8*(1+'Inputs-System'!$C$18)*(1+'Inputs-System'!$C$41)*'Inputs-Proposals'!$E$17*'Inputs-Proposals'!$E$19*('Inputs-Proposals'!$E$20)*(VLOOKUP(V$3,'Embedded Emissions'!$A$47:$B$78,2,FALSE)+VLOOKUP(V$3,'Embedded Emissions'!$A$129:$B$158,2,FALSE)), $C20 = "2", 'Inputs-System'!$C$30*'Coincidence Factors'!$B$8*(1+'Inputs-System'!$C$18)*(1+'Inputs-System'!$C$41)*'Inputs-Proposals'!$E$23*'Inputs-Proposals'!$E$25*('Inputs-Proposals'!$E$20)*(VLOOKUP(V$3,'Embedded Emissions'!$A$47:$B$78,2,FALSE)+VLOOKUP(V$3,'Embedded Emissions'!$A$129:$B$158,2,FALSE)), $C20 = "3",'Inputs-System'!$C$30*'Coincidence Factors'!$B$8*(1+'Inputs-System'!$C$18)*(1+'Inputs-System'!$C$41)*'Inputs-Proposals'!$E$29*'Inputs-Proposals'!$E$31*('Inputs-Proposals'!$E$20)*(VLOOKUP(V$3,'Embedded Emissions'!$A$47:$B$78,2,FALSE)+VLOOKUP(V$3,'Embedded Emissions'!$A$129:$B$158,2,FALSE)), $C20 = "0", 0), 0)</f>
        <v>0</v>
      </c>
      <c r="X20" s="44">
        <f>IFERROR(_xlfn.IFS($C20="1",( 'Inputs-System'!$C$30*'Coincidence Factors'!$B$8*(1+'Inputs-System'!$C$18)*(1+'Inputs-System'!$C$41))*('Inputs-Proposals'!$E$17*'Inputs-Proposals'!$E$19*('Inputs-Proposals'!$E$20))*(VLOOKUP(V$3,DRIPE!$A$54:$I$82,5,FALSE)+VLOOKUP(V$3,DRIPE!$A$54:$I$82,9,FALSE))+ ('Inputs-System'!$C$26*'Coincidence Factors'!$B$8*(1+'Inputs-System'!$C$18)*(1+'Inputs-System'!$C$42))*'Inputs-Proposals'!$E$16*VLOOKUP(V$3,DRIPE!$A$54:$I$82,8,FALSE), $C20 = "2",( 'Inputs-System'!$C$30*'Coincidence Factors'!$B$8*(1+'Inputs-System'!$C$18)*(1+'Inputs-System'!$C$41))*('Inputs-Proposals'!$E$23*'Inputs-Proposals'!$E$25*('Inputs-Proposals'!$E$26))*(VLOOKUP(V$3,DRIPE!$A$54:$I$82,5,FALSE)+VLOOKUP(V$3,DRIPE!$A$54:$I$82,9,FALSE))+  ('Inputs-System'!$C$26*'Coincidence Factors'!$B$8*(1+'Inputs-System'!$C$18)*(1+'Inputs-System'!$C$42))*'Inputs-Proposals'!$E$22*VLOOKUP(V$3,DRIPE!$A$54:$I$82,8,FALSE), $C20= "3", ( 'Inputs-System'!$C$30*'Coincidence Factors'!$B$8*(1+'Inputs-System'!$C$18)*(1+'Inputs-System'!$C$41))*('Inputs-Proposals'!$E$29*'Inputs-Proposals'!$E$31*('Inputs-Proposals'!$E$32))*(VLOOKUP(V$3,DRIPE!$A$54:$I$82,5,FALSE)+VLOOKUP(V$3,DRIPE!$A$54:$I$82,9,FALSE))+  ('Inputs-System'!$C$26*'Coincidence Factors'!$B$8*(1+'Inputs-System'!$C$18)*(1+'Inputs-System'!$C$42))*'Inputs-Proposals'!$E$28*VLOOKUP(V$3,DRIPE!$A$54:$I$82,8,FALSE), $C20 = "0", 0), 0)</f>
        <v>0</v>
      </c>
      <c r="Y20" s="45">
        <f>IFERROR(_xlfn.IFS($C20="1",('Inputs-System'!$C$30*'Coincidence Factors'!$B$8*(1+'Inputs-System'!$C$18))*'Inputs-Proposals'!$E$16*(VLOOKUP(V$3,Capacity!$A$53:$E$85,4,FALSE)*(1+'Inputs-System'!$C$42)+VLOOKUP(V$3,Capacity!$A$53:$E$85,5,FALSE)*'Inputs-System'!$C$29*(1+'Inputs-System'!$C$43)), $C20 = "2", ('Inputs-System'!$C$30*'Coincidence Factors'!$B$8*(1+'Inputs-System'!$C$18))*'Inputs-Proposals'!$E$22*(VLOOKUP(V$3,Capacity!$A$53:$E$85,4,FALSE)*(1+'Inputs-System'!$C$42)+VLOOKUP(V$3,Capacity!$A$53:$E$85,5,FALSE)*'Inputs-System'!$C$29*(1+'Inputs-System'!$C$43)), $C20 = "3",('Inputs-System'!$C$30*'Coincidence Factors'!$B$8*(1+'Inputs-System'!$C$18))*'Inputs-Proposals'!$E$28*(VLOOKUP(V$3,Capacity!$A$53:$E$85,4,FALSE)*(1+'Inputs-System'!$C$42)+VLOOKUP(V$3,Capacity!$A$53:$E$85,5,FALSE)*'Inputs-System'!$C$29*(1+'Inputs-System'!$C$43)), $C20 = "0", 0), 0)</f>
        <v>0</v>
      </c>
      <c r="Z20" s="44">
        <v>0</v>
      </c>
      <c r="AA20" s="342">
        <f>IFERROR(_xlfn.IFS($C20="1", 'Inputs-System'!$C$30*'Coincidence Factors'!$B$8*'Inputs-Proposals'!$E$17*'Inputs-Proposals'!$E$19*(VLOOKUP(V$3,'Non-Embedded Emissions'!$A$56:$D$90,2,FALSE)+VLOOKUP(V$3,'Non-Embedded Emissions'!$A$143:$D$174,2,FALSE)+VLOOKUP(V$3,'Non-Embedded Emissions'!$A$230:$D$259,2,FALSE)), $C20 = "2", 'Inputs-System'!$C$30*'Coincidence Factors'!$B$8*'Inputs-Proposals'!$E$23*'Inputs-Proposals'!$E$25*(VLOOKUP(V$3,'Non-Embedded Emissions'!$A$56:$D$90,2,FALSE)+VLOOKUP(V$3,'Non-Embedded Emissions'!$A$143:$D$174,2,FALSE)+VLOOKUP(V$3,'Non-Embedded Emissions'!$A$230:$D$259,2,FALSE)), $C20 = "3", 'Inputs-System'!$C$30*'Coincidence Factors'!$B$8*'Inputs-Proposals'!$E$29*'Inputs-Proposals'!$E$31*(VLOOKUP(V$3,'Non-Embedded Emissions'!$A$56:$D$90,2,FALSE)+VLOOKUP(V$3,'Non-Embedded Emissions'!$A$143:$D$174,2,FALSE)+VLOOKUP(V$3,'Non-Embedded Emissions'!$A$230:$D$259,2,FALSE)), $C20 = "0", 0), 0)</f>
        <v>0</v>
      </c>
      <c r="AB20" s="45">
        <f>IFERROR(_xlfn.IFS($C20="1",('Inputs-System'!$C$30*'Coincidence Factors'!$B$8*(1+'Inputs-System'!$C$18)*(1+'Inputs-System'!$C$41)*('Inputs-Proposals'!$E$17*'Inputs-Proposals'!$E$19*('Inputs-Proposals'!$E$20))*(VLOOKUP(AB$3,Energy!$A$51:$K$83,5,FALSE))), $C20 = "2",('Inputs-System'!$C$30*'Coincidence Factors'!$B$8)*(1+'Inputs-System'!$C$18)*(1+'Inputs-System'!$C$41)*('Inputs-Proposals'!$E$23*'Inputs-Proposals'!$E$25*('Inputs-Proposals'!$E$26))*(VLOOKUP(AB$3,Energy!$A$51:$K$83,5,FALSE)), $C20= "3", ('Inputs-System'!$C$30*'Coincidence Factors'!$B$8*(1+'Inputs-System'!$C$18)*(1+'Inputs-System'!$C$41)*('Inputs-Proposals'!$E$29*'Inputs-Proposals'!$E$31*('Inputs-Proposals'!$E$32))*(VLOOKUP(AB$3,Energy!$A$51:$K$83,5,FALSE))), $C20= "0", 0), 0)</f>
        <v>0</v>
      </c>
      <c r="AC20" s="44">
        <f>IFERROR(_xlfn.IFS($C20="1",'Inputs-System'!$C$30*'Coincidence Factors'!$B$8*(1+'Inputs-System'!$C$18)*(1+'Inputs-System'!$C$41)*'Inputs-Proposals'!$E$17*'Inputs-Proposals'!$E$19*('Inputs-Proposals'!$E$20)*(VLOOKUP(AB$3,'Embedded Emissions'!$A$47:$B$78,2,FALSE)+VLOOKUP(AB$3,'Embedded Emissions'!$A$129:$B$158,2,FALSE)), $C20 = "2", 'Inputs-System'!$C$30*'Coincidence Factors'!$B$8*(1+'Inputs-System'!$C$18)*(1+'Inputs-System'!$C$41)*'Inputs-Proposals'!$E$23*'Inputs-Proposals'!$E$25*('Inputs-Proposals'!$E$20)*(VLOOKUP(AB$3,'Embedded Emissions'!$A$47:$B$78,2,FALSE)+VLOOKUP(AB$3,'Embedded Emissions'!$A$129:$B$158,2,FALSE)), $C20 = "3",'Inputs-System'!$C$30*'Coincidence Factors'!$B$8*(1+'Inputs-System'!$C$18)*(1+'Inputs-System'!$C$41)*'Inputs-Proposals'!$E$29*'Inputs-Proposals'!$E$31*('Inputs-Proposals'!$E$20)*(VLOOKUP(AB$3,'Embedded Emissions'!$A$47:$B$78,2,FALSE)+VLOOKUP(AB$3,'Embedded Emissions'!$A$129:$B$158,2,FALSE)), $C20 = "0", 0), 0)</f>
        <v>0</v>
      </c>
      <c r="AD20" s="44">
        <f>IFERROR(_xlfn.IFS($C20="1",( 'Inputs-System'!$C$30*'Coincidence Factors'!$B$8*(1+'Inputs-System'!$C$18)*(1+'Inputs-System'!$C$41))*('Inputs-Proposals'!$E$17*'Inputs-Proposals'!$E$19*('Inputs-Proposals'!$E$20))*(VLOOKUP(AB$3,DRIPE!$A$54:$I$82,5,FALSE)+VLOOKUP(AB$3,DRIPE!$A$54:$I$82,9,FALSE))+ ('Inputs-System'!$C$26*'Coincidence Factors'!$B$8*(1+'Inputs-System'!$C$18)*(1+'Inputs-System'!$C$42))*'Inputs-Proposals'!$E$16*VLOOKUP(AB$3,DRIPE!$A$54:$I$82,8,FALSE), $C20 = "2",( 'Inputs-System'!$C$30*'Coincidence Factors'!$B$8*(1+'Inputs-System'!$C$18)*(1+'Inputs-System'!$C$41))*('Inputs-Proposals'!$E$23*'Inputs-Proposals'!$E$25*('Inputs-Proposals'!$E$26))*(VLOOKUP(AB$3,DRIPE!$A$54:$I$82,5,FALSE)+VLOOKUP(AB$3,DRIPE!$A$54:$I$82,9,FALSE))+  ('Inputs-System'!$C$26*'Coincidence Factors'!$B$8*(1+'Inputs-System'!$C$18)*(1+'Inputs-System'!$C$42))*'Inputs-Proposals'!$E$22*VLOOKUP(AB$3,DRIPE!$A$54:$I$82,8,FALSE), $C20= "3", ( 'Inputs-System'!$C$30*'Coincidence Factors'!$B$8*(1+'Inputs-System'!$C$18)*(1+'Inputs-System'!$C$41))*('Inputs-Proposals'!$E$29*'Inputs-Proposals'!$E$31*('Inputs-Proposals'!$E$32))*(VLOOKUP(AB$3,DRIPE!$A$54:$I$82,5,FALSE)+VLOOKUP(AB$3,DRIPE!$A$54:$I$82,9,FALSE))+  ('Inputs-System'!$C$26*'Coincidence Factors'!$B$8*(1+'Inputs-System'!$C$18)*(1+'Inputs-System'!$C$42))*'Inputs-Proposals'!$E$28*VLOOKUP(AB$3,DRIPE!$A$54:$I$82,8,FALSE), $C20 = "0", 0), 0)</f>
        <v>0</v>
      </c>
      <c r="AE20" s="45">
        <f>IFERROR(_xlfn.IFS($C20="1",('Inputs-System'!$C$30*'Coincidence Factors'!$B$8*(1+'Inputs-System'!$C$18))*'Inputs-Proposals'!$E$16*(VLOOKUP(AB$3,Capacity!$A$53:$E$85,4,FALSE)*(1+'Inputs-System'!$C$42)+VLOOKUP(AB$3,Capacity!$A$53:$E$85,5,FALSE)*'Inputs-System'!$C$29*(1+'Inputs-System'!$C$43)), $C20 = "2", ('Inputs-System'!$C$30*'Coincidence Factors'!$B$8*(1+'Inputs-System'!$C$18))*'Inputs-Proposals'!$E$22*(VLOOKUP(AB$3,Capacity!$A$53:$E$85,4,FALSE)*(1+'Inputs-System'!$C$42)+VLOOKUP(AB$3,Capacity!$A$53:$E$85,5,FALSE)*'Inputs-System'!$C$29*(1+'Inputs-System'!$C$43)), $C20 = "3",('Inputs-System'!$C$30*'Coincidence Factors'!$B$8*(1+'Inputs-System'!$C$18))*'Inputs-Proposals'!$E$28*(VLOOKUP(AB$3,Capacity!$A$53:$E$85,4,FALSE)*(1+'Inputs-System'!$C$42)+VLOOKUP(AB$3,Capacity!$A$53:$E$85,5,FALSE)*'Inputs-System'!$C$29*(1+'Inputs-System'!$C$43)), $C20 = "0", 0), 0)</f>
        <v>0</v>
      </c>
      <c r="AF20" s="44">
        <v>0</v>
      </c>
      <c r="AG20" s="342">
        <f>IFERROR(_xlfn.IFS($C20="1", 'Inputs-System'!$C$30*'Coincidence Factors'!$B$8*'Inputs-Proposals'!$E$17*'Inputs-Proposals'!$E$19*(VLOOKUP(AB$3,'Non-Embedded Emissions'!$A$56:$D$90,2,FALSE)+VLOOKUP(AB$3,'Non-Embedded Emissions'!$A$143:$D$174,2,FALSE)+VLOOKUP(AB$3,'Non-Embedded Emissions'!$A$230:$D$259,2,FALSE)), $C20 = "2", 'Inputs-System'!$C$30*'Coincidence Factors'!$B$8*'Inputs-Proposals'!$E$23*'Inputs-Proposals'!$E$25*(VLOOKUP(AB$3,'Non-Embedded Emissions'!$A$56:$D$90,2,FALSE)+VLOOKUP(AB$3,'Non-Embedded Emissions'!$A$143:$D$174,2,FALSE)+VLOOKUP(AB$3,'Non-Embedded Emissions'!$A$230:$D$259,2,FALSE)), $C20 = "3", 'Inputs-System'!$C$30*'Coincidence Factors'!$B$8*'Inputs-Proposals'!$E$29*'Inputs-Proposals'!$E$31*(VLOOKUP(AB$3,'Non-Embedded Emissions'!$A$56:$D$90,2,FALSE)+VLOOKUP(AB$3,'Non-Embedded Emissions'!$A$143:$D$174,2,FALSE)+VLOOKUP(AB$3,'Non-Embedded Emissions'!$A$230:$D$259,2,FALSE)), $C20 = "0", 0), 0)</f>
        <v>0</v>
      </c>
      <c r="AH20" s="45">
        <f>IFERROR(_xlfn.IFS($C20="1",('Inputs-System'!$C$30*'Coincidence Factors'!$B$8*(1+'Inputs-System'!$C$18)*(1+'Inputs-System'!$C$41)*('Inputs-Proposals'!$E$17*'Inputs-Proposals'!$E$19*('Inputs-Proposals'!$E$20))*(VLOOKUP(AH$3,Energy!$A$51:$K$83,5,FALSE))), $C20 = "2",('Inputs-System'!$C$30*'Coincidence Factors'!$B$8)*(1+'Inputs-System'!$C$18)*(1+'Inputs-System'!$C$41)*('Inputs-Proposals'!$E$23*'Inputs-Proposals'!$E$25*('Inputs-Proposals'!$E$26))*(VLOOKUP(AH$3,Energy!$A$51:$K$83,5,FALSE)), $C20= "3", ('Inputs-System'!$C$30*'Coincidence Factors'!$B$8*(1+'Inputs-System'!$C$18)*(1+'Inputs-System'!$C$41)*('Inputs-Proposals'!$E$29*'Inputs-Proposals'!$E$31*('Inputs-Proposals'!$E$32))*(VLOOKUP(AH$3,Energy!$A$51:$K$83,5,FALSE))), $C20= "0", 0), 0)</f>
        <v>0</v>
      </c>
      <c r="AI20" s="44">
        <f>IFERROR(_xlfn.IFS($C20="1",'Inputs-System'!$C$30*'Coincidence Factors'!$B$8*(1+'Inputs-System'!$C$18)*(1+'Inputs-System'!$C$41)*'Inputs-Proposals'!$E$17*'Inputs-Proposals'!$E$19*('Inputs-Proposals'!$E$20)*(VLOOKUP(AH$3,'Embedded Emissions'!$A$47:$B$78,2,FALSE)+VLOOKUP(AH$3,'Embedded Emissions'!$A$129:$B$158,2,FALSE)), $C20 = "2", 'Inputs-System'!$C$30*'Coincidence Factors'!$B$8*(1+'Inputs-System'!$C$18)*(1+'Inputs-System'!$C$41)*'Inputs-Proposals'!$E$23*'Inputs-Proposals'!$E$25*('Inputs-Proposals'!$E$20)*(VLOOKUP(AH$3,'Embedded Emissions'!$A$47:$B$78,2,FALSE)+VLOOKUP(AH$3,'Embedded Emissions'!$A$129:$B$158,2,FALSE)), $C20 = "3",'Inputs-System'!$C$30*'Coincidence Factors'!$B$8*(1+'Inputs-System'!$C$18)*(1+'Inputs-System'!$C$41)*'Inputs-Proposals'!$E$29*'Inputs-Proposals'!$E$31*('Inputs-Proposals'!$E$20)*(VLOOKUP(AH$3,'Embedded Emissions'!$A$47:$B$78,2,FALSE)+VLOOKUP(AH$3,'Embedded Emissions'!$A$129:$B$158,2,FALSE)), $C20 = "0", 0), 0)</f>
        <v>0</v>
      </c>
      <c r="AJ20" s="44">
        <f>IFERROR(_xlfn.IFS($C20="1",( 'Inputs-System'!$C$30*'Coincidence Factors'!$B$8*(1+'Inputs-System'!$C$18)*(1+'Inputs-System'!$C$41))*('Inputs-Proposals'!$E$17*'Inputs-Proposals'!$E$19*('Inputs-Proposals'!$E$20))*(VLOOKUP(AH$3,DRIPE!$A$54:$I$82,5,FALSE)+VLOOKUP(AH$3,DRIPE!$A$54:$I$82,9,FALSE))+ ('Inputs-System'!$C$26*'Coincidence Factors'!$B$8*(1+'Inputs-System'!$C$18)*(1+'Inputs-System'!$C$42))*'Inputs-Proposals'!$E$16*VLOOKUP(AH$3,DRIPE!$A$54:$I$82,8,FALSE), $C20 = "2",( 'Inputs-System'!$C$30*'Coincidence Factors'!$B$8*(1+'Inputs-System'!$C$18)*(1+'Inputs-System'!$C$41))*('Inputs-Proposals'!$E$23*'Inputs-Proposals'!$E$25*('Inputs-Proposals'!$E$26))*(VLOOKUP(AH$3,DRIPE!$A$54:$I$82,5,FALSE)+VLOOKUP(AH$3,DRIPE!$A$54:$I$82,9,FALSE))+  ('Inputs-System'!$C$26*'Coincidence Factors'!$B$8*(1+'Inputs-System'!$C$18)*(1+'Inputs-System'!$C$42))*'Inputs-Proposals'!$E$22*VLOOKUP(AH$3,DRIPE!$A$54:$I$82,8,FALSE), $C20= "3", ( 'Inputs-System'!$C$30*'Coincidence Factors'!$B$8*(1+'Inputs-System'!$C$18)*(1+'Inputs-System'!$C$41))*('Inputs-Proposals'!$E$29*'Inputs-Proposals'!$E$31*('Inputs-Proposals'!$E$32))*(VLOOKUP(AH$3,DRIPE!$A$54:$I$82,5,FALSE)+VLOOKUP(AH$3,DRIPE!$A$54:$I$82,9,FALSE))+  ('Inputs-System'!$C$26*'Coincidence Factors'!$B$8*(1+'Inputs-System'!$C$18)*(1+'Inputs-System'!$C$42))*'Inputs-Proposals'!$E$28*VLOOKUP(AH$3,DRIPE!$A$54:$I$82,8,FALSE), $C20 = "0", 0), 0)</f>
        <v>0</v>
      </c>
      <c r="AK20" s="45">
        <f>IFERROR(_xlfn.IFS($C20="1",('Inputs-System'!$C$30*'Coincidence Factors'!$B$8*(1+'Inputs-System'!$C$18))*'Inputs-Proposals'!$E$16*(VLOOKUP(AH$3,Capacity!$A$53:$E$85,4,FALSE)*(1+'Inputs-System'!$C$42)+VLOOKUP(AH$3,Capacity!$A$53:$E$85,5,FALSE)*'Inputs-System'!$C$29*(1+'Inputs-System'!$C$43)), $C20 = "2", ('Inputs-System'!$C$30*'Coincidence Factors'!$B$8*(1+'Inputs-System'!$C$18))*'Inputs-Proposals'!$E$22*(VLOOKUP(AH$3,Capacity!$A$53:$E$85,4,FALSE)*(1+'Inputs-System'!$C$42)+VLOOKUP(AH$3,Capacity!$A$53:$E$85,5,FALSE)*'Inputs-System'!$C$29*(1+'Inputs-System'!$C$43)), $C20 = "3",('Inputs-System'!$C$30*'Coincidence Factors'!$B$8*(1+'Inputs-System'!$C$18))*'Inputs-Proposals'!$E$28*(VLOOKUP(AH$3,Capacity!$A$53:$E$85,4,FALSE)*(1+'Inputs-System'!$C$42)+VLOOKUP(AH$3,Capacity!$A$53:$E$85,5,FALSE)*'Inputs-System'!$C$29*(1+'Inputs-System'!$C$43)), $C20 = "0", 0), 0)</f>
        <v>0</v>
      </c>
      <c r="AL20" s="44">
        <v>0</v>
      </c>
      <c r="AM20" s="342">
        <f>IFERROR(_xlfn.IFS($C20="1", 'Inputs-System'!$C$30*'Coincidence Factors'!$B$8*'Inputs-Proposals'!$E$17*'Inputs-Proposals'!$E$19*(VLOOKUP(AH$3,'Non-Embedded Emissions'!$A$56:$D$90,2,FALSE)+VLOOKUP(AH$3,'Non-Embedded Emissions'!$A$143:$D$174,2,FALSE)+VLOOKUP(AH$3,'Non-Embedded Emissions'!$A$230:$D$259,2,FALSE)), $C20 = "2", 'Inputs-System'!$C$30*'Coincidence Factors'!$B$8*'Inputs-Proposals'!$E$23*'Inputs-Proposals'!$E$25*(VLOOKUP(AH$3,'Non-Embedded Emissions'!$A$56:$D$90,2,FALSE)+VLOOKUP(AH$3,'Non-Embedded Emissions'!$A$143:$D$174,2,FALSE)+VLOOKUP(AH$3,'Non-Embedded Emissions'!$A$230:$D$259,2,FALSE)), $C20 = "3", 'Inputs-System'!$C$30*'Coincidence Factors'!$B$8*'Inputs-Proposals'!$E$29*'Inputs-Proposals'!$E$31*(VLOOKUP(AH$3,'Non-Embedded Emissions'!$A$56:$D$90,2,FALSE)+VLOOKUP(AH$3,'Non-Embedded Emissions'!$A$143:$D$174,2,FALSE)+VLOOKUP(AH$3,'Non-Embedded Emissions'!$A$230:$D$259,2,FALSE)), $C20 = "0", 0), 0)</f>
        <v>0</v>
      </c>
      <c r="AN20" s="45">
        <f>IFERROR(_xlfn.IFS($C20="1",('Inputs-System'!$C$30*'Coincidence Factors'!$B$8*(1+'Inputs-System'!$C$18)*(1+'Inputs-System'!$C$41)*('Inputs-Proposals'!$E$17*'Inputs-Proposals'!$E$19*('Inputs-Proposals'!$E$20))*(VLOOKUP(AN$3,Energy!$A$51:$K$83,5,FALSE))), $C20 = "2",('Inputs-System'!$C$30*'Coincidence Factors'!$B$8)*(1+'Inputs-System'!$C$18)*(1+'Inputs-System'!$C$41)*('Inputs-Proposals'!$E$23*'Inputs-Proposals'!$E$25*('Inputs-Proposals'!$E$26))*(VLOOKUP(AN$3,Energy!$A$51:$K$83,5,FALSE)), $C20= "3", ('Inputs-System'!$C$30*'Coincidence Factors'!$B$8*(1+'Inputs-System'!$C$18)*(1+'Inputs-System'!$C$41)*('Inputs-Proposals'!$E$29*'Inputs-Proposals'!$E$31*('Inputs-Proposals'!$E$32))*(VLOOKUP(AN$3,Energy!$A$51:$K$83,5,FALSE))), $C20= "0", 0), 0)</f>
        <v>0</v>
      </c>
      <c r="AO20" s="44">
        <f>IFERROR(_xlfn.IFS($C20="1",'Inputs-System'!$C$30*'Coincidence Factors'!$B$8*(1+'Inputs-System'!$C$18)*(1+'Inputs-System'!$C$41)*'Inputs-Proposals'!$E$17*'Inputs-Proposals'!$E$19*('Inputs-Proposals'!$E$20)*(VLOOKUP(AN$3,'Embedded Emissions'!$A$47:$B$78,2,FALSE)+VLOOKUP(AN$3,'Embedded Emissions'!$A$129:$B$158,2,FALSE)), $C20 = "2", 'Inputs-System'!$C$30*'Coincidence Factors'!$B$8*(1+'Inputs-System'!$C$18)*(1+'Inputs-System'!$C$41)*'Inputs-Proposals'!$E$23*'Inputs-Proposals'!$E$25*('Inputs-Proposals'!$E$20)*(VLOOKUP(AN$3,'Embedded Emissions'!$A$47:$B$78,2,FALSE)+VLOOKUP(AN$3,'Embedded Emissions'!$A$129:$B$158,2,FALSE)), $C20 = "3",'Inputs-System'!$C$30*'Coincidence Factors'!$B$8*(1+'Inputs-System'!$C$18)*(1+'Inputs-System'!$C$41)*'Inputs-Proposals'!$E$29*'Inputs-Proposals'!$E$31*('Inputs-Proposals'!$E$20)*(VLOOKUP(AN$3,'Embedded Emissions'!$A$47:$B$78,2,FALSE)+VLOOKUP(AN$3,'Embedded Emissions'!$A$129:$B$158,2,FALSE)), $C20 = "0", 0), 0)</f>
        <v>0</v>
      </c>
      <c r="AP20" s="44">
        <f>IFERROR(_xlfn.IFS($C20="1",( 'Inputs-System'!$C$30*'Coincidence Factors'!$B$8*(1+'Inputs-System'!$C$18)*(1+'Inputs-System'!$C$41))*('Inputs-Proposals'!$E$17*'Inputs-Proposals'!$E$19*('Inputs-Proposals'!$E$20))*(VLOOKUP(AN$3,DRIPE!$A$54:$I$82,5,FALSE)+VLOOKUP(AN$3,DRIPE!$A$54:$I$82,9,FALSE))+ ('Inputs-System'!$C$26*'Coincidence Factors'!$B$8*(1+'Inputs-System'!$C$18)*(1+'Inputs-System'!$C$42))*'Inputs-Proposals'!$E$16*VLOOKUP(AN$3,DRIPE!$A$54:$I$82,8,FALSE), $C20 = "2",( 'Inputs-System'!$C$30*'Coincidence Factors'!$B$8*(1+'Inputs-System'!$C$18)*(1+'Inputs-System'!$C$41))*('Inputs-Proposals'!$E$23*'Inputs-Proposals'!$E$25*('Inputs-Proposals'!$E$26))*(VLOOKUP(AN$3,DRIPE!$A$54:$I$82,5,FALSE)+VLOOKUP(AN$3,DRIPE!$A$54:$I$82,9,FALSE))+  ('Inputs-System'!$C$26*'Coincidence Factors'!$B$8*(1+'Inputs-System'!$C$18)*(1+'Inputs-System'!$C$42))*'Inputs-Proposals'!$E$22*VLOOKUP(AN$3,DRIPE!$A$54:$I$82,8,FALSE), $C20= "3", ( 'Inputs-System'!$C$30*'Coincidence Factors'!$B$8*(1+'Inputs-System'!$C$18)*(1+'Inputs-System'!$C$41))*('Inputs-Proposals'!$E$29*'Inputs-Proposals'!$E$31*('Inputs-Proposals'!$E$32))*(VLOOKUP(AN$3,DRIPE!$A$54:$I$82,5,FALSE)+VLOOKUP(AN$3,DRIPE!$A$54:$I$82,9,FALSE))+  ('Inputs-System'!$C$26*'Coincidence Factors'!$B$8*(1+'Inputs-System'!$C$18)*(1+'Inputs-System'!$C$42))*'Inputs-Proposals'!$E$28*VLOOKUP(AN$3,DRIPE!$A$54:$I$82,8,FALSE), $C20 = "0", 0), 0)</f>
        <v>0</v>
      </c>
      <c r="AQ20" s="45">
        <f>IFERROR(_xlfn.IFS($C20="1",('Inputs-System'!$C$30*'Coincidence Factors'!$B$8*(1+'Inputs-System'!$C$18))*'Inputs-Proposals'!$E$16*(VLOOKUP(AN$3,Capacity!$A$53:$E$85,4,FALSE)*(1+'Inputs-System'!$C$42)+VLOOKUP(AN$3,Capacity!$A$53:$E$85,5,FALSE)*'Inputs-System'!$C$29*(1+'Inputs-System'!$C$43)), $C20 = "2", ('Inputs-System'!$C$30*'Coincidence Factors'!$B$8*(1+'Inputs-System'!$C$18))*'Inputs-Proposals'!$E$22*(VLOOKUP(AN$3,Capacity!$A$53:$E$85,4,FALSE)*(1+'Inputs-System'!$C$42)+VLOOKUP(AN$3,Capacity!$A$53:$E$85,5,FALSE)*'Inputs-System'!$C$29*(1+'Inputs-System'!$C$43)), $C20 = "3",('Inputs-System'!$C$30*'Coincidence Factors'!$B$8*(1+'Inputs-System'!$C$18))*'Inputs-Proposals'!$E$28*(VLOOKUP(AN$3,Capacity!$A$53:$E$85,4,FALSE)*(1+'Inputs-System'!$C$42)+VLOOKUP(AN$3,Capacity!$A$53:$E$85,5,FALSE)*'Inputs-System'!$C$29*(1+'Inputs-System'!$C$43)), $C20 = "0", 0), 0)</f>
        <v>0</v>
      </c>
      <c r="AR20" s="44">
        <v>0</v>
      </c>
      <c r="AS20" s="342">
        <f>IFERROR(_xlfn.IFS($C20="1", 'Inputs-System'!$C$30*'Coincidence Factors'!$B$8*'Inputs-Proposals'!$E$17*'Inputs-Proposals'!$E$19*(VLOOKUP(AN$3,'Non-Embedded Emissions'!$A$56:$D$90,2,FALSE)+VLOOKUP(AN$3,'Non-Embedded Emissions'!$A$143:$D$174,2,FALSE)+VLOOKUP(AN$3,'Non-Embedded Emissions'!$A$230:$D$259,2,FALSE)), $C20 = "2", 'Inputs-System'!$C$30*'Coincidence Factors'!$B$8*'Inputs-Proposals'!$E$23*'Inputs-Proposals'!$E$25*(VLOOKUP(AN$3,'Non-Embedded Emissions'!$A$56:$D$90,2,FALSE)+VLOOKUP(AN$3,'Non-Embedded Emissions'!$A$143:$D$174,2,FALSE)+VLOOKUP(AN$3,'Non-Embedded Emissions'!$A$230:$D$259,2,FALSE)), $C20 = "3", 'Inputs-System'!$C$30*'Coincidence Factors'!$B$8*'Inputs-Proposals'!$E$29*'Inputs-Proposals'!$E$31*(VLOOKUP(AN$3,'Non-Embedded Emissions'!$A$56:$D$90,2,FALSE)+VLOOKUP(AN$3,'Non-Embedded Emissions'!$A$143:$D$174,2,FALSE)+VLOOKUP(AN$3,'Non-Embedded Emissions'!$A$230:$D$259,2,FALSE)), $C20 = "0", 0), 0)</f>
        <v>0</v>
      </c>
      <c r="AT20" s="45">
        <f>IFERROR(_xlfn.IFS($C20="1",('Inputs-System'!$C$30*'Coincidence Factors'!$B$8*(1+'Inputs-System'!$C$18)*(1+'Inputs-System'!$C$41)*('Inputs-Proposals'!$E$17*'Inputs-Proposals'!$E$19*('Inputs-Proposals'!$E$20))*(VLOOKUP(AT$3,Energy!$A$51:$K$83,5,FALSE))), $C20 = "2",('Inputs-System'!$C$30*'Coincidence Factors'!$B$8)*(1+'Inputs-System'!$C$18)*(1+'Inputs-System'!$C$41)*('Inputs-Proposals'!$E$23*'Inputs-Proposals'!$E$25*('Inputs-Proposals'!$E$26))*(VLOOKUP(AT$3,Energy!$A$51:$K$83,5,FALSE)), $C20= "3", ('Inputs-System'!$C$30*'Coincidence Factors'!$B$8*(1+'Inputs-System'!$C$18)*(1+'Inputs-System'!$C$41)*('Inputs-Proposals'!$E$29*'Inputs-Proposals'!$E$31*('Inputs-Proposals'!$E$32))*(VLOOKUP(AT$3,Energy!$A$51:$K$83,5,FALSE))), $C20= "0", 0), 0)</f>
        <v>0</v>
      </c>
      <c r="AU20" s="44">
        <f>IFERROR(_xlfn.IFS($C20="1",'Inputs-System'!$C$30*'Coincidence Factors'!$B$8*(1+'Inputs-System'!$C$18)*(1+'Inputs-System'!$C$41)*'Inputs-Proposals'!$E$17*'Inputs-Proposals'!$E$19*('Inputs-Proposals'!$E$20)*(VLOOKUP(AT$3,'Embedded Emissions'!$A$47:$B$78,2,FALSE)+VLOOKUP(AT$3,'Embedded Emissions'!$A$129:$B$158,2,FALSE)), $C20 = "2", 'Inputs-System'!$C$30*'Coincidence Factors'!$B$8*(1+'Inputs-System'!$C$18)*(1+'Inputs-System'!$C$41)*'Inputs-Proposals'!$E$23*'Inputs-Proposals'!$E$25*('Inputs-Proposals'!$E$20)*(VLOOKUP(AT$3,'Embedded Emissions'!$A$47:$B$78,2,FALSE)+VLOOKUP(AT$3,'Embedded Emissions'!$A$129:$B$158,2,FALSE)), $C20 = "3",'Inputs-System'!$C$30*'Coincidence Factors'!$B$8*(1+'Inputs-System'!$C$18)*(1+'Inputs-System'!$C$41)*'Inputs-Proposals'!$E$29*'Inputs-Proposals'!$E$31*('Inputs-Proposals'!$E$20)*(VLOOKUP(AT$3,'Embedded Emissions'!$A$47:$B$78,2,FALSE)+VLOOKUP(AT$3,'Embedded Emissions'!$A$129:$B$158,2,FALSE)), $C20 = "0", 0), 0)</f>
        <v>0</v>
      </c>
      <c r="AV20" s="44">
        <f>IFERROR(_xlfn.IFS($C20="1",( 'Inputs-System'!$C$30*'Coincidence Factors'!$B$8*(1+'Inputs-System'!$C$18)*(1+'Inputs-System'!$C$41))*('Inputs-Proposals'!$E$17*'Inputs-Proposals'!$E$19*('Inputs-Proposals'!$E$20))*(VLOOKUP(AT$3,DRIPE!$A$54:$I$82,5,FALSE)+VLOOKUP(AT$3,DRIPE!$A$54:$I$82,9,FALSE))+ ('Inputs-System'!$C$26*'Coincidence Factors'!$B$8*(1+'Inputs-System'!$C$18)*(1+'Inputs-System'!$C$42))*'Inputs-Proposals'!$E$16*VLOOKUP(AT$3,DRIPE!$A$54:$I$82,8,FALSE), $C20 = "2",( 'Inputs-System'!$C$30*'Coincidence Factors'!$B$8*(1+'Inputs-System'!$C$18)*(1+'Inputs-System'!$C$41))*('Inputs-Proposals'!$E$23*'Inputs-Proposals'!$E$25*('Inputs-Proposals'!$E$26))*(VLOOKUP(AT$3,DRIPE!$A$54:$I$82,5,FALSE)+VLOOKUP(AT$3,DRIPE!$A$54:$I$82,9,FALSE))+  ('Inputs-System'!$C$26*'Coincidence Factors'!$B$8*(1+'Inputs-System'!$C$18)*(1+'Inputs-System'!$C$42))*'Inputs-Proposals'!$E$22*VLOOKUP(AT$3,DRIPE!$A$54:$I$82,8,FALSE), $C20= "3", ( 'Inputs-System'!$C$30*'Coincidence Factors'!$B$8*(1+'Inputs-System'!$C$18)*(1+'Inputs-System'!$C$41))*('Inputs-Proposals'!$E$29*'Inputs-Proposals'!$E$31*('Inputs-Proposals'!$E$32))*(VLOOKUP(AT$3,DRIPE!$A$54:$I$82,5,FALSE)+VLOOKUP(AT$3,DRIPE!$A$54:$I$82,9,FALSE))+  ('Inputs-System'!$C$26*'Coincidence Factors'!$B$8*(1+'Inputs-System'!$C$18)*(1+'Inputs-System'!$C$42))*'Inputs-Proposals'!$E$28*VLOOKUP(AT$3,DRIPE!$A$54:$I$82,8,FALSE), $C20 = "0", 0), 0)</f>
        <v>0</v>
      </c>
      <c r="AW20" s="45">
        <f>IFERROR(_xlfn.IFS($C20="1",('Inputs-System'!$C$30*'Coincidence Factors'!$B$8*(1+'Inputs-System'!$C$18))*'Inputs-Proposals'!$E$16*(VLOOKUP(AT$3,Capacity!$A$53:$E$85,4,FALSE)*(1+'Inputs-System'!$C$42)+VLOOKUP(AT$3,Capacity!$A$53:$E$85,5,FALSE)*'Inputs-System'!$C$29*(1+'Inputs-System'!$C$43)), $C20 = "2", ('Inputs-System'!$C$30*'Coincidence Factors'!$B$8*(1+'Inputs-System'!$C$18))*'Inputs-Proposals'!$E$22*(VLOOKUP(AT$3,Capacity!$A$53:$E$85,4,FALSE)*(1+'Inputs-System'!$C$42)+VLOOKUP(AT$3,Capacity!$A$53:$E$85,5,FALSE)*'Inputs-System'!$C$29*(1+'Inputs-System'!$C$43)), $C20 = "3",('Inputs-System'!$C$30*'Coincidence Factors'!$B$8*(1+'Inputs-System'!$C$18))*'Inputs-Proposals'!$E$28*(VLOOKUP(AT$3,Capacity!$A$53:$E$85,4,FALSE)*(1+'Inputs-System'!$C$42)+VLOOKUP(AT$3,Capacity!$A$53:$E$85,5,FALSE)*'Inputs-System'!$C$29*(1+'Inputs-System'!$C$43)), $C20 = "0", 0), 0)</f>
        <v>0</v>
      </c>
      <c r="AX20" s="44">
        <v>0</v>
      </c>
      <c r="AY20" s="342">
        <f>IFERROR(_xlfn.IFS($C20="1", 'Inputs-System'!$C$30*'Coincidence Factors'!$B$8*'Inputs-Proposals'!$E$17*'Inputs-Proposals'!$E$19*(VLOOKUP(AT$3,'Non-Embedded Emissions'!$A$56:$D$90,2,FALSE)+VLOOKUP(AT$3,'Non-Embedded Emissions'!$A$143:$D$174,2,FALSE)+VLOOKUP(AT$3,'Non-Embedded Emissions'!$A$230:$D$259,2,FALSE)), $C20 = "2", 'Inputs-System'!$C$30*'Coincidence Factors'!$B$8*'Inputs-Proposals'!$E$23*'Inputs-Proposals'!$E$25*(VLOOKUP(AT$3,'Non-Embedded Emissions'!$A$56:$D$90,2,FALSE)+VLOOKUP(AT$3,'Non-Embedded Emissions'!$A$143:$D$174,2,FALSE)+VLOOKUP(AT$3,'Non-Embedded Emissions'!$A$230:$D$259,2,FALSE)), $C20 = "3", 'Inputs-System'!$C$30*'Coincidence Factors'!$B$8*'Inputs-Proposals'!$E$29*'Inputs-Proposals'!$E$31*(VLOOKUP(AT$3,'Non-Embedded Emissions'!$A$56:$D$90,2,FALSE)+VLOOKUP(AT$3,'Non-Embedded Emissions'!$A$143:$D$174,2,FALSE)+VLOOKUP(AT$3,'Non-Embedded Emissions'!$A$230:$D$259,2,FALSE)), $C20 = "0", 0), 0)</f>
        <v>0</v>
      </c>
      <c r="AZ20" s="45">
        <f>IFERROR(_xlfn.IFS($C20="1",('Inputs-System'!$C$30*'Coincidence Factors'!$B$8*(1+'Inputs-System'!$C$18)*(1+'Inputs-System'!$C$41)*('Inputs-Proposals'!$E$17*'Inputs-Proposals'!$E$19*('Inputs-Proposals'!$E$20))*(VLOOKUP(AZ$3,Energy!$A$51:$K$83,5,FALSE))), $C20 = "2",('Inputs-System'!$C$30*'Coincidence Factors'!$B$8)*(1+'Inputs-System'!$C$18)*(1+'Inputs-System'!$C$41)*('Inputs-Proposals'!$E$23*'Inputs-Proposals'!$E$25*('Inputs-Proposals'!$E$26))*(VLOOKUP(AZ$3,Energy!$A$51:$K$83,5,FALSE)), $C20= "3", ('Inputs-System'!$C$30*'Coincidence Factors'!$B$8*(1+'Inputs-System'!$C$18)*(1+'Inputs-System'!$C$41)*('Inputs-Proposals'!$E$29*'Inputs-Proposals'!$E$31*('Inputs-Proposals'!$E$32))*(VLOOKUP(AZ$3,Energy!$A$51:$K$83,5,FALSE))), $C20= "0", 0), 0)</f>
        <v>0</v>
      </c>
      <c r="BA20" s="44">
        <f>IFERROR(_xlfn.IFS($C20="1",'Inputs-System'!$C$30*'Coincidence Factors'!$B$8*(1+'Inputs-System'!$C$18)*(1+'Inputs-System'!$C$41)*'Inputs-Proposals'!$E$17*'Inputs-Proposals'!$E$19*('Inputs-Proposals'!$E$20)*(VLOOKUP(AZ$3,'Embedded Emissions'!$A$47:$B$78,2,FALSE)+VLOOKUP(AZ$3,'Embedded Emissions'!$A$129:$B$158,2,FALSE)), $C20 = "2", 'Inputs-System'!$C$30*'Coincidence Factors'!$B$8*(1+'Inputs-System'!$C$18)*(1+'Inputs-System'!$C$41)*'Inputs-Proposals'!$E$23*'Inputs-Proposals'!$E$25*('Inputs-Proposals'!$E$20)*(VLOOKUP(AZ$3,'Embedded Emissions'!$A$47:$B$78,2,FALSE)+VLOOKUP(AZ$3,'Embedded Emissions'!$A$129:$B$158,2,FALSE)), $C20 = "3",'Inputs-System'!$C$30*'Coincidence Factors'!$B$8*(1+'Inputs-System'!$C$18)*(1+'Inputs-System'!$C$41)*'Inputs-Proposals'!$E$29*'Inputs-Proposals'!$E$31*('Inputs-Proposals'!$E$20)*(VLOOKUP(AZ$3,'Embedded Emissions'!$A$47:$B$78,2,FALSE)+VLOOKUP(AZ$3,'Embedded Emissions'!$A$129:$B$158,2,FALSE)), $C20 = "0", 0), 0)</f>
        <v>0</v>
      </c>
      <c r="BB20" s="44">
        <f>IFERROR(_xlfn.IFS($C20="1",( 'Inputs-System'!$C$30*'Coincidence Factors'!$B$8*(1+'Inputs-System'!$C$18)*(1+'Inputs-System'!$C$41))*('Inputs-Proposals'!$E$17*'Inputs-Proposals'!$E$19*('Inputs-Proposals'!$E$20))*(VLOOKUP(AZ$3,DRIPE!$A$54:$I$82,5,FALSE)+VLOOKUP(AZ$3,DRIPE!$A$54:$I$82,9,FALSE))+ ('Inputs-System'!$C$26*'Coincidence Factors'!$B$8*(1+'Inputs-System'!$C$18)*(1+'Inputs-System'!$C$42))*'Inputs-Proposals'!$E$16*VLOOKUP(AZ$3,DRIPE!$A$54:$I$82,8,FALSE), $C20 = "2",( 'Inputs-System'!$C$30*'Coincidence Factors'!$B$8*(1+'Inputs-System'!$C$18)*(1+'Inputs-System'!$C$41))*('Inputs-Proposals'!$E$23*'Inputs-Proposals'!$E$25*('Inputs-Proposals'!$E$26))*(VLOOKUP(AZ$3,DRIPE!$A$54:$I$82,5,FALSE)+VLOOKUP(AZ$3,DRIPE!$A$54:$I$82,9,FALSE))+  ('Inputs-System'!$C$26*'Coincidence Factors'!$B$8*(1+'Inputs-System'!$C$18)*(1+'Inputs-System'!$C$42))*'Inputs-Proposals'!$E$22*VLOOKUP(AZ$3,DRIPE!$A$54:$I$82,8,FALSE), $C20= "3", ( 'Inputs-System'!$C$30*'Coincidence Factors'!$B$8*(1+'Inputs-System'!$C$18)*(1+'Inputs-System'!$C$41))*('Inputs-Proposals'!$E$29*'Inputs-Proposals'!$E$31*('Inputs-Proposals'!$E$32))*(VLOOKUP(AZ$3,DRIPE!$A$54:$I$82,5,FALSE)+VLOOKUP(AZ$3,DRIPE!$A$54:$I$82,9,FALSE))+  ('Inputs-System'!$C$26*'Coincidence Factors'!$B$8*(1+'Inputs-System'!$C$18)*(1+'Inputs-System'!$C$42))*'Inputs-Proposals'!$E$28*VLOOKUP(AZ$3,DRIPE!$A$54:$I$82,8,FALSE), $C20 = "0", 0), 0)</f>
        <v>0</v>
      </c>
      <c r="BC20" s="45">
        <f>IFERROR(_xlfn.IFS($C20="1",('Inputs-System'!$C$30*'Coincidence Factors'!$B$8*(1+'Inputs-System'!$C$18))*'Inputs-Proposals'!$E$16*(VLOOKUP(AZ$3,Capacity!$A$53:$E$85,4,FALSE)*(1+'Inputs-System'!$C$42)+VLOOKUP(AZ$3,Capacity!$A$53:$E$85,5,FALSE)*'Inputs-System'!$C$29*(1+'Inputs-System'!$C$43)), $C20 = "2", ('Inputs-System'!$C$30*'Coincidence Factors'!$B$8*(1+'Inputs-System'!$C$18))*'Inputs-Proposals'!$E$22*(VLOOKUP(AZ$3,Capacity!$A$53:$E$85,4,FALSE)*(1+'Inputs-System'!$C$42)+VLOOKUP(AZ$3,Capacity!$A$53:$E$85,5,FALSE)*'Inputs-System'!$C$29*(1+'Inputs-System'!$C$43)), $C20 = "3",('Inputs-System'!$C$30*'Coincidence Factors'!$B$8*(1+'Inputs-System'!$C$18))*'Inputs-Proposals'!$E$28*(VLOOKUP(AZ$3,Capacity!$A$53:$E$85,4,FALSE)*(1+'Inputs-System'!$C$42)+VLOOKUP(AZ$3,Capacity!$A$53:$E$85,5,FALSE)*'Inputs-System'!$C$29*(1+'Inputs-System'!$C$43)), $C20 = "0", 0), 0)</f>
        <v>0</v>
      </c>
      <c r="BD20" s="44">
        <v>0</v>
      </c>
      <c r="BE20" s="342">
        <f>IFERROR(_xlfn.IFS($C20="1", 'Inputs-System'!$C$30*'Coincidence Factors'!$B$8*'Inputs-Proposals'!$E$17*'Inputs-Proposals'!$E$19*(VLOOKUP(AZ$3,'Non-Embedded Emissions'!$A$56:$D$90,2,FALSE)+VLOOKUP(AZ$3,'Non-Embedded Emissions'!$A$143:$D$174,2,FALSE)+VLOOKUP(AZ$3,'Non-Embedded Emissions'!$A$230:$D$259,2,FALSE)), $C20 = "2", 'Inputs-System'!$C$30*'Coincidence Factors'!$B$8*'Inputs-Proposals'!$E$23*'Inputs-Proposals'!$E$25*(VLOOKUP(AZ$3,'Non-Embedded Emissions'!$A$56:$D$90,2,FALSE)+VLOOKUP(AZ$3,'Non-Embedded Emissions'!$A$143:$D$174,2,FALSE)+VLOOKUP(AZ$3,'Non-Embedded Emissions'!$A$230:$D$259,2,FALSE)), $C20 = "3", 'Inputs-System'!$C$30*'Coincidence Factors'!$B$8*'Inputs-Proposals'!$E$29*'Inputs-Proposals'!$E$31*(VLOOKUP(AZ$3,'Non-Embedded Emissions'!$A$56:$D$90,2,FALSE)+VLOOKUP(AZ$3,'Non-Embedded Emissions'!$A$143:$D$174,2,FALSE)+VLOOKUP(AZ$3,'Non-Embedded Emissions'!$A$230:$D$259,2,FALSE)), $C20 = "0", 0), 0)</f>
        <v>0</v>
      </c>
      <c r="BF20" s="45">
        <f>IFERROR(_xlfn.IFS($C20="1",('Inputs-System'!$C$30*'Coincidence Factors'!$B$8*(1+'Inputs-System'!$C$18)*(1+'Inputs-System'!$C$41)*('Inputs-Proposals'!$E$17*'Inputs-Proposals'!$E$19*('Inputs-Proposals'!$E$20))*(VLOOKUP(BF$3,Energy!$A$51:$K$83,5,FALSE))), $C20 = "2",('Inputs-System'!$C$30*'Coincidence Factors'!$B$8)*(1+'Inputs-System'!$C$18)*(1+'Inputs-System'!$C$41)*('Inputs-Proposals'!$E$23*'Inputs-Proposals'!$E$25*('Inputs-Proposals'!$E$26))*(VLOOKUP(BF$3,Energy!$A$51:$K$83,5,FALSE)), $C20= "3", ('Inputs-System'!$C$30*'Coincidence Factors'!$B$8*(1+'Inputs-System'!$C$18)*(1+'Inputs-System'!$C$41)*('Inputs-Proposals'!$E$29*'Inputs-Proposals'!$E$31*('Inputs-Proposals'!$E$32))*(VLOOKUP(BF$3,Energy!$A$51:$K$83,5,FALSE))), $C20= "0", 0), 0)</f>
        <v>0</v>
      </c>
      <c r="BG20" s="44">
        <f>IFERROR(_xlfn.IFS($C20="1",'Inputs-System'!$C$30*'Coincidence Factors'!$B$8*(1+'Inputs-System'!$C$18)*(1+'Inputs-System'!$C$41)*'Inputs-Proposals'!$E$17*'Inputs-Proposals'!$E$19*('Inputs-Proposals'!$E$20)*(VLOOKUP(BF$3,'Embedded Emissions'!$A$47:$B$78,2,FALSE)+VLOOKUP(BF$3,'Embedded Emissions'!$A$129:$B$158,2,FALSE)), $C20 = "2", 'Inputs-System'!$C$30*'Coincidence Factors'!$B$8*(1+'Inputs-System'!$C$18)*(1+'Inputs-System'!$C$41)*'Inputs-Proposals'!$E$23*'Inputs-Proposals'!$E$25*('Inputs-Proposals'!$E$20)*(VLOOKUP(BF$3,'Embedded Emissions'!$A$47:$B$78,2,FALSE)+VLOOKUP(BF$3,'Embedded Emissions'!$A$129:$B$158,2,FALSE)), $C20 = "3",'Inputs-System'!$C$30*'Coincidence Factors'!$B$8*(1+'Inputs-System'!$C$18)*(1+'Inputs-System'!$C$41)*'Inputs-Proposals'!$E$29*'Inputs-Proposals'!$E$31*('Inputs-Proposals'!$E$20)*(VLOOKUP(BF$3,'Embedded Emissions'!$A$47:$B$78,2,FALSE)+VLOOKUP(BF$3,'Embedded Emissions'!$A$129:$B$158,2,FALSE)), $C20 = "0", 0), 0)</f>
        <v>0</v>
      </c>
      <c r="BH20" s="44">
        <f>IFERROR(_xlfn.IFS($C20="1",( 'Inputs-System'!$C$30*'Coincidence Factors'!$B$8*(1+'Inputs-System'!$C$18)*(1+'Inputs-System'!$C$41))*('Inputs-Proposals'!$E$17*'Inputs-Proposals'!$E$19*('Inputs-Proposals'!$E$20))*(VLOOKUP(BF$3,DRIPE!$A$54:$I$82,5,FALSE)+VLOOKUP(BF$3,DRIPE!$A$54:$I$82,9,FALSE))+ ('Inputs-System'!$C$26*'Coincidence Factors'!$B$8*(1+'Inputs-System'!$C$18)*(1+'Inputs-System'!$C$42))*'Inputs-Proposals'!$E$16*VLOOKUP(BF$3,DRIPE!$A$54:$I$82,8,FALSE), $C20 = "2",( 'Inputs-System'!$C$30*'Coincidence Factors'!$B$8*(1+'Inputs-System'!$C$18)*(1+'Inputs-System'!$C$41))*('Inputs-Proposals'!$E$23*'Inputs-Proposals'!$E$25*('Inputs-Proposals'!$E$26))*(VLOOKUP(BF$3,DRIPE!$A$54:$I$82,5,FALSE)+VLOOKUP(BF$3,DRIPE!$A$54:$I$82,9,FALSE))+  ('Inputs-System'!$C$26*'Coincidence Factors'!$B$8*(1+'Inputs-System'!$C$18)*(1+'Inputs-System'!$C$42))*'Inputs-Proposals'!$E$22*VLOOKUP(BF$3,DRIPE!$A$54:$I$82,8,FALSE), $C20= "3", ( 'Inputs-System'!$C$30*'Coincidence Factors'!$B$8*(1+'Inputs-System'!$C$18)*(1+'Inputs-System'!$C$41))*('Inputs-Proposals'!$E$29*'Inputs-Proposals'!$E$31*('Inputs-Proposals'!$E$32))*(VLOOKUP(BF$3,DRIPE!$A$54:$I$82,5,FALSE)+VLOOKUP(BF$3,DRIPE!$A$54:$I$82,9,FALSE))+  ('Inputs-System'!$C$26*'Coincidence Factors'!$B$8*(1+'Inputs-System'!$C$18)*(1+'Inputs-System'!$C$42))*'Inputs-Proposals'!$E$28*VLOOKUP(BF$3,DRIPE!$A$54:$I$82,8,FALSE), $C20 = "0", 0), 0)</f>
        <v>0</v>
      </c>
      <c r="BI20" s="45">
        <f>IFERROR(_xlfn.IFS($C20="1",('Inputs-System'!$C$30*'Coincidence Factors'!$B$8*(1+'Inputs-System'!$C$18))*'Inputs-Proposals'!$E$16*(VLOOKUP(BF$3,Capacity!$A$53:$E$85,4,FALSE)*(1+'Inputs-System'!$C$42)+VLOOKUP(BF$3,Capacity!$A$53:$E$85,5,FALSE)*'Inputs-System'!$C$29*(1+'Inputs-System'!$C$43)), $C20 = "2", ('Inputs-System'!$C$30*'Coincidence Factors'!$B$8*(1+'Inputs-System'!$C$18))*'Inputs-Proposals'!$E$22*(VLOOKUP(BF$3,Capacity!$A$53:$E$85,4,FALSE)*(1+'Inputs-System'!$C$42)+VLOOKUP(BF$3,Capacity!$A$53:$E$85,5,FALSE)*'Inputs-System'!$C$29*(1+'Inputs-System'!$C$43)), $C20 = "3",('Inputs-System'!$C$30*'Coincidence Factors'!$B$8*(1+'Inputs-System'!$C$18))*'Inputs-Proposals'!$E$28*(VLOOKUP(BF$3,Capacity!$A$53:$E$85,4,FALSE)*(1+'Inputs-System'!$C$42)+VLOOKUP(BF$3,Capacity!$A$53:$E$85,5,FALSE)*'Inputs-System'!$C$29*(1+'Inputs-System'!$C$43)), $C20 = "0", 0), 0)</f>
        <v>0</v>
      </c>
      <c r="BJ20" s="44">
        <v>0</v>
      </c>
      <c r="BK20" s="342">
        <f>IFERROR(_xlfn.IFS($C20="1", 'Inputs-System'!$C$30*'Coincidence Factors'!$B$8*'Inputs-Proposals'!$E$17*'Inputs-Proposals'!$E$19*(VLOOKUP(BF$3,'Non-Embedded Emissions'!$A$56:$D$90,2,FALSE)+VLOOKUP(BF$3,'Non-Embedded Emissions'!$A$143:$D$174,2,FALSE)+VLOOKUP(BF$3,'Non-Embedded Emissions'!$A$230:$D$259,2,FALSE)), $C20 = "2", 'Inputs-System'!$C$30*'Coincidence Factors'!$B$8*'Inputs-Proposals'!$E$23*'Inputs-Proposals'!$E$25*(VLOOKUP(BF$3,'Non-Embedded Emissions'!$A$56:$D$90,2,FALSE)+VLOOKUP(BF$3,'Non-Embedded Emissions'!$A$143:$D$174,2,FALSE)+VLOOKUP(BF$3,'Non-Embedded Emissions'!$A$230:$D$259,2,FALSE)), $C20 = "3", 'Inputs-System'!$C$30*'Coincidence Factors'!$B$8*'Inputs-Proposals'!$E$29*'Inputs-Proposals'!$E$31*(VLOOKUP(BF$3,'Non-Embedded Emissions'!$A$56:$D$90,2,FALSE)+VLOOKUP(BF$3,'Non-Embedded Emissions'!$A$143:$D$174,2,FALSE)+VLOOKUP(BF$3,'Non-Embedded Emissions'!$A$230:$D$259,2,FALSE)), $C20 = "0", 0), 0)</f>
        <v>0</v>
      </c>
      <c r="BL20" s="45">
        <f>IFERROR(_xlfn.IFS($C20="1",('Inputs-System'!$C$30*'Coincidence Factors'!$B$8*(1+'Inputs-System'!$C$18)*(1+'Inputs-System'!$C$41)*('Inputs-Proposals'!$E$17*'Inputs-Proposals'!$E$19*('Inputs-Proposals'!$E$20))*(VLOOKUP(BL$3,Energy!$A$51:$K$83,5,FALSE))), $C20 = "2",('Inputs-System'!$C$30*'Coincidence Factors'!$B$8)*(1+'Inputs-System'!$C$18)*(1+'Inputs-System'!$C$41)*('Inputs-Proposals'!$E$23*'Inputs-Proposals'!$E$25*('Inputs-Proposals'!$E$26))*(VLOOKUP(BL$3,Energy!$A$51:$K$83,5,FALSE)), $C20= "3", ('Inputs-System'!$C$30*'Coincidence Factors'!$B$8*(1+'Inputs-System'!$C$18)*(1+'Inputs-System'!$C$41)*('Inputs-Proposals'!$E$29*'Inputs-Proposals'!$E$31*('Inputs-Proposals'!$E$32))*(VLOOKUP(BL$3,Energy!$A$51:$K$83,5,FALSE))), $C20= "0", 0), 0)</f>
        <v>0</v>
      </c>
      <c r="BM20" s="44">
        <f>IFERROR(_xlfn.IFS($C20="1",'Inputs-System'!$C$30*'Coincidence Factors'!$B$8*(1+'Inputs-System'!$C$18)*(1+'Inputs-System'!$C$41)*'Inputs-Proposals'!$E$17*'Inputs-Proposals'!$E$19*('Inputs-Proposals'!$E$20)*(VLOOKUP(BL$3,'Embedded Emissions'!$A$47:$B$78,2,FALSE)+VLOOKUP(BL$3,'Embedded Emissions'!$A$129:$B$158,2,FALSE)), $C20 = "2", 'Inputs-System'!$C$30*'Coincidence Factors'!$B$8*(1+'Inputs-System'!$C$18)*(1+'Inputs-System'!$C$41)*'Inputs-Proposals'!$E$23*'Inputs-Proposals'!$E$25*('Inputs-Proposals'!$E$20)*(VLOOKUP(BL$3,'Embedded Emissions'!$A$47:$B$78,2,FALSE)+VLOOKUP(BL$3,'Embedded Emissions'!$A$129:$B$158,2,FALSE)), $C20 = "3",'Inputs-System'!$C$30*'Coincidence Factors'!$B$8*(1+'Inputs-System'!$C$18)*(1+'Inputs-System'!$C$41)*'Inputs-Proposals'!$E$29*'Inputs-Proposals'!$E$31*('Inputs-Proposals'!$E$20)*(VLOOKUP(BL$3,'Embedded Emissions'!$A$47:$B$78,2,FALSE)+VLOOKUP(BL$3,'Embedded Emissions'!$A$129:$B$158,2,FALSE)), $C20 = "0", 0), 0)</f>
        <v>0</v>
      </c>
      <c r="BN20" s="44">
        <f>IFERROR(_xlfn.IFS($C20="1",( 'Inputs-System'!$C$30*'Coincidence Factors'!$B$8*(1+'Inputs-System'!$C$18)*(1+'Inputs-System'!$C$41))*('Inputs-Proposals'!$E$17*'Inputs-Proposals'!$E$19*('Inputs-Proposals'!$E$20))*(VLOOKUP(BL$3,DRIPE!$A$54:$I$82,5,FALSE)+VLOOKUP(BL$3,DRIPE!$A$54:$I$82,9,FALSE))+ ('Inputs-System'!$C$26*'Coincidence Factors'!$B$8*(1+'Inputs-System'!$C$18)*(1+'Inputs-System'!$C$42))*'Inputs-Proposals'!$E$16*VLOOKUP(BL$3,DRIPE!$A$54:$I$82,8,FALSE), $C20 = "2",( 'Inputs-System'!$C$30*'Coincidence Factors'!$B$8*(1+'Inputs-System'!$C$18)*(1+'Inputs-System'!$C$41))*('Inputs-Proposals'!$E$23*'Inputs-Proposals'!$E$25*('Inputs-Proposals'!$E$26))*(VLOOKUP(BL$3,DRIPE!$A$54:$I$82,5,FALSE)+VLOOKUP(BL$3,DRIPE!$A$54:$I$82,9,FALSE))+  ('Inputs-System'!$C$26*'Coincidence Factors'!$B$8*(1+'Inputs-System'!$C$18)*(1+'Inputs-System'!$C$42))*'Inputs-Proposals'!$E$22*VLOOKUP(BL$3,DRIPE!$A$54:$I$82,8,FALSE), $C20= "3", ( 'Inputs-System'!$C$30*'Coincidence Factors'!$B$8*(1+'Inputs-System'!$C$18)*(1+'Inputs-System'!$C$41))*('Inputs-Proposals'!$E$29*'Inputs-Proposals'!$E$31*('Inputs-Proposals'!$E$32))*(VLOOKUP(BL$3,DRIPE!$A$54:$I$82,5,FALSE)+VLOOKUP(BL$3,DRIPE!$A$54:$I$82,9,FALSE))+  ('Inputs-System'!$C$26*'Coincidence Factors'!$B$8*(1+'Inputs-System'!$C$18)*(1+'Inputs-System'!$C$42))*'Inputs-Proposals'!$E$28*VLOOKUP(BL$3,DRIPE!$A$54:$I$82,8,FALSE), $C20 = "0", 0), 0)</f>
        <v>0</v>
      </c>
      <c r="BO20" s="45">
        <f>IFERROR(_xlfn.IFS($C20="1",('Inputs-System'!$C$30*'Coincidence Factors'!$B$8*(1+'Inputs-System'!$C$18))*'Inputs-Proposals'!$E$16*(VLOOKUP(BL$3,Capacity!$A$53:$E$85,4,FALSE)*(1+'Inputs-System'!$C$42)+VLOOKUP(BL$3,Capacity!$A$53:$E$85,5,FALSE)*'Inputs-System'!$C$29*(1+'Inputs-System'!$C$43)), $C20 = "2", ('Inputs-System'!$C$30*'Coincidence Factors'!$B$8*(1+'Inputs-System'!$C$18))*'Inputs-Proposals'!$E$22*(VLOOKUP(BL$3,Capacity!$A$53:$E$85,4,FALSE)*(1+'Inputs-System'!$C$42)+VLOOKUP(BL$3,Capacity!$A$53:$E$85,5,FALSE)*'Inputs-System'!$C$29*(1+'Inputs-System'!$C$43)), $C20 = "3",('Inputs-System'!$C$30*'Coincidence Factors'!$B$8*(1+'Inputs-System'!$C$18))*'Inputs-Proposals'!$E$28*(VLOOKUP(BL$3,Capacity!$A$53:$E$85,4,FALSE)*(1+'Inputs-System'!$C$42)+VLOOKUP(BL$3,Capacity!$A$53:$E$85,5,FALSE)*'Inputs-System'!$C$29*(1+'Inputs-System'!$C$43)), $C20 = "0", 0), 0)</f>
        <v>0</v>
      </c>
      <c r="BP20" s="44">
        <v>0</v>
      </c>
      <c r="BQ20" s="342">
        <f>IFERROR(_xlfn.IFS($C20="1", 'Inputs-System'!$C$30*'Coincidence Factors'!$B$8*'Inputs-Proposals'!$E$17*'Inputs-Proposals'!$E$19*(VLOOKUP(BL$3,'Non-Embedded Emissions'!$A$56:$D$90,2,FALSE)+VLOOKUP(BL$3,'Non-Embedded Emissions'!$A$143:$D$174,2,FALSE)+VLOOKUP(BL$3,'Non-Embedded Emissions'!$A$230:$D$259,2,FALSE)), $C20 = "2", 'Inputs-System'!$C$30*'Coincidence Factors'!$B$8*'Inputs-Proposals'!$E$23*'Inputs-Proposals'!$E$25*(VLOOKUP(BL$3,'Non-Embedded Emissions'!$A$56:$D$90,2,FALSE)+VLOOKUP(BL$3,'Non-Embedded Emissions'!$A$143:$D$174,2,FALSE)+VLOOKUP(BL$3,'Non-Embedded Emissions'!$A$230:$D$259,2,FALSE)), $C20 = "3", 'Inputs-System'!$C$30*'Coincidence Factors'!$B$8*'Inputs-Proposals'!$E$29*'Inputs-Proposals'!$E$31*(VLOOKUP(BL$3,'Non-Embedded Emissions'!$A$56:$D$90,2,FALSE)+VLOOKUP(BL$3,'Non-Embedded Emissions'!$A$143:$D$174,2,FALSE)+VLOOKUP(BL$3,'Non-Embedded Emissions'!$A$230:$D$259,2,FALSE)), $C20 = "0", 0), 0)</f>
        <v>0</v>
      </c>
      <c r="BR20" s="45">
        <f>IFERROR(_xlfn.IFS($C20="1",('Inputs-System'!$C$30*'Coincidence Factors'!$B$8*(1+'Inputs-System'!$C$18)*(1+'Inputs-System'!$C$41)*('Inputs-Proposals'!$E$17*'Inputs-Proposals'!$E$19*('Inputs-Proposals'!$E$20))*(VLOOKUP(BR$3,Energy!$A$51:$K$83,5,FALSE))), $C20 = "2",('Inputs-System'!$C$30*'Coincidence Factors'!$B$8)*(1+'Inputs-System'!$C$18)*(1+'Inputs-System'!$C$41)*('Inputs-Proposals'!$E$23*'Inputs-Proposals'!$E$25*('Inputs-Proposals'!$E$26))*(VLOOKUP(BR$3,Energy!$A$51:$K$83,5,FALSE)), $C20= "3", ('Inputs-System'!$C$30*'Coincidence Factors'!$B$8*(1+'Inputs-System'!$C$18)*(1+'Inputs-System'!$C$41)*('Inputs-Proposals'!$E$29*'Inputs-Proposals'!$E$31*('Inputs-Proposals'!$E$32))*(VLOOKUP(BR$3,Energy!$A$51:$K$83,5,FALSE))), $C20= "0", 0), 0)</f>
        <v>0</v>
      </c>
      <c r="BS20" s="44">
        <f>IFERROR(_xlfn.IFS($C20="1",'Inputs-System'!$C$30*'Coincidence Factors'!$B$8*(1+'Inputs-System'!$C$18)*(1+'Inputs-System'!$C$41)*'Inputs-Proposals'!$E$17*'Inputs-Proposals'!$E$19*('Inputs-Proposals'!$E$20)*(VLOOKUP(BR$3,'Embedded Emissions'!$A$47:$B$78,2,FALSE)+VLOOKUP(BR$3,'Embedded Emissions'!$A$129:$B$158,2,FALSE)), $C20 = "2", 'Inputs-System'!$C$30*'Coincidence Factors'!$B$8*(1+'Inputs-System'!$C$18)*(1+'Inputs-System'!$C$41)*'Inputs-Proposals'!$E$23*'Inputs-Proposals'!$E$25*('Inputs-Proposals'!$E$20)*(VLOOKUP(BR$3,'Embedded Emissions'!$A$47:$B$78,2,FALSE)+VLOOKUP(BR$3,'Embedded Emissions'!$A$129:$B$158,2,FALSE)), $C20 = "3",'Inputs-System'!$C$30*'Coincidence Factors'!$B$8*(1+'Inputs-System'!$C$18)*(1+'Inputs-System'!$C$41)*'Inputs-Proposals'!$E$29*'Inputs-Proposals'!$E$31*('Inputs-Proposals'!$E$20)*(VLOOKUP(BR$3,'Embedded Emissions'!$A$47:$B$78,2,FALSE)+VLOOKUP(BR$3,'Embedded Emissions'!$A$129:$B$158,2,FALSE)), $C20 = "0", 0), 0)</f>
        <v>0</v>
      </c>
      <c r="BT20" s="44">
        <f>IFERROR(_xlfn.IFS($C20="1",( 'Inputs-System'!$C$30*'Coincidence Factors'!$B$8*(1+'Inputs-System'!$C$18)*(1+'Inputs-System'!$C$41))*('Inputs-Proposals'!$E$17*'Inputs-Proposals'!$E$19*('Inputs-Proposals'!$E$20))*(VLOOKUP(BR$3,DRIPE!$A$54:$I$82,5,FALSE)+VLOOKUP(BR$3,DRIPE!$A$54:$I$82,9,FALSE))+ ('Inputs-System'!$C$26*'Coincidence Factors'!$B$8*(1+'Inputs-System'!$C$18)*(1+'Inputs-System'!$C$42))*'Inputs-Proposals'!$E$16*VLOOKUP(BR$3,DRIPE!$A$54:$I$82,8,FALSE), $C20 = "2",( 'Inputs-System'!$C$30*'Coincidence Factors'!$B$8*(1+'Inputs-System'!$C$18)*(1+'Inputs-System'!$C$41))*('Inputs-Proposals'!$E$23*'Inputs-Proposals'!$E$25*('Inputs-Proposals'!$E$26))*(VLOOKUP(BR$3,DRIPE!$A$54:$I$82,5,FALSE)+VLOOKUP(BR$3,DRIPE!$A$54:$I$82,9,FALSE))+  ('Inputs-System'!$C$26*'Coincidence Factors'!$B$8*(1+'Inputs-System'!$C$18)*(1+'Inputs-System'!$C$42))*'Inputs-Proposals'!$E$22*VLOOKUP(BR$3,DRIPE!$A$54:$I$82,8,FALSE), $C20= "3", ( 'Inputs-System'!$C$30*'Coincidence Factors'!$B$8*(1+'Inputs-System'!$C$18)*(1+'Inputs-System'!$C$41))*('Inputs-Proposals'!$E$29*'Inputs-Proposals'!$E$31*('Inputs-Proposals'!$E$32))*(VLOOKUP(BR$3,DRIPE!$A$54:$I$82,5,FALSE)+VLOOKUP(BR$3,DRIPE!$A$54:$I$82,9,FALSE))+  ('Inputs-System'!$C$26*'Coincidence Factors'!$B$8*(1+'Inputs-System'!$C$18)*(1+'Inputs-System'!$C$42))*'Inputs-Proposals'!$E$28*VLOOKUP(BR$3,DRIPE!$A$54:$I$82,8,FALSE), $C20 = "0", 0), 0)</f>
        <v>0</v>
      </c>
      <c r="BU20" s="45">
        <f>IFERROR(_xlfn.IFS($C20="1",('Inputs-System'!$C$30*'Coincidence Factors'!$B$8*(1+'Inputs-System'!$C$18))*'Inputs-Proposals'!$E$16*(VLOOKUP(BR$3,Capacity!$A$53:$E$85,4,FALSE)*(1+'Inputs-System'!$C$42)+VLOOKUP(BR$3,Capacity!$A$53:$E$85,5,FALSE)*'Inputs-System'!$C$29*(1+'Inputs-System'!$C$43)), $C20 = "2", ('Inputs-System'!$C$30*'Coincidence Factors'!$B$8*(1+'Inputs-System'!$C$18))*'Inputs-Proposals'!$E$22*(VLOOKUP(BR$3,Capacity!$A$53:$E$85,4,FALSE)*(1+'Inputs-System'!$C$42)+VLOOKUP(BR$3,Capacity!$A$53:$E$85,5,FALSE)*'Inputs-System'!$C$29*(1+'Inputs-System'!$C$43)), $C20 = "3",('Inputs-System'!$C$30*'Coincidence Factors'!$B$8*(1+'Inputs-System'!$C$18))*'Inputs-Proposals'!$E$28*(VLOOKUP(BR$3,Capacity!$A$53:$E$85,4,FALSE)*(1+'Inputs-System'!$C$42)+VLOOKUP(BR$3,Capacity!$A$53:$E$85,5,FALSE)*'Inputs-System'!$C$29*(1+'Inputs-System'!$C$43)), $C20 = "0", 0), 0)</f>
        <v>0</v>
      </c>
      <c r="BV20" s="44">
        <v>0</v>
      </c>
      <c r="BW20" s="342">
        <f>IFERROR(_xlfn.IFS($C20="1", 'Inputs-System'!$C$30*'Coincidence Factors'!$B$8*'Inputs-Proposals'!$E$17*'Inputs-Proposals'!$E$19*(VLOOKUP(BR$3,'Non-Embedded Emissions'!$A$56:$D$90,2,FALSE)+VLOOKUP(BR$3,'Non-Embedded Emissions'!$A$143:$D$174,2,FALSE)+VLOOKUP(BR$3,'Non-Embedded Emissions'!$A$230:$D$259,2,FALSE)), $C20 = "2", 'Inputs-System'!$C$30*'Coincidence Factors'!$B$8*'Inputs-Proposals'!$E$23*'Inputs-Proposals'!$E$25*(VLOOKUP(BR$3,'Non-Embedded Emissions'!$A$56:$D$90,2,FALSE)+VLOOKUP(BR$3,'Non-Embedded Emissions'!$A$143:$D$174,2,FALSE)+VLOOKUP(BR$3,'Non-Embedded Emissions'!$A$230:$D$259,2,FALSE)), $C20 = "3", 'Inputs-System'!$C$30*'Coincidence Factors'!$B$8*'Inputs-Proposals'!$E$29*'Inputs-Proposals'!$E$31*(VLOOKUP(BR$3,'Non-Embedded Emissions'!$A$56:$D$90,2,FALSE)+VLOOKUP(BR$3,'Non-Embedded Emissions'!$A$143:$D$174,2,FALSE)+VLOOKUP(BR$3,'Non-Embedded Emissions'!$A$230:$D$259,2,FALSE)), $C20 = "0", 0), 0)</f>
        <v>0</v>
      </c>
      <c r="BX20" s="45">
        <f>IFERROR(_xlfn.IFS($C20="1",('Inputs-System'!$C$30*'Coincidence Factors'!$B$8*(1+'Inputs-System'!$C$18)*(1+'Inputs-System'!$C$41)*('Inputs-Proposals'!$E$17*'Inputs-Proposals'!$E$19*('Inputs-Proposals'!$E$20))*(VLOOKUP(BX$3,Energy!$A$51:$K$83,5,FALSE))), $C20 = "2",('Inputs-System'!$C$30*'Coincidence Factors'!$B$8)*(1+'Inputs-System'!$C$18)*(1+'Inputs-System'!$C$41)*('Inputs-Proposals'!$E$23*'Inputs-Proposals'!$E$25*('Inputs-Proposals'!$E$26))*(VLOOKUP(BX$3,Energy!$A$51:$K$83,5,FALSE)), $C20= "3", ('Inputs-System'!$C$30*'Coincidence Factors'!$B$8*(1+'Inputs-System'!$C$18)*(1+'Inputs-System'!$C$41)*('Inputs-Proposals'!$E$29*'Inputs-Proposals'!$E$31*('Inputs-Proposals'!$E$32))*(VLOOKUP(BX$3,Energy!$A$51:$K$83,5,FALSE))), $C20= "0", 0), 0)</f>
        <v>0</v>
      </c>
      <c r="BY20" s="44">
        <f>IFERROR(_xlfn.IFS($C20="1",'Inputs-System'!$C$30*'Coincidence Factors'!$B$8*(1+'Inputs-System'!$C$18)*(1+'Inputs-System'!$C$41)*'Inputs-Proposals'!$E$17*'Inputs-Proposals'!$E$19*('Inputs-Proposals'!$E$20)*(VLOOKUP(BX$3,'Embedded Emissions'!$A$47:$B$78,2,FALSE)+VLOOKUP(BX$3,'Embedded Emissions'!$A$129:$B$158,2,FALSE)), $C20 = "2", 'Inputs-System'!$C$30*'Coincidence Factors'!$B$8*(1+'Inputs-System'!$C$18)*(1+'Inputs-System'!$C$41)*'Inputs-Proposals'!$E$23*'Inputs-Proposals'!$E$25*('Inputs-Proposals'!$E$20)*(VLOOKUP(BX$3,'Embedded Emissions'!$A$47:$B$78,2,FALSE)+VLOOKUP(BX$3,'Embedded Emissions'!$A$129:$B$158,2,FALSE)), $C20 = "3",'Inputs-System'!$C$30*'Coincidence Factors'!$B$8*(1+'Inputs-System'!$C$18)*(1+'Inputs-System'!$C$41)*'Inputs-Proposals'!$E$29*'Inputs-Proposals'!$E$31*('Inputs-Proposals'!$E$20)*(VLOOKUP(BX$3,'Embedded Emissions'!$A$47:$B$78,2,FALSE)+VLOOKUP(BX$3,'Embedded Emissions'!$A$129:$B$158,2,FALSE)), $C20 = "0", 0), 0)</f>
        <v>0</v>
      </c>
      <c r="BZ20" s="44">
        <f>IFERROR(_xlfn.IFS($C20="1",( 'Inputs-System'!$C$30*'Coincidence Factors'!$B$8*(1+'Inputs-System'!$C$18)*(1+'Inputs-System'!$C$41))*('Inputs-Proposals'!$E$17*'Inputs-Proposals'!$E$19*('Inputs-Proposals'!$E$20))*(VLOOKUP(BX$3,DRIPE!$A$54:$I$82,5,FALSE)+VLOOKUP(BX$3,DRIPE!$A$54:$I$82,9,FALSE))+ ('Inputs-System'!$C$26*'Coincidence Factors'!$B$8*(1+'Inputs-System'!$C$18)*(1+'Inputs-System'!$C$42))*'Inputs-Proposals'!$E$16*VLOOKUP(BX$3,DRIPE!$A$54:$I$82,8,FALSE), $C20 = "2",( 'Inputs-System'!$C$30*'Coincidence Factors'!$B$8*(1+'Inputs-System'!$C$18)*(1+'Inputs-System'!$C$41))*('Inputs-Proposals'!$E$23*'Inputs-Proposals'!$E$25*('Inputs-Proposals'!$E$26))*(VLOOKUP(BX$3,DRIPE!$A$54:$I$82,5,FALSE)+VLOOKUP(BX$3,DRIPE!$A$54:$I$82,9,FALSE))+  ('Inputs-System'!$C$26*'Coincidence Factors'!$B$8*(1+'Inputs-System'!$C$18)*(1+'Inputs-System'!$C$42))*'Inputs-Proposals'!$E$22*VLOOKUP(BX$3,DRIPE!$A$54:$I$82,8,FALSE), $C20= "3", ( 'Inputs-System'!$C$30*'Coincidence Factors'!$B$8*(1+'Inputs-System'!$C$18)*(1+'Inputs-System'!$C$41))*('Inputs-Proposals'!$E$29*'Inputs-Proposals'!$E$31*('Inputs-Proposals'!$E$32))*(VLOOKUP(BX$3,DRIPE!$A$54:$I$82,5,FALSE)+VLOOKUP(BX$3,DRIPE!$A$54:$I$82,9,FALSE))+  ('Inputs-System'!$C$26*'Coincidence Factors'!$B$8*(1+'Inputs-System'!$C$18)*(1+'Inputs-System'!$C$42))*'Inputs-Proposals'!$E$28*VLOOKUP(BX$3,DRIPE!$A$54:$I$82,8,FALSE), $C20 = "0", 0), 0)</f>
        <v>0</v>
      </c>
      <c r="CA20" s="45">
        <f>IFERROR(_xlfn.IFS($C20="1",('Inputs-System'!$C$30*'Coincidence Factors'!$B$8*(1+'Inputs-System'!$C$18))*'Inputs-Proposals'!$E$16*(VLOOKUP(BX$3,Capacity!$A$53:$E$85,4,FALSE)*(1+'Inputs-System'!$C$42)+VLOOKUP(BX$3,Capacity!$A$53:$E$85,5,FALSE)*'Inputs-System'!$C$29*(1+'Inputs-System'!$C$43)), $C20 = "2", ('Inputs-System'!$C$30*'Coincidence Factors'!$B$8*(1+'Inputs-System'!$C$18))*'Inputs-Proposals'!$E$22*(VLOOKUP(BX$3,Capacity!$A$53:$E$85,4,FALSE)*(1+'Inputs-System'!$C$42)+VLOOKUP(BX$3,Capacity!$A$53:$E$85,5,FALSE)*'Inputs-System'!$C$29*(1+'Inputs-System'!$C$43)), $C20 = "3",('Inputs-System'!$C$30*'Coincidence Factors'!$B$8*(1+'Inputs-System'!$C$18))*'Inputs-Proposals'!$E$28*(VLOOKUP(BX$3,Capacity!$A$53:$E$85,4,FALSE)*(1+'Inputs-System'!$C$42)+VLOOKUP(BX$3,Capacity!$A$53:$E$85,5,FALSE)*'Inputs-System'!$C$29*(1+'Inputs-System'!$C$43)), $C20 = "0", 0), 0)</f>
        <v>0</v>
      </c>
      <c r="CB20" s="44">
        <v>0</v>
      </c>
      <c r="CC20" s="342">
        <f>IFERROR(_xlfn.IFS($C20="1", 'Inputs-System'!$C$30*'Coincidence Factors'!$B$8*'Inputs-Proposals'!$E$17*'Inputs-Proposals'!$E$19*(VLOOKUP(BX$3,'Non-Embedded Emissions'!$A$56:$D$90,2,FALSE)+VLOOKUP(BX$3,'Non-Embedded Emissions'!$A$143:$D$174,2,FALSE)+VLOOKUP(BX$3,'Non-Embedded Emissions'!$A$230:$D$259,2,FALSE)), $C20 = "2", 'Inputs-System'!$C$30*'Coincidence Factors'!$B$8*'Inputs-Proposals'!$E$23*'Inputs-Proposals'!$E$25*(VLOOKUP(BX$3,'Non-Embedded Emissions'!$A$56:$D$90,2,FALSE)+VLOOKUP(BX$3,'Non-Embedded Emissions'!$A$143:$D$174,2,FALSE)+VLOOKUP(BX$3,'Non-Embedded Emissions'!$A$230:$D$259,2,FALSE)), $C20 = "3", 'Inputs-System'!$C$30*'Coincidence Factors'!$B$8*'Inputs-Proposals'!$E$29*'Inputs-Proposals'!$E$31*(VLOOKUP(BX$3,'Non-Embedded Emissions'!$A$56:$D$90,2,FALSE)+VLOOKUP(BX$3,'Non-Embedded Emissions'!$A$143:$D$174,2,FALSE)+VLOOKUP(BX$3,'Non-Embedded Emissions'!$A$230:$D$259,2,FALSE)), $C20 = "0", 0), 0)</f>
        <v>0</v>
      </c>
      <c r="CD20" s="45">
        <f>IFERROR(_xlfn.IFS($C20="1",('Inputs-System'!$C$30*'Coincidence Factors'!$B$8*(1+'Inputs-System'!$C$18)*(1+'Inputs-System'!$C$41)*('Inputs-Proposals'!$E$17*'Inputs-Proposals'!$E$19*('Inputs-Proposals'!$E$20))*(VLOOKUP(CD$3,Energy!$A$51:$K$83,5,FALSE))), $C20 = "2",('Inputs-System'!$C$30*'Coincidence Factors'!$B$8)*(1+'Inputs-System'!$C$18)*(1+'Inputs-System'!$C$41)*('Inputs-Proposals'!$E$23*'Inputs-Proposals'!$E$25*('Inputs-Proposals'!$E$26))*(VLOOKUP(CD$3,Energy!$A$51:$K$83,5,FALSE)), $C20= "3", ('Inputs-System'!$C$30*'Coincidence Factors'!$B$8*(1+'Inputs-System'!$C$18)*(1+'Inputs-System'!$C$41)*('Inputs-Proposals'!$E$29*'Inputs-Proposals'!$E$31*('Inputs-Proposals'!$E$32))*(VLOOKUP(CD$3,Energy!$A$51:$K$83,5,FALSE))), $C20= "0", 0), 0)</f>
        <v>0</v>
      </c>
      <c r="CE20" s="44">
        <f>IFERROR(_xlfn.IFS($C20="1",'Inputs-System'!$C$30*'Coincidence Factors'!$B$8*(1+'Inputs-System'!$C$18)*(1+'Inputs-System'!$C$41)*'Inputs-Proposals'!$E$17*'Inputs-Proposals'!$E$19*('Inputs-Proposals'!$E$20)*(VLOOKUP(CD$3,'Embedded Emissions'!$A$47:$B$78,2,FALSE)+VLOOKUP(CD$3,'Embedded Emissions'!$A$129:$B$158,2,FALSE)), $C20 = "2", 'Inputs-System'!$C$30*'Coincidence Factors'!$B$8*(1+'Inputs-System'!$C$18)*(1+'Inputs-System'!$C$41)*'Inputs-Proposals'!$E$23*'Inputs-Proposals'!$E$25*('Inputs-Proposals'!$E$20)*(VLOOKUP(CD$3,'Embedded Emissions'!$A$47:$B$78,2,FALSE)+VLOOKUP(CD$3,'Embedded Emissions'!$A$129:$B$158,2,FALSE)), $C20 = "3",'Inputs-System'!$C$30*'Coincidence Factors'!$B$8*(1+'Inputs-System'!$C$18)*(1+'Inputs-System'!$C$41)*'Inputs-Proposals'!$E$29*'Inputs-Proposals'!$E$31*('Inputs-Proposals'!$E$20)*(VLOOKUP(CD$3,'Embedded Emissions'!$A$47:$B$78,2,FALSE)+VLOOKUP(CD$3,'Embedded Emissions'!$A$129:$B$158,2,FALSE)), $C20 = "0", 0), 0)</f>
        <v>0</v>
      </c>
      <c r="CF20" s="44">
        <f>IFERROR(_xlfn.IFS($C20="1",( 'Inputs-System'!$C$30*'Coincidence Factors'!$B$8*(1+'Inputs-System'!$C$18)*(1+'Inputs-System'!$C$41))*('Inputs-Proposals'!$E$17*'Inputs-Proposals'!$E$19*('Inputs-Proposals'!$E$20))*(VLOOKUP(CD$3,DRIPE!$A$54:$I$82,5,FALSE)+VLOOKUP(CD$3,DRIPE!$A$54:$I$82,9,FALSE))+ ('Inputs-System'!$C$26*'Coincidence Factors'!$B$8*(1+'Inputs-System'!$C$18)*(1+'Inputs-System'!$C$42))*'Inputs-Proposals'!$E$16*VLOOKUP(CD$3,DRIPE!$A$54:$I$82,8,FALSE), $C20 = "2",( 'Inputs-System'!$C$30*'Coincidence Factors'!$B$8*(1+'Inputs-System'!$C$18)*(1+'Inputs-System'!$C$41))*('Inputs-Proposals'!$E$23*'Inputs-Proposals'!$E$25*('Inputs-Proposals'!$E$26))*(VLOOKUP(CD$3,DRIPE!$A$54:$I$82,5,FALSE)+VLOOKUP(CD$3,DRIPE!$A$54:$I$82,9,FALSE))+  ('Inputs-System'!$C$26*'Coincidence Factors'!$B$8*(1+'Inputs-System'!$C$18)*(1+'Inputs-System'!$C$42))*'Inputs-Proposals'!$E$22*VLOOKUP(CD$3,DRIPE!$A$54:$I$82,8,FALSE), $C20= "3", ( 'Inputs-System'!$C$30*'Coincidence Factors'!$B$8*(1+'Inputs-System'!$C$18)*(1+'Inputs-System'!$C$41))*('Inputs-Proposals'!$E$29*'Inputs-Proposals'!$E$31*('Inputs-Proposals'!$E$32))*(VLOOKUP(CD$3,DRIPE!$A$54:$I$82,5,FALSE)+VLOOKUP(CD$3,DRIPE!$A$54:$I$82,9,FALSE))+  ('Inputs-System'!$C$26*'Coincidence Factors'!$B$8*(1+'Inputs-System'!$C$18)*(1+'Inputs-System'!$C$42))*'Inputs-Proposals'!$E$28*VLOOKUP(CD$3,DRIPE!$A$54:$I$82,8,FALSE), $C20 = "0", 0), 0)</f>
        <v>0</v>
      </c>
      <c r="CG20" s="45">
        <f>IFERROR(_xlfn.IFS($C20="1",('Inputs-System'!$C$30*'Coincidence Factors'!$B$8*(1+'Inputs-System'!$C$18))*'Inputs-Proposals'!$E$16*(VLOOKUP(CD$3,Capacity!$A$53:$E$85,4,FALSE)*(1+'Inputs-System'!$C$42)+VLOOKUP(CD$3,Capacity!$A$53:$E$85,5,FALSE)*'Inputs-System'!$C$29*(1+'Inputs-System'!$C$43)), $C20 = "2", ('Inputs-System'!$C$30*'Coincidence Factors'!$B$8*(1+'Inputs-System'!$C$18))*'Inputs-Proposals'!$E$22*(VLOOKUP(CD$3,Capacity!$A$53:$E$85,4,FALSE)*(1+'Inputs-System'!$C$42)+VLOOKUP(CD$3,Capacity!$A$53:$E$85,5,FALSE)*'Inputs-System'!$C$29*(1+'Inputs-System'!$C$43)), $C20 = "3",('Inputs-System'!$C$30*'Coincidence Factors'!$B$8*(1+'Inputs-System'!$C$18))*'Inputs-Proposals'!$E$28*(VLOOKUP(CD$3,Capacity!$A$53:$E$85,4,FALSE)*(1+'Inputs-System'!$C$42)+VLOOKUP(CD$3,Capacity!$A$53:$E$85,5,FALSE)*'Inputs-System'!$C$29*(1+'Inputs-System'!$C$43)), $C20 = "0", 0), 0)</f>
        <v>0</v>
      </c>
      <c r="CH20" s="44">
        <v>0</v>
      </c>
      <c r="CI20" s="342">
        <f>IFERROR(_xlfn.IFS($C20="1", 'Inputs-System'!$C$30*'Coincidence Factors'!$B$8*'Inputs-Proposals'!$E$17*'Inputs-Proposals'!$E$19*(VLOOKUP(CD$3,'Non-Embedded Emissions'!$A$56:$D$90,2,FALSE)+VLOOKUP(CD$3,'Non-Embedded Emissions'!$A$143:$D$174,2,FALSE)+VLOOKUP(CD$3,'Non-Embedded Emissions'!$A$230:$D$259,2,FALSE)), $C20 = "2", 'Inputs-System'!$C$30*'Coincidence Factors'!$B$8*'Inputs-Proposals'!$E$23*'Inputs-Proposals'!$E$25*(VLOOKUP(CD$3,'Non-Embedded Emissions'!$A$56:$D$90,2,FALSE)+VLOOKUP(CD$3,'Non-Embedded Emissions'!$A$143:$D$174,2,FALSE)+VLOOKUP(CD$3,'Non-Embedded Emissions'!$A$230:$D$259,2,FALSE)), $C20 = "3", 'Inputs-System'!$C$30*'Coincidence Factors'!$B$8*'Inputs-Proposals'!$E$29*'Inputs-Proposals'!$E$31*(VLOOKUP(CD$3,'Non-Embedded Emissions'!$A$56:$D$90,2,FALSE)+VLOOKUP(CD$3,'Non-Embedded Emissions'!$A$143:$D$174,2,FALSE)+VLOOKUP(CD$3,'Non-Embedded Emissions'!$A$230:$D$259,2,FALSE)), $C20 = "0", 0), 0)</f>
        <v>0</v>
      </c>
      <c r="CJ20" s="45">
        <f>IFERROR(_xlfn.IFS($C20="1",('Inputs-System'!$C$30*'Coincidence Factors'!$B$8*(1+'Inputs-System'!$C$18)*(1+'Inputs-System'!$C$41)*('Inputs-Proposals'!$E$17*'Inputs-Proposals'!$E$19*('Inputs-Proposals'!$E$20))*(VLOOKUP(CJ$3,Energy!$A$51:$K$83,5,FALSE))), $C20 = "2",('Inputs-System'!$C$30*'Coincidence Factors'!$B$8)*(1+'Inputs-System'!$C$18)*(1+'Inputs-System'!$C$41)*('Inputs-Proposals'!$E$23*'Inputs-Proposals'!$E$25*('Inputs-Proposals'!$E$26))*(VLOOKUP(CJ$3,Energy!$A$51:$K$83,5,FALSE)), $C20= "3", ('Inputs-System'!$C$30*'Coincidence Factors'!$B$8*(1+'Inputs-System'!$C$18)*(1+'Inputs-System'!$C$41)*('Inputs-Proposals'!$E$29*'Inputs-Proposals'!$E$31*('Inputs-Proposals'!$E$32))*(VLOOKUP(CJ$3,Energy!$A$51:$K$83,5,FALSE))), $C20= "0", 0), 0)</f>
        <v>0</v>
      </c>
      <c r="CK20" s="44">
        <f>IFERROR(_xlfn.IFS($C20="1",'Inputs-System'!$C$30*'Coincidence Factors'!$B$8*(1+'Inputs-System'!$C$18)*(1+'Inputs-System'!$C$41)*'Inputs-Proposals'!$E$17*'Inputs-Proposals'!$E$19*('Inputs-Proposals'!$E$20)*(VLOOKUP(CJ$3,'Embedded Emissions'!$A$47:$B$78,2,FALSE)+VLOOKUP(CJ$3,'Embedded Emissions'!$A$129:$B$158,2,FALSE)), $C20 = "2", 'Inputs-System'!$C$30*'Coincidence Factors'!$B$8*(1+'Inputs-System'!$C$18)*(1+'Inputs-System'!$C$41)*'Inputs-Proposals'!$E$23*'Inputs-Proposals'!$E$25*('Inputs-Proposals'!$E$20)*(VLOOKUP(CJ$3,'Embedded Emissions'!$A$47:$B$78,2,FALSE)+VLOOKUP(CJ$3,'Embedded Emissions'!$A$129:$B$158,2,FALSE)), $C20 = "3",'Inputs-System'!$C$30*'Coincidence Factors'!$B$8*(1+'Inputs-System'!$C$18)*(1+'Inputs-System'!$C$41)*'Inputs-Proposals'!$E$29*'Inputs-Proposals'!$E$31*('Inputs-Proposals'!$E$20)*(VLOOKUP(CJ$3,'Embedded Emissions'!$A$47:$B$78,2,FALSE)+VLOOKUP(CJ$3,'Embedded Emissions'!$A$129:$B$158,2,FALSE)), $C20 = "0", 0), 0)</f>
        <v>0</v>
      </c>
      <c r="CL20" s="44">
        <f>IFERROR(_xlfn.IFS($C20="1",( 'Inputs-System'!$C$30*'Coincidence Factors'!$B$8*(1+'Inputs-System'!$C$18)*(1+'Inputs-System'!$C$41))*('Inputs-Proposals'!$E$17*'Inputs-Proposals'!$E$19*('Inputs-Proposals'!$E$20))*(VLOOKUP(CJ$3,DRIPE!$A$54:$I$82,5,FALSE)+VLOOKUP(CJ$3,DRIPE!$A$54:$I$82,9,FALSE))+ ('Inputs-System'!$C$26*'Coincidence Factors'!$B$8*(1+'Inputs-System'!$C$18)*(1+'Inputs-System'!$C$42))*'Inputs-Proposals'!$E$16*VLOOKUP(CJ$3,DRIPE!$A$54:$I$82,8,FALSE), $C20 = "2",( 'Inputs-System'!$C$30*'Coincidence Factors'!$B$8*(1+'Inputs-System'!$C$18)*(1+'Inputs-System'!$C$41))*('Inputs-Proposals'!$E$23*'Inputs-Proposals'!$E$25*('Inputs-Proposals'!$E$26))*(VLOOKUP(CJ$3,DRIPE!$A$54:$I$82,5,FALSE)+VLOOKUP(CJ$3,DRIPE!$A$54:$I$82,9,FALSE))+  ('Inputs-System'!$C$26*'Coincidence Factors'!$B$8*(1+'Inputs-System'!$C$18)*(1+'Inputs-System'!$C$42))*'Inputs-Proposals'!$E$22*VLOOKUP(CJ$3,DRIPE!$A$54:$I$82,8,FALSE), $C20= "3", ( 'Inputs-System'!$C$30*'Coincidence Factors'!$B$8*(1+'Inputs-System'!$C$18)*(1+'Inputs-System'!$C$41))*('Inputs-Proposals'!$E$29*'Inputs-Proposals'!$E$31*('Inputs-Proposals'!$E$32))*(VLOOKUP(CJ$3,DRIPE!$A$54:$I$82,5,FALSE)+VLOOKUP(CJ$3,DRIPE!$A$54:$I$82,9,FALSE))+  ('Inputs-System'!$C$26*'Coincidence Factors'!$B$8*(1+'Inputs-System'!$C$18)*(1+'Inputs-System'!$C$42))*'Inputs-Proposals'!$E$28*VLOOKUP(CJ$3,DRIPE!$A$54:$I$82,8,FALSE), $C20 = "0", 0), 0)</f>
        <v>0</v>
      </c>
      <c r="CM20" s="45">
        <f>IFERROR(_xlfn.IFS($C20="1",('Inputs-System'!$C$30*'Coincidence Factors'!$B$8*(1+'Inputs-System'!$C$18))*'Inputs-Proposals'!$E$16*(VLOOKUP(CJ$3,Capacity!$A$53:$E$85,4,FALSE)*(1+'Inputs-System'!$C$42)+VLOOKUP(CJ$3,Capacity!$A$53:$E$85,5,FALSE)*'Inputs-System'!$C$29*(1+'Inputs-System'!$C$43)), $C20 = "2", ('Inputs-System'!$C$30*'Coincidence Factors'!$B$8*(1+'Inputs-System'!$C$18))*'Inputs-Proposals'!$E$22*(VLOOKUP(CJ$3,Capacity!$A$53:$E$85,4,FALSE)*(1+'Inputs-System'!$C$42)+VLOOKUP(CJ$3,Capacity!$A$53:$E$85,5,FALSE)*'Inputs-System'!$C$29*(1+'Inputs-System'!$C$43)), $C20 = "3",('Inputs-System'!$C$30*'Coincidence Factors'!$B$8*(1+'Inputs-System'!$C$18))*'Inputs-Proposals'!$E$28*(VLOOKUP(CJ$3,Capacity!$A$53:$E$85,4,FALSE)*(1+'Inputs-System'!$C$42)+VLOOKUP(CJ$3,Capacity!$A$53:$E$85,5,FALSE)*'Inputs-System'!$C$29*(1+'Inputs-System'!$C$43)), $C20 = "0", 0), 0)</f>
        <v>0</v>
      </c>
      <c r="CN20" s="44">
        <v>0</v>
      </c>
      <c r="CO20" s="342">
        <f>IFERROR(_xlfn.IFS($C20="1", 'Inputs-System'!$C$30*'Coincidence Factors'!$B$8*'Inputs-Proposals'!$E$17*'Inputs-Proposals'!$E$19*(VLOOKUP(CJ$3,'Non-Embedded Emissions'!$A$56:$D$90,2,FALSE)+VLOOKUP(CJ$3,'Non-Embedded Emissions'!$A$143:$D$174,2,FALSE)+VLOOKUP(CJ$3,'Non-Embedded Emissions'!$A$230:$D$259,2,FALSE)), $C20 = "2", 'Inputs-System'!$C$30*'Coincidence Factors'!$B$8*'Inputs-Proposals'!$E$23*'Inputs-Proposals'!$E$25*(VLOOKUP(CJ$3,'Non-Embedded Emissions'!$A$56:$D$90,2,FALSE)+VLOOKUP(CJ$3,'Non-Embedded Emissions'!$A$143:$D$174,2,FALSE)+VLOOKUP(CJ$3,'Non-Embedded Emissions'!$A$230:$D$259,2,FALSE)), $C20 = "3", 'Inputs-System'!$C$30*'Coincidence Factors'!$B$8*'Inputs-Proposals'!$E$29*'Inputs-Proposals'!$E$31*(VLOOKUP(CJ$3,'Non-Embedded Emissions'!$A$56:$D$90,2,FALSE)+VLOOKUP(CJ$3,'Non-Embedded Emissions'!$A$143:$D$174,2,FALSE)+VLOOKUP(CJ$3,'Non-Embedded Emissions'!$A$230:$D$259,2,FALSE)), $C20 = "0", 0), 0)</f>
        <v>0</v>
      </c>
      <c r="CP20" s="45">
        <f>IFERROR(_xlfn.IFS($C20="1",('Inputs-System'!$C$30*'Coincidence Factors'!$B$8*(1+'Inputs-System'!$C$18)*(1+'Inputs-System'!$C$41)*('Inputs-Proposals'!$E$17*'Inputs-Proposals'!$E$19*('Inputs-Proposals'!$E$20))*(VLOOKUP(CP$3,Energy!$A$51:$K$83,5,FALSE))), $C20 = "2",('Inputs-System'!$C$30*'Coincidence Factors'!$B$8)*(1+'Inputs-System'!$C$18)*(1+'Inputs-System'!$C$41)*('Inputs-Proposals'!$E$23*'Inputs-Proposals'!$E$25*('Inputs-Proposals'!$E$26))*(VLOOKUP(CP$3,Energy!$A$51:$K$83,5,FALSE)), $C20= "3", ('Inputs-System'!$C$30*'Coincidence Factors'!$B$8*(1+'Inputs-System'!$C$18)*(1+'Inputs-System'!$C$41)*('Inputs-Proposals'!$E$29*'Inputs-Proposals'!$E$31*('Inputs-Proposals'!$E$32))*(VLOOKUP(CP$3,Energy!$A$51:$K$83,5,FALSE))), $C20= "0", 0), 0)</f>
        <v>0</v>
      </c>
      <c r="CQ20" s="44">
        <f>IFERROR(_xlfn.IFS($C20="1",'Inputs-System'!$C$30*'Coincidence Factors'!$B$8*(1+'Inputs-System'!$C$18)*(1+'Inputs-System'!$C$41)*'Inputs-Proposals'!$E$17*'Inputs-Proposals'!$E$19*('Inputs-Proposals'!$E$20)*(VLOOKUP(CP$3,'Embedded Emissions'!$A$47:$B$78,2,FALSE)+VLOOKUP(CP$3,'Embedded Emissions'!$A$129:$B$158,2,FALSE)), $C20 = "2", 'Inputs-System'!$C$30*'Coincidence Factors'!$B$8*(1+'Inputs-System'!$C$18)*(1+'Inputs-System'!$C$41)*'Inputs-Proposals'!$E$23*'Inputs-Proposals'!$E$25*('Inputs-Proposals'!$E$20)*(VLOOKUP(CP$3,'Embedded Emissions'!$A$47:$B$78,2,FALSE)+VLOOKUP(CP$3,'Embedded Emissions'!$A$129:$B$158,2,FALSE)), $C20 = "3",'Inputs-System'!$C$30*'Coincidence Factors'!$B$8*(1+'Inputs-System'!$C$18)*(1+'Inputs-System'!$C$41)*'Inputs-Proposals'!$E$29*'Inputs-Proposals'!$E$31*('Inputs-Proposals'!$E$20)*(VLOOKUP(CP$3,'Embedded Emissions'!$A$47:$B$78,2,FALSE)+VLOOKUP(CP$3,'Embedded Emissions'!$A$129:$B$158,2,FALSE)), $C20 = "0", 0), 0)</f>
        <v>0</v>
      </c>
      <c r="CR20" s="44">
        <f>IFERROR(_xlfn.IFS($C20="1",( 'Inputs-System'!$C$30*'Coincidence Factors'!$B$8*(1+'Inputs-System'!$C$18)*(1+'Inputs-System'!$C$41))*('Inputs-Proposals'!$E$17*'Inputs-Proposals'!$E$19*('Inputs-Proposals'!$E$20))*(VLOOKUP(CP$3,DRIPE!$A$54:$I$82,5,FALSE)+VLOOKUP(CP$3,DRIPE!$A$54:$I$82,9,FALSE))+ ('Inputs-System'!$C$26*'Coincidence Factors'!$B$8*(1+'Inputs-System'!$C$18)*(1+'Inputs-System'!$C$42))*'Inputs-Proposals'!$E$16*VLOOKUP(CP$3,DRIPE!$A$54:$I$82,8,FALSE), $C20 = "2",( 'Inputs-System'!$C$30*'Coincidence Factors'!$B$8*(1+'Inputs-System'!$C$18)*(1+'Inputs-System'!$C$41))*('Inputs-Proposals'!$E$23*'Inputs-Proposals'!$E$25*('Inputs-Proposals'!$E$26))*(VLOOKUP(CP$3,DRIPE!$A$54:$I$82,5,FALSE)+VLOOKUP(CP$3,DRIPE!$A$54:$I$82,9,FALSE))+  ('Inputs-System'!$C$26*'Coincidence Factors'!$B$8*(1+'Inputs-System'!$C$18)*(1+'Inputs-System'!$C$42))*'Inputs-Proposals'!$E$22*VLOOKUP(CP$3,DRIPE!$A$54:$I$82,8,FALSE), $C20= "3", ( 'Inputs-System'!$C$30*'Coincidence Factors'!$B$8*(1+'Inputs-System'!$C$18)*(1+'Inputs-System'!$C$41))*('Inputs-Proposals'!$E$29*'Inputs-Proposals'!$E$31*('Inputs-Proposals'!$E$32))*(VLOOKUP(CP$3,DRIPE!$A$54:$I$82,5,FALSE)+VLOOKUP(CP$3,DRIPE!$A$54:$I$82,9,FALSE))+  ('Inputs-System'!$C$26*'Coincidence Factors'!$B$8*(1+'Inputs-System'!$C$18)*(1+'Inputs-System'!$C$42))*'Inputs-Proposals'!$E$28*VLOOKUP(CP$3,DRIPE!$A$54:$I$82,8,FALSE), $C20 = "0", 0), 0)</f>
        <v>0</v>
      </c>
      <c r="CS20" s="45">
        <f>IFERROR(_xlfn.IFS($C20="1",('Inputs-System'!$C$30*'Coincidence Factors'!$B$8*(1+'Inputs-System'!$C$18))*'Inputs-Proposals'!$E$16*(VLOOKUP(CP$3,Capacity!$A$53:$E$85,4,FALSE)*(1+'Inputs-System'!$C$42)+VLOOKUP(CP$3,Capacity!$A$53:$E$85,5,FALSE)*'Inputs-System'!$C$29*(1+'Inputs-System'!$C$43)), $C20 = "2", ('Inputs-System'!$C$30*'Coincidence Factors'!$B$8*(1+'Inputs-System'!$C$18))*'Inputs-Proposals'!$E$22*(VLOOKUP(CP$3,Capacity!$A$53:$E$85,4,FALSE)*(1+'Inputs-System'!$C$42)+VLOOKUP(CP$3,Capacity!$A$53:$E$85,5,FALSE)*'Inputs-System'!$C$29*(1+'Inputs-System'!$C$43)), $C20 = "3",('Inputs-System'!$C$30*'Coincidence Factors'!$B$8*(1+'Inputs-System'!$C$18))*'Inputs-Proposals'!$E$28*(VLOOKUP(CP$3,Capacity!$A$53:$E$85,4,FALSE)*(1+'Inputs-System'!$C$42)+VLOOKUP(CP$3,Capacity!$A$53:$E$85,5,FALSE)*'Inputs-System'!$C$29*(1+'Inputs-System'!$C$43)), $C20 = "0", 0), 0)</f>
        <v>0</v>
      </c>
      <c r="CT20" s="44">
        <v>0</v>
      </c>
      <c r="CU20" s="342">
        <f>IFERROR(_xlfn.IFS($C20="1", 'Inputs-System'!$C$30*'Coincidence Factors'!$B$8*'Inputs-Proposals'!$E$17*'Inputs-Proposals'!$E$19*(VLOOKUP(CP$3,'Non-Embedded Emissions'!$A$56:$D$90,2,FALSE)+VLOOKUP(CP$3,'Non-Embedded Emissions'!$A$143:$D$174,2,FALSE)+VLOOKUP(CP$3,'Non-Embedded Emissions'!$A$230:$D$259,2,FALSE)), $C20 = "2", 'Inputs-System'!$C$30*'Coincidence Factors'!$B$8*'Inputs-Proposals'!$E$23*'Inputs-Proposals'!$E$25*(VLOOKUP(CP$3,'Non-Embedded Emissions'!$A$56:$D$90,2,FALSE)+VLOOKUP(CP$3,'Non-Embedded Emissions'!$A$143:$D$174,2,FALSE)+VLOOKUP(CP$3,'Non-Embedded Emissions'!$A$230:$D$259,2,FALSE)), $C20 = "3", 'Inputs-System'!$C$30*'Coincidence Factors'!$B$8*'Inputs-Proposals'!$E$29*'Inputs-Proposals'!$E$31*(VLOOKUP(CP$3,'Non-Embedded Emissions'!$A$56:$D$90,2,FALSE)+VLOOKUP(CP$3,'Non-Embedded Emissions'!$A$143:$D$174,2,FALSE)+VLOOKUP(CP$3,'Non-Embedded Emissions'!$A$230:$D$259,2,FALSE)), $C20 = "0", 0), 0)</f>
        <v>0</v>
      </c>
      <c r="CV20" s="45">
        <f>IFERROR(_xlfn.IFS($C20="1",('Inputs-System'!$C$30*'Coincidence Factors'!$B$8*(1+'Inputs-System'!$C$18)*(1+'Inputs-System'!$C$41)*('Inputs-Proposals'!$E$17*'Inputs-Proposals'!$E$19*('Inputs-Proposals'!$E$20))*(VLOOKUP(CV$3,Energy!$A$51:$K$83,5,FALSE))), $C20 = "2",('Inputs-System'!$C$30*'Coincidence Factors'!$B$8)*(1+'Inputs-System'!$C$18)*(1+'Inputs-System'!$C$41)*('Inputs-Proposals'!$E$23*'Inputs-Proposals'!$E$25*('Inputs-Proposals'!$E$26))*(VLOOKUP(CV$3,Energy!$A$51:$K$83,5,FALSE)), $C20= "3", ('Inputs-System'!$C$30*'Coincidence Factors'!$B$8*(1+'Inputs-System'!$C$18)*(1+'Inputs-System'!$C$41)*('Inputs-Proposals'!$E$29*'Inputs-Proposals'!$E$31*('Inputs-Proposals'!$E$32))*(VLOOKUP(CV$3,Energy!$A$51:$K$83,5,FALSE))), $C20= "0", 0), 0)</f>
        <v>0</v>
      </c>
      <c r="CW20" s="44">
        <f>IFERROR(_xlfn.IFS($C20="1",'Inputs-System'!$C$30*'Coincidence Factors'!$B$8*(1+'Inputs-System'!$C$18)*(1+'Inputs-System'!$C$41)*'Inputs-Proposals'!$E$17*'Inputs-Proposals'!$E$19*('Inputs-Proposals'!$E$20)*(VLOOKUP(CV$3,'Embedded Emissions'!$A$47:$B$78,2,FALSE)+VLOOKUP(CV$3,'Embedded Emissions'!$A$129:$B$158,2,FALSE)), $C20 = "2", 'Inputs-System'!$C$30*'Coincidence Factors'!$B$8*(1+'Inputs-System'!$C$18)*(1+'Inputs-System'!$C$41)*'Inputs-Proposals'!$E$23*'Inputs-Proposals'!$E$25*('Inputs-Proposals'!$E$20)*(VLOOKUP(CV$3,'Embedded Emissions'!$A$47:$B$78,2,FALSE)+VLOOKUP(CV$3,'Embedded Emissions'!$A$129:$B$158,2,FALSE)), $C20 = "3",'Inputs-System'!$C$30*'Coincidence Factors'!$B$8*(1+'Inputs-System'!$C$18)*(1+'Inputs-System'!$C$41)*'Inputs-Proposals'!$E$29*'Inputs-Proposals'!$E$31*('Inputs-Proposals'!$E$20)*(VLOOKUP(CV$3,'Embedded Emissions'!$A$47:$B$78,2,FALSE)+VLOOKUP(CV$3,'Embedded Emissions'!$A$129:$B$158,2,FALSE)), $C20 = "0", 0), 0)</f>
        <v>0</v>
      </c>
      <c r="CX20" s="44">
        <f>IFERROR(_xlfn.IFS($C20="1",( 'Inputs-System'!$C$30*'Coincidence Factors'!$B$8*(1+'Inputs-System'!$C$18)*(1+'Inputs-System'!$C$41))*('Inputs-Proposals'!$E$17*'Inputs-Proposals'!$E$19*('Inputs-Proposals'!$E$20))*(VLOOKUP(CV$3,DRIPE!$A$54:$I$82,5,FALSE)+VLOOKUP(CV$3,DRIPE!$A$54:$I$82,9,FALSE))+ ('Inputs-System'!$C$26*'Coincidence Factors'!$B$8*(1+'Inputs-System'!$C$18)*(1+'Inputs-System'!$C$42))*'Inputs-Proposals'!$E$16*VLOOKUP(CV$3,DRIPE!$A$54:$I$82,8,FALSE), $C20 = "2",( 'Inputs-System'!$C$30*'Coincidence Factors'!$B$8*(1+'Inputs-System'!$C$18)*(1+'Inputs-System'!$C$41))*('Inputs-Proposals'!$E$23*'Inputs-Proposals'!$E$25*('Inputs-Proposals'!$E$26))*(VLOOKUP(CV$3,DRIPE!$A$54:$I$82,5,FALSE)+VLOOKUP(CV$3,DRIPE!$A$54:$I$82,9,FALSE))+  ('Inputs-System'!$C$26*'Coincidence Factors'!$B$8*(1+'Inputs-System'!$C$18)*(1+'Inputs-System'!$C$42))*'Inputs-Proposals'!$E$22*VLOOKUP(CV$3,DRIPE!$A$54:$I$82,8,FALSE), $C20= "3", ( 'Inputs-System'!$C$30*'Coincidence Factors'!$B$8*(1+'Inputs-System'!$C$18)*(1+'Inputs-System'!$C$41))*('Inputs-Proposals'!$E$29*'Inputs-Proposals'!$E$31*('Inputs-Proposals'!$E$32))*(VLOOKUP(CV$3,DRIPE!$A$54:$I$82,5,FALSE)+VLOOKUP(CV$3,DRIPE!$A$54:$I$82,9,FALSE))+  ('Inputs-System'!$C$26*'Coincidence Factors'!$B$8*(1+'Inputs-System'!$C$18)*(1+'Inputs-System'!$C$42))*'Inputs-Proposals'!$E$28*VLOOKUP(CV$3,DRIPE!$A$54:$I$82,8,FALSE), $C20 = "0", 0), 0)</f>
        <v>0</v>
      </c>
      <c r="CY20" s="45">
        <f>IFERROR(_xlfn.IFS($C20="1",('Inputs-System'!$C$30*'Coincidence Factors'!$B$8*(1+'Inputs-System'!$C$18))*'Inputs-Proposals'!$E$16*(VLOOKUP(CV$3,Capacity!$A$53:$E$85,4,FALSE)*(1+'Inputs-System'!$C$42)+VLOOKUP(CV$3,Capacity!$A$53:$E$85,5,FALSE)*'Inputs-System'!$C$29*(1+'Inputs-System'!$C$43)), $C20 = "2", ('Inputs-System'!$C$30*'Coincidence Factors'!$B$8*(1+'Inputs-System'!$C$18))*'Inputs-Proposals'!$E$22*(VLOOKUP(CV$3,Capacity!$A$53:$E$85,4,FALSE)*(1+'Inputs-System'!$C$42)+VLOOKUP(CV$3,Capacity!$A$53:$E$85,5,FALSE)*'Inputs-System'!$C$29*(1+'Inputs-System'!$C$43)), $C20 = "3",('Inputs-System'!$C$30*'Coincidence Factors'!$B$8*(1+'Inputs-System'!$C$18))*'Inputs-Proposals'!$E$28*(VLOOKUP(CV$3,Capacity!$A$53:$E$85,4,FALSE)*(1+'Inputs-System'!$C$42)+VLOOKUP(CV$3,Capacity!$A$53:$E$85,5,FALSE)*'Inputs-System'!$C$29*(1+'Inputs-System'!$C$43)), $C20 = "0", 0), 0)</f>
        <v>0</v>
      </c>
      <c r="CZ20" s="44">
        <v>0</v>
      </c>
      <c r="DA20" s="342">
        <f>IFERROR(_xlfn.IFS($C20="1", 'Inputs-System'!$C$30*'Coincidence Factors'!$B$8*'Inputs-Proposals'!$E$17*'Inputs-Proposals'!$E$19*(VLOOKUP(CV$3,'Non-Embedded Emissions'!$A$56:$D$90,2,FALSE)+VLOOKUP(CV$3,'Non-Embedded Emissions'!$A$143:$D$174,2,FALSE)+VLOOKUP(CV$3,'Non-Embedded Emissions'!$A$230:$D$259,2,FALSE)), $C20 = "2", 'Inputs-System'!$C$30*'Coincidence Factors'!$B$8*'Inputs-Proposals'!$E$23*'Inputs-Proposals'!$E$25*(VLOOKUP(CV$3,'Non-Embedded Emissions'!$A$56:$D$90,2,FALSE)+VLOOKUP(CV$3,'Non-Embedded Emissions'!$A$143:$D$174,2,FALSE)+VLOOKUP(CV$3,'Non-Embedded Emissions'!$A$230:$D$259,2,FALSE)), $C20 = "3", 'Inputs-System'!$C$30*'Coincidence Factors'!$B$8*'Inputs-Proposals'!$E$29*'Inputs-Proposals'!$E$31*(VLOOKUP(CV$3,'Non-Embedded Emissions'!$A$56:$D$90,2,FALSE)+VLOOKUP(CV$3,'Non-Embedded Emissions'!$A$143:$D$174,2,FALSE)+VLOOKUP(CV$3,'Non-Embedded Emissions'!$A$230:$D$259,2,FALSE)), $C20 = "0", 0), 0)</f>
        <v>0</v>
      </c>
      <c r="DB20" s="45">
        <f>IFERROR(_xlfn.IFS($C20="1",('Inputs-System'!$C$30*'Coincidence Factors'!$B$8*(1+'Inputs-System'!$C$18)*(1+'Inputs-System'!$C$41)*('Inputs-Proposals'!$E$17*'Inputs-Proposals'!$E$19*('Inputs-Proposals'!$E$20))*(VLOOKUP(DB$3,Energy!$A$51:$K$83,5,FALSE))), $C20 = "2",('Inputs-System'!$C$30*'Coincidence Factors'!$B$8)*(1+'Inputs-System'!$C$18)*(1+'Inputs-System'!$C$41)*('Inputs-Proposals'!$E$23*'Inputs-Proposals'!$E$25*('Inputs-Proposals'!$E$26))*(VLOOKUP(DB$3,Energy!$A$51:$K$83,5,FALSE)), $C20= "3", ('Inputs-System'!$C$30*'Coincidence Factors'!$B$8*(1+'Inputs-System'!$C$18)*(1+'Inputs-System'!$C$41)*('Inputs-Proposals'!$E$29*'Inputs-Proposals'!$E$31*('Inputs-Proposals'!$E$32))*(VLOOKUP(DB$3,Energy!$A$51:$K$83,5,FALSE))), $C20= "0", 0), 0)</f>
        <v>0</v>
      </c>
      <c r="DC20" s="44">
        <f>IFERROR(_xlfn.IFS($C20="1",'Inputs-System'!$C$30*'Coincidence Factors'!$B$8*(1+'Inputs-System'!$C$18)*(1+'Inputs-System'!$C$41)*'Inputs-Proposals'!$E$17*'Inputs-Proposals'!$E$19*('Inputs-Proposals'!$E$20)*(VLOOKUP(DB$3,'Embedded Emissions'!$A$47:$B$78,2,FALSE)+VLOOKUP(DB$3,'Embedded Emissions'!$A$129:$B$158,2,FALSE)), $C20 = "2", 'Inputs-System'!$C$30*'Coincidence Factors'!$B$8*(1+'Inputs-System'!$C$18)*(1+'Inputs-System'!$C$41)*'Inputs-Proposals'!$E$23*'Inputs-Proposals'!$E$25*('Inputs-Proposals'!$E$20)*(VLOOKUP(DB$3,'Embedded Emissions'!$A$47:$B$78,2,FALSE)+VLOOKUP(DB$3,'Embedded Emissions'!$A$129:$B$158,2,FALSE)), $C20 = "3",'Inputs-System'!$C$30*'Coincidence Factors'!$B$8*(1+'Inputs-System'!$C$18)*(1+'Inputs-System'!$C$41)*'Inputs-Proposals'!$E$29*'Inputs-Proposals'!$E$31*('Inputs-Proposals'!$E$20)*(VLOOKUP(DB$3,'Embedded Emissions'!$A$47:$B$78,2,FALSE)+VLOOKUP(DB$3,'Embedded Emissions'!$A$129:$B$158,2,FALSE)), $C20 = "0", 0), 0)</f>
        <v>0</v>
      </c>
      <c r="DD20" s="44">
        <f>IFERROR(_xlfn.IFS($C20="1",( 'Inputs-System'!$C$30*'Coincidence Factors'!$B$8*(1+'Inputs-System'!$C$18)*(1+'Inputs-System'!$C$41))*('Inputs-Proposals'!$E$17*'Inputs-Proposals'!$E$19*('Inputs-Proposals'!$E$20))*(VLOOKUP(DB$3,DRIPE!$A$54:$I$82,5,FALSE)+VLOOKUP(DB$3,DRIPE!$A$54:$I$82,9,FALSE))+ ('Inputs-System'!$C$26*'Coincidence Factors'!$B$8*(1+'Inputs-System'!$C$18)*(1+'Inputs-System'!$C$42))*'Inputs-Proposals'!$E$16*VLOOKUP(DB$3,DRIPE!$A$54:$I$82,8,FALSE), $C20 = "2",( 'Inputs-System'!$C$30*'Coincidence Factors'!$B$8*(1+'Inputs-System'!$C$18)*(1+'Inputs-System'!$C$41))*('Inputs-Proposals'!$E$23*'Inputs-Proposals'!$E$25*('Inputs-Proposals'!$E$26))*(VLOOKUP(DB$3,DRIPE!$A$54:$I$82,5,FALSE)+VLOOKUP(DB$3,DRIPE!$A$54:$I$82,9,FALSE))+  ('Inputs-System'!$C$26*'Coincidence Factors'!$B$8*(1+'Inputs-System'!$C$18)*(1+'Inputs-System'!$C$42))*'Inputs-Proposals'!$E$22*VLOOKUP(DB$3,DRIPE!$A$54:$I$82,8,FALSE), $C20= "3", ( 'Inputs-System'!$C$30*'Coincidence Factors'!$B$8*(1+'Inputs-System'!$C$18)*(1+'Inputs-System'!$C$41))*('Inputs-Proposals'!$E$29*'Inputs-Proposals'!$E$31*('Inputs-Proposals'!$E$32))*(VLOOKUP(DB$3,DRIPE!$A$54:$I$82,5,FALSE)+VLOOKUP(DB$3,DRIPE!$A$54:$I$82,9,FALSE))+  ('Inputs-System'!$C$26*'Coincidence Factors'!$B$8*(1+'Inputs-System'!$C$18)*(1+'Inputs-System'!$C$42))*'Inputs-Proposals'!$E$28*VLOOKUP(DB$3,DRIPE!$A$54:$I$82,8,FALSE), $C20 = "0", 0), 0)</f>
        <v>0</v>
      </c>
      <c r="DE20" s="45">
        <f>IFERROR(_xlfn.IFS($C20="1",('Inputs-System'!$C$30*'Coincidence Factors'!$B$8*(1+'Inputs-System'!$C$18))*'Inputs-Proposals'!$E$16*(VLOOKUP(DB$3,Capacity!$A$53:$E$85,4,FALSE)*(1+'Inputs-System'!$C$42)+VLOOKUP(DB$3,Capacity!$A$53:$E$85,5,FALSE)*'Inputs-System'!$C$29*(1+'Inputs-System'!$C$43)), $C20 = "2", ('Inputs-System'!$C$30*'Coincidence Factors'!$B$8*(1+'Inputs-System'!$C$18))*'Inputs-Proposals'!$E$22*(VLOOKUP(DB$3,Capacity!$A$53:$E$85,4,FALSE)*(1+'Inputs-System'!$C$42)+VLOOKUP(DB$3,Capacity!$A$53:$E$85,5,FALSE)*'Inputs-System'!$C$29*(1+'Inputs-System'!$C$43)), $C20 = "3",('Inputs-System'!$C$30*'Coincidence Factors'!$B$8*(1+'Inputs-System'!$C$18))*'Inputs-Proposals'!$E$28*(VLOOKUP(DB$3,Capacity!$A$53:$E$85,4,FALSE)*(1+'Inputs-System'!$C$42)+VLOOKUP(DB$3,Capacity!$A$53:$E$85,5,FALSE)*'Inputs-System'!$C$29*(1+'Inputs-System'!$C$43)), $C20 = "0", 0), 0)</f>
        <v>0</v>
      </c>
      <c r="DF20" s="44">
        <v>0</v>
      </c>
      <c r="DG20" s="342">
        <f>IFERROR(_xlfn.IFS($C20="1", 'Inputs-System'!$C$30*'Coincidence Factors'!$B$8*'Inputs-Proposals'!$E$17*'Inputs-Proposals'!$E$19*(VLOOKUP(DB$3,'Non-Embedded Emissions'!$A$56:$D$90,2,FALSE)+VLOOKUP(DB$3,'Non-Embedded Emissions'!$A$143:$D$174,2,FALSE)+VLOOKUP(DB$3,'Non-Embedded Emissions'!$A$230:$D$259,2,FALSE)), $C20 = "2", 'Inputs-System'!$C$30*'Coincidence Factors'!$B$8*'Inputs-Proposals'!$E$23*'Inputs-Proposals'!$E$25*(VLOOKUP(DB$3,'Non-Embedded Emissions'!$A$56:$D$90,2,FALSE)+VLOOKUP(DB$3,'Non-Embedded Emissions'!$A$143:$D$174,2,FALSE)+VLOOKUP(DB$3,'Non-Embedded Emissions'!$A$230:$D$259,2,FALSE)), $C20 = "3", 'Inputs-System'!$C$30*'Coincidence Factors'!$B$8*'Inputs-Proposals'!$E$29*'Inputs-Proposals'!$E$31*(VLOOKUP(DB$3,'Non-Embedded Emissions'!$A$56:$D$90,2,FALSE)+VLOOKUP(DB$3,'Non-Embedded Emissions'!$A$143:$D$174,2,FALSE)+VLOOKUP(DB$3,'Non-Embedded Emissions'!$A$230:$D$259,2,FALSE)), $C20 = "0", 0), 0)</f>
        <v>0</v>
      </c>
      <c r="DH20" s="45">
        <f>IFERROR(_xlfn.IFS($C20="1",('Inputs-System'!$C$30*'Coincidence Factors'!$B$8*(1+'Inputs-System'!$C$18)*(1+'Inputs-System'!$C$41)*('Inputs-Proposals'!$E$17*'Inputs-Proposals'!$E$19*('Inputs-Proposals'!$E$20))*(VLOOKUP(DH$3,Energy!$A$51:$K$83,5,FALSE))), $C20 = "2",('Inputs-System'!$C$30*'Coincidence Factors'!$B$8)*(1+'Inputs-System'!$C$18)*(1+'Inputs-System'!$C$41)*('Inputs-Proposals'!$E$23*'Inputs-Proposals'!$E$25*('Inputs-Proposals'!$E$26))*(VLOOKUP(DH$3,Energy!$A$51:$K$83,5,FALSE)), $C20= "3", ('Inputs-System'!$C$30*'Coincidence Factors'!$B$8*(1+'Inputs-System'!$C$18)*(1+'Inputs-System'!$C$41)*('Inputs-Proposals'!$E$29*'Inputs-Proposals'!$E$31*('Inputs-Proposals'!$E$32))*(VLOOKUP(DH$3,Energy!$A$51:$K$83,5,FALSE))), $C20= "0", 0), 0)</f>
        <v>0</v>
      </c>
      <c r="DI20" s="44">
        <f>IFERROR(_xlfn.IFS($C20="1",'Inputs-System'!$C$30*'Coincidence Factors'!$B$8*(1+'Inputs-System'!$C$18)*(1+'Inputs-System'!$C$41)*'Inputs-Proposals'!$E$17*'Inputs-Proposals'!$E$19*('Inputs-Proposals'!$E$20)*(VLOOKUP(DH$3,'Embedded Emissions'!$A$47:$B$78,2,FALSE)+VLOOKUP(DH$3,'Embedded Emissions'!$A$129:$B$158,2,FALSE)), $C20 = "2", 'Inputs-System'!$C$30*'Coincidence Factors'!$B$8*(1+'Inputs-System'!$C$18)*(1+'Inputs-System'!$C$41)*'Inputs-Proposals'!$E$23*'Inputs-Proposals'!$E$25*('Inputs-Proposals'!$E$20)*(VLOOKUP(DH$3,'Embedded Emissions'!$A$47:$B$78,2,FALSE)+VLOOKUP(DH$3,'Embedded Emissions'!$A$129:$B$158,2,FALSE)), $C20 = "3",'Inputs-System'!$C$30*'Coincidence Factors'!$B$8*(1+'Inputs-System'!$C$18)*(1+'Inputs-System'!$C$41)*'Inputs-Proposals'!$E$29*'Inputs-Proposals'!$E$31*('Inputs-Proposals'!$E$20)*(VLOOKUP(DH$3,'Embedded Emissions'!$A$47:$B$78,2,FALSE)+VLOOKUP(DH$3,'Embedded Emissions'!$A$129:$B$158,2,FALSE)), $C20 = "0", 0), 0)</f>
        <v>0</v>
      </c>
      <c r="DJ20" s="44">
        <f>IFERROR(_xlfn.IFS($C20="1",( 'Inputs-System'!$C$30*'Coincidence Factors'!$B$8*(1+'Inputs-System'!$C$18)*(1+'Inputs-System'!$C$41))*('Inputs-Proposals'!$E$17*'Inputs-Proposals'!$E$19*('Inputs-Proposals'!$E$20))*(VLOOKUP(DH$3,DRIPE!$A$54:$I$82,5,FALSE)+VLOOKUP(DH$3,DRIPE!$A$54:$I$82,9,FALSE))+ ('Inputs-System'!$C$26*'Coincidence Factors'!$B$8*(1+'Inputs-System'!$C$18)*(1+'Inputs-System'!$C$42))*'Inputs-Proposals'!$E$16*VLOOKUP(DH$3,DRIPE!$A$54:$I$82,8,FALSE), $C20 = "2",( 'Inputs-System'!$C$30*'Coincidence Factors'!$B$8*(1+'Inputs-System'!$C$18)*(1+'Inputs-System'!$C$41))*('Inputs-Proposals'!$E$23*'Inputs-Proposals'!$E$25*('Inputs-Proposals'!$E$26))*(VLOOKUP(DH$3,DRIPE!$A$54:$I$82,5,FALSE)+VLOOKUP(DH$3,DRIPE!$A$54:$I$82,9,FALSE))+  ('Inputs-System'!$C$26*'Coincidence Factors'!$B$8*(1+'Inputs-System'!$C$18)*(1+'Inputs-System'!$C$42))*'Inputs-Proposals'!$E$22*VLOOKUP(DH$3,DRIPE!$A$54:$I$82,8,FALSE), $C20= "3", ( 'Inputs-System'!$C$30*'Coincidence Factors'!$B$8*(1+'Inputs-System'!$C$18)*(1+'Inputs-System'!$C$41))*('Inputs-Proposals'!$E$29*'Inputs-Proposals'!$E$31*('Inputs-Proposals'!$E$32))*(VLOOKUP(DH$3,DRIPE!$A$54:$I$82,5,FALSE)+VLOOKUP(DH$3,DRIPE!$A$54:$I$82,9,FALSE))+  ('Inputs-System'!$C$26*'Coincidence Factors'!$B$8*(1+'Inputs-System'!$C$18)*(1+'Inputs-System'!$C$42))*'Inputs-Proposals'!$E$28*VLOOKUP(DH$3,DRIPE!$A$54:$I$82,8,FALSE), $C20 = "0", 0), 0)</f>
        <v>0</v>
      </c>
      <c r="DK20" s="45">
        <f>IFERROR(_xlfn.IFS($C20="1",('Inputs-System'!$C$30*'Coincidence Factors'!$B$8*(1+'Inputs-System'!$C$18))*'Inputs-Proposals'!$E$16*(VLOOKUP(DH$3,Capacity!$A$53:$E$85,4,FALSE)*(1+'Inputs-System'!$C$42)+VLOOKUP(DH$3,Capacity!$A$53:$E$85,5,FALSE)*'Inputs-System'!$C$29*(1+'Inputs-System'!$C$43)), $C20 = "2", ('Inputs-System'!$C$30*'Coincidence Factors'!$B$8*(1+'Inputs-System'!$C$18))*'Inputs-Proposals'!$E$22*(VLOOKUP(DH$3,Capacity!$A$53:$E$85,4,FALSE)*(1+'Inputs-System'!$C$42)+VLOOKUP(DH$3,Capacity!$A$53:$E$85,5,FALSE)*'Inputs-System'!$C$29*(1+'Inputs-System'!$C$43)), $C20 = "3",('Inputs-System'!$C$30*'Coincidence Factors'!$B$8*(1+'Inputs-System'!$C$18))*'Inputs-Proposals'!$E$28*(VLOOKUP(DH$3,Capacity!$A$53:$E$85,4,FALSE)*(1+'Inputs-System'!$C$42)+VLOOKUP(DH$3,Capacity!$A$53:$E$85,5,FALSE)*'Inputs-System'!$C$29*(1+'Inputs-System'!$C$43)), $C20 = "0", 0), 0)</f>
        <v>0</v>
      </c>
      <c r="DL20" s="44">
        <v>0</v>
      </c>
      <c r="DM20" s="342">
        <f>IFERROR(_xlfn.IFS($C20="1", 'Inputs-System'!$C$30*'Coincidence Factors'!$B$8*'Inputs-Proposals'!$E$17*'Inputs-Proposals'!$E$19*(VLOOKUP(DH$3,'Non-Embedded Emissions'!$A$56:$D$90,2,FALSE)+VLOOKUP(DH$3,'Non-Embedded Emissions'!$A$143:$D$174,2,FALSE)+VLOOKUP(DH$3,'Non-Embedded Emissions'!$A$230:$D$259,2,FALSE)), $C20 = "2", 'Inputs-System'!$C$30*'Coincidence Factors'!$B$8*'Inputs-Proposals'!$E$23*'Inputs-Proposals'!$E$25*(VLOOKUP(DH$3,'Non-Embedded Emissions'!$A$56:$D$90,2,FALSE)+VLOOKUP(DH$3,'Non-Embedded Emissions'!$A$143:$D$174,2,FALSE)+VLOOKUP(DH$3,'Non-Embedded Emissions'!$A$230:$D$259,2,FALSE)), $C20 = "3", 'Inputs-System'!$C$30*'Coincidence Factors'!$B$8*'Inputs-Proposals'!$E$29*'Inputs-Proposals'!$E$31*(VLOOKUP(DH$3,'Non-Embedded Emissions'!$A$56:$D$90,2,FALSE)+VLOOKUP(DH$3,'Non-Embedded Emissions'!$A$143:$D$174,2,FALSE)+VLOOKUP(DH$3,'Non-Embedded Emissions'!$A$230:$D$259,2,FALSE)), $C20 = "0", 0), 0)</f>
        <v>0</v>
      </c>
      <c r="DN20" s="45">
        <f>IFERROR(_xlfn.IFS($C20="1",('Inputs-System'!$C$30*'Coincidence Factors'!$B$8*(1+'Inputs-System'!$C$18)*(1+'Inputs-System'!$C$41)*('Inputs-Proposals'!$E$17*'Inputs-Proposals'!$E$19*('Inputs-Proposals'!$E$20))*(VLOOKUP(DN$3,Energy!$A$51:$K$83,5,FALSE))), $C20 = "2",('Inputs-System'!$C$30*'Coincidence Factors'!$B$8)*(1+'Inputs-System'!$C$18)*(1+'Inputs-System'!$C$41)*('Inputs-Proposals'!$E$23*'Inputs-Proposals'!$E$25*('Inputs-Proposals'!$E$26))*(VLOOKUP(DN$3,Energy!$A$51:$K$83,5,FALSE)), $C20= "3", ('Inputs-System'!$C$30*'Coincidence Factors'!$B$8*(1+'Inputs-System'!$C$18)*(1+'Inputs-System'!$C$41)*('Inputs-Proposals'!$E$29*'Inputs-Proposals'!$E$31*('Inputs-Proposals'!$E$32))*(VLOOKUP(DN$3,Energy!$A$51:$K$83,5,FALSE))), $C20= "0", 0), 0)</f>
        <v>0</v>
      </c>
      <c r="DO20" s="44">
        <f>IFERROR(_xlfn.IFS($C20="1",'Inputs-System'!$C$30*'Coincidence Factors'!$B$8*(1+'Inputs-System'!$C$18)*(1+'Inputs-System'!$C$41)*'Inputs-Proposals'!$E$17*'Inputs-Proposals'!$E$19*('Inputs-Proposals'!$E$20)*(VLOOKUP(DN$3,'Embedded Emissions'!$A$47:$B$78,2,FALSE)+VLOOKUP(DN$3,'Embedded Emissions'!$A$129:$B$158,2,FALSE)), $C20 = "2", 'Inputs-System'!$C$30*'Coincidence Factors'!$B$8*(1+'Inputs-System'!$C$18)*(1+'Inputs-System'!$C$41)*'Inputs-Proposals'!$E$23*'Inputs-Proposals'!$E$25*('Inputs-Proposals'!$E$20)*(VLOOKUP(DN$3,'Embedded Emissions'!$A$47:$B$78,2,FALSE)+VLOOKUP(DN$3,'Embedded Emissions'!$A$129:$B$158,2,FALSE)), $C20 = "3",'Inputs-System'!$C$30*'Coincidence Factors'!$B$8*(1+'Inputs-System'!$C$18)*(1+'Inputs-System'!$C$41)*'Inputs-Proposals'!$E$29*'Inputs-Proposals'!$E$31*('Inputs-Proposals'!$E$20)*(VLOOKUP(DN$3,'Embedded Emissions'!$A$47:$B$78,2,FALSE)+VLOOKUP(DN$3,'Embedded Emissions'!$A$129:$B$158,2,FALSE)), $C20 = "0", 0), 0)</f>
        <v>0</v>
      </c>
      <c r="DP20" s="44">
        <f>IFERROR(_xlfn.IFS($C20="1",( 'Inputs-System'!$C$30*'Coincidence Factors'!$B$8*(1+'Inputs-System'!$C$18)*(1+'Inputs-System'!$C$41))*('Inputs-Proposals'!$E$17*'Inputs-Proposals'!$E$19*('Inputs-Proposals'!$E$20))*(VLOOKUP(DN$3,DRIPE!$A$54:$I$82,5,FALSE)+VLOOKUP(DN$3,DRIPE!$A$54:$I$82,9,FALSE))+ ('Inputs-System'!$C$26*'Coincidence Factors'!$B$8*(1+'Inputs-System'!$C$18)*(1+'Inputs-System'!$C$42))*'Inputs-Proposals'!$E$16*VLOOKUP(DN$3,DRIPE!$A$54:$I$82,8,FALSE), $C20 = "2",( 'Inputs-System'!$C$30*'Coincidence Factors'!$B$8*(1+'Inputs-System'!$C$18)*(1+'Inputs-System'!$C$41))*('Inputs-Proposals'!$E$23*'Inputs-Proposals'!$E$25*('Inputs-Proposals'!$E$26))*(VLOOKUP(DN$3,DRIPE!$A$54:$I$82,5,FALSE)+VLOOKUP(DN$3,DRIPE!$A$54:$I$82,9,FALSE))+  ('Inputs-System'!$C$26*'Coincidence Factors'!$B$8*(1+'Inputs-System'!$C$18)*(1+'Inputs-System'!$C$42))*'Inputs-Proposals'!$E$22*VLOOKUP(DN$3,DRIPE!$A$54:$I$82,8,FALSE), $C20= "3", ( 'Inputs-System'!$C$30*'Coincidence Factors'!$B$8*(1+'Inputs-System'!$C$18)*(1+'Inputs-System'!$C$41))*('Inputs-Proposals'!$E$29*'Inputs-Proposals'!$E$31*('Inputs-Proposals'!$E$32))*(VLOOKUP(DN$3,DRIPE!$A$54:$I$82,5,FALSE)+VLOOKUP(DN$3,DRIPE!$A$54:$I$82,9,FALSE))+  ('Inputs-System'!$C$26*'Coincidence Factors'!$B$8*(1+'Inputs-System'!$C$18)*(1+'Inputs-System'!$C$42))*'Inputs-Proposals'!$E$28*VLOOKUP(DN$3,DRIPE!$A$54:$I$82,8,FALSE), $C20 = "0", 0), 0)</f>
        <v>0</v>
      </c>
      <c r="DQ20" s="45">
        <f>IFERROR(_xlfn.IFS($C20="1",('Inputs-System'!$C$30*'Coincidence Factors'!$B$8*(1+'Inputs-System'!$C$18))*'Inputs-Proposals'!$E$16*(VLOOKUP(DN$3,Capacity!$A$53:$E$85,4,FALSE)*(1+'Inputs-System'!$C$42)+VLOOKUP(DN$3,Capacity!$A$53:$E$85,5,FALSE)*'Inputs-System'!$C$29*(1+'Inputs-System'!$C$43)), $C20 = "2", ('Inputs-System'!$C$30*'Coincidence Factors'!$B$8*(1+'Inputs-System'!$C$18))*'Inputs-Proposals'!$E$22*(VLOOKUP(DN$3,Capacity!$A$53:$E$85,4,FALSE)*(1+'Inputs-System'!$C$42)+VLOOKUP(DN$3,Capacity!$A$53:$E$85,5,FALSE)*'Inputs-System'!$C$29*(1+'Inputs-System'!$C$43)), $C20 = "3",('Inputs-System'!$C$30*'Coincidence Factors'!$B$8*(1+'Inputs-System'!$C$18))*'Inputs-Proposals'!$E$28*(VLOOKUP(DN$3,Capacity!$A$53:$E$85,4,FALSE)*(1+'Inputs-System'!$C$42)+VLOOKUP(DN$3,Capacity!$A$53:$E$85,5,FALSE)*'Inputs-System'!$C$29*(1+'Inputs-System'!$C$43)), $C20 = "0", 0), 0)</f>
        <v>0</v>
      </c>
      <c r="DR20" s="44">
        <v>0</v>
      </c>
      <c r="DS20" s="342">
        <f>IFERROR(_xlfn.IFS($C20="1", 'Inputs-System'!$C$30*'Coincidence Factors'!$B$8*'Inputs-Proposals'!$E$17*'Inputs-Proposals'!$E$19*(VLOOKUP(DN$3,'Non-Embedded Emissions'!$A$56:$D$90,2,FALSE)+VLOOKUP(DN$3,'Non-Embedded Emissions'!$A$143:$D$174,2,FALSE)+VLOOKUP(DN$3,'Non-Embedded Emissions'!$A$230:$D$259,2,FALSE)), $C20 = "2", 'Inputs-System'!$C$30*'Coincidence Factors'!$B$8*'Inputs-Proposals'!$E$23*'Inputs-Proposals'!$E$25*(VLOOKUP(DN$3,'Non-Embedded Emissions'!$A$56:$D$90,2,FALSE)+VLOOKUP(DN$3,'Non-Embedded Emissions'!$A$143:$D$174,2,FALSE)+VLOOKUP(DN$3,'Non-Embedded Emissions'!$A$230:$D$259,2,FALSE)), $C20 = "3", 'Inputs-System'!$C$30*'Coincidence Factors'!$B$8*'Inputs-Proposals'!$E$29*'Inputs-Proposals'!$E$31*(VLOOKUP(DN$3,'Non-Embedded Emissions'!$A$56:$D$90,2,FALSE)+VLOOKUP(DN$3,'Non-Embedded Emissions'!$A$143:$D$174,2,FALSE)+VLOOKUP(DN$3,'Non-Embedded Emissions'!$A$230:$D$259,2,FALSE)), $C20 = "0", 0), 0)</f>
        <v>0</v>
      </c>
      <c r="DT20" s="45">
        <f>IFERROR(_xlfn.IFS($C20="1",('Inputs-System'!$C$30*'Coincidence Factors'!$B$8*(1+'Inputs-System'!$C$18)*(1+'Inputs-System'!$C$41)*('Inputs-Proposals'!$E$17*'Inputs-Proposals'!$E$19*('Inputs-Proposals'!$E$20))*(VLOOKUP(DT$3,Energy!$A$51:$K$83,5,FALSE))), $C20 = "2",('Inputs-System'!$C$30*'Coincidence Factors'!$B$8)*(1+'Inputs-System'!$C$18)*(1+'Inputs-System'!$C$41)*('Inputs-Proposals'!$E$23*'Inputs-Proposals'!$E$25*('Inputs-Proposals'!$E$26))*(VLOOKUP(DT$3,Energy!$A$51:$K$83,5,FALSE)), $C20= "3", ('Inputs-System'!$C$30*'Coincidence Factors'!$B$8*(1+'Inputs-System'!$C$18)*(1+'Inputs-System'!$C$41)*('Inputs-Proposals'!$E$29*'Inputs-Proposals'!$E$31*('Inputs-Proposals'!$E$32))*(VLOOKUP(DT$3,Energy!$A$51:$K$83,5,FALSE))), $C20= "0", 0), 0)</f>
        <v>0</v>
      </c>
      <c r="DU20" s="44">
        <f>IFERROR(_xlfn.IFS($C20="1",'Inputs-System'!$C$30*'Coincidence Factors'!$B$8*(1+'Inputs-System'!$C$18)*(1+'Inputs-System'!$C$41)*'Inputs-Proposals'!$E$17*'Inputs-Proposals'!$E$19*('Inputs-Proposals'!$E$20)*(VLOOKUP(DT$3,'Embedded Emissions'!$A$47:$B$78,2,FALSE)+VLOOKUP(DT$3,'Embedded Emissions'!$A$129:$B$158,2,FALSE)), $C20 = "2", 'Inputs-System'!$C$30*'Coincidence Factors'!$B$8*(1+'Inputs-System'!$C$18)*(1+'Inputs-System'!$C$41)*'Inputs-Proposals'!$E$23*'Inputs-Proposals'!$E$25*('Inputs-Proposals'!$E$20)*(VLOOKUP(DT$3,'Embedded Emissions'!$A$47:$B$78,2,FALSE)+VLOOKUP(DT$3,'Embedded Emissions'!$A$129:$B$158,2,FALSE)), $C20 = "3",'Inputs-System'!$C$30*'Coincidence Factors'!$B$8*(1+'Inputs-System'!$C$18)*(1+'Inputs-System'!$C$41)*'Inputs-Proposals'!$E$29*'Inputs-Proposals'!$E$31*('Inputs-Proposals'!$E$20)*(VLOOKUP(DT$3,'Embedded Emissions'!$A$47:$B$78,2,FALSE)+VLOOKUP(DT$3,'Embedded Emissions'!$A$129:$B$158,2,FALSE)), $C20 = "0", 0), 0)</f>
        <v>0</v>
      </c>
      <c r="DV20" s="44">
        <f>IFERROR(_xlfn.IFS($C20="1",( 'Inputs-System'!$C$30*'Coincidence Factors'!$B$8*(1+'Inputs-System'!$C$18)*(1+'Inputs-System'!$C$41))*('Inputs-Proposals'!$E$17*'Inputs-Proposals'!$E$19*('Inputs-Proposals'!$E$20))*(VLOOKUP(DT$3,DRIPE!$A$54:$I$82,5,FALSE)+VLOOKUP(DT$3,DRIPE!$A$54:$I$82,9,FALSE))+ ('Inputs-System'!$C$26*'Coincidence Factors'!$B$8*(1+'Inputs-System'!$C$18)*(1+'Inputs-System'!$C$42))*'Inputs-Proposals'!$E$16*VLOOKUP(DT$3,DRIPE!$A$54:$I$82,8,FALSE), $C20 = "2",( 'Inputs-System'!$C$30*'Coincidence Factors'!$B$8*(1+'Inputs-System'!$C$18)*(1+'Inputs-System'!$C$41))*('Inputs-Proposals'!$E$23*'Inputs-Proposals'!$E$25*('Inputs-Proposals'!$E$26))*(VLOOKUP(DT$3,DRIPE!$A$54:$I$82,5,FALSE)+VLOOKUP(DT$3,DRIPE!$A$54:$I$82,9,FALSE))+  ('Inputs-System'!$C$26*'Coincidence Factors'!$B$8*(1+'Inputs-System'!$C$18)*(1+'Inputs-System'!$C$42))*'Inputs-Proposals'!$E$22*VLOOKUP(DT$3,DRIPE!$A$54:$I$82,8,FALSE), $C20= "3", ( 'Inputs-System'!$C$30*'Coincidence Factors'!$B$8*(1+'Inputs-System'!$C$18)*(1+'Inputs-System'!$C$41))*('Inputs-Proposals'!$E$29*'Inputs-Proposals'!$E$31*('Inputs-Proposals'!$E$32))*(VLOOKUP(DT$3,DRIPE!$A$54:$I$82,5,FALSE)+VLOOKUP(DT$3,DRIPE!$A$54:$I$82,9,FALSE))+  ('Inputs-System'!$C$26*'Coincidence Factors'!$B$8*(1+'Inputs-System'!$C$18)*(1+'Inputs-System'!$C$42))*'Inputs-Proposals'!$E$28*VLOOKUP(DT$3,DRIPE!$A$54:$I$82,8,FALSE), $C20 = "0", 0), 0)</f>
        <v>0</v>
      </c>
      <c r="DW20" s="45">
        <f>IFERROR(_xlfn.IFS($C20="1",('Inputs-System'!$C$30*'Coincidence Factors'!$B$8*(1+'Inputs-System'!$C$18))*'Inputs-Proposals'!$E$16*(VLOOKUP(DT$3,Capacity!$A$53:$E$85,4,FALSE)*(1+'Inputs-System'!$C$42)+VLOOKUP(DT$3,Capacity!$A$53:$E$85,5,FALSE)*'Inputs-System'!$C$29*(1+'Inputs-System'!$C$43)), $C20 = "2", ('Inputs-System'!$C$30*'Coincidence Factors'!$B$8*(1+'Inputs-System'!$C$18))*'Inputs-Proposals'!$E$22*(VLOOKUP(DT$3,Capacity!$A$53:$E$85,4,FALSE)*(1+'Inputs-System'!$C$42)+VLOOKUP(DT$3,Capacity!$A$53:$E$85,5,FALSE)*'Inputs-System'!$C$29*(1+'Inputs-System'!$C$43)), $C20 = "3",('Inputs-System'!$C$30*'Coincidence Factors'!$B$8*(1+'Inputs-System'!$C$18))*'Inputs-Proposals'!$E$28*(VLOOKUP(DT$3,Capacity!$A$53:$E$85,4,FALSE)*(1+'Inputs-System'!$C$42)+VLOOKUP(DT$3,Capacity!$A$53:$E$85,5,FALSE)*'Inputs-System'!$C$29*(1+'Inputs-System'!$C$43)), $C20 = "0", 0), 0)</f>
        <v>0</v>
      </c>
      <c r="DX20" s="44">
        <v>0</v>
      </c>
      <c r="DY20" s="342">
        <f>IFERROR(_xlfn.IFS($C20="1", 'Inputs-System'!$C$30*'Coincidence Factors'!$B$8*'Inputs-Proposals'!$E$17*'Inputs-Proposals'!$E$19*(VLOOKUP(DT$3,'Non-Embedded Emissions'!$A$56:$D$90,2,FALSE)+VLOOKUP(DT$3,'Non-Embedded Emissions'!$A$143:$D$174,2,FALSE)+VLOOKUP(DT$3,'Non-Embedded Emissions'!$A$230:$D$259,2,FALSE)), $C20 = "2", 'Inputs-System'!$C$30*'Coincidence Factors'!$B$8*'Inputs-Proposals'!$E$23*'Inputs-Proposals'!$E$25*(VLOOKUP(DT$3,'Non-Embedded Emissions'!$A$56:$D$90,2,FALSE)+VLOOKUP(DT$3,'Non-Embedded Emissions'!$A$143:$D$174,2,FALSE)+VLOOKUP(DT$3,'Non-Embedded Emissions'!$A$230:$D$259,2,FALSE)), $C20 = "3", 'Inputs-System'!$C$30*'Coincidence Factors'!$B$8*'Inputs-Proposals'!$E$29*'Inputs-Proposals'!$E$31*(VLOOKUP(DT$3,'Non-Embedded Emissions'!$A$56:$D$90,2,FALSE)+VLOOKUP(DT$3,'Non-Embedded Emissions'!$A$143:$D$174,2,FALSE)+VLOOKUP(DT$3,'Non-Embedded Emissions'!$A$230:$D$259,2,FALSE)), $C20 = "0", 0), 0)</f>
        <v>0</v>
      </c>
      <c r="DZ20" s="45">
        <f>IFERROR(_xlfn.IFS($C20="1",('Inputs-System'!$C$30*'Coincidence Factors'!$B$8*(1+'Inputs-System'!$C$18)*(1+'Inputs-System'!$C$41)*('Inputs-Proposals'!$E$17*'Inputs-Proposals'!$E$19*('Inputs-Proposals'!$E$20))*(VLOOKUP(DZ$3,Energy!$A$51:$K$83,5,FALSE))), $C20 = "2",('Inputs-System'!$C$30*'Coincidence Factors'!$B$8)*(1+'Inputs-System'!$C$18)*(1+'Inputs-System'!$C$41)*('Inputs-Proposals'!$E$23*'Inputs-Proposals'!$E$25*('Inputs-Proposals'!$E$26))*(VLOOKUP(DZ$3,Energy!$A$51:$K$83,5,FALSE)), $C20= "3", ('Inputs-System'!$C$30*'Coincidence Factors'!$B$8*(1+'Inputs-System'!$C$18)*(1+'Inputs-System'!$C$41)*('Inputs-Proposals'!$E$29*'Inputs-Proposals'!$E$31*('Inputs-Proposals'!$E$32))*(VLOOKUP(DZ$3,Energy!$A$51:$K$83,5,FALSE))), $C20= "0", 0), 0)</f>
        <v>0</v>
      </c>
      <c r="EA20" s="44">
        <f>IFERROR(_xlfn.IFS($C20="1",'Inputs-System'!$C$30*'Coincidence Factors'!$B$8*(1+'Inputs-System'!$C$18)*(1+'Inputs-System'!$C$41)*'Inputs-Proposals'!$E$17*'Inputs-Proposals'!$E$19*('Inputs-Proposals'!$E$20)*(VLOOKUP(DZ$3,'Embedded Emissions'!$A$47:$B$78,2,FALSE)+VLOOKUP(DZ$3,'Embedded Emissions'!$A$129:$B$158,2,FALSE)), $C20 = "2", 'Inputs-System'!$C$30*'Coincidence Factors'!$B$8*(1+'Inputs-System'!$C$18)*(1+'Inputs-System'!$C$41)*'Inputs-Proposals'!$E$23*'Inputs-Proposals'!$E$25*('Inputs-Proposals'!$E$20)*(VLOOKUP(DZ$3,'Embedded Emissions'!$A$47:$B$78,2,FALSE)+VLOOKUP(DZ$3,'Embedded Emissions'!$A$129:$B$158,2,FALSE)), $C20 = "3",'Inputs-System'!$C$30*'Coincidence Factors'!$B$8*(1+'Inputs-System'!$C$18)*(1+'Inputs-System'!$C$41)*'Inputs-Proposals'!$E$29*'Inputs-Proposals'!$E$31*('Inputs-Proposals'!$E$20)*(VLOOKUP(DZ$3,'Embedded Emissions'!$A$47:$B$78,2,FALSE)+VLOOKUP(DZ$3,'Embedded Emissions'!$A$129:$B$158,2,FALSE)), $C20 = "0", 0), 0)</f>
        <v>0</v>
      </c>
      <c r="EB20" s="44">
        <f>IFERROR(_xlfn.IFS($C20="1",( 'Inputs-System'!$C$30*'Coincidence Factors'!$B$8*(1+'Inputs-System'!$C$18)*(1+'Inputs-System'!$C$41))*('Inputs-Proposals'!$E$17*'Inputs-Proposals'!$E$19*('Inputs-Proposals'!$E$20))*(VLOOKUP(DZ$3,DRIPE!$A$54:$I$82,5,FALSE)+VLOOKUP(DZ$3,DRIPE!$A$54:$I$82,9,FALSE))+ ('Inputs-System'!$C$26*'Coincidence Factors'!$B$8*(1+'Inputs-System'!$C$18)*(1+'Inputs-System'!$C$42))*'Inputs-Proposals'!$E$16*VLOOKUP(DZ$3,DRIPE!$A$54:$I$82,8,FALSE), $C20 = "2",( 'Inputs-System'!$C$30*'Coincidence Factors'!$B$8*(1+'Inputs-System'!$C$18)*(1+'Inputs-System'!$C$41))*('Inputs-Proposals'!$E$23*'Inputs-Proposals'!$E$25*('Inputs-Proposals'!$E$26))*(VLOOKUP(DZ$3,DRIPE!$A$54:$I$82,5,FALSE)+VLOOKUP(DZ$3,DRIPE!$A$54:$I$82,9,FALSE))+  ('Inputs-System'!$C$26*'Coincidence Factors'!$B$8*(1+'Inputs-System'!$C$18)*(1+'Inputs-System'!$C$42))*'Inputs-Proposals'!$E$22*VLOOKUP(DZ$3,DRIPE!$A$54:$I$82,8,FALSE), $C20= "3", ( 'Inputs-System'!$C$30*'Coincidence Factors'!$B$8*(1+'Inputs-System'!$C$18)*(1+'Inputs-System'!$C$41))*('Inputs-Proposals'!$E$29*'Inputs-Proposals'!$E$31*('Inputs-Proposals'!$E$32))*(VLOOKUP(DZ$3,DRIPE!$A$54:$I$82,5,FALSE)+VLOOKUP(DZ$3,DRIPE!$A$54:$I$82,9,FALSE))+  ('Inputs-System'!$C$26*'Coincidence Factors'!$B$8*(1+'Inputs-System'!$C$18)*(1+'Inputs-System'!$C$42))*'Inputs-Proposals'!$E$28*VLOOKUP(DZ$3,DRIPE!$A$54:$I$82,8,FALSE), $C20 = "0", 0), 0)</f>
        <v>0</v>
      </c>
      <c r="EC20" s="45">
        <f>IFERROR(_xlfn.IFS($C20="1",('Inputs-System'!$C$30*'Coincidence Factors'!$B$8*(1+'Inputs-System'!$C$18))*'Inputs-Proposals'!$E$16*(VLOOKUP(DZ$3,Capacity!$A$53:$E$85,4,FALSE)*(1+'Inputs-System'!$C$42)+VLOOKUP(DZ$3,Capacity!$A$53:$E$85,5,FALSE)*'Inputs-System'!$C$29*(1+'Inputs-System'!$C$43)), $C20 = "2", ('Inputs-System'!$C$30*'Coincidence Factors'!$B$8*(1+'Inputs-System'!$C$18))*'Inputs-Proposals'!$E$22*(VLOOKUP(DZ$3,Capacity!$A$53:$E$85,4,FALSE)*(1+'Inputs-System'!$C$42)+VLOOKUP(DZ$3,Capacity!$A$53:$E$85,5,FALSE)*'Inputs-System'!$C$29*(1+'Inputs-System'!$C$43)), $C20 = "3",('Inputs-System'!$C$30*'Coincidence Factors'!$B$8*(1+'Inputs-System'!$C$18))*'Inputs-Proposals'!$E$28*(VLOOKUP(DZ$3,Capacity!$A$53:$E$85,4,FALSE)*(1+'Inputs-System'!$C$42)+VLOOKUP(DZ$3,Capacity!$A$53:$E$85,5,FALSE)*'Inputs-System'!$C$29*(1+'Inputs-System'!$C$43)), $C20 = "0", 0), 0)</f>
        <v>0</v>
      </c>
      <c r="ED20" s="44">
        <v>0</v>
      </c>
      <c r="EE20" s="342">
        <f>IFERROR(_xlfn.IFS($C20="1", 'Inputs-System'!$C$30*'Coincidence Factors'!$B$8*'Inputs-Proposals'!$E$17*'Inputs-Proposals'!$E$19*(VLOOKUP(DZ$3,'Non-Embedded Emissions'!$A$56:$D$90,2,FALSE)+VLOOKUP(DZ$3,'Non-Embedded Emissions'!$A$143:$D$174,2,FALSE)+VLOOKUP(DZ$3,'Non-Embedded Emissions'!$A$230:$D$259,2,FALSE)), $C20 = "2", 'Inputs-System'!$C$30*'Coincidence Factors'!$B$8*'Inputs-Proposals'!$E$23*'Inputs-Proposals'!$E$25*(VLOOKUP(DZ$3,'Non-Embedded Emissions'!$A$56:$D$90,2,FALSE)+VLOOKUP(DZ$3,'Non-Embedded Emissions'!$A$143:$D$174,2,FALSE)+VLOOKUP(DZ$3,'Non-Embedded Emissions'!$A$230:$D$259,2,FALSE)), $C20 = "3", 'Inputs-System'!$C$30*'Coincidence Factors'!$B$8*'Inputs-Proposals'!$E$29*'Inputs-Proposals'!$E$31*(VLOOKUP(DZ$3,'Non-Embedded Emissions'!$A$56:$D$90,2,FALSE)+VLOOKUP(DZ$3,'Non-Embedded Emissions'!$A$143:$D$174,2,FALSE)+VLOOKUP(DZ$3,'Non-Embedded Emissions'!$A$230:$D$259,2,FALSE)), $C20 = "0", 0), 0)</f>
        <v>0</v>
      </c>
    </row>
    <row r="21" spans="1:135" x14ac:dyDescent="0.35">
      <c r="A21" s="708"/>
      <c r="B21" s="3" t="str">
        <f>B15</f>
        <v>Diesel GenSet</v>
      </c>
      <c r="C21" s="3" t="str">
        <f>IFERROR(_xlfn.IFS('Benefits Calc'!B21='Inputs-Proposals'!$E$15, "1", 'Benefits Calc'!B21='Inputs-Proposals'!$E$21, "2", 'Benefits Calc'!B21='Inputs-Proposals'!$E$27, "3"), "0")</f>
        <v>0</v>
      </c>
      <c r="D21" s="323">
        <f t="shared" ref="D21:D22" si="18">P21+V21+AB21+AH21+AN21+AT21+AZ21+BF21+BL21+BR21+BX21+CD21+CJ21+CP21+CV21+DB21+DH21+DN21+DT21+DZ21</f>
        <v>0</v>
      </c>
      <c r="E21" s="44">
        <f t="shared" ref="E21:E22" si="19">Q21+W21+AC21+AI21+AO21+AU21+BA21+BG21+BM21+BS21+BY21+CE21+CK21+CQ21+CW21+DC21+DI21+DO21+DU21+EA21</f>
        <v>0</v>
      </c>
      <c r="F21" s="44">
        <f t="shared" ref="F21:F22" si="20">R21+X21+AD21+AJ21+AP21+AV21+BB21+BH21+BN21+BT21+BZ21+CF21+CL21+CR21+CX21+DD21+DJ21+DP21+DV21+EB21</f>
        <v>0</v>
      </c>
      <c r="G21" s="44">
        <f t="shared" ref="G21:G22" si="21">S21+Y21+AE21+AK21+AQ21+AW21+BC21+BI21+BO21+BU21+CA21+CG21+CM21+CS21+CY21+DE21+DK21+DQ21+DW21+EC21</f>
        <v>0</v>
      </c>
      <c r="H21" s="44">
        <f t="shared" ref="H21:H22" si="22">T21+Z21+AF21+AL21+AR21+AX21+BD21+BJ21+BP21+BV21+CB21+CH21+CN21+CT21+CZ21+DF21+DL21+DR21+DX21+ED21</f>
        <v>0</v>
      </c>
      <c r="I21" s="44">
        <f t="shared" ref="I21:I22" si="23">U21+AA21+AG21+AM21+AS21+AY21+BE21+BK21+BQ21+BW21+CC21+CI21+CO21+CU21+DA21+DG21+DM21+DS21+DY21+EE21</f>
        <v>0</v>
      </c>
      <c r="J21" s="323">
        <f>NPV('Inputs-System'!$C$20,P21+V21+AB21+AH21+AN21+AT21+AZ21+BF21+BL21+BR21+BX21+CD21+CJ21+CP21+CV21+DB21+DH21+DN21+DT21+DZ21)</f>
        <v>0</v>
      </c>
      <c r="K21" s="44">
        <f>NPV('Inputs-System'!$C$20,Q21+W21+AC21+AI21+AO21+AU21+BA21+BG21+BM21+BS21+BY21+CE21+CK21+CQ21+CW21+DC21+DI21+DO21+DU21+EA21)</f>
        <v>0</v>
      </c>
      <c r="L21" s="44">
        <f>NPV('Inputs-System'!$C$20,R21+X21+AD21+AJ21+AP21+AV21+BB21+BH21+BN21+BT21+BZ21+CF21+CL21+CR21+CX21+DD21+DJ21+DP21+DV21+EB21)</f>
        <v>0</v>
      </c>
      <c r="M21" s="44">
        <f>NPV('Inputs-System'!$C$20,S21+Y21+AE21+AK21+AQ21+AW21+BC21+BI21+BO21+BU21+CA21+CG21+CM21+CS21+CY21+DE21+DK21+DQ21+DW21+EC21)</f>
        <v>0</v>
      </c>
      <c r="N21" s="44">
        <f>NPV('Inputs-System'!$C$20,T21+Z21+AF21+AL21+AR21+AX21+BD21+BJ21+BP21+BV21+CB21+CH21+CN21+CT21+CZ21+DF21+DL21+DR21+DX21+ED21)</f>
        <v>0</v>
      </c>
      <c r="O21" s="44">
        <f>NPV('Inputs-System'!$C$20,U21+AA21+AG21+AM21+AS21+AY21+BE21+BK21+BQ21+BW21+CC21+CI21+CO21+CU21+DA21+DG21+DM21+DS21+DY21+EE21)</f>
        <v>0</v>
      </c>
      <c r="P21" s="366">
        <f>IFERROR(_xlfn.IFS($C21="1",('Inputs-System'!$C$30*'Coincidence Factors'!$B$9*(1+'Inputs-System'!$C$18)*(1+'Inputs-System'!$C$41)*('Inputs-Proposals'!$E$17*'Inputs-Proposals'!$E$19*(1-'Inputs-Proposals'!$E$20^(P$3-'Inputs-System'!$C$7+1)))*(VLOOKUP(P$3,Energy!$A$51:$K$83,5,FALSE))), $C21 = "2",('Inputs-System'!$C$30*'Coincidence Factors'!$B$9)*(1+'Inputs-System'!$C$18)*(1+'Inputs-System'!$C$41)*('Inputs-Proposals'!$E$23*'Inputs-Proposals'!$E$25*(1-'Inputs-Proposals'!$E$26^(P$3-'Inputs-System'!$C$7+1)))*(VLOOKUP(P$3,Energy!$A$51:$K$83,5,FALSE)), $C21= "3", ('Inputs-System'!$C$30*'Coincidence Factors'!$B$9*(1+'Inputs-System'!$C$18)*(1+'Inputs-System'!$C$41)*('Inputs-Proposals'!$E$29*'Inputs-Proposals'!$E$31*(1-'Inputs-Proposals'!$E$32^(P$3-'Inputs-System'!$C$7+1)))*(VLOOKUP(P$3,Energy!$A$51:$K$83,5,FALSE))), $C21= "0", 0), 0)</f>
        <v>0</v>
      </c>
      <c r="Q21" s="44">
        <f>IFERROR(_xlfn.IFS($C21="1",('Inputs-System'!$C$30*'Coincidence Factors'!$B$9*(1+'Inputs-System'!$C$18)*(1+'Inputs-System'!$C$41))*'Inputs-Proposals'!$E$17*'Inputs-Proposals'!$E$19*(1-'Inputs-Proposals'!$E$20^(P$3-'Inputs-System'!$C$7+1))*(VLOOKUP(P$3,'Embedded Emissions'!$A$47:$B$78,2,FALSE)+VLOOKUP(P$3,'Embedded Emissions'!$A$129:$B$158,2,FALSE)), $C21 = "2",('Inputs-System'!$C$30*'Coincidence Factors'!$B$9*(1+'Inputs-System'!$C$18)*(1+'Inputs-System'!$C$41))*'Inputs-Proposals'!$E$23*'Inputs-Proposals'!$E$25*(1-'Inputs-Proposals'!$E$20^(P$3-'Inputs-System'!$C$7+1))*(VLOOKUP(P$3,'Embedded Emissions'!$A$47:$B$78,2,FALSE)+VLOOKUP(P$3,'Embedded Emissions'!$A$129:$B$158,2,FALSE)), $C21 = "3", ('Inputs-System'!$C$30*'Coincidence Factors'!$B$9*(1+'Inputs-System'!$C$18)*(1+'Inputs-System'!$C$41))*'Inputs-Proposals'!$E$29*'Inputs-Proposals'!$E$31*(1-'Inputs-Proposals'!$E$20^(P$3-'Inputs-System'!$C$7+1))*(VLOOKUP(P$3,'Embedded Emissions'!$A$47:$B$78,2,FALSE)+VLOOKUP(P$3,'Embedded Emissions'!$A$129:$B$158,2,FALSE)), $C21 = "0", 0), 0)</f>
        <v>0</v>
      </c>
      <c r="R21" s="44">
        <f>IFERROR(_xlfn.IFS($C21="1",( 'Inputs-System'!$C$30*'Coincidence Factors'!$B$9*(1+'Inputs-System'!$C$18)*(1+'Inputs-System'!$C$41))*('Inputs-Proposals'!$E$17*'Inputs-Proposals'!$E$19*(1-'Inputs-Proposals'!$E$20)^(P$3-'Inputs-System'!$C$7))*(VLOOKUP(P$3,DRIPE!$A$54:$I$82,5,FALSE)+VLOOKUP(P$3,DRIPE!$A$54:$I$82,9,FALSE))+ ('Inputs-System'!$C$26*'Coincidence Factors'!$B$6*(1+'Inputs-System'!$C$18)*(1+'Inputs-System'!$C$42))*'Inputs-Proposals'!$E$16*VLOOKUP(P$3,DRIPE!$A$54:$I$82,8,FALSE), $C21 = "2",( 'Inputs-System'!$C$30*'Coincidence Factors'!$B$9*(1+'Inputs-System'!$C$18)*(1+'Inputs-System'!$C$41))*('Inputs-Proposals'!$E$23*'Inputs-Proposals'!$E$25*(1-'Inputs-Proposals'!$E$26)^(P$3-'Inputs-System'!$C$7))*(VLOOKUP(P$3,DRIPE!$A$54:$I$82,5,FALSE)+VLOOKUP(P$3,DRIPE!$A$54:$I$82,9,FALSE))+ ('Inputs-System'!$C$26*'Coincidence Factors'!$B$6*(1+'Inputs-System'!$C$18)*(1+'Inputs-System'!$C$42))*'Inputs-Proposals'!$E$22*VLOOKUP(P$3,DRIPE!$A$54:$I$82,8,FALSE), $C21= "3", ( 'Inputs-System'!$C$30*'Coincidence Factors'!$B$9*(1+'Inputs-System'!$C$18)*(1+'Inputs-System'!$C$41))*('Inputs-Proposals'!$E$29*'Inputs-Proposals'!$E$31*(1-'Inputs-Proposals'!$E$32)^(P$3-'Inputs-System'!$C$7))*(VLOOKUP(P$3,DRIPE!$A$54:$I$82,5,FALSE)+VLOOKUP(P$3,DRIPE!$A$54:$I$82,9,FALSE))+ ('Inputs-System'!$C$26*'Coincidence Factors'!$B$6*(1+'Inputs-System'!$C$18)*(1+'Inputs-System'!$C$42))*'Inputs-Proposals'!$E$28*VLOOKUP(P$3,DRIPE!$A$54:$I$82,8,FALSE), $C21 = "0", 0), 0)</f>
        <v>0</v>
      </c>
      <c r="S21" s="45">
        <f>IFERROR(_xlfn.IFS($C21="1",('Inputs-System'!$C$26*'Coincidence Factors'!$B$9*(1+'Inputs-System'!$C$18)*(1+'Inputs-System'!$C$42))*'Inputs-Proposals'!$D$16*(VLOOKUP(P$3,Capacity!$A$53:$E$85,4,FALSE)*(1+'Inputs-System'!$C$42)+VLOOKUP(P$3,Capacity!$A$53:$E$85,5,FALSE)*(1+'Inputs-System'!$C$43)*'Inputs-System'!$C$29), $C21 = "2", ('Inputs-System'!$C$26*'Coincidence Factors'!$B$9*(1+'Inputs-System'!$C$18))*'Inputs-Proposals'!$D$22*(VLOOKUP(P$3,Capacity!$A$53:$E$85,4,FALSE)*(1+'Inputs-System'!$C$42)+VLOOKUP(P$3,Capacity!$A$53:$E$85,5,FALSE)*'Inputs-System'!$C$29*(1+'Inputs-System'!$C$43)), $C21 = "3", ('Inputs-System'!$C$26*'Coincidence Factors'!$B$9*(1+'Inputs-System'!$C$18))*'Inputs-Proposals'!$D$28*(VLOOKUP(P$3,Capacity!$A$53:$E$85,4,FALSE)*(1+'Inputs-System'!$C$42)+VLOOKUP(P$3,Capacity!$A$53:$E$85,5,FALSE)*'Inputs-System'!$C$29*(1+'Inputs-System'!$C$43)), $C21 = "0", 0), 0)</f>
        <v>0</v>
      </c>
      <c r="T21" s="44">
        <v>0</v>
      </c>
      <c r="U21" s="342">
        <f>IFERROR(_xlfn.IFS($C21="1", 'Inputs-System'!$C$30*'Coincidence Factors'!$B$9*'Inputs-Proposals'!$E$17*'Inputs-Proposals'!$E$19*(VLOOKUP(P$3,'Non-Embedded Emissions'!$A$56:$D$90,2,FALSE)-VLOOKUP(P$3,'Non-Embedded Emissions'!$F$57:$H$88,2,FALSE)+VLOOKUP(P$3,'Non-Embedded Emissions'!$A$143:$D$174,2,FALSE)-VLOOKUP(P$3,'Non-Embedded Emissions'!$F$143:$H$174,2,FALSE)+VLOOKUP(P$3,'Non-Embedded Emissions'!$A$230:$D$259,2,FALSE)), $C21 = "2", 'Inputs-System'!$C$30*'Coincidence Factors'!$B$9*'Inputs-Proposals'!$E$23*'Inputs-Proposals'!$E$25*(VLOOKUP(P$3,'Non-Embedded Emissions'!$A$56:$D$90,2,FALSE)-VLOOKUP(P$3,'Non-Embedded Emissions'!$F$57:$H$88,2,FALSE)+VLOOKUP(P$3,'Non-Embedded Emissions'!$A$143:$D$174,2,FALSE)-VLOOKUP(P$3,'Non-Embedded Emissions'!$F$143:$H$174,2,FALSE)+VLOOKUP(P$3,'Non-Embedded Emissions'!$A$230:$D$259,2,FALSE)), $C21 = "3", 'Inputs-System'!$C$30*'Coincidence Factors'!$B$9*'Inputs-Proposals'!$E$29*'Inputs-Proposals'!$E$31*(VLOOKUP(P$3,'Non-Embedded Emissions'!$A$56:$D$90,2,FALSE)-VLOOKUP(P$3,'Non-Embedded Emissions'!$F$57:$H$88,2,FALSE)+VLOOKUP(P$3,'Non-Embedded Emissions'!$A$143:$D$174,2,FALSE)-VLOOKUP(P$3,'Non-Embedded Emissions'!$F$143:$H$174,2,FALSE)+VLOOKUP(P$3,'Non-Embedded Emissions'!$A$230:$D$259,2,FALSE)), $C21 = "0", 0), 0)</f>
        <v>0</v>
      </c>
      <c r="V21" s="45">
        <f>IFERROR(_xlfn.IFS($C21="1",('Inputs-System'!$C$30*'Coincidence Factors'!$B$9*(1+'Inputs-System'!$C$18)*(1+'Inputs-System'!$C$41)*('Inputs-Proposals'!$C$17*'Inputs-Proposals'!$C$19*(1-'Inputs-Proposals'!$C$20^(V$3-'Inputs-System'!$C$7)))*(VLOOKUP(V$3,Energy!$A$51:$K$83,5,FALSE))), $C21 = "2",('Inputs-System'!$C$30*'Coincidence Factors'!$B$9)*(1+'Inputs-System'!$C$18)*(1+'Inputs-System'!$C$41)*('Inputs-Proposals'!$C$23*'Inputs-Proposals'!$C$25*(1-'Inputs-Proposals'!$C$26^(V$3-'Inputs-System'!$C$7)))*(VLOOKUP(V$3,Energy!$A$51:$K$83,5,FALSE)), $C21= "3", ('Inputs-System'!$C$30*'Coincidence Factors'!$B$9*(1+'Inputs-System'!$C$18)*(1+'Inputs-System'!$C$41)*('Inputs-Proposals'!$C$29*'Inputs-Proposals'!$C$31*(1-'Inputs-Proposals'!$C$32^(V$3-'Inputs-System'!$C$7)))*(VLOOKUP(V$3,Energy!$A$51:$K$83,5,FALSE))), $C21= "0", 0), 0)</f>
        <v>0</v>
      </c>
      <c r="W21" s="44">
        <f>IFERROR(_xlfn.IFS($C21="1",('Inputs-System'!$C$30*'Coincidence Factors'!$B$9*(1+'Inputs-System'!$C$18)*(1+'Inputs-System'!$C$41))*'Inputs-Proposals'!$E$17*'Inputs-Proposals'!$E$19*(1-'Inputs-Proposals'!$E$20^(V$3-'Inputs-System'!$C$7))*(VLOOKUP(V$3,'Embedded Emissions'!$A$47:$B$78,2,FALSE)+VLOOKUP(V$3,'Embedded Emissions'!$A$129:$B$158,2,FALSE)), $C21 = "2",('Inputs-System'!$C$30*'Coincidence Factors'!$B$9*(1+'Inputs-System'!$C$18)*(1+'Inputs-System'!$C$41))*'Inputs-Proposals'!$E$23*'Inputs-Proposals'!$E$25*(1-'Inputs-Proposals'!$E$20^(V$3-'Inputs-System'!$C$7))*(VLOOKUP(V$3,'Embedded Emissions'!$A$47:$B$78,2,FALSE)+VLOOKUP(V$3,'Embedded Emissions'!$A$129:$B$158,2,FALSE)), $C21 = "3", ('Inputs-System'!$C$30*'Coincidence Factors'!$B$9*(1+'Inputs-System'!$C$18)*(1+'Inputs-System'!$C$41))*'Inputs-Proposals'!$E$29*'Inputs-Proposals'!$E$31*(1-'Inputs-Proposals'!$E$20^(V$3-'Inputs-System'!$C$7))*(VLOOKUP(V$3,'Embedded Emissions'!$A$47:$B$78,2,FALSE)+VLOOKUP(V$3,'Embedded Emissions'!$A$129:$B$158,2,FALSE)), $C21 = "0", 0), 0)</f>
        <v>0</v>
      </c>
      <c r="X21" s="44">
        <f>IFERROR(_xlfn.IFS($C21="1",( 'Inputs-System'!$C$30*'Coincidence Factors'!$B$9*(1+'Inputs-System'!$C$18)*(1+'Inputs-System'!$C$41))*('Inputs-Proposals'!$E$17*'Inputs-Proposals'!$E$19*(1-'Inputs-Proposals'!$E$20)^(V$3-'Inputs-System'!$C$7))*(VLOOKUP(V$3,DRIPE!$A$54:$I$82,5,FALSE)+VLOOKUP(V$3,DRIPE!$A$54:$I$82,9,FALSE))+ ('Inputs-System'!$C$26*'Coincidence Factors'!$B$6*(1+'Inputs-System'!$C$18)*(1+'Inputs-System'!$C$42))*'Inputs-Proposals'!$E$16*VLOOKUP(V$3,DRIPE!$A$54:$I$82,8,FALSE), $C21 = "2",( 'Inputs-System'!$C$30*'Coincidence Factors'!$B$9*(1+'Inputs-System'!$C$18)*(1+'Inputs-System'!$C$41))*('Inputs-Proposals'!$E$23*'Inputs-Proposals'!$E$25*(1-'Inputs-Proposals'!$E$26)^(V$3-'Inputs-System'!$C$7))*(VLOOKUP(V$3,DRIPE!$A$54:$I$82,5,FALSE)+VLOOKUP(V$3,DRIPE!$A$54:$I$82,9,FALSE))+ ('Inputs-System'!$C$26*'Coincidence Factors'!$B$6*(1+'Inputs-System'!$C$18)*(1+'Inputs-System'!$C$42))*'Inputs-Proposals'!$E$22*VLOOKUP(V$3,DRIPE!$A$54:$I$82,8,FALSE), $C21= "3", ( 'Inputs-System'!$C$30*'Coincidence Factors'!$B$9*(1+'Inputs-System'!$C$18)*(1+'Inputs-System'!$C$41))*('Inputs-Proposals'!$E$29*'Inputs-Proposals'!$E$31*(1-'Inputs-Proposals'!$E$32)^(V$3-'Inputs-System'!$C$7))*(VLOOKUP(V$3,DRIPE!$A$54:$I$82,5,FALSE)+VLOOKUP(V$3,DRIPE!$A$54:$I$82,9,FALSE))+ ('Inputs-System'!$C$26*'Coincidence Factors'!$B$6*(1+'Inputs-System'!$C$18)*(1+'Inputs-System'!$C$42))*'Inputs-Proposals'!$E$28*VLOOKUP(V$3,DRIPE!$A$54:$I$82,8,FALSE), $C21 = "0", 0), 0)</f>
        <v>0</v>
      </c>
      <c r="Y21" s="45">
        <f>IFERROR(_xlfn.IFS($C21="1",('Inputs-System'!$C$26*'Coincidence Factors'!$B$9*(1+'Inputs-System'!$C$18)*(1+'Inputs-System'!$C$42))*'Inputs-Proposals'!$D$16*(VLOOKUP(V$3,Capacity!$A$53:$E$85,4,FALSE)*(1+'Inputs-System'!$C$42)+VLOOKUP(V$3,Capacity!$A$53:$E$85,5,FALSE)*(1+'Inputs-System'!$C$43)*'Inputs-System'!$C$29), $C21 = "2", ('Inputs-System'!$C$26*'Coincidence Factors'!$B$9*(1+'Inputs-System'!$C$18))*'Inputs-Proposals'!$D$22*(VLOOKUP(V$3,Capacity!$A$53:$E$85,4,FALSE)*(1+'Inputs-System'!$C$42)+VLOOKUP(V$3,Capacity!$A$53:$E$85,5,FALSE)*'Inputs-System'!$C$29*(1+'Inputs-System'!$C$43)), $C21 = "3", ('Inputs-System'!$C$26*'Coincidence Factors'!$B$9*(1+'Inputs-System'!$C$18))*'Inputs-Proposals'!$D$28*(VLOOKUP(V$3,Capacity!$A$53:$E$85,4,FALSE)*(1+'Inputs-System'!$C$42)+VLOOKUP(V$3,Capacity!$A$53:$E$85,5,FALSE)*'Inputs-System'!$C$29*(1+'Inputs-System'!$C$43)), $C21 = "0", 0), 0)</f>
        <v>0</v>
      </c>
      <c r="Z21" s="44">
        <v>0</v>
      </c>
      <c r="AA21" s="342">
        <f>IFERROR(_xlfn.IFS($C21="1", 'Inputs-System'!$C$30*'Coincidence Factors'!$B$9*'Inputs-Proposals'!$E$17*'Inputs-Proposals'!$E$19*(VLOOKUP(V$3,'Non-Embedded Emissions'!$A$56:$D$90,2,FALSE)-VLOOKUP(V$3,'Non-Embedded Emissions'!$F$57:$H$88,2,FALSE)+VLOOKUP(V$3,'Non-Embedded Emissions'!$A$143:$D$174,2,FALSE)-VLOOKUP(V$3,'Non-Embedded Emissions'!$F$143:$H$174,2,FALSE)+VLOOKUP(V$3,'Non-Embedded Emissions'!$A$230:$D$259,2,FALSE)), $C21 = "2", 'Inputs-System'!$C$30*'Coincidence Factors'!$B$9*'Inputs-Proposals'!$E$23*'Inputs-Proposals'!$E$25*(VLOOKUP(V$3,'Non-Embedded Emissions'!$A$56:$D$90,2,FALSE)-VLOOKUP(V$3,'Non-Embedded Emissions'!$F$57:$H$88,2,FALSE)+VLOOKUP(V$3,'Non-Embedded Emissions'!$A$143:$D$174,2,FALSE)-VLOOKUP(V$3,'Non-Embedded Emissions'!$F$143:$H$174,2,FALSE)+VLOOKUP(V$3,'Non-Embedded Emissions'!$A$230:$D$259,2,FALSE)), $C21 = "3", 'Inputs-System'!$C$30*'Coincidence Factors'!$B$9*'Inputs-Proposals'!$E$29*'Inputs-Proposals'!$E$31*(VLOOKUP(V$3,'Non-Embedded Emissions'!$A$56:$D$90,2,FALSE)-VLOOKUP(V$3,'Non-Embedded Emissions'!$F$57:$H$88,2,FALSE)+VLOOKUP(V$3,'Non-Embedded Emissions'!$A$143:$D$174,2,FALSE)-VLOOKUP(V$3,'Non-Embedded Emissions'!$F$143:$H$174,2,FALSE)+VLOOKUP(V$3,'Non-Embedded Emissions'!$A$230:$D$259,2,FALSE)), $C21 = "0", 0), 0)</f>
        <v>0</v>
      </c>
      <c r="AB21" s="45">
        <f>IFERROR(_xlfn.IFS($C21="1",('Inputs-System'!$C$30*'Coincidence Factors'!$B$9*(1+'Inputs-System'!$C$18)*(1+'Inputs-System'!$C$41)*('Inputs-Proposals'!$C$17*'Inputs-Proposals'!$C$19*(1-'Inputs-Proposals'!$C$20^(AB$3-'Inputs-System'!$C$7)))*(VLOOKUP(AB$3,Energy!$A$51:$K$83,5,FALSE))), $C21 = "2",('Inputs-System'!$C$30*'Coincidence Factors'!$B$9)*(1+'Inputs-System'!$C$18)*(1+'Inputs-System'!$C$41)*('Inputs-Proposals'!$C$23*'Inputs-Proposals'!$C$25*(1-'Inputs-Proposals'!$C$26^(AB$3-'Inputs-System'!$C$7)))*(VLOOKUP(AB$3,Energy!$A$51:$K$83,5,FALSE)), $C21= "3", ('Inputs-System'!$C$30*'Coincidence Factors'!$B$9*(1+'Inputs-System'!$C$18)*(1+'Inputs-System'!$C$41)*('Inputs-Proposals'!$C$29*'Inputs-Proposals'!$C$31*(1-'Inputs-Proposals'!$C$32^(AB$3-'Inputs-System'!$C$7)))*(VLOOKUP(AB$3,Energy!$A$51:$K$83,5,FALSE))), $C21= "0", 0), 0)</f>
        <v>0</v>
      </c>
      <c r="AC21" s="44">
        <f>IFERROR(_xlfn.IFS($C21="1",('Inputs-System'!$C$30*'Coincidence Factors'!$B$9*(1+'Inputs-System'!$C$18)*(1+'Inputs-System'!$C$41))*'Inputs-Proposals'!$E$17*'Inputs-Proposals'!$E$19*(1-'Inputs-Proposals'!$E$20^(AB$3-'Inputs-System'!$C$7))*(VLOOKUP(AB$3,'Embedded Emissions'!$A$47:$B$78,2,FALSE)+VLOOKUP(AB$3,'Embedded Emissions'!$A$129:$B$158,2,FALSE)), $C21 = "2",('Inputs-System'!$C$30*'Coincidence Factors'!$B$9*(1+'Inputs-System'!$C$18)*(1+'Inputs-System'!$C$41))*'Inputs-Proposals'!$E$23*'Inputs-Proposals'!$E$25*(1-'Inputs-Proposals'!$E$20^(AB$3-'Inputs-System'!$C$7))*(VLOOKUP(AB$3,'Embedded Emissions'!$A$47:$B$78,2,FALSE)+VLOOKUP(AB$3,'Embedded Emissions'!$A$129:$B$158,2,FALSE)), $C21 = "3", ('Inputs-System'!$C$30*'Coincidence Factors'!$B$9*(1+'Inputs-System'!$C$18)*(1+'Inputs-System'!$C$41))*'Inputs-Proposals'!$E$29*'Inputs-Proposals'!$E$31*(1-'Inputs-Proposals'!$E$20^(AB$3-'Inputs-System'!$C$7))*(VLOOKUP(AB$3,'Embedded Emissions'!$A$47:$B$78,2,FALSE)+VLOOKUP(AB$3,'Embedded Emissions'!$A$129:$B$158,2,FALSE)), $C21 = "0", 0), 0)</f>
        <v>0</v>
      </c>
      <c r="AD21" s="44">
        <f>IFERROR(_xlfn.IFS($C21="1",( 'Inputs-System'!$C$30*'Coincidence Factors'!$B$9*(1+'Inputs-System'!$C$18)*(1+'Inputs-System'!$C$41))*('Inputs-Proposals'!$E$17*'Inputs-Proposals'!$E$19*(1-'Inputs-Proposals'!$E$20)^(AB$3-'Inputs-System'!$C$7))*(VLOOKUP(AB$3,DRIPE!$A$54:$I$82,5,FALSE)+VLOOKUP(AB$3,DRIPE!$A$54:$I$82,9,FALSE))+ ('Inputs-System'!$C$26*'Coincidence Factors'!$B$6*(1+'Inputs-System'!$C$18)*(1+'Inputs-System'!$C$42))*'Inputs-Proposals'!$E$16*VLOOKUP(AB$3,DRIPE!$A$54:$I$82,8,FALSE), $C21 = "2",( 'Inputs-System'!$C$30*'Coincidence Factors'!$B$9*(1+'Inputs-System'!$C$18)*(1+'Inputs-System'!$C$41))*('Inputs-Proposals'!$E$23*'Inputs-Proposals'!$E$25*(1-'Inputs-Proposals'!$E$26)^(AB$3-'Inputs-System'!$C$7))*(VLOOKUP(AB$3,DRIPE!$A$54:$I$82,5,FALSE)+VLOOKUP(AB$3,DRIPE!$A$54:$I$82,9,FALSE))+ ('Inputs-System'!$C$26*'Coincidence Factors'!$B$6*(1+'Inputs-System'!$C$18)*(1+'Inputs-System'!$C$42))*'Inputs-Proposals'!$E$22*VLOOKUP(AB$3,DRIPE!$A$54:$I$82,8,FALSE), $C21= "3", ( 'Inputs-System'!$C$30*'Coincidence Factors'!$B$9*(1+'Inputs-System'!$C$18)*(1+'Inputs-System'!$C$41))*('Inputs-Proposals'!$E$29*'Inputs-Proposals'!$E$31*(1-'Inputs-Proposals'!$E$32)^(AB$3-'Inputs-System'!$C$7))*(VLOOKUP(AB$3,DRIPE!$A$54:$I$82,5,FALSE)+VLOOKUP(AB$3,DRIPE!$A$54:$I$82,9,FALSE))+ ('Inputs-System'!$C$26*'Coincidence Factors'!$B$6*(1+'Inputs-System'!$C$18)*(1+'Inputs-System'!$C$42))*'Inputs-Proposals'!$E$28*VLOOKUP(AB$3,DRIPE!$A$54:$I$82,8,FALSE), $C21 = "0", 0), 0)</f>
        <v>0</v>
      </c>
      <c r="AE21" s="45">
        <f>IFERROR(_xlfn.IFS($C21="1",('Inputs-System'!$C$26*'Coincidence Factors'!$B$9*(1+'Inputs-System'!$C$18)*(1+'Inputs-System'!$C$42))*'Inputs-Proposals'!$D$16*(VLOOKUP(AB$3,Capacity!$A$53:$E$85,4,FALSE)*(1+'Inputs-System'!$C$42)+VLOOKUP(AB$3,Capacity!$A$53:$E$85,5,FALSE)*(1+'Inputs-System'!$C$43)*'Inputs-System'!$C$29), $C21 = "2", ('Inputs-System'!$C$26*'Coincidence Factors'!$B$9*(1+'Inputs-System'!$C$18))*'Inputs-Proposals'!$D$22*(VLOOKUP(AB$3,Capacity!$A$53:$E$85,4,FALSE)*(1+'Inputs-System'!$C$42)+VLOOKUP(AB$3,Capacity!$A$53:$E$85,5,FALSE)*'Inputs-System'!$C$29*(1+'Inputs-System'!$C$43)), $C21 = "3", ('Inputs-System'!$C$26*'Coincidence Factors'!$B$9*(1+'Inputs-System'!$C$18))*'Inputs-Proposals'!$D$28*(VLOOKUP(AB$3,Capacity!$A$53:$E$85,4,FALSE)*(1+'Inputs-System'!$C$42)+VLOOKUP(AB$3,Capacity!$A$53:$E$85,5,FALSE)*'Inputs-System'!$C$29*(1+'Inputs-System'!$C$43)), $C21 = "0", 0), 0)</f>
        <v>0</v>
      </c>
      <c r="AF21" s="44">
        <v>0</v>
      </c>
      <c r="AG21" s="342">
        <f>IFERROR(_xlfn.IFS($C21="1", 'Inputs-System'!$C$30*'Coincidence Factors'!$B$9*'Inputs-Proposals'!$E$17*'Inputs-Proposals'!$E$19*(VLOOKUP(AB$3,'Non-Embedded Emissions'!$A$56:$D$90,2,FALSE)-VLOOKUP(AB$3,'Non-Embedded Emissions'!$F$57:$H$88,2,FALSE)+VLOOKUP(AB$3,'Non-Embedded Emissions'!$A$143:$D$174,2,FALSE)-VLOOKUP(AB$3,'Non-Embedded Emissions'!$F$143:$H$174,2,FALSE)+VLOOKUP(AB$3,'Non-Embedded Emissions'!$A$230:$D$259,2,FALSE)), $C21 = "2", 'Inputs-System'!$C$30*'Coincidence Factors'!$B$9*'Inputs-Proposals'!$E$23*'Inputs-Proposals'!$E$25*(VLOOKUP(AB$3,'Non-Embedded Emissions'!$A$56:$D$90,2,FALSE)-VLOOKUP(AB$3,'Non-Embedded Emissions'!$F$57:$H$88,2,FALSE)+VLOOKUP(AB$3,'Non-Embedded Emissions'!$A$143:$D$174,2,FALSE)-VLOOKUP(AB$3,'Non-Embedded Emissions'!$F$143:$H$174,2,FALSE)+VLOOKUP(AB$3,'Non-Embedded Emissions'!$A$230:$D$259,2,FALSE)), $C21 = "3", 'Inputs-System'!$C$30*'Coincidence Factors'!$B$9*'Inputs-Proposals'!$E$29*'Inputs-Proposals'!$E$31*(VLOOKUP(AB$3,'Non-Embedded Emissions'!$A$56:$D$90,2,FALSE)-VLOOKUP(AB$3,'Non-Embedded Emissions'!$F$57:$H$88,2,FALSE)+VLOOKUP(AB$3,'Non-Embedded Emissions'!$A$143:$D$174,2,FALSE)-VLOOKUP(AB$3,'Non-Embedded Emissions'!$F$143:$H$174,2,FALSE)+VLOOKUP(AB$3,'Non-Embedded Emissions'!$A$230:$D$259,2,FALSE)), $C21 = "0", 0), 0)</f>
        <v>0</v>
      </c>
      <c r="AH21" s="45">
        <f>IFERROR(_xlfn.IFS($C21="1",('Inputs-System'!$C$30*'Coincidence Factors'!$B$9*(1+'Inputs-System'!$C$18)*(1+'Inputs-System'!$C$41)*('Inputs-Proposals'!$C$17*'Inputs-Proposals'!$C$19*(1-'Inputs-Proposals'!$C$20^(AH$3-'Inputs-System'!$C$7)))*(VLOOKUP(AH$3,Energy!$A$51:$K$83,5,FALSE))), $C21 = "2",('Inputs-System'!$C$30*'Coincidence Factors'!$B$9)*(1+'Inputs-System'!$C$18)*(1+'Inputs-System'!$C$41)*('Inputs-Proposals'!$C$23*'Inputs-Proposals'!$C$25*(1-'Inputs-Proposals'!$C$26^(AH$3-'Inputs-System'!$C$7)))*(VLOOKUP(AH$3,Energy!$A$51:$K$83,5,FALSE)), $C21= "3", ('Inputs-System'!$C$30*'Coincidence Factors'!$B$9*(1+'Inputs-System'!$C$18)*(1+'Inputs-System'!$C$41)*('Inputs-Proposals'!$C$29*'Inputs-Proposals'!$C$31*(1-'Inputs-Proposals'!$C$32^(AH$3-'Inputs-System'!$C$7)))*(VLOOKUP(AH$3,Energy!$A$51:$K$83,5,FALSE))), $C21= "0", 0), 0)</f>
        <v>0</v>
      </c>
      <c r="AI21" s="44">
        <f>IFERROR(_xlfn.IFS($C21="1",('Inputs-System'!$C$30*'Coincidence Factors'!$B$9*(1+'Inputs-System'!$C$18)*(1+'Inputs-System'!$C$41))*'Inputs-Proposals'!$E$17*'Inputs-Proposals'!$E$19*(1-'Inputs-Proposals'!$E$20^(AH$3-'Inputs-System'!$C$7))*(VLOOKUP(AH$3,'Embedded Emissions'!$A$47:$B$78,2,FALSE)+VLOOKUP(AH$3,'Embedded Emissions'!$A$129:$B$158,2,FALSE)), $C21 = "2",('Inputs-System'!$C$30*'Coincidence Factors'!$B$9*(1+'Inputs-System'!$C$18)*(1+'Inputs-System'!$C$41))*'Inputs-Proposals'!$E$23*'Inputs-Proposals'!$E$25*(1-'Inputs-Proposals'!$E$20^(AH$3-'Inputs-System'!$C$7))*(VLOOKUP(AH$3,'Embedded Emissions'!$A$47:$B$78,2,FALSE)+VLOOKUP(AH$3,'Embedded Emissions'!$A$129:$B$158,2,FALSE)), $C21 = "3", ('Inputs-System'!$C$30*'Coincidence Factors'!$B$9*(1+'Inputs-System'!$C$18)*(1+'Inputs-System'!$C$41))*'Inputs-Proposals'!$E$29*'Inputs-Proposals'!$E$31*(1-'Inputs-Proposals'!$E$20^(AH$3-'Inputs-System'!$C$7))*(VLOOKUP(AH$3,'Embedded Emissions'!$A$47:$B$78,2,FALSE)+VLOOKUP(AH$3,'Embedded Emissions'!$A$129:$B$158,2,FALSE)), $C21 = "0", 0), 0)</f>
        <v>0</v>
      </c>
      <c r="AJ21" s="44">
        <f>IFERROR(_xlfn.IFS($C21="1",( 'Inputs-System'!$C$30*'Coincidence Factors'!$B$9*(1+'Inputs-System'!$C$18)*(1+'Inputs-System'!$C$41))*('Inputs-Proposals'!$E$17*'Inputs-Proposals'!$E$19*(1-'Inputs-Proposals'!$E$20)^(AH$3-'Inputs-System'!$C$7))*(VLOOKUP(AH$3,DRIPE!$A$54:$I$82,5,FALSE)+VLOOKUP(AH$3,DRIPE!$A$54:$I$82,9,FALSE))+ ('Inputs-System'!$C$26*'Coincidence Factors'!$B$6*(1+'Inputs-System'!$C$18)*(1+'Inputs-System'!$C$42))*'Inputs-Proposals'!$E$16*VLOOKUP(AH$3,DRIPE!$A$54:$I$82,8,FALSE), $C21 = "2",( 'Inputs-System'!$C$30*'Coincidence Factors'!$B$9*(1+'Inputs-System'!$C$18)*(1+'Inputs-System'!$C$41))*('Inputs-Proposals'!$E$23*'Inputs-Proposals'!$E$25*(1-'Inputs-Proposals'!$E$26)^(AH$3-'Inputs-System'!$C$7))*(VLOOKUP(AH$3,DRIPE!$A$54:$I$82,5,FALSE)+VLOOKUP(AH$3,DRIPE!$A$54:$I$82,9,FALSE))+ ('Inputs-System'!$C$26*'Coincidence Factors'!$B$6*(1+'Inputs-System'!$C$18)*(1+'Inputs-System'!$C$42))*'Inputs-Proposals'!$E$22*VLOOKUP(AH$3,DRIPE!$A$54:$I$82,8,FALSE), $C21= "3", ( 'Inputs-System'!$C$30*'Coincidence Factors'!$B$9*(1+'Inputs-System'!$C$18)*(1+'Inputs-System'!$C$41))*('Inputs-Proposals'!$E$29*'Inputs-Proposals'!$E$31*(1-'Inputs-Proposals'!$E$32)^(AH$3-'Inputs-System'!$C$7))*(VLOOKUP(AH$3,DRIPE!$A$54:$I$82,5,FALSE)+VLOOKUP(AH$3,DRIPE!$A$54:$I$82,9,FALSE))+ ('Inputs-System'!$C$26*'Coincidence Factors'!$B$6*(1+'Inputs-System'!$C$18)*(1+'Inputs-System'!$C$42))*'Inputs-Proposals'!$E$28*VLOOKUP(AH$3,DRIPE!$A$54:$I$82,8,FALSE), $C21 = "0", 0), 0)</f>
        <v>0</v>
      </c>
      <c r="AK21" s="45">
        <f>IFERROR(_xlfn.IFS($C21="1",('Inputs-System'!$C$26*'Coincidence Factors'!$B$9*(1+'Inputs-System'!$C$18)*(1+'Inputs-System'!$C$42))*'Inputs-Proposals'!$D$16*(VLOOKUP(AH$3,Capacity!$A$53:$E$85,4,FALSE)*(1+'Inputs-System'!$C$42)+VLOOKUP(AH$3,Capacity!$A$53:$E$85,5,FALSE)*(1+'Inputs-System'!$C$43)*'Inputs-System'!$C$29), $C21 = "2", ('Inputs-System'!$C$26*'Coincidence Factors'!$B$9*(1+'Inputs-System'!$C$18))*'Inputs-Proposals'!$D$22*(VLOOKUP(AH$3,Capacity!$A$53:$E$85,4,FALSE)*(1+'Inputs-System'!$C$42)+VLOOKUP(AH$3,Capacity!$A$53:$E$85,5,FALSE)*'Inputs-System'!$C$29*(1+'Inputs-System'!$C$43)), $C21 = "3", ('Inputs-System'!$C$26*'Coincidence Factors'!$B$9*(1+'Inputs-System'!$C$18))*'Inputs-Proposals'!$D$28*(VLOOKUP(AH$3,Capacity!$A$53:$E$85,4,FALSE)*(1+'Inputs-System'!$C$42)+VLOOKUP(AH$3,Capacity!$A$53:$E$85,5,FALSE)*'Inputs-System'!$C$29*(1+'Inputs-System'!$C$43)), $C21 = "0", 0), 0)</f>
        <v>0</v>
      </c>
      <c r="AL21" s="44">
        <v>0</v>
      </c>
      <c r="AM21" s="342">
        <f>IFERROR(_xlfn.IFS($C21="1", 'Inputs-System'!$C$30*'Coincidence Factors'!$B$9*'Inputs-Proposals'!$E$17*'Inputs-Proposals'!$E$19*(VLOOKUP(AH$3,'Non-Embedded Emissions'!$A$56:$D$90,2,FALSE)-VLOOKUP(AH$3,'Non-Embedded Emissions'!$F$57:$H$88,2,FALSE)+VLOOKUP(AH$3,'Non-Embedded Emissions'!$A$143:$D$174,2,FALSE)-VLOOKUP(AH$3,'Non-Embedded Emissions'!$F$143:$H$174,2,FALSE)+VLOOKUP(AH$3,'Non-Embedded Emissions'!$A$230:$D$259,2,FALSE)), $C21 = "2", 'Inputs-System'!$C$30*'Coincidence Factors'!$B$9*'Inputs-Proposals'!$E$23*'Inputs-Proposals'!$E$25*(VLOOKUP(AH$3,'Non-Embedded Emissions'!$A$56:$D$90,2,FALSE)-VLOOKUP(AH$3,'Non-Embedded Emissions'!$F$57:$H$88,2,FALSE)+VLOOKUP(AH$3,'Non-Embedded Emissions'!$A$143:$D$174,2,FALSE)-VLOOKUP(AH$3,'Non-Embedded Emissions'!$F$143:$H$174,2,FALSE)+VLOOKUP(AH$3,'Non-Embedded Emissions'!$A$230:$D$259,2,FALSE)), $C21 = "3", 'Inputs-System'!$C$30*'Coincidence Factors'!$B$9*'Inputs-Proposals'!$E$29*'Inputs-Proposals'!$E$31*(VLOOKUP(AH$3,'Non-Embedded Emissions'!$A$56:$D$90,2,FALSE)-VLOOKUP(AH$3,'Non-Embedded Emissions'!$F$57:$H$88,2,FALSE)+VLOOKUP(AH$3,'Non-Embedded Emissions'!$A$143:$D$174,2,FALSE)-VLOOKUP(AH$3,'Non-Embedded Emissions'!$F$143:$H$174,2,FALSE)+VLOOKUP(AH$3,'Non-Embedded Emissions'!$A$230:$D$259,2,FALSE)), $C21 = "0", 0), 0)</f>
        <v>0</v>
      </c>
      <c r="AN21" s="45">
        <f>IFERROR(_xlfn.IFS($C21="1",('Inputs-System'!$C$30*'Coincidence Factors'!$B$9*(1+'Inputs-System'!$C$18)*(1+'Inputs-System'!$C$41)*('Inputs-Proposals'!$C$17*'Inputs-Proposals'!$C$19*(1-'Inputs-Proposals'!$C$20^(AN$3-'Inputs-System'!$C$7)))*(VLOOKUP(AN$3,Energy!$A$51:$K$83,5,FALSE))), $C21 = "2",('Inputs-System'!$C$30*'Coincidence Factors'!$B$9)*(1+'Inputs-System'!$C$18)*(1+'Inputs-System'!$C$41)*('Inputs-Proposals'!$C$23*'Inputs-Proposals'!$C$25*(1-'Inputs-Proposals'!$C$26^(AN$3-'Inputs-System'!$C$7)))*(VLOOKUP(AN$3,Energy!$A$51:$K$83,5,FALSE)), $C21= "3", ('Inputs-System'!$C$30*'Coincidence Factors'!$B$9*(1+'Inputs-System'!$C$18)*(1+'Inputs-System'!$C$41)*('Inputs-Proposals'!$C$29*'Inputs-Proposals'!$C$31*(1-'Inputs-Proposals'!$C$32^(AN$3-'Inputs-System'!$C$7)))*(VLOOKUP(AN$3,Energy!$A$51:$K$83,5,FALSE))), $C21= "0", 0), 0)</f>
        <v>0</v>
      </c>
      <c r="AO21" s="44">
        <f>IFERROR(_xlfn.IFS($C21="1",('Inputs-System'!$C$30*'Coincidence Factors'!$B$9*(1+'Inputs-System'!$C$18)*(1+'Inputs-System'!$C$41))*'Inputs-Proposals'!$E$17*'Inputs-Proposals'!$E$19*(1-'Inputs-Proposals'!$E$20^(AN$3-'Inputs-System'!$C$7))*(VLOOKUP(AN$3,'Embedded Emissions'!$A$47:$B$78,2,FALSE)+VLOOKUP(AN$3,'Embedded Emissions'!$A$129:$B$158,2,FALSE)), $C21 = "2",('Inputs-System'!$C$30*'Coincidence Factors'!$B$9*(1+'Inputs-System'!$C$18)*(1+'Inputs-System'!$C$41))*'Inputs-Proposals'!$E$23*'Inputs-Proposals'!$E$25*(1-'Inputs-Proposals'!$E$20^(AN$3-'Inputs-System'!$C$7))*(VLOOKUP(AN$3,'Embedded Emissions'!$A$47:$B$78,2,FALSE)+VLOOKUP(AN$3,'Embedded Emissions'!$A$129:$B$158,2,FALSE)), $C21 = "3", ('Inputs-System'!$C$30*'Coincidence Factors'!$B$9*(1+'Inputs-System'!$C$18)*(1+'Inputs-System'!$C$41))*'Inputs-Proposals'!$E$29*'Inputs-Proposals'!$E$31*(1-'Inputs-Proposals'!$E$20^(AN$3-'Inputs-System'!$C$7))*(VLOOKUP(AN$3,'Embedded Emissions'!$A$47:$B$78,2,FALSE)+VLOOKUP(AN$3,'Embedded Emissions'!$A$129:$B$158,2,FALSE)), $C21 = "0", 0), 0)</f>
        <v>0</v>
      </c>
      <c r="AP21" s="44">
        <f>IFERROR(_xlfn.IFS($C21="1",( 'Inputs-System'!$C$30*'Coincidence Factors'!$B$9*(1+'Inputs-System'!$C$18)*(1+'Inputs-System'!$C$41))*('Inputs-Proposals'!$E$17*'Inputs-Proposals'!$E$19*(1-'Inputs-Proposals'!$E$20)^(AN$3-'Inputs-System'!$C$7))*(VLOOKUP(AN$3,DRIPE!$A$54:$I$82,5,FALSE)+VLOOKUP(AN$3,DRIPE!$A$54:$I$82,9,FALSE))+ ('Inputs-System'!$C$26*'Coincidence Factors'!$B$6*(1+'Inputs-System'!$C$18)*(1+'Inputs-System'!$C$42))*'Inputs-Proposals'!$E$16*VLOOKUP(AN$3,DRIPE!$A$54:$I$82,8,FALSE), $C21 = "2",( 'Inputs-System'!$C$30*'Coincidence Factors'!$B$9*(1+'Inputs-System'!$C$18)*(1+'Inputs-System'!$C$41))*('Inputs-Proposals'!$E$23*'Inputs-Proposals'!$E$25*(1-'Inputs-Proposals'!$E$26)^(AN$3-'Inputs-System'!$C$7))*(VLOOKUP(AN$3,DRIPE!$A$54:$I$82,5,FALSE)+VLOOKUP(AN$3,DRIPE!$A$54:$I$82,9,FALSE))+ ('Inputs-System'!$C$26*'Coincidence Factors'!$B$6*(1+'Inputs-System'!$C$18)*(1+'Inputs-System'!$C$42))*'Inputs-Proposals'!$E$22*VLOOKUP(AN$3,DRIPE!$A$54:$I$82,8,FALSE), $C21= "3", ( 'Inputs-System'!$C$30*'Coincidence Factors'!$B$9*(1+'Inputs-System'!$C$18)*(1+'Inputs-System'!$C$41))*('Inputs-Proposals'!$E$29*'Inputs-Proposals'!$E$31*(1-'Inputs-Proposals'!$E$32)^(AN$3-'Inputs-System'!$C$7))*(VLOOKUP(AN$3,DRIPE!$A$54:$I$82,5,FALSE)+VLOOKUP(AN$3,DRIPE!$A$54:$I$82,9,FALSE))+ ('Inputs-System'!$C$26*'Coincidence Factors'!$B$6*(1+'Inputs-System'!$C$18)*(1+'Inputs-System'!$C$42))*'Inputs-Proposals'!$E$28*VLOOKUP(AN$3,DRIPE!$A$54:$I$82,8,FALSE), $C21 = "0", 0), 0)</f>
        <v>0</v>
      </c>
      <c r="AQ21" s="45">
        <f>IFERROR(_xlfn.IFS($C21="1",('Inputs-System'!$C$26*'Coincidence Factors'!$B$9*(1+'Inputs-System'!$C$18)*(1+'Inputs-System'!$C$42))*'Inputs-Proposals'!$D$16*(VLOOKUP(AN$3,Capacity!$A$53:$E$85,4,FALSE)*(1+'Inputs-System'!$C$42)+VLOOKUP(AN$3,Capacity!$A$53:$E$85,5,FALSE)*(1+'Inputs-System'!$C$43)*'Inputs-System'!$C$29), $C21 = "2", ('Inputs-System'!$C$26*'Coincidence Factors'!$B$9*(1+'Inputs-System'!$C$18))*'Inputs-Proposals'!$D$22*(VLOOKUP(AN$3,Capacity!$A$53:$E$85,4,FALSE)*(1+'Inputs-System'!$C$42)+VLOOKUP(AN$3,Capacity!$A$53:$E$85,5,FALSE)*'Inputs-System'!$C$29*(1+'Inputs-System'!$C$43)), $C21 = "3", ('Inputs-System'!$C$26*'Coincidence Factors'!$B$9*(1+'Inputs-System'!$C$18))*'Inputs-Proposals'!$D$28*(VLOOKUP(AN$3,Capacity!$A$53:$E$85,4,FALSE)*(1+'Inputs-System'!$C$42)+VLOOKUP(AN$3,Capacity!$A$53:$E$85,5,FALSE)*'Inputs-System'!$C$29*(1+'Inputs-System'!$C$43)), $C21 = "0", 0), 0)</f>
        <v>0</v>
      </c>
      <c r="AR21" s="44">
        <v>0</v>
      </c>
      <c r="AS21" s="342">
        <f>IFERROR(_xlfn.IFS($C21="1", 'Inputs-System'!$C$30*'Coincidence Factors'!$B$9*'Inputs-Proposals'!$E$17*'Inputs-Proposals'!$E$19*(VLOOKUP(AN$3,'Non-Embedded Emissions'!$A$56:$D$90,2,FALSE)-VLOOKUP(AN$3,'Non-Embedded Emissions'!$F$57:$H$88,2,FALSE)+VLOOKUP(AN$3,'Non-Embedded Emissions'!$A$143:$D$174,2,FALSE)-VLOOKUP(AN$3,'Non-Embedded Emissions'!$F$143:$H$174,2,FALSE)+VLOOKUP(AN$3,'Non-Embedded Emissions'!$A$230:$D$259,2,FALSE)), $C21 = "2", 'Inputs-System'!$C$30*'Coincidence Factors'!$B$9*'Inputs-Proposals'!$E$23*'Inputs-Proposals'!$E$25*(VLOOKUP(AN$3,'Non-Embedded Emissions'!$A$56:$D$90,2,FALSE)-VLOOKUP(AN$3,'Non-Embedded Emissions'!$F$57:$H$88,2,FALSE)+VLOOKUP(AN$3,'Non-Embedded Emissions'!$A$143:$D$174,2,FALSE)-VLOOKUP(AN$3,'Non-Embedded Emissions'!$F$143:$H$174,2,FALSE)+VLOOKUP(AN$3,'Non-Embedded Emissions'!$A$230:$D$259,2,FALSE)), $C21 = "3", 'Inputs-System'!$C$30*'Coincidence Factors'!$B$9*'Inputs-Proposals'!$E$29*'Inputs-Proposals'!$E$31*(VLOOKUP(AN$3,'Non-Embedded Emissions'!$A$56:$D$90,2,FALSE)-VLOOKUP(AN$3,'Non-Embedded Emissions'!$F$57:$H$88,2,FALSE)+VLOOKUP(AN$3,'Non-Embedded Emissions'!$A$143:$D$174,2,FALSE)-VLOOKUP(AN$3,'Non-Embedded Emissions'!$F$143:$H$174,2,FALSE)+VLOOKUP(AN$3,'Non-Embedded Emissions'!$A$230:$D$259,2,FALSE)), $C21 = "0", 0), 0)</f>
        <v>0</v>
      </c>
      <c r="AT21" s="45">
        <f>IFERROR(_xlfn.IFS($C21="1",('Inputs-System'!$C$30*'Coincidence Factors'!$B$9*(1+'Inputs-System'!$C$18)*(1+'Inputs-System'!$C$41)*('Inputs-Proposals'!$C$17*'Inputs-Proposals'!$C$19*(1-'Inputs-Proposals'!$C$20^(AT$3-'Inputs-System'!$C$7)))*(VLOOKUP(AT$3,Energy!$A$51:$K$83,5,FALSE))), $C21 = "2",('Inputs-System'!$C$30*'Coincidence Factors'!$B$9)*(1+'Inputs-System'!$C$18)*(1+'Inputs-System'!$C$41)*('Inputs-Proposals'!$C$23*'Inputs-Proposals'!$C$25*(1-'Inputs-Proposals'!$C$26^(AT$3-'Inputs-System'!$C$7)))*(VLOOKUP(AT$3,Energy!$A$51:$K$83,5,FALSE)), $C21= "3", ('Inputs-System'!$C$30*'Coincidence Factors'!$B$9*(1+'Inputs-System'!$C$18)*(1+'Inputs-System'!$C$41)*('Inputs-Proposals'!$C$29*'Inputs-Proposals'!$C$31*(1-'Inputs-Proposals'!$C$32^(AT$3-'Inputs-System'!$C$7)))*(VLOOKUP(AT$3,Energy!$A$51:$K$83,5,FALSE))), $C21= "0", 0), 0)</f>
        <v>0</v>
      </c>
      <c r="AU21" s="44">
        <f>IFERROR(_xlfn.IFS($C21="1",('Inputs-System'!$C$30*'Coincidence Factors'!$B$9*(1+'Inputs-System'!$C$18)*(1+'Inputs-System'!$C$41))*'Inputs-Proposals'!$E$17*'Inputs-Proposals'!$E$19*(1-'Inputs-Proposals'!$E$20^(AT$3-'Inputs-System'!$C$7))*(VLOOKUP(AT$3,'Embedded Emissions'!$A$47:$B$78,2,FALSE)+VLOOKUP(AT$3,'Embedded Emissions'!$A$129:$B$158,2,FALSE)), $C21 = "2",('Inputs-System'!$C$30*'Coincidence Factors'!$B$9*(1+'Inputs-System'!$C$18)*(1+'Inputs-System'!$C$41))*'Inputs-Proposals'!$E$23*'Inputs-Proposals'!$E$25*(1-'Inputs-Proposals'!$E$20^(AT$3-'Inputs-System'!$C$7))*(VLOOKUP(AT$3,'Embedded Emissions'!$A$47:$B$78,2,FALSE)+VLOOKUP(AT$3,'Embedded Emissions'!$A$129:$B$158,2,FALSE)), $C21 = "3", ('Inputs-System'!$C$30*'Coincidence Factors'!$B$9*(1+'Inputs-System'!$C$18)*(1+'Inputs-System'!$C$41))*'Inputs-Proposals'!$E$29*'Inputs-Proposals'!$E$31*(1-'Inputs-Proposals'!$E$20^(AT$3-'Inputs-System'!$C$7))*(VLOOKUP(AT$3,'Embedded Emissions'!$A$47:$B$78,2,FALSE)+VLOOKUP(AT$3,'Embedded Emissions'!$A$129:$B$158,2,FALSE)), $C21 = "0", 0), 0)</f>
        <v>0</v>
      </c>
      <c r="AV21" s="44">
        <f>IFERROR(_xlfn.IFS($C21="1",( 'Inputs-System'!$C$30*'Coincidence Factors'!$B$9*(1+'Inputs-System'!$C$18)*(1+'Inputs-System'!$C$41))*('Inputs-Proposals'!$E$17*'Inputs-Proposals'!$E$19*(1-'Inputs-Proposals'!$E$20)^(AT$3-'Inputs-System'!$C$7))*(VLOOKUP(AT$3,DRIPE!$A$54:$I$82,5,FALSE)+VLOOKUP(AT$3,DRIPE!$A$54:$I$82,9,FALSE))+ ('Inputs-System'!$C$26*'Coincidence Factors'!$B$6*(1+'Inputs-System'!$C$18)*(1+'Inputs-System'!$C$42))*'Inputs-Proposals'!$E$16*VLOOKUP(AT$3,DRIPE!$A$54:$I$82,8,FALSE), $C21 = "2",( 'Inputs-System'!$C$30*'Coincidence Factors'!$B$9*(1+'Inputs-System'!$C$18)*(1+'Inputs-System'!$C$41))*('Inputs-Proposals'!$E$23*'Inputs-Proposals'!$E$25*(1-'Inputs-Proposals'!$E$26)^(AT$3-'Inputs-System'!$C$7))*(VLOOKUP(AT$3,DRIPE!$A$54:$I$82,5,FALSE)+VLOOKUP(AT$3,DRIPE!$A$54:$I$82,9,FALSE))+ ('Inputs-System'!$C$26*'Coincidence Factors'!$B$6*(1+'Inputs-System'!$C$18)*(1+'Inputs-System'!$C$42))*'Inputs-Proposals'!$E$22*VLOOKUP(AT$3,DRIPE!$A$54:$I$82,8,FALSE), $C21= "3", ( 'Inputs-System'!$C$30*'Coincidence Factors'!$B$9*(1+'Inputs-System'!$C$18)*(1+'Inputs-System'!$C$41))*('Inputs-Proposals'!$E$29*'Inputs-Proposals'!$E$31*(1-'Inputs-Proposals'!$E$32)^(AT$3-'Inputs-System'!$C$7))*(VLOOKUP(AT$3,DRIPE!$A$54:$I$82,5,FALSE)+VLOOKUP(AT$3,DRIPE!$A$54:$I$82,9,FALSE))+ ('Inputs-System'!$C$26*'Coincidence Factors'!$B$6*(1+'Inputs-System'!$C$18)*(1+'Inputs-System'!$C$42))*'Inputs-Proposals'!$E$28*VLOOKUP(AT$3,DRIPE!$A$54:$I$82,8,FALSE), $C21 = "0", 0), 0)</f>
        <v>0</v>
      </c>
      <c r="AW21" s="45">
        <f>IFERROR(_xlfn.IFS($C21="1",('Inputs-System'!$C$26*'Coincidence Factors'!$B$9*(1+'Inputs-System'!$C$18)*(1+'Inputs-System'!$C$42))*'Inputs-Proposals'!$D$16*(VLOOKUP(AT$3,Capacity!$A$53:$E$85,4,FALSE)*(1+'Inputs-System'!$C$42)+VLOOKUP(AT$3,Capacity!$A$53:$E$85,5,FALSE)*(1+'Inputs-System'!$C$43)*'Inputs-System'!$C$29), $C21 = "2", ('Inputs-System'!$C$26*'Coincidence Factors'!$B$9*(1+'Inputs-System'!$C$18))*'Inputs-Proposals'!$D$22*(VLOOKUP(AT$3,Capacity!$A$53:$E$85,4,FALSE)*(1+'Inputs-System'!$C$42)+VLOOKUP(AT$3,Capacity!$A$53:$E$85,5,FALSE)*'Inputs-System'!$C$29*(1+'Inputs-System'!$C$43)), $C21 = "3", ('Inputs-System'!$C$26*'Coincidence Factors'!$B$9*(1+'Inputs-System'!$C$18))*'Inputs-Proposals'!$D$28*(VLOOKUP(AT$3,Capacity!$A$53:$E$85,4,FALSE)*(1+'Inputs-System'!$C$42)+VLOOKUP(AT$3,Capacity!$A$53:$E$85,5,FALSE)*'Inputs-System'!$C$29*(1+'Inputs-System'!$C$43)), $C21 = "0", 0), 0)</f>
        <v>0</v>
      </c>
      <c r="AX21" s="44">
        <v>0</v>
      </c>
      <c r="AY21" s="342">
        <f>IFERROR(_xlfn.IFS($C21="1", 'Inputs-System'!$C$30*'Coincidence Factors'!$B$9*'Inputs-Proposals'!$E$17*'Inputs-Proposals'!$E$19*(VLOOKUP(AT$3,'Non-Embedded Emissions'!$A$56:$D$90,2,FALSE)-VLOOKUP(AT$3,'Non-Embedded Emissions'!$F$57:$H$88,2,FALSE)+VLOOKUP(AT$3,'Non-Embedded Emissions'!$A$143:$D$174,2,FALSE)-VLOOKUP(AT$3,'Non-Embedded Emissions'!$F$143:$H$174,2,FALSE)+VLOOKUP(AT$3,'Non-Embedded Emissions'!$A$230:$D$259,2,FALSE)), $C21 = "2", 'Inputs-System'!$C$30*'Coincidence Factors'!$B$9*'Inputs-Proposals'!$E$23*'Inputs-Proposals'!$E$25*(VLOOKUP(AT$3,'Non-Embedded Emissions'!$A$56:$D$90,2,FALSE)-VLOOKUP(AT$3,'Non-Embedded Emissions'!$F$57:$H$88,2,FALSE)+VLOOKUP(AT$3,'Non-Embedded Emissions'!$A$143:$D$174,2,FALSE)-VLOOKUP(AT$3,'Non-Embedded Emissions'!$F$143:$H$174,2,FALSE)+VLOOKUP(AT$3,'Non-Embedded Emissions'!$A$230:$D$259,2,FALSE)), $C21 = "3", 'Inputs-System'!$C$30*'Coincidence Factors'!$B$9*'Inputs-Proposals'!$E$29*'Inputs-Proposals'!$E$31*(VLOOKUP(AT$3,'Non-Embedded Emissions'!$A$56:$D$90,2,FALSE)-VLOOKUP(AT$3,'Non-Embedded Emissions'!$F$57:$H$88,2,FALSE)+VLOOKUP(AT$3,'Non-Embedded Emissions'!$A$143:$D$174,2,FALSE)-VLOOKUP(AT$3,'Non-Embedded Emissions'!$F$143:$H$174,2,FALSE)+VLOOKUP(AT$3,'Non-Embedded Emissions'!$A$230:$D$259,2,FALSE)), $C21 = "0", 0), 0)</f>
        <v>0</v>
      </c>
      <c r="AZ21" s="45">
        <f>IFERROR(_xlfn.IFS($C21="1",('Inputs-System'!$C$30*'Coincidence Factors'!$B$9*(1+'Inputs-System'!$C$18)*(1+'Inputs-System'!$C$41)*('Inputs-Proposals'!$C$17*'Inputs-Proposals'!$C$19*(1-'Inputs-Proposals'!$C$20^(AZ$3-'Inputs-System'!$C$7)))*(VLOOKUP(AZ$3,Energy!$A$51:$K$83,5,FALSE))), $C21 = "2",('Inputs-System'!$C$30*'Coincidence Factors'!$B$9)*(1+'Inputs-System'!$C$18)*(1+'Inputs-System'!$C$41)*('Inputs-Proposals'!$C$23*'Inputs-Proposals'!$C$25*(1-'Inputs-Proposals'!$C$26^(AZ$3-'Inputs-System'!$C$7)))*(VLOOKUP(AZ$3,Energy!$A$51:$K$83,5,FALSE)), $C21= "3", ('Inputs-System'!$C$30*'Coincidence Factors'!$B$9*(1+'Inputs-System'!$C$18)*(1+'Inputs-System'!$C$41)*('Inputs-Proposals'!$C$29*'Inputs-Proposals'!$C$31*(1-'Inputs-Proposals'!$C$32^(AZ$3-'Inputs-System'!$C$7)))*(VLOOKUP(AZ$3,Energy!$A$51:$K$83,5,FALSE))), $C21= "0", 0), 0)</f>
        <v>0</v>
      </c>
      <c r="BA21" s="44">
        <f>IFERROR(_xlfn.IFS($C21="1",('Inputs-System'!$C$30*'Coincidence Factors'!$B$9*(1+'Inputs-System'!$C$18)*(1+'Inputs-System'!$C$41))*'Inputs-Proposals'!$E$17*'Inputs-Proposals'!$E$19*(1-'Inputs-Proposals'!$E$20^(AZ$3-'Inputs-System'!$C$7))*(VLOOKUP(AZ$3,'Embedded Emissions'!$A$47:$B$78,2,FALSE)+VLOOKUP(AZ$3,'Embedded Emissions'!$A$129:$B$158,2,FALSE)), $C21 = "2",('Inputs-System'!$C$30*'Coincidence Factors'!$B$9*(1+'Inputs-System'!$C$18)*(1+'Inputs-System'!$C$41))*'Inputs-Proposals'!$E$23*'Inputs-Proposals'!$E$25*(1-'Inputs-Proposals'!$E$20^(AZ$3-'Inputs-System'!$C$7))*(VLOOKUP(AZ$3,'Embedded Emissions'!$A$47:$B$78,2,FALSE)+VLOOKUP(AZ$3,'Embedded Emissions'!$A$129:$B$158,2,FALSE)), $C21 = "3", ('Inputs-System'!$C$30*'Coincidence Factors'!$B$9*(1+'Inputs-System'!$C$18)*(1+'Inputs-System'!$C$41))*'Inputs-Proposals'!$E$29*'Inputs-Proposals'!$E$31*(1-'Inputs-Proposals'!$E$20^(AZ$3-'Inputs-System'!$C$7))*(VLOOKUP(AZ$3,'Embedded Emissions'!$A$47:$B$78,2,FALSE)+VLOOKUP(AZ$3,'Embedded Emissions'!$A$129:$B$158,2,FALSE)), $C21 = "0", 0), 0)</f>
        <v>0</v>
      </c>
      <c r="BB21" s="44">
        <f>IFERROR(_xlfn.IFS($C21="1",( 'Inputs-System'!$C$30*'Coincidence Factors'!$B$9*(1+'Inputs-System'!$C$18)*(1+'Inputs-System'!$C$41))*('Inputs-Proposals'!$E$17*'Inputs-Proposals'!$E$19*(1-'Inputs-Proposals'!$E$20)^(AZ$3-'Inputs-System'!$C$7))*(VLOOKUP(AZ$3,DRIPE!$A$54:$I$82,5,FALSE)+VLOOKUP(AZ$3,DRIPE!$A$54:$I$82,9,FALSE))+ ('Inputs-System'!$C$26*'Coincidence Factors'!$B$6*(1+'Inputs-System'!$C$18)*(1+'Inputs-System'!$C$42))*'Inputs-Proposals'!$E$16*VLOOKUP(AZ$3,DRIPE!$A$54:$I$82,8,FALSE), $C21 = "2",( 'Inputs-System'!$C$30*'Coincidence Factors'!$B$9*(1+'Inputs-System'!$C$18)*(1+'Inputs-System'!$C$41))*('Inputs-Proposals'!$E$23*'Inputs-Proposals'!$E$25*(1-'Inputs-Proposals'!$E$26)^(AZ$3-'Inputs-System'!$C$7))*(VLOOKUP(AZ$3,DRIPE!$A$54:$I$82,5,FALSE)+VLOOKUP(AZ$3,DRIPE!$A$54:$I$82,9,FALSE))+ ('Inputs-System'!$C$26*'Coincidence Factors'!$B$6*(1+'Inputs-System'!$C$18)*(1+'Inputs-System'!$C$42))*'Inputs-Proposals'!$E$22*VLOOKUP(AZ$3,DRIPE!$A$54:$I$82,8,FALSE), $C21= "3", ( 'Inputs-System'!$C$30*'Coincidence Factors'!$B$9*(1+'Inputs-System'!$C$18)*(1+'Inputs-System'!$C$41))*('Inputs-Proposals'!$E$29*'Inputs-Proposals'!$E$31*(1-'Inputs-Proposals'!$E$32)^(AZ$3-'Inputs-System'!$C$7))*(VLOOKUP(AZ$3,DRIPE!$A$54:$I$82,5,FALSE)+VLOOKUP(AZ$3,DRIPE!$A$54:$I$82,9,FALSE))+ ('Inputs-System'!$C$26*'Coincidence Factors'!$B$6*(1+'Inputs-System'!$C$18)*(1+'Inputs-System'!$C$42))*'Inputs-Proposals'!$E$28*VLOOKUP(AZ$3,DRIPE!$A$54:$I$82,8,FALSE), $C21 = "0", 0), 0)</f>
        <v>0</v>
      </c>
      <c r="BC21" s="45">
        <f>IFERROR(_xlfn.IFS($C21="1",('Inputs-System'!$C$26*'Coincidence Factors'!$B$9*(1+'Inputs-System'!$C$18)*(1+'Inputs-System'!$C$42))*'Inputs-Proposals'!$D$16*(VLOOKUP(AZ$3,Capacity!$A$53:$E$85,4,FALSE)*(1+'Inputs-System'!$C$42)+VLOOKUP(AZ$3,Capacity!$A$53:$E$85,5,FALSE)*(1+'Inputs-System'!$C$43)*'Inputs-System'!$C$29), $C21 = "2", ('Inputs-System'!$C$26*'Coincidence Factors'!$B$9*(1+'Inputs-System'!$C$18))*'Inputs-Proposals'!$D$22*(VLOOKUP(AZ$3,Capacity!$A$53:$E$85,4,FALSE)*(1+'Inputs-System'!$C$42)+VLOOKUP(AZ$3,Capacity!$A$53:$E$85,5,FALSE)*'Inputs-System'!$C$29*(1+'Inputs-System'!$C$43)), $C21 = "3", ('Inputs-System'!$C$26*'Coincidence Factors'!$B$9*(1+'Inputs-System'!$C$18))*'Inputs-Proposals'!$D$28*(VLOOKUP(AZ$3,Capacity!$A$53:$E$85,4,FALSE)*(1+'Inputs-System'!$C$42)+VLOOKUP(AZ$3,Capacity!$A$53:$E$85,5,FALSE)*'Inputs-System'!$C$29*(1+'Inputs-System'!$C$43)), $C21 = "0", 0), 0)</f>
        <v>0</v>
      </c>
      <c r="BD21" s="44">
        <v>0</v>
      </c>
      <c r="BE21" s="342">
        <f>IFERROR(_xlfn.IFS($C21="1", 'Inputs-System'!$C$30*'Coincidence Factors'!$B$9*'Inputs-Proposals'!$E$17*'Inputs-Proposals'!$E$19*(VLOOKUP(AZ$3,'Non-Embedded Emissions'!$A$56:$D$90,2,FALSE)-VLOOKUP(AZ$3,'Non-Embedded Emissions'!$F$57:$H$88,2,FALSE)+VLOOKUP(AZ$3,'Non-Embedded Emissions'!$A$143:$D$174,2,FALSE)-VLOOKUP(AZ$3,'Non-Embedded Emissions'!$F$143:$H$174,2,FALSE)+VLOOKUP(AZ$3,'Non-Embedded Emissions'!$A$230:$D$259,2,FALSE)), $C21 = "2", 'Inputs-System'!$C$30*'Coincidence Factors'!$B$9*'Inputs-Proposals'!$E$23*'Inputs-Proposals'!$E$25*(VLOOKUP(AZ$3,'Non-Embedded Emissions'!$A$56:$D$90,2,FALSE)-VLOOKUP(AZ$3,'Non-Embedded Emissions'!$F$57:$H$88,2,FALSE)+VLOOKUP(AZ$3,'Non-Embedded Emissions'!$A$143:$D$174,2,FALSE)-VLOOKUP(AZ$3,'Non-Embedded Emissions'!$F$143:$H$174,2,FALSE)+VLOOKUP(AZ$3,'Non-Embedded Emissions'!$A$230:$D$259,2,FALSE)), $C21 = "3", 'Inputs-System'!$C$30*'Coincidence Factors'!$B$9*'Inputs-Proposals'!$E$29*'Inputs-Proposals'!$E$31*(VLOOKUP(AZ$3,'Non-Embedded Emissions'!$A$56:$D$90,2,FALSE)-VLOOKUP(AZ$3,'Non-Embedded Emissions'!$F$57:$H$88,2,FALSE)+VLOOKUP(AZ$3,'Non-Embedded Emissions'!$A$143:$D$174,2,FALSE)-VLOOKUP(AZ$3,'Non-Embedded Emissions'!$F$143:$H$174,2,FALSE)+VLOOKUP(AZ$3,'Non-Embedded Emissions'!$A$230:$D$259,2,FALSE)), $C21 = "0", 0), 0)</f>
        <v>0</v>
      </c>
      <c r="BF21" s="45">
        <f>IFERROR(_xlfn.IFS($C21="1",('Inputs-System'!$C$30*'Coincidence Factors'!$B$9*(1+'Inputs-System'!$C$18)*(1+'Inputs-System'!$C$41)*('Inputs-Proposals'!$C$17*'Inputs-Proposals'!$C$19*(1-'Inputs-Proposals'!$C$20^(BF$3-'Inputs-System'!$C$7)))*(VLOOKUP(BF$3,Energy!$A$51:$K$83,5,FALSE))), $C21 = "2",('Inputs-System'!$C$30*'Coincidence Factors'!$B$9)*(1+'Inputs-System'!$C$18)*(1+'Inputs-System'!$C$41)*('Inputs-Proposals'!$C$23*'Inputs-Proposals'!$C$25*(1-'Inputs-Proposals'!$C$26^(BF$3-'Inputs-System'!$C$7)))*(VLOOKUP(BF$3,Energy!$A$51:$K$83,5,FALSE)), $C21= "3", ('Inputs-System'!$C$30*'Coincidence Factors'!$B$9*(1+'Inputs-System'!$C$18)*(1+'Inputs-System'!$C$41)*('Inputs-Proposals'!$C$29*'Inputs-Proposals'!$C$31*(1-'Inputs-Proposals'!$C$32^(BF$3-'Inputs-System'!$C$7)))*(VLOOKUP(BF$3,Energy!$A$51:$K$83,5,FALSE))), $C21= "0", 0), 0)</f>
        <v>0</v>
      </c>
      <c r="BG21" s="44">
        <f>IFERROR(_xlfn.IFS($C21="1",('Inputs-System'!$C$30*'Coincidence Factors'!$B$9*(1+'Inputs-System'!$C$18)*(1+'Inputs-System'!$C$41))*'Inputs-Proposals'!$E$17*'Inputs-Proposals'!$E$19*(1-'Inputs-Proposals'!$E$20^(BF$3-'Inputs-System'!$C$7))*(VLOOKUP(BF$3,'Embedded Emissions'!$A$47:$B$78,2,FALSE)+VLOOKUP(BF$3,'Embedded Emissions'!$A$129:$B$158,2,FALSE)), $C21 = "2",('Inputs-System'!$C$30*'Coincidence Factors'!$B$9*(1+'Inputs-System'!$C$18)*(1+'Inputs-System'!$C$41))*'Inputs-Proposals'!$E$23*'Inputs-Proposals'!$E$25*(1-'Inputs-Proposals'!$E$20^(BF$3-'Inputs-System'!$C$7))*(VLOOKUP(BF$3,'Embedded Emissions'!$A$47:$B$78,2,FALSE)+VLOOKUP(BF$3,'Embedded Emissions'!$A$129:$B$158,2,FALSE)), $C21 = "3", ('Inputs-System'!$C$30*'Coincidence Factors'!$B$9*(1+'Inputs-System'!$C$18)*(1+'Inputs-System'!$C$41))*'Inputs-Proposals'!$E$29*'Inputs-Proposals'!$E$31*(1-'Inputs-Proposals'!$E$20^(BF$3-'Inputs-System'!$C$7))*(VLOOKUP(BF$3,'Embedded Emissions'!$A$47:$B$78,2,FALSE)+VLOOKUP(BF$3,'Embedded Emissions'!$A$129:$B$158,2,FALSE)), $C21 = "0", 0), 0)</f>
        <v>0</v>
      </c>
      <c r="BH21" s="44">
        <f>IFERROR(_xlfn.IFS($C21="1",( 'Inputs-System'!$C$30*'Coincidence Factors'!$B$9*(1+'Inputs-System'!$C$18)*(1+'Inputs-System'!$C$41))*('Inputs-Proposals'!$E$17*'Inputs-Proposals'!$E$19*(1-'Inputs-Proposals'!$E$20)^(BF$3-'Inputs-System'!$C$7))*(VLOOKUP(BF$3,DRIPE!$A$54:$I$82,5,FALSE)+VLOOKUP(BF$3,DRIPE!$A$54:$I$82,9,FALSE))+ ('Inputs-System'!$C$26*'Coincidence Factors'!$B$6*(1+'Inputs-System'!$C$18)*(1+'Inputs-System'!$C$42))*'Inputs-Proposals'!$E$16*VLOOKUP(BF$3,DRIPE!$A$54:$I$82,8,FALSE), $C21 = "2",( 'Inputs-System'!$C$30*'Coincidence Factors'!$B$9*(1+'Inputs-System'!$C$18)*(1+'Inputs-System'!$C$41))*('Inputs-Proposals'!$E$23*'Inputs-Proposals'!$E$25*(1-'Inputs-Proposals'!$E$26)^(BF$3-'Inputs-System'!$C$7))*(VLOOKUP(BF$3,DRIPE!$A$54:$I$82,5,FALSE)+VLOOKUP(BF$3,DRIPE!$A$54:$I$82,9,FALSE))+ ('Inputs-System'!$C$26*'Coincidence Factors'!$B$6*(1+'Inputs-System'!$C$18)*(1+'Inputs-System'!$C$42))*'Inputs-Proposals'!$E$22*VLOOKUP(BF$3,DRIPE!$A$54:$I$82,8,FALSE), $C21= "3", ( 'Inputs-System'!$C$30*'Coincidence Factors'!$B$9*(1+'Inputs-System'!$C$18)*(1+'Inputs-System'!$C$41))*('Inputs-Proposals'!$E$29*'Inputs-Proposals'!$E$31*(1-'Inputs-Proposals'!$E$32)^(BF$3-'Inputs-System'!$C$7))*(VLOOKUP(BF$3,DRIPE!$A$54:$I$82,5,FALSE)+VLOOKUP(BF$3,DRIPE!$A$54:$I$82,9,FALSE))+ ('Inputs-System'!$C$26*'Coincidence Factors'!$B$6*(1+'Inputs-System'!$C$18)*(1+'Inputs-System'!$C$42))*'Inputs-Proposals'!$E$28*VLOOKUP(BF$3,DRIPE!$A$54:$I$82,8,FALSE), $C21 = "0", 0), 0)</f>
        <v>0</v>
      </c>
      <c r="BI21" s="45">
        <f>IFERROR(_xlfn.IFS($C21="1",('Inputs-System'!$C$26*'Coincidence Factors'!$B$9*(1+'Inputs-System'!$C$18)*(1+'Inputs-System'!$C$42))*'Inputs-Proposals'!$D$16*(VLOOKUP(BF$3,Capacity!$A$53:$E$85,4,FALSE)*(1+'Inputs-System'!$C$42)+VLOOKUP(BF$3,Capacity!$A$53:$E$85,5,FALSE)*(1+'Inputs-System'!$C$43)*'Inputs-System'!$C$29), $C21 = "2", ('Inputs-System'!$C$26*'Coincidence Factors'!$B$9*(1+'Inputs-System'!$C$18))*'Inputs-Proposals'!$D$22*(VLOOKUP(BF$3,Capacity!$A$53:$E$85,4,FALSE)*(1+'Inputs-System'!$C$42)+VLOOKUP(BF$3,Capacity!$A$53:$E$85,5,FALSE)*'Inputs-System'!$C$29*(1+'Inputs-System'!$C$43)), $C21 = "3", ('Inputs-System'!$C$26*'Coincidence Factors'!$B$9*(1+'Inputs-System'!$C$18))*'Inputs-Proposals'!$D$28*(VLOOKUP(BF$3,Capacity!$A$53:$E$85,4,FALSE)*(1+'Inputs-System'!$C$42)+VLOOKUP(BF$3,Capacity!$A$53:$E$85,5,FALSE)*'Inputs-System'!$C$29*(1+'Inputs-System'!$C$43)), $C21 = "0", 0), 0)</f>
        <v>0</v>
      </c>
      <c r="BJ21" s="44">
        <v>0</v>
      </c>
      <c r="BK21" s="342">
        <f>IFERROR(_xlfn.IFS($C21="1", 'Inputs-System'!$C$30*'Coincidence Factors'!$B$9*'Inputs-Proposals'!$E$17*'Inputs-Proposals'!$E$19*(VLOOKUP(BF$3,'Non-Embedded Emissions'!$A$56:$D$90,2,FALSE)-VLOOKUP(BF$3,'Non-Embedded Emissions'!$F$57:$H$88,2,FALSE)+VLOOKUP(BF$3,'Non-Embedded Emissions'!$A$143:$D$174,2,FALSE)-VLOOKUP(BF$3,'Non-Embedded Emissions'!$F$143:$H$174,2,FALSE)+VLOOKUP(BF$3,'Non-Embedded Emissions'!$A$230:$D$259,2,FALSE)), $C21 = "2", 'Inputs-System'!$C$30*'Coincidence Factors'!$B$9*'Inputs-Proposals'!$E$23*'Inputs-Proposals'!$E$25*(VLOOKUP(BF$3,'Non-Embedded Emissions'!$A$56:$D$90,2,FALSE)-VLOOKUP(BF$3,'Non-Embedded Emissions'!$F$57:$H$88,2,FALSE)+VLOOKUP(BF$3,'Non-Embedded Emissions'!$A$143:$D$174,2,FALSE)-VLOOKUP(BF$3,'Non-Embedded Emissions'!$F$143:$H$174,2,FALSE)+VLOOKUP(BF$3,'Non-Embedded Emissions'!$A$230:$D$259,2,FALSE)), $C21 = "3", 'Inputs-System'!$C$30*'Coincidence Factors'!$B$9*'Inputs-Proposals'!$E$29*'Inputs-Proposals'!$E$31*(VLOOKUP(BF$3,'Non-Embedded Emissions'!$A$56:$D$90,2,FALSE)-VLOOKUP(BF$3,'Non-Embedded Emissions'!$F$57:$H$88,2,FALSE)+VLOOKUP(BF$3,'Non-Embedded Emissions'!$A$143:$D$174,2,FALSE)-VLOOKUP(BF$3,'Non-Embedded Emissions'!$F$143:$H$174,2,FALSE)+VLOOKUP(BF$3,'Non-Embedded Emissions'!$A$230:$D$259,2,FALSE)), $C21 = "0", 0), 0)</f>
        <v>0</v>
      </c>
      <c r="BL21" s="45">
        <f>IFERROR(_xlfn.IFS($C21="1",('Inputs-System'!$C$30*'Coincidence Factors'!$B$9*(1+'Inputs-System'!$C$18)*(1+'Inputs-System'!$C$41)*('Inputs-Proposals'!$C$17*'Inputs-Proposals'!$C$19*(1-'Inputs-Proposals'!$C$20^(BL$3-'Inputs-System'!$C$7)))*(VLOOKUP(BL$3,Energy!$A$51:$K$83,5,FALSE))), $C21 = "2",('Inputs-System'!$C$30*'Coincidence Factors'!$B$9)*(1+'Inputs-System'!$C$18)*(1+'Inputs-System'!$C$41)*('Inputs-Proposals'!$C$23*'Inputs-Proposals'!$C$25*(1-'Inputs-Proposals'!$C$26^(BL$3-'Inputs-System'!$C$7)))*(VLOOKUP(BL$3,Energy!$A$51:$K$83,5,FALSE)), $C21= "3", ('Inputs-System'!$C$30*'Coincidence Factors'!$B$9*(1+'Inputs-System'!$C$18)*(1+'Inputs-System'!$C$41)*('Inputs-Proposals'!$C$29*'Inputs-Proposals'!$C$31*(1-'Inputs-Proposals'!$C$32^(BL$3-'Inputs-System'!$C$7)))*(VLOOKUP(BL$3,Energy!$A$51:$K$83,5,FALSE))), $C21= "0", 0), 0)</f>
        <v>0</v>
      </c>
      <c r="BM21" s="44">
        <f>IFERROR(_xlfn.IFS($C21="1",('Inputs-System'!$C$30*'Coincidence Factors'!$B$9*(1+'Inputs-System'!$C$18)*(1+'Inputs-System'!$C$41))*'Inputs-Proposals'!$E$17*'Inputs-Proposals'!$E$19*(1-'Inputs-Proposals'!$E$20^(BL$3-'Inputs-System'!$C$7))*(VLOOKUP(BL$3,'Embedded Emissions'!$A$47:$B$78,2,FALSE)+VLOOKUP(BL$3,'Embedded Emissions'!$A$129:$B$158,2,FALSE)), $C21 = "2",('Inputs-System'!$C$30*'Coincidence Factors'!$B$9*(1+'Inputs-System'!$C$18)*(1+'Inputs-System'!$C$41))*'Inputs-Proposals'!$E$23*'Inputs-Proposals'!$E$25*(1-'Inputs-Proposals'!$E$20^(BL$3-'Inputs-System'!$C$7))*(VLOOKUP(BL$3,'Embedded Emissions'!$A$47:$B$78,2,FALSE)+VLOOKUP(BL$3,'Embedded Emissions'!$A$129:$B$158,2,FALSE)), $C21 = "3", ('Inputs-System'!$C$30*'Coincidence Factors'!$B$9*(1+'Inputs-System'!$C$18)*(1+'Inputs-System'!$C$41))*'Inputs-Proposals'!$E$29*'Inputs-Proposals'!$E$31*(1-'Inputs-Proposals'!$E$20^(BL$3-'Inputs-System'!$C$7))*(VLOOKUP(BL$3,'Embedded Emissions'!$A$47:$B$78,2,FALSE)+VLOOKUP(BL$3,'Embedded Emissions'!$A$129:$B$158,2,FALSE)), $C21 = "0", 0), 0)</f>
        <v>0</v>
      </c>
      <c r="BN21" s="44">
        <f>IFERROR(_xlfn.IFS($C21="1",( 'Inputs-System'!$C$30*'Coincidence Factors'!$B$9*(1+'Inputs-System'!$C$18)*(1+'Inputs-System'!$C$41))*('Inputs-Proposals'!$E$17*'Inputs-Proposals'!$E$19*(1-'Inputs-Proposals'!$E$20)^(BL$3-'Inputs-System'!$C$7))*(VLOOKUP(BL$3,DRIPE!$A$54:$I$82,5,FALSE)+VLOOKUP(BL$3,DRIPE!$A$54:$I$82,9,FALSE))+ ('Inputs-System'!$C$26*'Coincidence Factors'!$B$6*(1+'Inputs-System'!$C$18)*(1+'Inputs-System'!$C$42))*'Inputs-Proposals'!$E$16*VLOOKUP(BL$3,DRIPE!$A$54:$I$82,8,FALSE), $C21 = "2",( 'Inputs-System'!$C$30*'Coincidence Factors'!$B$9*(1+'Inputs-System'!$C$18)*(1+'Inputs-System'!$C$41))*('Inputs-Proposals'!$E$23*'Inputs-Proposals'!$E$25*(1-'Inputs-Proposals'!$E$26)^(BL$3-'Inputs-System'!$C$7))*(VLOOKUP(BL$3,DRIPE!$A$54:$I$82,5,FALSE)+VLOOKUP(BL$3,DRIPE!$A$54:$I$82,9,FALSE))+ ('Inputs-System'!$C$26*'Coincidence Factors'!$B$6*(1+'Inputs-System'!$C$18)*(1+'Inputs-System'!$C$42))*'Inputs-Proposals'!$E$22*VLOOKUP(BL$3,DRIPE!$A$54:$I$82,8,FALSE), $C21= "3", ( 'Inputs-System'!$C$30*'Coincidence Factors'!$B$9*(1+'Inputs-System'!$C$18)*(1+'Inputs-System'!$C$41))*('Inputs-Proposals'!$E$29*'Inputs-Proposals'!$E$31*(1-'Inputs-Proposals'!$E$32)^(BL$3-'Inputs-System'!$C$7))*(VLOOKUP(BL$3,DRIPE!$A$54:$I$82,5,FALSE)+VLOOKUP(BL$3,DRIPE!$A$54:$I$82,9,FALSE))+ ('Inputs-System'!$C$26*'Coincidence Factors'!$B$6*(1+'Inputs-System'!$C$18)*(1+'Inputs-System'!$C$42))*'Inputs-Proposals'!$E$28*VLOOKUP(BL$3,DRIPE!$A$54:$I$82,8,FALSE), $C21 = "0", 0), 0)</f>
        <v>0</v>
      </c>
      <c r="BO21" s="45">
        <f>IFERROR(_xlfn.IFS($C21="1",('Inputs-System'!$C$26*'Coincidence Factors'!$B$9*(1+'Inputs-System'!$C$18)*(1+'Inputs-System'!$C$42))*'Inputs-Proposals'!$D$16*(VLOOKUP(BL$3,Capacity!$A$53:$E$85,4,FALSE)*(1+'Inputs-System'!$C$42)+VLOOKUP(BL$3,Capacity!$A$53:$E$85,5,FALSE)*(1+'Inputs-System'!$C$43)*'Inputs-System'!$C$29), $C21 = "2", ('Inputs-System'!$C$26*'Coincidence Factors'!$B$9*(1+'Inputs-System'!$C$18))*'Inputs-Proposals'!$D$22*(VLOOKUP(BL$3,Capacity!$A$53:$E$85,4,FALSE)*(1+'Inputs-System'!$C$42)+VLOOKUP(BL$3,Capacity!$A$53:$E$85,5,FALSE)*'Inputs-System'!$C$29*(1+'Inputs-System'!$C$43)), $C21 = "3", ('Inputs-System'!$C$26*'Coincidence Factors'!$B$9*(1+'Inputs-System'!$C$18))*'Inputs-Proposals'!$D$28*(VLOOKUP(BL$3,Capacity!$A$53:$E$85,4,FALSE)*(1+'Inputs-System'!$C$42)+VLOOKUP(BL$3,Capacity!$A$53:$E$85,5,FALSE)*'Inputs-System'!$C$29*(1+'Inputs-System'!$C$43)), $C21 = "0", 0), 0)</f>
        <v>0</v>
      </c>
      <c r="BP21" s="44">
        <v>0</v>
      </c>
      <c r="BQ21" s="342">
        <f>IFERROR(_xlfn.IFS($C21="1", 'Inputs-System'!$C$30*'Coincidence Factors'!$B$9*'Inputs-Proposals'!$E$17*'Inputs-Proposals'!$E$19*(VLOOKUP(BL$3,'Non-Embedded Emissions'!$A$56:$D$90,2,FALSE)-VLOOKUP(BL$3,'Non-Embedded Emissions'!$F$57:$H$88,2,FALSE)+VLOOKUP(BL$3,'Non-Embedded Emissions'!$A$143:$D$174,2,FALSE)-VLOOKUP(BL$3,'Non-Embedded Emissions'!$F$143:$H$174,2,FALSE)+VLOOKUP(BL$3,'Non-Embedded Emissions'!$A$230:$D$259,2,FALSE)), $C21 = "2", 'Inputs-System'!$C$30*'Coincidence Factors'!$B$9*'Inputs-Proposals'!$E$23*'Inputs-Proposals'!$E$25*(VLOOKUP(BL$3,'Non-Embedded Emissions'!$A$56:$D$90,2,FALSE)-VLOOKUP(BL$3,'Non-Embedded Emissions'!$F$57:$H$88,2,FALSE)+VLOOKUP(BL$3,'Non-Embedded Emissions'!$A$143:$D$174,2,FALSE)-VLOOKUP(BL$3,'Non-Embedded Emissions'!$F$143:$H$174,2,FALSE)+VLOOKUP(BL$3,'Non-Embedded Emissions'!$A$230:$D$259,2,FALSE)), $C21 = "3", 'Inputs-System'!$C$30*'Coincidence Factors'!$B$9*'Inputs-Proposals'!$E$29*'Inputs-Proposals'!$E$31*(VLOOKUP(BL$3,'Non-Embedded Emissions'!$A$56:$D$90,2,FALSE)-VLOOKUP(BL$3,'Non-Embedded Emissions'!$F$57:$H$88,2,FALSE)+VLOOKUP(BL$3,'Non-Embedded Emissions'!$A$143:$D$174,2,FALSE)-VLOOKUP(BL$3,'Non-Embedded Emissions'!$F$143:$H$174,2,FALSE)+VLOOKUP(BL$3,'Non-Embedded Emissions'!$A$230:$D$259,2,FALSE)), $C21 = "0", 0), 0)</f>
        <v>0</v>
      </c>
      <c r="BR21" s="45">
        <f>IFERROR(_xlfn.IFS($C21="1",('Inputs-System'!$C$30*'Coincidence Factors'!$B$9*(1+'Inputs-System'!$C$18)*(1+'Inputs-System'!$C$41)*('Inputs-Proposals'!$C$17*'Inputs-Proposals'!$C$19*(1-'Inputs-Proposals'!$C$20^(BR$3-'Inputs-System'!$C$7)))*(VLOOKUP(BR$3,Energy!$A$51:$K$83,5,FALSE))), $C21 = "2",('Inputs-System'!$C$30*'Coincidence Factors'!$B$9)*(1+'Inputs-System'!$C$18)*(1+'Inputs-System'!$C$41)*('Inputs-Proposals'!$C$23*'Inputs-Proposals'!$C$25*(1-'Inputs-Proposals'!$C$26^(BR$3-'Inputs-System'!$C$7)))*(VLOOKUP(BR$3,Energy!$A$51:$K$83,5,FALSE)), $C21= "3", ('Inputs-System'!$C$30*'Coincidence Factors'!$B$9*(1+'Inputs-System'!$C$18)*(1+'Inputs-System'!$C$41)*('Inputs-Proposals'!$C$29*'Inputs-Proposals'!$C$31*(1-'Inputs-Proposals'!$C$32^(BR$3-'Inputs-System'!$C$7)))*(VLOOKUP(BR$3,Energy!$A$51:$K$83,5,FALSE))), $C21= "0", 0), 0)</f>
        <v>0</v>
      </c>
      <c r="BS21" s="44">
        <f>IFERROR(_xlfn.IFS($C21="1",('Inputs-System'!$C$30*'Coincidence Factors'!$B$9*(1+'Inputs-System'!$C$18)*(1+'Inputs-System'!$C$41))*'Inputs-Proposals'!$E$17*'Inputs-Proposals'!$E$19*(1-'Inputs-Proposals'!$E$20^(BR$3-'Inputs-System'!$C$7))*(VLOOKUP(BR$3,'Embedded Emissions'!$A$47:$B$78,2,FALSE)+VLOOKUP(BR$3,'Embedded Emissions'!$A$129:$B$158,2,FALSE)), $C21 = "2",('Inputs-System'!$C$30*'Coincidence Factors'!$B$9*(1+'Inputs-System'!$C$18)*(1+'Inputs-System'!$C$41))*'Inputs-Proposals'!$E$23*'Inputs-Proposals'!$E$25*(1-'Inputs-Proposals'!$E$20^(BR$3-'Inputs-System'!$C$7))*(VLOOKUP(BR$3,'Embedded Emissions'!$A$47:$B$78,2,FALSE)+VLOOKUP(BR$3,'Embedded Emissions'!$A$129:$B$158,2,FALSE)), $C21 = "3", ('Inputs-System'!$C$30*'Coincidence Factors'!$B$9*(1+'Inputs-System'!$C$18)*(1+'Inputs-System'!$C$41))*'Inputs-Proposals'!$E$29*'Inputs-Proposals'!$E$31*(1-'Inputs-Proposals'!$E$20^(BR$3-'Inputs-System'!$C$7))*(VLOOKUP(BR$3,'Embedded Emissions'!$A$47:$B$78,2,FALSE)+VLOOKUP(BR$3,'Embedded Emissions'!$A$129:$B$158,2,FALSE)), $C21 = "0", 0), 0)</f>
        <v>0</v>
      </c>
      <c r="BT21" s="44">
        <f>IFERROR(_xlfn.IFS($C21="1",( 'Inputs-System'!$C$30*'Coincidence Factors'!$B$9*(1+'Inputs-System'!$C$18)*(1+'Inputs-System'!$C$41))*('Inputs-Proposals'!$E$17*'Inputs-Proposals'!$E$19*(1-'Inputs-Proposals'!$E$20)^(BR$3-'Inputs-System'!$C$7))*(VLOOKUP(BR$3,DRIPE!$A$54:$I$82,5,FALSE)+VLOOKUP(BR$3,DRIPE!$A$54:$I$82,9,FALSE))+ ('Inputs-System'!$C$26*'Coincidence Factors'!$B$6*(1+'Inputs-System'!$C$18)*(1+'Inputs-System'!$C$42))*'Inputs-Proposals'!$E$16*VLOOKUP(BR$3,DRIPE!$A$54:$I$82,8,FALSE), $C21 = "2",( 'Inputs-System'!$C$30*'Coincidence Factors'!$B$9*(1+'Inputs-System'!$C$18)*(1+'Inputs-System'!$C$41))*('Inputs-Proposals'!$E$23*'Inputs-Proposals'!$E$25*(1-'Inputs-Proposals'!$E$26)^(BR$3-'Inputs-System'!$C$7))*(VLOOKUP(BR$3,DRIPE!$A$54:$I$82,5,FALSE)+VLOOKUP(BR$3,DRIPE!$A$54:$I$82,9,FALSE))+ ('Inputs-System'!$C$26*'Coincidence Factors'!$B$6*(1+'Inputs-System'!$C$18)*(1+'Inputs-System'!$C$42))*'Inputs-Proposals'!$E$22*VLOOKUP(BR$3,DRIPE!$A$54:$I$82,8,FALSE), $C21= "3", ( 'Inputs-System'!$C$30*'Coincidence Factors'!$B$9*(1+'Inputs-System'!$C$18)*(1+'Inputs-System'!$C$41))*('Inputs-Proposals'!$E$29*'Inputs-Proposals'!$E$31*(1-'Inputs-Proposals'!$E$32)^(BR$3-'Inputs-System'!$C$7))*(VLOOKUP(BR$3,DRIPE!$A$54:$I$82,5,FALSE)+VLOOKUP(BR$3,DRIPE!$A$54:$I$82,9,FALSE))+ ('Inputs-System'!$C$26*'Coincidence Factors'!$B$6*(1+'Inputs-System'!$C$18)*(1+'Inputs-System'!$C$42))*'Inputs-Proposals'!$E$28*VLOOKUP(BR$3,DRIPE!$A$54:$I$82,8,FALSE), $C21 = "0", 0), 0)</f>
        <v>0</v>
      </c>
      <c r="BU21" s="45">
        <f>IFERROR(_xlfn.IFS($C21="1",('Inputs-System'!$C$26*'Coincidence Factors'!$B$9*(1+'Inputs-System'!$C$18)*(1+'Inputs-System'!$C$42))*'Inputs-Proposals'!$D$16*(VLOOKUP(BR$3,Capacity!$A$53:$E$85,4,FALSE)*(1+'Inputs-System'!$C$42)+VLOOKUP(BR$3,Capacity!$A$53:$E$85,5,FALSE)*(1+'Inputs-System'!$C$43)*'Inputs-System'!$C$29), $C21 = "2", ('Inputs-System'!$C$26*'Coincidence Factors'!$B$9*(1+'Inputs-System'!$C$18))*'Inputs-Proposals'!$D$22*(VLOOKUP(BR$3,Capacity!$A$53:$E$85,4,FALSE)*(1+'Inputs-System'!$C$42)+VLOOKUP(BR$3,Capacity!$A$53:$E$85,5,FALSE)*'Inputs-System'!$C$29*(1+'Inputs-System'!$C$43)), $C21 = "3", ('Inputs-System'!$C$26*'Coincidence Factors'!$B$9*(1+'Inputs-System'!$C$18))*'Inputs-Proposals'!$D$28*(VLOOKUP(BR$3,Capacity!$A$53:$E$85,4,FALSE)*(1+'Inputs-System'!$C$42)+VLOOKUP(BR$3,Capacity!$A$53:$E$85,5,FALSE)*'Inputs-System'!$C$29*(1+'Inputs-System'!$C$43)), $C21 = "0", 0), 0)</f>
        <v>0</v>
      </c>
      <c r="BV21" s="44">
        <v>0</v>
      </c>
      <c r="BW21" s="342">
        <f>IFERROR(_xlfn.IFS($C21="1", 'Inputs-System'!$C$30*'Coincidence Factors'!$B$9*'Inputs-Proposals'!$E$17*'Inputs-Proposals'!$E$19*(VLOOKUP(BR$3,'Non-Embedded Emissions'!$A$56:$D$90,2,FALSE)-VLOOKUP(BR$3,'Non-Embedded Emissions'!$F$57:$H$88,2,FALSE)+VLOOKUP(BR$3,'Non-Embedded Emissions'!$A$143:$D$174,2,FALSE)-VLOOKUP(BR$3,'Non-Embedded Emissions'!$F$143:$H$174,2,FALSE)+VLOOKUP(BR$3,'Non-Embedded Emissions'!$A$230:$D$259,2,FALSE)), $C21 = "2", 'Inputs-System'!$C$30*'Coincidence Factors'!$B$9*'Inputs-Proposals'!$E$23*'Inputs-Proposals'!$E$25*(VLOOKUP(BR$3,'Non-Embedded Emissions'!$A$56:$D$90,2,FALSE)-VLOOKUP(BR$3,'Non-Embedded Emissions'!$F$57:$H$88,2,FALSE)+VLOOKUP(BR$3,'Non-Embedded Emissions'!$A$143:$D$174,2,FALSE)-VLOOKUP(BR$3,'Non-Embedded Emissions'!$F$143:$H$174,2,FALSE)+VLOOKUP(BR$3,'Non-Embedded Emissions'!$A$230:$D$259,2,FALSE)), $C21 = "3", 'Inputs-System'!$C$30*'Coincidence Factors'!$B$9*'Inputs-Proposals'!$E$29*'Inputs-Proposals'!$E$31*(VLOOKUP(BR$3,'Non-Embedded Emissions'!$A$56:$D$90,2,FALSE)-VLOOKUP(BR$3,'Non-Embedded Emissions'!$F$57:$H$88,2,FALSE)+VLOOKUP(BR$3,'Non-Embedded Emissions'!$A$143:$D$174,2,FALSE)-VLOOKUP(BR$3,'Non-Embedded Emissions'!$F$143:$H$174,2,FALSE)+VLOOKUP(BR$3,'Non-Embedded Emissions'!$A$230:$D$259,2,FALSE)), $C21 = "0", 0), 0)</f>
        <v>0</v>
      </c>
      <c r="BX21" s="45">
        <f>IFERROR(_xlfn.IFS($C21="1",('Inputs-System'!$C$30*'Coincidence Factors'!$B$9*(1+'Inputs-System'!$C$18)*(1+'Inputs-System'!$C$41)*('Inputs-Proposals'!$C$17*'Inputs-Proposals'!$C$19*(1-'Inputs-Proposals'!$C$20^(BX$3-'Inputs-System'!$C$7)))*(VLOOKUP(BX$3,Energy!$A$51:$K$83,5,FALSE))), $C21 = "2",('Inputs-System'!$C$30*'Coincidence Factors'!$B$9)*(1+'Inputs-System'!$C$18)*(1+'Inputs-System'!$C$41)*('Inputs-Proposals'!$C$23*'Inputs-Proposals'!$C$25*(1-'Inputs-Proposals'!$C$26^(BX$3-'Inputs-System'!$C$7)))*(VLOOKUP(BX$3,Energy!$A$51:$K$83,5,FALSE)), $C21= "3", ('Inputs-System'!$C$30*'Coincidence Factors'!$B$9*(1+'Inputs-System'!$C$18)*(1+'Inputs-System'!$C$41)*('Inputs-Proposals'!$C$29*'Inputs-Proposals'!$C$31*(1-'Inputs-Proposals'!$C$32^(BX$3-'Inputs-System'!$C$7)))*(VLOOKUP(BX$3,Energy!$A$51:$K$83,5,FALSE))), $C21= "0", 0), 0)</f>
        <v>0</v>
      </c>
      <c r="BY21" s="44">
        <f>IFERROR(_xlfn.IFS($C21="1",('Inputs-System'!$C$30*'Coincidence Factors'!$B$9*(1+'Inputs-System'!$C$18)*(1+'Inputs-System'!$C$41))*'Inputs-Proposals'!$E$17*'Inputs-Proposals'!$E$19*(1-'Inputs-Proposals'!$E$20^(BX$3-'Inputs-System'!$C$7))*(VLOOKUP(BX$3,'Embedded Emissions'!$A$47:$B$78,2,FALSE)+VLOOKUP(BX$3,'Embedded Emissions'!$A$129:$B$158,2,FALSE)), $C21 = "2",('Inputs-System'!$C$30*'Coincidence Factors'!$B$9*(1+'Inputs-System'!$C$18)*(1+'Inputs-System'!$C$41))*'Inputs-Proposals'!$E$23*'Inputs-Proposals'!$E$25*(1-'Inputs-Proposals'!$E$20^(BX$3-'Inputs-System'!$C$7))*(VLOOKUP(BX$3,'Embedded Emissions'!$A$47:$B$78,2,FALSE)+VLOOKUP(BX$3,'Embedded Emissions'!$A$129:$B$158,2,FALSE)), $C21 = "3", ('Inputs-System'!$C$30*'Coincidence Factors'!$B$9*(1+'Inputs-System'!$C$18)*(1+'Inputs-System'!$C$41))*'Inputs-Proposals'!$E$29*'Inputs-Proposals'!$E$31*(1-'Inputs-Proposals'!$E$20^(BX$3-'Inputs-System'!$C$7))*(VLOOKUP(BX$3,'Embedded Emissions'!$A$47:$B$78,2,FALSE)+VLOOKUP(BX$3,'Embedded Emissions'!$A$129:$B$158,2,FALSE)), $C21 = "0", 0), 0)</f>
        <v>0</v>
      </c>
      <c r="BZ21" s="44">
        <f>IFERROR(_xlfn.IFS($C21="1",( 'Inputs-System'!$C$30*'Coincidence Factors'!$B$9*(1+'Inputs-System'!$C$18)*(1+'Inputs-System'!$C$41))*('Inputs-Proposals'!$E$17*'Inputs-Proposals'!$E$19*(1-'Inputs-Proposals'!$E$20)^(BX$3-'Inputs-System'!$C$7))*(VLOOKUP(BX$3,DRIPE!$A$54:$I$82,5,FALSE)+VLOOKUP(BX$3,DRIPE!$A$54:$I$82,9,FALSE))+ ('Inputs-System'!$C$26*'Coincidence Factors'!$B$6*(1+'Inputs-System'!$C$18)*(1+'Inputs-System'!$C$42))*'Inputs-Proposals'!$E$16*VLOOKUP(BX$3,DRIPE!$A$54:$I$82,8,FALSE), $C21 = "2",( 'Inputs-System'!$C$30*'Coincidence Factors'!$B$9*(1+'Inputs-System'!$C$18)*(1+'Inputs-System'!$C$41))*('Inputs-Proposals'!$E$23*'Inputs-Proposals'!$E$25*(1-'Inputs-Proposals'!$E$26)^(BX$3-'Inputs-System'!$C$7))*(VLOOKUP(BX$3,DRIPE!$A$54:$I$82,5,FALSE)+VLOOKUP(BX$3,DRIPE!$A$54:$I$82,9,FALSE))+ ('Inputs-System'!$C$26*'Coincidence Factors'!$B$6*(1+'Inputs-System'!$C$18)*(1+'Inputs-System'!$C$42))*'Inputs-Proposals'!$E$22*VLOOKUP(BX$3,DRIPE!$A$54:$I$82,8,FALSE), $C21= "3", ( 'Inputs-System'!$C$30*'Coincidence Factors'!$B$9*(1+'Inputs-System'!$C$18)*(1+'Inputs-System'!$C$41))*('Inputs-Proposals'!$E$29*'Inputs-Proposals'!$E$31*(1-'Inputs-Proposals'!$E$32)^(BX$3-'Inputs-System'!$C$7))*(VLOOKUP(BX$3,DRIPE!$A$54:$I$82,5,FALSE)+VLOOKUP(BX$3,DRIPE!$A$54:$I$82,9,FALSE))+ ('Inputs-System'!$C$26*'Coincidence Factors'!$B$6*(1+'Inputs-System'!$C$18)*(1+'Inputs-System'!$C$42))*'Inputs-Proposals'!$E$28*VLOOKUP(BX$3,DRIPE!$A$54:$I$82,8,FALSE), $C21 = "0", 0), 0)</f>
        <v>0</v>
      </c>
      <c r="CA21" s="45">
        <f>IFERROR(_xlfn.IFS($C21="1",('Inputs-System'!$C$26*'Coincidence Factors'!$B$9*(1+'Inputs-System'!$C$18)*(1+'Inputs-System'!$C$42))*'Inputs-Proposals'!$D$16*(VLOOKUP(BX$3,Capacity!$A$53:$E$85,4,FALSE)*(1+'Inputs-System'!$C$42)+VLOOKUP(BX$3,Capacity!$A$53:$E$85,5,FALSE)*(1+'Inputs-System'!$C$43)*'Inputs-System'!$C$29), $C21 = "2", ('Inputs-System'!$C$26*'Coincidence Factors'!$B$9*(1+'Inputs-System'!$C$18))*'Inputs-Proposals'!$D$22*(VLOOKUP(BX$3,Capacity!$A$53:$E$85,4,FALSE)*(1+'Inputs-System'!$C$42)+VLOOKUP(BX$3,Capacity!$A$53:$E$85,5,FALSE)*'Inputs-System'!$C$29*(1+'Inputs-System'!$C$43)), $C21 = "3", ('Inputs-System'!$C$26*'Coincidence Factors'!$B$9*(1+'Inputs-System'!$C$18))*'Inputs-Proposals'!$D$28*(VLOOKUP(BX$3,Capacity!$A$53:$E$85,4,FALSE)*(1+'Inputs-System'!$C$42)+VLOOKUP(BX$3,Capacity!$A$53:$E$85,5,FALSE)*'Inputs-System'!$C$29*(1+'Inputs-System'!$C$43)), $C21 = "0", 0), 0)</f>
        <v>0</v>
      </c>
      <c r="CB21" s="44">
        <v>0</v>
      </c>
      <c r="CC21" s="342">
        <f>IFERROR(_xlfn.IFS($C21="1", 'Inputs-System'!$C$30*'Coincidence Factors'!$B$9*'Inputs-Proposals'!$E$17*'Inputs-Proposals'!$E$19*(VLOOKUP(BX$3,'Non-Embedded Emissions'!$A$56:$D$90,2,FALSE)-VLOOKUP(BX$3,'Non-Embedded Emissions'!$F$57:$H$88,2,FALSE)+VLOOKUP(BX$3,'Non-Embedded Emissions'!$A$143:$D$174,2,FALSE)-VLOOKUP(BX$3,'Non-Embedded Emissions'!$F$143:$H$174,2,FALSE)+VLOOKUP(BX$3,'Non-Embedded Emissions'!$A$230:$D$259,2,FALSE)), $C21 = "2", 'Inputs-System'!$C$30*'Coincidence Factors'!$B$9*'Inputs-Proposals'!$E$23*'Inputs-Proposals'!$E$25*(VLOOKUP(BX$3,'Non-Embedded Emissions'!$A$56:$D$90,2,FALSE)-VLOOKUP(BX$3,'Non-Embedded Emissions'!$F$57:$H$88,2,FALSE)+VLOOKUP(BX$3,'Non-Embedded Emissions'!$A$143:$D$174,2,FALSE)-VLOOKUP(BX$3,'Non-Embedded Emissions'!$F$143:$H$174,2,FALSE)+VLOOKUP(BX$3,'Non-Embedded Emissions'!$A$230:$D$259,2,FALSE)), $C21 = "3", 'Inputs-System'!$C$30*'Coincidence Factors'!$B$9*'Inputs-Proposals'!$E$29*'Inputs-Proposals'!$E$31*(VLOOKUP(BX$3,'Non-Embedded Emissions'!$A$56:$D$90,2,FALSE)-VLOOKUP(BX$3,'Non-Embedded Emissions'!$F$57:$H$88,2,FALSE)+VLOOKUP(BX$3,'Non-Embedded Emissions'!$A$143:$D$174,2,FALSE)-VLOOKUP(BX$3,'Non-Embedded Emissions'!$F$143:$H$174,2,FALSE)+VLOOKUP(BX$3,'Non-Embedded Emissions'!$A$230:$D$259,2,FALSE)), $C21 = "0", 0), 0)</f>
        <v>0</v>
      </c>
      <c r="CD21" s="45">
        <f>IFERROR(_xlfn.IFS($C21="1",('Inputs-System'!$C$30*'Coincidence Factors'!$B$9*(1+'Inputs-System'!$C$18)*(1+'Inputs-System'!$C$41)*('Inputs-Proposals'!$C$17*'Inputs-Proposals'!$C$19*(1-'Inputs-Proposals'!$C$20^(CD$3-'Inputs-System'!$C$7)))*(VLOOKUP(CD$3,Energy!$A$51:$K$83,5,FALSE))), $C21 = "2",('Inputs-System'!$C$30*'Coincidence Factors'!$B$9)*(1+'Inputs-System'!$C$18)*(1+'Inputs-System'!$C$41)*('Inputs-Proposals'!$C$23*'Inputs-Proposals'!$C$25*(1-'Inputs-Proposals'!$C$26^(CD$3-'Inputs-System'!$C$7)))*(VLOOKUP(CD$3,Energy!$A$51:$K$83,5,FALSE)), $C21= "3", ('Inputs-System'!$C$30*'Coincidence Factors'!$B$9*(1+'Inputs-System'!$C$18)*(1+'Inputs-System'!$C$41)*('Inputs-Proposals'!$C$29*'Inputs-Proposals'!$C$31*(1-'Inputs-Proposals'!$C$32^(CD$3-'Inputs-System'!$C$7)))*(VLOOKUP(CD$3,Energy!$A$51:$K$83,5,FALSE))), $C21= "0", 0), 0)</f>
        <v>0</v>
      </c>
      <c r="CE21" s="44">
        <f>IFERROR(_xlfn.IFS($C21="1",('Inputs-System'!$C$30*'Coincidence Factors'!$B$9*(1+'Inputs-System'!$C$18)*(1+'Inputs-System'!$C$41))*'Inputs-Proposals'!$E$17*'Inputs-Proposals'!$E$19*(1-'Inputs-Proposals'!$E$20^(CD$3-'Inputs-System'!$C$7))*(VLOOKUP(CD$3,'Embedded Emissions'!$A$47:$B$78,2,FALSE)+VLOOKUP(CD$3,'Embedded Emissions'!$A$129:$B$158,2,FALSE)), $C21 = "2",('Inputs-System'!$C$30*'Coincidence Factors'!$B$9*(1+'Inputs-System'!$C$18)*(1+'Inputs-System'!$C$41))*'Inputs-Proposals'!$E$23*'Inputs-Proposals'!$E$25*(1-'Inputs-Proposals'!$E$20^(CD$3-'Inputs-System'!$C$7))*(VLOOKUP(CD$3,'Embedded Emissions'!$A$47:$B$78,2,FALSE)+VLOOKUP(CD$3,'Embedded Emissions'!$A$129:$B$158,2,FALSE)), $C21 = "3", ('Inputs-System'!$C$30*'Coincidence Factors'!$B$9*(1+'Inputs-System'!$C$18)*(1+'Inputs-System'!$C$41))*'Inputs-Proposals'!$E$29*'Inputs-Proposals'!$E$31*(1-'Inputs-Proposals'!$E$20^(CD$3-'Inputs-System'!$C$7))*(VLOOKUP(CD$3,'Embedded Emissions'!$A$47:$B$78,2,FALSE)+VLOOKUP(CD$3,'Embedded Emissions'!$A$129:$B$158,2,FALSE)), $C21 = "0", 0), 0)</f>
        <v>0</v>
      </c>
      <c r="CF21" s="44">
        <f>IFERROR(_xlfn.IFS($C21="1",( 'Inputs-System'!$C$30*'Coincidence Factors'!$B$9*(1+'Inputs-System'!$C$18)*(1+'Inputs-System'!$C$41))*('Inputs-Proposals'!$E$17*'Inputs-Proposals'!$E$19*(1-'Inputs-Proposals'!$E$20)^(CD$3-'Inputs-System'!$C$7))*(VLOOKUP(CD$3,DRIPE!$A$54:$I$82,5,FALSE)+VLOOKUP(CD$3,DRIPE!$A$54:$I$82,9,FALSE))+ ('Inputs-System'!$C$26*'Coincidence Factors'!$B$6*(1+'Inputs-System'!$C$18)*(1+'Inputs-System'!$C$42))*'Inputs-Proposals'!$E$16*VLOOKUP(CD$3,DRIPE!$A$54:$I$82,8,FALSE), $C21 = "2",( 'Inputs-System'!$C$30*'Coincidence Factors'!$B$9*(1+'Inputs-System'!$C$18)*(1+'Inputs-System'!$C$41))*('Inputs-Proposals'!$E$23*'Inputs-Proposals'!$E$25*(1-'Inputs-Proposals'!$E$26)^(CD$3-'Inputs-System'!$C$7))*(VLOOKUP(CD$3,DRIPE!$A$54:$I$82,5,FALSE)+VLOOKUP(CD$3,DRIPE!$A$54:$I$82,9,FALSE))+ ('Inputs-System'!$C$26*'Coincidence Factors'!$B$6*(1+'Inputs-System'!$C$18)*(1+'Inputs-System'!$C$42))*'Inputs-Proposals'!$E$22*VLOOKUP(CD$3,DRIPE!$A$54:$I$82,8,FALSE), $C21= "3", ( 'Inputs-System'!$C$30*'Coincidence Factors'!$B$9*(1+'Inputs-System'!$C$18)*(1+'Inputs-System'!$C$41))*('Inputs-Proposals'!$E$29*'Inputs-Proposals'!$E$31*(1-'Inputs-Proposals'!$E$32)^(CD$3-'Inputs-System'!$C$7))*(VLOOKUP(CD$3,DRIPE!$A$54:$I$82,5,FALSE)+VLOOKUP(CD$3,DRIPE!$A$54:$I$82,9,FALSE))+ ('Inputs-System'!$C$26*'Coincidence Factors'!$B$6*(1+'Inputs-System'!$C$18)*(1+'Inputs-System'!$C$42))*'Inputs-Proposals'!$E$28*VLOOKUP(CD$3,DRIPE!$A$54:$I$82,8,FALSE), $C21 = "0", 0), 0)</f>
        <v>0</v>
      </c>
      <c r="CG21" s="45">
        <f>IFERROR(_xlfn.IFS($C21="1",('Inputs-System'!$C$26*'Coincidence Factors'!$B$9*(1+'Inputs-System'!$C$18)*(1+'Inputs-System'!$C$42))*'Inputs-Proposals'!$D$16*(VLOOKUP(CD$3,Capacity!$A$53:$E$85,4,FALSE)*(1+'Inputs-System'!$C$42)+VLOOKUP(CD$3,Capacity!$A$53:$E$85,5,FALSE)*(1+'Inputs-System'!$C$43)*'Inputs-System'!$C$29), $C21 = "2", ('Inputs-System'!$C$26*'Coincidence Factors'!$B$9*(1+'Inputs-System'!$C$18))*'Inputs-Proposals'!$D$22*(VLOOKUP(CD$3,Capacity!$A$53:$E$85,4,FALSE)*(1+'Inputs-System'!$C$42)+VLOOKUP(CD$3,Capacity!$A$53:$E$85,5,FALSE)*'Inputs-System'!$C$29*(1+'Inputs-System'!$C$43)), $C21 = "3", ('Inputs-System'!$C$26*'Coincidence Factors'!$B$9*(1+'Inputs-System'!$C$18))*'Inputs-Proposals'!$D$28*(VLOOKUP(CD$3,Capacity!$A$53:$E$85,4,FALSE)*(1+'Inputs-System'!$C$42)+VLOOKUP(CD$3,Capacity!$A$53:$E$85,5,FALSE)*'Inputs-System'!$C$29*(1+'Inputs-System'!$C$43)), $C21 = "0", 0), 0)</f>
        <v>0</v>
      </c>
      <c r="CH21" s="44">
        <v>0</v>
      </c>
      <c r="CI21" s="342">
        <f>IFERROR(_xlfn.IFS($C21="1", 'Inputs-System'!$C$30*'Coincidence Factors'!$B$9*'Inputs-Proposals'!$E$17*'Inputs-Proposals'!$E$19*(VLOOKUP(CD$3,'Non-Embedded Emissions'!$A$56:$D$90,2,FALSE)-VLOOKUP(CD$3,'Non-Embedded Emissions'!$F$57:$H$88,2,FALSE)+VLOOKUP(CD$3,'Non-Embedded Emissions'!$A$143:$D$174,2,FALSE)-VLOOKUP(CD$3,'Non-Embedded Emissions'!$F$143:$H$174,2,FALSE)+VLOOKUP(CD$3,'Non-Embedded Emissions'!$A$230:$D$259,2,FALSE)), $C21 = "2", 'Inputs-System'!$C$30*'Coincidence Factors'!$B$9*'Inputs-Proposals'!$E$23*'Inputs-Proposals'!$E$25*(VLOOKUP(CD$3,'Non-Embedded Emissions'!$A$56:$D$90,2,FALSE)-VLOOKUP(CD$3,'Non-Embedded Emissions'!$F$57:$H$88,2,FALSE)+VLOOKUP(CD$3,'Non-Embedded Emissions'!$A$143:$D$174,2,FALSE)-VLOOKUP(CD$3,'Non-Embedded Emissions'!$F$143:$H$174,2,FALSE)+VLOOKUP(CD$3,'Non-Embedded Emissions'!$A$230:$D$259,2,FALSE)), $C21 = "3", 'Inputs-System'!$C$30*'Coincidence Factors'!$B$9*'Inputs-Proposals'!$E$29*'Inputs-Proposals'!$E$31*(VLOOKUP(CD$3,'Non-Embedded Emissions'!$A$56:$D$90,2,FALSE)-VLOOKUP(CD$3,'Non-Embedded Emissions'!$F$57:$H$88,2,FALSE)+VLOOKUP(CD$3,'Non-Embedded Emissions'!$A$143:$D$174,2,FALSE)-VLOOKUP(CD$3,'Non-Embedded Emissions'!$F$143:$H$174,2,FALSE)+VLOOKUP(CD$3,'Non-Embedded Emissions'!$A$230:$D$259,2,FALSE)), $C21 = "0", 0), 0)</f>
        <v>0</v>
      </c>
      <c r="CJ21" s="45">
        <f>IFERROR(_xlfn.IFS($C21="1",('Inputs-System'!$C$30*'Coincidence Factors'!$B$9*(1+'Inputs-System'!$C$18)*(1+'Inputs-System'!$C$41)*('Inputs-Proposals'!$C$17*'Inputs-Proposals'!$C$19*(1-'Inputs-Proposals'!$C$20^(CJ$3-'Inputs-System'!$C$7)))*(VLOOKUP(CJ$3,Energy!$A$51:$K$83,5,FALSE))), $C21 = "2",('Inputs-System'!$C$30*'Coincidence Factors'!$B$9)*(1+'Inputs-System'!$C$18)*(1+'Inputs-System'!$C$41)*('Inputs-Proposals'!$C$23*'Inputs-Proposals'!$C$25*(1-'Inputs-Proposals'!$C$26^(CJ$3-'Inputs-System'!$C$7)))*(VLOOKUP(CJ$3,Energy!$A$51:$K$83,5,FALSE)), $C21= "3", ('Inputs-System'!$C$30*'Coincidence Factors'!$B$9*(1+'Inputs-System'!$C$18)*(1+'Inputs-System'!$C$41)*('Inputs-Proposals'!$C$29*'Inputs-Proposals'!$C$31*(1-'Inputs-Proposals'!$C$32^(CJ$3-'Inputs-System'!$C$7)))*(VLOOKUP(CJ$3,Energy!$A$51:$K$83,5,FALSE))), $C21= "0", 0), 0)</f>
        <v>0</v>
      </c>
      <c r="CK21" s="44">
        <f>IFERROR(_xlfn.IFS($C21="1",('Inputs-System'!$C$30*'Coincidence Factors'!$B$9*(1+'Inputs-System'!$C$18)*(1+'Inputs-System'!$C$41))*'Inputs-Proposals'!$E$17*'Inputs-Proposals'!$E$19*(1-'Inputs-Proposals'!$E$20^(CJ$3-'Inputs-System'!$C$7))*(VLOOKUP(CJ$3,'Embedded Emissions'!$A$47:$B$78,2,FALSE)+VLOOKUP(CJ$3,'Embedded Emissions'!$A$129:$B$158,2,FALSE)), $C21 = "2",('Inputs-System'!$C$30*'Coincidence Factors'!$B$9*(1+'Inputs-System'!$C$18)*(1+'Inputs-System'!$C$41))*'Inputs-Proposals'!$E$23*'Inputs-Proposals'!$E$25*(1-'Inputs-Proposals'!$E$20^(CJ$3-'Inputs-System'!$C$7))*(VLOOKUP(CJ$3,'Embedded Emissions'!$A$47:$B$78,2,FALSE)+VLOOKUP(CJ$3,'Embedded Emissions'!$A$129:$B$158,2,FALSE)), $C21 = "3", ('Inputs-System'!$C$30*'Coincidence Factors'!$B$9*(1+'Inputs-System'!$C$18)*(1+'Inputs-System'!$C$41))*'Inputs-Proposals'!$E$29*'Inputs-Proposals'!$E$31*(1-'Inputs-Proposals'!$E$20^(CJ$3-'Inputs-System'!$C$7))*(VLOOKUP(CJ$3,'Embedded Emissions'!$A$47:$B$78,2,FALSE)+VLOOKUP(CJ$3,'Embedded Emissions'!$A$129:$B$158,2,FALSE)), $C21 = "0", 0), 0)</f>
        <v>0</v>
      </c>
      <c r="CL21" s="44">
        <f>IFERROR(_xlfn.IFS($C21="1",( 'Inputs-System'!$C$30*'Coincidence Factors'!$B$9*(1+'Inputs-System'!$C$18)*(1+'Inputs-System'!$C$41))*('Inputs-Proposals'!$E$17*'Inputs-Proposals'!$E$19*(1-'Inputs-Proposals'!$E$20)^(CJ$3-'Inputs-System'!$C$7))*(VLOOKUP(CJ$3,DRIPE!$A$54:$I$82,5,FALSE)+VLOOKUP(CJ$3,DRIPE!$A$54:$I$82,9,FALSE))+ ('Inputs-System'!$C$26*'Coincidence Factors'!$B$6*(1+'Inputs-System'!$C$18)*(1+'Inputs-System'!$C$42))*'Inputs-Proposals'!$E$16*VLOOKUP(CJ$3,DRIPE!$A$54:$I$82,8,FALSE), $C21 = "2",( 'Inputs-System'!$C$30*'Coincidence Factors'!$B$9*(1+'Inputs-System'!$C$18)*(1+'Inputs-System'!$C$41))*('Inputs-Proposals'!$E$23*'Inputs-Proposals'!$E$25*(1-'Inputs-Proposals'!$E$26)^(CJ$3-'Inputs-System'!$C$7))*(VLOOKUP(CJ$3,DRIPE!$A$54:$I$82,5,FALSE)+VLOOKUP(CJ$3,DRIPE!$A$54:$I$82,9,FALSE))+ ('Inputs-System'!$C$26*'Coincidence Factors'!$B$6*(1+'Inputs-System'!$C$18)*(1+'Inputs-System'!$C$42))*'Inputs-Proposals'!$E$22*VLOOKUP(CJ$3,DRIPE!$A$54:$I$82,8,FALSE), $C21= "3", ( 'Inputs-System'!$C$30*'Coincidence Factors'!$B$9*(1+'Inputs-System'!$C$18)*(1+'Inputs-System'!$C$41))*('Inputs-Proposals'!$E$29*'Inputs-Proposals'!$E$31*(1-'Inputs-Proposals'!$E$32)^(CJ$3-'Inputs-System'!$C$7))*(VLOOKUP(CJ$3,DRIPE!$A$54:$I$82,5,FALSE)+VLOOKUP(CJ$3,DRIPE!$A$54:$I$82,9,FALSE))+ ('Inputs-System'!$C$26*'Coincidence Factors'!$B$6*(1+'Inputs-System'!$C$18)*(1+'Inputs-System'!$C$42))*'Inputs-Proposals'!$E$28*VLOOKUP(CJ$3,DRIPE!$A$54:$I$82,8,FALSE), $C21 = "0", 0), 0)</f>
        <v>0</v>
      </c>
      <c r="CM21" s="45">
        <f>IFERROR(_xlfn.IFS($C21="1",('Inputs-System'!$C$26*'Coincidence Factors'!$B$9*(1+'Inputs-System'!$C$18)*(1+'Inputs-System'!$C$42))*'Inputs-Proposals'!$D$16*(VLOOKUP(CJ$3,Capacity!$A$53:$E$85,4,FALSE)*(1+'Inputs-System'!$C$42)+VLOOKUP(CJ$3,Capacity!$A$53:$E$85,5,FALSE)*(1+'Inputs-System'!$C$43)*'Inputs-System'!$C$29), $C21 = "2", ('Inputs-System'!$C$26*'Coincidence Factors'!$B$9*(1+'Inputs-System'!$C$18))*'Inputs-Proposals'!$D$22*(VLOOKUP(CJ$3,Capacity!$A$53:$E$85,4,FALSE)*(1+'Inputs-System'!$C$42)+VLOOKUP(CJ$3,Capacity!$A$53:$E$85,5,FALSE)*'Inputs-System'!$C$29*(1+'Inputs-System'!$C$43)), $C21 = "3", ('Inputs-System'!$C$26*'Coincidence Factors'!$B$9*(1+'Inputs-System'!$C$18))*'Inputs-Proposals'!$D$28*(VLOOKUP(CJ$3,Capacity!$A$53:$E$85,4,FALSE)*(1+'Inputs-System'!$C$42)+VLOOKUP(CJ$3,Capacity!$A$53:$E$85,5,FALSE)*'Inputs-System'!$C$29*(1+'Inputs-System'!$C$43)), $C21 = "0", 0), 0)</f>
        <v>0</v>
      </c>
      <c r="CN21" s="44">
        <v>0</v>
      </c>
      <c r="CO21" s="342">
        <f>IFERROR(_xlfn.IFS($C21="1", 'Inputs-System'!$C$30*'Coincidence Factors'!$B$9*'Inputs-Proposals'!$E$17*'Inputs-Proposals'!$E$19*(VLOOKUP(CJ$3,'Non-Embedded Emissions'!$A$56:$D$90,2,FALSE)-VLOOKUP(CJ$3,'Non-Embedded Emissions'!$F$57:$H$88,2,FALSE)+VLOOKUP(CJ$3,'Non-Embedded Emissions'!$A$143:$D$174,2,FALSE)-VLOOKUP(CJ$3,'Non-Embedded Emissions'!$F$143:$H$174,2,FALSE)+VLOOKUP(CJ$3,'Non-Embedded Emissions'!$A$230:$D$259,2,FALSE)), $C21 = "2", 'Inputs-System'!$C$30*'Coincidence Factors'!$B$9*'Inputs-Proposals'!$E$23*'Inputs-Proposals'!$E$25*(VLOOKUP(CJ$3,'Non-Embedded Emissions'!$A$56:$D$90,2,FALSE)-VLOOKUP(CJ$3,'Non-Embedded Emissions'!$F$57:$H$88,2,FALSE)+VLOOKUP(CJ$3,'Non-Embedded Emissions'!$A$143:$D$174,2,FALSE)-VLOOKUP(CJ$3,'Non-Embedded Emissions'!$F$143:$H$174,2,FALSE)+VLOOKUP(CJ$3,'Non-Embedded Emissions'!$A$230:$D$259,2,FALSE)), $C21 = "3", 'Inputs-System'!$C$30*'Coincidence Factors'!$B$9*'Inputs-Proposals'!$E$29*'Inputs-Proposals'!$E$31*(VLOOKUP(CJ$3,'Non-Embedded Emissions'!$A$56:$D$90,2,FALSE)-VLOOKUP(CJ$3,'Non-Embedded Emissions'!$F$57:$H$88,2,FALSE)+VLOOKUP(CJ$3,'Non-Embedded Emissions'!$A$143:$D$174,2,FALSE)-VLOOKUP(CJ$3,'Non-Embedded Emissions'!$F$143:$H$174,2,FALSE)+VLOOKUP(CJ$3,'Non-Embedded Emissions'!$A$230:$D$259,2,FALSE)), $C21 = "0", 0), 0)</f>
        <v>0</v>
      </c>
      <c r="CP21" s="45">
        <f>IFERROR(_xlfn.IFS($C21="1",('Inputs-System'!$C$30*'Coincidence Factors'!$B$9*(1+'Inputs-System'!$C$18)*(1+'Inputs-System'!$C$41)*('Inputs-Proposals'!$C$17*'Inputs-Proposals'!$C$19*(1-'Inputs-Proposals'!$C$20^(CP$3-'Inputs-System'!$C$7)))*(VLOOKUP(CP$3,Energy!$A$51:$K$83,5,FALSE))), $C21 = "2",('Inputs-System'!$C$30*'Coincidence Factors'!$B$9)*(1+'Inputs-System'!$C$18)*(1+'Inputs-System'!$C$41)*('Inputs-Proposals'!$C$23*'Inputs-Proposals'!$C$25*(1-'Inputs-Proposals'!$C$26^(CP$3-'Inputs-System'!$C$7)))*(VLOOKUP(CP$3,Energy!$A$51:$K$83,5,FALSE)), $C21= "3", ('Inputs-System'!$C$30*'Coincidence Factors'!$B$9*(1+'Inputs-System'!$C$18)*(1+'Inputs-System'!$C$41)*('Inputs-Proposals'!$C$29*'Inputs-Proposals'!$C$31*(1-'Inputs-Proposals'!$C$32^(CP$3-'Inputs-System'!$C$7)))*(VLOOKUP(CP$3,Energy!$A$51:$K$83,5,FALSE))), $C21= "0", 0), 0)</f>
        <v>0</v>
      </c>
      <c r="CQ21" s="44">
        <f>IFERROR(_xlfn.IFS($C21="1",('Inputs-System'!$C$30*'Coincidence Factors'!$B$9*(1+'Inputs-System'!$C$18)*(1+'Inputs-System'!$C$41))*'Inputs-Proposals'!$E$17*'Inputs-Proposals'!$E$19*(1-'Inputs-Proposals'!$E$20^(CP$3-'Inputs-System'!$C$7))*(VLOOKUP(CP$3,'Embedded Emissions'!$A$47:$B$78,2,FALSE)+VLOOKUP(CP$3,'Embedded Emissions'!$A$129:$B$158,2,FALSE)), $C21 = "2",('Inputs-System'!$C$30*'Coincidence Factors'!$B$9*(1+'Inputs-System'!$C$18)*(1+'Inputs-System'!$C$41))*'Inputs-Proposals'!$E$23*'Inputs-Proposals'!$E$25*(1-'Inputs-Proposals'!$E$20^(CP$3-'Inputs-System'!$C$7))*(VLOOKUP(CP$3,'Embedded Emissions'!$A$47:$B$78,2,FALSE)+VLOOKUP(CP$3,'Embedded Emissions'!$A$129:$B$158,2,FALSE)), $C21 = "3", ('Inputs-System'!$C$30*'Coincidence Factors'!$B$9*(1+'Inputs-System'!$C$18)*(1+'Inputs-System'!$C$41))*'Inputs-Proposals'!$E$29*'Inputs-Proposals'!$E$31*(1-'Inputs-Proposals'!$E$20^(CP$3-'Inputs-System'!$C$7))*(VLOOKUP(CP$3,'Embedded Emissions'!$A$47:$B$78,2,FALSE)+VLOOKUP(CP$3,'Embedded Emissions'!$A$129:$B$158,2,FALSE)), $C21 = "0", 0), 0)</f>
        <v>0</v>
      </c>
      <c r="CR21" s="44">
        <f>IFERROR(_xlfn.IFS($C21="1",( 'Inputs-System'!$C$30*'Coincidence Factors'!$B$9*(1+'Inputs-System'!$C$18)*(1+'Inputs-System'!$C$41))*('Inputs-Proposals'!$E$17*'Inputs-Proposals'!$E$19*(1-'Inputs-Proposals'!$E$20)^(CP$3-'Inputs-System'!$C$7))*(VLOOKUP(CP$3,DRIPE!$A$54:$I$82,5,FALSE)+VLOOKUP(CP$3,DRIPE!$A$54:$I$82,9,FALSE))+ ('Inputs-System'!$C$26*'Coincidence Factors'!$B$6*(1+'Inputs-System'!$C$18)*(1+'Inputs-System'!$C$42))*'Inputs-Proposals'!$E$16*VLOOKUP(CP$3,DRIPE!$A$54:$I$82,8,FALSE), $C21 = "2",( 'Inputs-System'!$C$30*'Coincidence Factors'!$B$9*(1+'Inputs-System'!$C$18)*(1+'Inputs-System'!$C$41))*('Inputs-Proposals'!$E$23*'Inputs-Proposals'!$E$25*(1-'Inputs-Proposals'!$E$26)^(CP$3-'Inputs-System'!$C$7))*(VLOOKUP(CP$3,DRIPE!$A$54:$I$82,5,FALSE)+VLOOKUP(CP$3,DRIPE!$A$54:$I$82,9,FALSE))+ ('Inputs-System'!$C$26*'Coincidence Factors'!$B$6*(1+'Inputs-System'!$C$18)*(1+'Inputs-System'!$C$42))*'Inputs-Proposals'!$E$22*VLOOKUP(CP$3,DRIPE!$A$54:$I$82,8,FALSE), $C21= "3", ( 'Inputs-System'!$C$30*'Coincidence Factors'!$B$9*(1+'Inputs-System'!$C$18)*(1+'Inputs-System'!$C$41))*('Inputs-Proposals'!$E$29*'Inputs-Proposals'!$E$31*(1-'Inputs-Proposals'!$E$32)^(CP$3-'Inputs-System'!$C$7))*(VLOOKUP(CP$3,DRIPE!$A$54:$I$82,5,FALSE)+VLOOKUP(CP$3,DRIPE!$A$54:$I$82,9,FALSE))+ ('Inputs-System'!$C$26*'Coincidence Factors'!$B$6*(1+'Inputs-System'!$C$18)*(1+'Inputs-System'!$C$42))*'Inputs-Proposals'!$E$28*VLOOKUP(CP$3,DRIPE!$A$54:$I$82,8,FALSE), $C21 = "0", 0), 0)</f>
        <v>0</v>
      </c>
      <c r="CS21" s="45">
        <f>IFERROR(_xlfn.IFS($C21="1",('Inputs-System'!$C$26*'Coincidence Factors'!$B$9*(1+'Inputs-System'!$C$18)*(1+'Inputs-System'!$C$42))*'Inputs-Proposals'!$D$16*(VLOOKUP(CP$3,Capacity!$A$53:$E$85,4,FALSE)*(1+'Inputs-System'!$C$42)+VLOOKUP(CP$3,Capacity!$A$53:$E$85,5,FALSE)*(1+'Inputs-System'!$C$43)*'Inputs-System'!$C$29), $C21 = "2", ('Inputs-System'!$C$26*'Coincidence Factors'!$B$9*(1+'Inputs-System'!$C$18))*'Inputs-Proposals'!$D$22*(VLOOKUP(CP$3,Capacity!$A$53:$E$85,4,FALSE)*(1+'Inputs-System'!$C$42)+VLOOKUP(CP$3,Capacity!$A$53:$E$85,5,FALSE)*'Inputs-System'!$C$29*(1+'Inputs-System'!$C$43)), $C21 = "3", ('Inputs-System'!$C$26*'Coincidence Factors'!$B$9*(1+'Inputs-System'!$C$18))*'Inputs-Proposals'!$D$28*(VLOOKUP(CP$3,Capacity!$A$53:$E$85,4,FALSE)*(1+'Inputs-System'!$C$42)+VLOOKUP(CP$3,Capacity!$A$53:$E$85,5,FALSE)*'Inputs-System'!$C$29*(1+'Inputs-System'!$C$43)), $C21 = "0", 0), 0)</f>
        <v>0</v>
      </c>
      <c r="CT21" s="44">
        <v>0</v>
      </c>
      <c r="CU21" s="342">
        <f>IFERROR(_xlfn.IFS($C21="1", 'Inputs-System'!$C$30*'Coincidence Factors'!$B$9*'Inputs-Proposals'!$E$17*'Inputs-Proposals'!$E$19*(VLOOKUP(CP$3,'Non-Embedded Emissions'!$A$56:$D$90,2,FALSE)-VLOOKUP(CP$3,'Non-Embedded Emissions'!$F$57:$H$88,2,FALSE)+VLOOKUP(CP$3,'Non-Embedded Emissions'!$A$143:$D$174,2,FALSE)-VLOOKUP(CP$3,'Non-Embedded Emissions'!$F$143:$H$174,2,FALSE)+VLOOKUP(CP$3,'Non-Embedded Emissions'!$A$230:$D$259,2,FALSE)), $C21 = "2", 'Inputs-System'!$C$30*'Coincidence Factors'!$B$9*'Inputs-Proposals'!$E$23*'Inputs-Proposals'!$E$25*(VLOOKUP(CP$3,'Non-Embedded Emissions'!$A$56:$D$90,2,FALSE)-VLOOKUP(CP$3,'Non-Embedded Emissions'!$F$57:$H$88,2,FALSE)+VLOOKUP(CP$3,'Non-Embedded Emissions'!$A$143:$D$174,2,FALSE)-VLOOKUP(CP$3,'Non-Embedded Emissions'!$F$143:$H$174,2,FALSE)+VLOOKUP(CP$3,'Non-Embedded Emissions'!$A$230:$D$259,2,FALSE)), $C21 = "3", 'Inputs-System'!$C$30*'Coincidence Factors'!$B$9*'Inputs-Proposals'!$E$29*'Inputs-Proposals'!$E$31*(VLOOKUP(CP$3,'Non-Embedded Emissions'!$A$56:$D$90,2,FALSE)-VLOOKUP(CP$3,'Non-Embedded Emissions'!$F$57:$H$88,2,FALSE)+VLOOKUP(CP$3,'Non-Embedded Emissions'!$A$143:$D$174,2,FALSE)-VLOOKUP(CP$3,'Non-Embedded Emissions'!$F$143:$H$174,2,FALSE)+VLOOKUP(CP$3,'Non-Embedded Emissions'!$A$230:$D$259,2,FALSE)), $C21 = "0", 0), 0)</f>
        <v>0</v>
      </c>
      <c r="CV21" s="45">
        <f>IFERROR(_xlfn.IFS($C21="1",('Inputs-System'!$C$30*'Coincidence Factors'!$B$9*(1+'Inputs-System'!$C$18)*(1+'Inputs-System'!$C$41)*('Inputs-Proposals'!$C$17*'Inputs-Proposals'!$C$19*(1-'Inputs-Proposals'!$C$20^(CV$3-'Inputs-System'!$C$7)))*(VLOOKUP(CV$3,Energy!$A$51:$K$83,5,FALSE))), $C21 = "2",('Inputs-System'!$C$30*'Coincidence Factors'!$B$9)*(1+'Inputs-System'!$C$18)*(1+'Inputs-System'!$C$41)*('Inputs-Proposals'!$C$23*'Inputs-Proposals'!$C$25*(1-'Inputs-Proposals'!$C$26^(CV$3-'Inputs-System'!$C$7)))*(VLOOKUP(CV$3,Energy!$A$51:$K$83,5,FALSE)), $C21= "3", ('Inputs-System'!$C$30*'Coincidence Factors'!$B$9*(1+'Inputs-System'!$C$18)*(1+'Inputs-System'!$C$41)*('Inputs-Proposals'!$C$29*'Inputs-Proposals'!$C$31*(1-'Inputs-Proposals'!$C$32^(CV$3-'Inputs-System'!$C$7)))*(VLOOKUP(CV$3,Energy!$A$51:$K$83,5,FALSE))), $C21= "0", 0), 0)</f>
        <v>0</v>
      </c>
      <c r="CW21" s="44">
        <f>IFERROR(_xlfn.IFS($C21="1",('Inputs-System'!$C$30*'Coincidence Factors'!$B$9*(1+'Inputs-System'!$C$18)*(1+'Inputs-System'!$C$41))*'Inputs-Proposals'!$E$17*'Inputs-Proposals'!$E$19*(1-'Inputs-Proposals'!$E$20^(CV$3-'Inputs-System'!$C$7))*(VLOOKUP(CV$3,'Embedded Emissions'!$A$47:$B$78,2,FALSE)+VLOOKUP(CV$3,'Embedded Emissions'!$A$129:$B$158,2,FALSE)), $C21 = "2",('Inputs-System'!$C$30*'Coincidence Factors'!$B$9*(1+'Inputs-System'!$C$18)*(1+'Inputs-System'!$C$41))*'Inputs-Proposals'!$E$23*'Inputs-Proposals'!$E$25*(1-'Inputs-Proposals'!$E$20^(CV$3-'Inputs-System'!$C$7))*(VLOOKUP(CV$3,'Embedded Emissions'!$A$47:$B$78,2,FALSE)+VLOOKUP(CV$3,'Embedded Emissions'!$A$129:$B$158,2,FALSE)), $C21 = "3", ('Inputs-System'!$C$30*'Coincidence Factors'!$B$9*(1+'Inputs-System'!$C$18)*(1+'Inputs-System'!$C$41))*'Inputs-Proposals'!$E$29*'Inputs-Proposals'!$E$31*(1-'Inputs-Proposals'!$E$20^(CV$3-'Inputs-System'!$C$7))*(VLOOKUP(CV$3,'Embedded Emissions'!$A$47:$B$78,2,FALSE)+VLOOKUP(CV$3,'Embedded Emissions'!$A$129:$B$158,2,FALSE)), $C21 = "0", 0), 0)</f>
        <v>0</v>
      </c>
      <c r="CX21" s="44">
        <f>IFERROR(_xlfn.IFS($C21="1",( 'Inputs-System'!$C$30*'Coincidence Factors'!$B$9*(1+'Inputs-System'!$C$18)*(1+'Inputs-System'!$C$41))*('Inputs-Proposals'!$E$17*'Inputs-Proposals'!$E$19*(1-'Inputs-Proposals'!$E$20)^(CV$3-'Inputs-System'!$C$7))*(VLOOKUP(CV$3,DRIPE!$A$54:$I$82,5,FALSE)+VLOOKUP(CV$3,DRIPE!$A$54:$I$82,9,FALSE))+ ('Inputs-System'!$C$26*'Coincidence Factors'!$B$6*(1+'Inputs-System'!$C$18)*(1+'Inputs-System'!$C$42))*'Inputs-Proposals'!$E$16*VLOOKUP(CV$3,DRIPE!$A$54:$I$82,8,FALSE), $C21 = "2",( 'Inputs-System'!$C$30*'Coincidence Factors'!$B$9*(1+'Inputs-System'!$C$18)*(1+'Inputs-System'!$C$41))*('Inputs-Proposals'!$E$23*'Inputs-Proposals'!$E$25*(1-'Inputs-Proposals'!$E$26)^(CV$3-'Inputs-System'!$C$7))*(VLOOKUP(CV$3,DRIPE!$A$54:$I$82,5,FALSE)+VLOOKUP(CV$3,DRIPE!$A$54:$I$82,9,FALSE))+ ('Inputs-System'!$C$26*'Coincidence Factors'!$B$6*(1+'Inputs-System'!$C$18)*(1+'Inputs-System'!$C$42))*'Inputs-Proposals'!$E$22*VLOOKUP(CV$3,DRIPE!$A$54:$I$82,8,FALSE), $C21= "3", ( 'Inputs-System'!$C$30*'Coincidence Factors'!$B$9*(1+'Inputs-System'!$C$18)*(1+'Inputs-System'!$C$41))*('Inputs-Proposals'!$E$29*'Inputs-Proposals'!$E$31*(1-'Inputs-Proposals'!$E$32)^(CV$3-'Inputs-System'!$C$7))*(VLOOKUP(CV$3,DRIPE!$A$54:$I$82,5,FALSE)+VLOOKUP(CV$3,DRIPE!$A$54:$I$82,9,FALSE))+ ('Inputs-System'!$C$26*'Coincidence Factors'!$B$6*(1+'Inputs-System'!$C$18)*(1+'Inputs-System'!$C$42))*'Inputs-Proposals'!$E$28*VLOOKUP(CV$3,DRIPE!$A$54:$I$82,8,FALSE), $C21 = "0", 0), 0)</f>
        <v>0</v>
      </c>
      <c r="CY21" s="45">
        <f>IFERROR(_xlfn.IFS($C21="1",('Inputs-System'!$C$26*'Coincidence Factors'!$B$9*(1+'Inputs-System'!$C$18)*(1+'Inputs-System'!$C$42))*'Inputs-Proposals'!$D$16*(VLOOKUP(CV$3,Capacity!$A$53:$E$85,4,FALSE)*(1+'Inputs-System'!$C$42)+VLOOKUP(CV$3,Capacity!$A$53:$E$85,5,FALSE)*(1+'Inputs-System'!$C$43)*'Inputs-System'!$C$29), $C21 = "2", ('Inputs-System'!$C$26*'Coincidence Factors'!$B$9*(1+'Inputs-System'!$C$18))*'Inputs-Proposals'!$D$22*(VLOOKUP(CV$3,Capacity!$A$53:$E$85,4,FALSE)*(1+'Inputs-System'!$C$42)+VLOOKUP(CV$3,Capacity!$A$53:$E$85,5,FALSE)*'Inputs-System'!$C$29*(1+'Inputs-System'!$C$43)), $C21 = "3", ('Inputs-System'!$C$26*'Coincidence Factors'!$B$9*(1+'Inputs-System'!$C$18))*'Inputs-Proposals'!$D$28*(VLOOKUP(CV$3,Capacity!$A$53:$E$85,4,FALSE)*(1+'Inputs-System'!$C$42)+VLOOKUP(CV$3,Capacity!$A$53:$E$85,5,FALSE)*'Inputs-System'!$C$29*(1+'Inputs-System'!$C$43)), $C21 = "0", 0), 0)</f>
        <v>0</v>
      </c>
      <c r="CZ21" s="44">
        <v>0</v>
      </c>
      <c r="DA21" s="342">
        <f>IFERROR(_xlfn.IFS($C21="1", 'Inputs-System'!$C$30*'Coincidence Factors'!$B$9*'Inputs-Proposals'!$E$17*'Inputs-Proposals'!$E$19*(VLOOKUP(CV$3,'Non-Embedded Emissions'!$A$56:$D$90,2,FALSE)-VLOOKUP(CV$3,'Non-Embedded Emissions'!$F$57:$H$88,2,FALSE)+VLOOKUP(CV$3,'Non-Embedded Emissions'!$A$143:$D$174,2,FALSE)-VLOOKUP(CV$3,'Non-Embedded Emissions'!$F$143:$H$174,2,FALSE)+VLOOKUP(CV$3,'Non-Embedded Emissions'!$A$230:$D$259,2,FALSE)), $C21 = "2", 'Inputs-System'!$C$30*'Coincidence Factors'!$B$9*'Inputs-Proposals'!$E$23*'Inputs-Proposals'!$E$25*(VLOOKUP(CV$3,'Non-Embedded Emissions'!$A$56:$D$90,2,FALSE)-VLOOKUP(CV$3,'Non-Embedded Emissions'!$F$57:$H$88,2,FALSE)+VLOOKUP(CV$3,'Non-Embedded Emissions'!$A$143:$D$174,2,FALSE)-VLOOKUP(CV$3,'Non-Embedded Emissions'!$F$143:$H$174,2,FALSE)+VLOOKUP(CV$3,'Non-Embedded Emissions'!$A$230:$D$259,2,FALSE)), $C21 = "3", 'Inputs-System'!$C$30*'Coincidence Factors'!$B$9*'Inputs-Proposals'!$E$29*'Inputs-Proposals'!$E$31*(VLOOKUP(CV$3,'Non-Embedded Emissions'!$A$56:$D$90,2,FALSE)-VLOOKUP(CV$3,'Non-Embedded Emissions'!$F$57:$H$88,2,FALSE)+VLOOKUP(CV$3,'Non-Embedded Emissions'!$A$143:$D$174,2,FALSE)-VLOOKUP(CV$3,'Non-Embedded Emissions'!$F$143:$H$174,2,FALSE)+VLOOKUP(CV$3,'Non-Embedded Emissions'!$A$230:$D$259,2,FALSE)), $C21 = "0", 0), 0)</f>
        <v>0</v>
      </c>
      <c r="DB21" s="45">
        <f>IFERROR(_xlfn.IFS($C21="1",('Inputs-System'!$C$30*'Coincidence Factors'!$B$9*(1+'Inputs-System'!$C$18)*(1+'Inputs-System'!$C$41)*('Inputs-Proposals'!$C$17*'Inputs-Proposals'!$C$19*(1-'Inputs-Proposals'!$C$20^(DB$3-'Inputs-System'!$C$7)))*(VLOOKUP(DB$3,Energy!$A$51:$K$83,5,FALSE))), $C21 = "2",('Inputs-System'!$C$30*'Coincidence Factors'!$B$9)*(1+'Inputs-System'!$C$18)*(1+'Inputs-System'!$C$41)*('Inputs-Proposals'!$C$23*'Inputs-Proposals'!$C$25*(1-'Inputs-Proposals'!$C$26^(DB$3-'Inputs-System'!$C$7)))*(VLOOKUP(DB$3,Energy!$A$51:$K$83,5,FALSE)), $C21= "3", ('Inputs-System'!$C$30*'Coincidence Factors'!$B$9*(1+'Inputs-System'!$C$18)*(1+'Inputs-System'!$C$41)*('Inputs-Proposals'!$C$29*'Inputs-Proposals'!$C$31*(1-'Inputs-Proposals'!$C$32^(DB$3-'Inputs-System'!$C$7)))*(VLOOKUP(DB$3,Energy!$A$51:$K$83,5,FALSE))), $C21= "0", 0), 0)</f>
        <v>0</v>
      </c>
      <c r="DC21" s="44">
        <f>IFERROR(_xlfn.IFS($C21="1",('Inputs-System'!$C$30*'Coincidence Factors'!$B$9*(1+'Inputs-System'!$C$18)*(1+'Inputs-System'!$C$41))*'Inputs-Proposals'!$E$17*'Inputs-Proposals'!$E$19*(1-'Inputs-Proposals'!$E$20^(DB$3-'Inputs-System'!$C$7))*(VLOOKUP(DB$3,'Embedded Emissions'!$A$47:$B$78,2,FALSE)+VLOOKUP(DB$3,'Embedded Emissions'!$A$129:$B$158,2,FALSE)), $C21 = "2",('Inputs-System'!$C$30*'Coincidence Factors'!$B$9*(1+'Inputs-System'!$C$18)*(1+'Inputs-System'!$C$41))*'Inputs-Proposals'!$E$23*'Inputs-Proposals'!$E$25*(1-'Inputs-Proposals'!$E$20^(DB$3-'Inputs-System'!$C$7))*(VLOOKUP(DB$3,'Embedded Emissions'!$A$47:$B$78,2,FALSE)+VLOOKUP(DB$3,'Embedded Emissions'!$A$129:$B$158,2,FALSE)), $C21 = "3", ('Inputs-System'!$C$30*'Coincidence Factors'!$B$9*(1+'Inputs-System'!$C$18)*(1+'Inputs-System'!$C$41))*'Inputs-Proposals'!$E$29*'Inputs-Proposals'!$E$31*(1-'Inputs-Proposals'!$E$20^(DB$3-'Inputs-System'!$C$7))*(VLOOKUP(DB$3,'Embedded Emissions'!$A$47:$B$78,2,FALSE)+VLOOKUP(DB$3,'Embedded Emissions'!$A$129:$B$158,2,FALSE)), $C21 = "0", 0), 0)</f>
        <v>0</v>
      </c>
      <c r="DD21" s="44">
        <f>IFERROR(_xlfn.IFS($C21="1",( 'Inputs-System'!$C$30*'Coincidence Factors'!$B$9*(1+'Inputs-System'!$C$18)*(1+'Inputs-System'!$C$41))*('Inputs-Proposals'!$E$17*'Inputs-Proposals'!$E$19*(1-'Inputs-Proposals'!$E$20)^(DB$3-'Inputs-System'!$C$7))*(VLOOKUP(DB$3,DRIPE!$A$54:$I$82,5,FALSE)+VLOOKUP(DB$3,DRIPE!$A$54:$I$82,9,FALSE))+ ('Inputs-System'!$C$26*'Coincidence Factors'!$B$6*(1+'Inputs-System'!$C$18)*(1+'Inputs-System'!$C$42))*'Inputs-Proposals'!$E$16*VLOOKUP(DB$3,DRIPE!$A$54:$I$82,8,FALSE), $C21 = "2",( 'Inputs-System'!$C$30*'Coincidence Factors'!$B$9*(1+'Inputs-System'!$C$18)*(1+'Inputs-System'!$C$41))*('Inputs-Proposals'!$E$23*'Inputs-Proposals'!$E$25*(1-'Inputs-Proposals'!$E$26)^(DB$3-'Inputs-System'!$C$7))*(VLOOKUP(DB$3,DRIPE!$A$54:$I$82,5,FALSE)+VLOOKUP(DB$3,DRIPE!$A$54:$I$82,9,FALSE))+ ('Inputs-System'!$C$26*'Coincidence Factors'!$B$6*(1+'Inputs-System'!$C$18)*(1+'Inputs-System'!$C$42))*'Inputs-Proposals'!$E$22*VLOOKUP(DB$3,DRIPE!$A$54:$I$82,8,FALSE), $C21= "3", ( 'Inputs-System'!$C$30*'Coincidence Factors'!$B$9*(1+'Inputs-System'!$C$18)*(1+'Inputs-System'!$C$41))*('Inputs-Proposals'!$E$29*'Inputs-Proposals'!$E$31*(1-'Inputs-Proposals'!$E$32)^(DB$3-'Inputs-System'!$C$7))*(VLOOKUP(DB$3,DRIPE!$A$54:$I$82,5,FALSE)+VLOOKUP(DB$3,DRIPE!$A$54:$I$82,9,FALSE))+ ('Inputs-System'!$C$26*'Coincidence Factors'!$B$6*(1+'Inputs-System'!$C$18)*(1+'Inputs-System'!$C$42))*'Inputs-Proposals'!$E$28*VLOOKUP(DB$3,DRIPE!$A$54:$I$82,8,FALSE), $C21 = "0", 0), 0)</f>
        <v>0</v>
      </c>
      <c r="DE21" s="45">
        <f>IFERROR(_xlfn.IFS($C21="1",('Inputs-System'!$C$26*'Coincidence Factors'!$B$9*(1+'Inputs-System'!$C$18)*(1+'Inputs-System'!$C$42))*'Inputs-Proposals'!$D$16*(VLOOKUP(DB$3,Capacity!$A$53:$E$85,4,FALSE)*(1+'Inputs-System'!$C$42)+VLOOKUP(DB$3,Capacity!$A$53:$E$85,5,FALSE)*(1+'Inputs-System'!$C$43)*'Inputs-System'!$C$29), $C21 = "2", ('Inputs-System'!$C$26*'Coincidence Factors'!$B$9*(1+'Inputs-System'!$C$18))*'Inputs-Proposals'!$D$22*(VLOOKUP(DB$3,Capacity!$A$53:$E$85,4,FALSE)*(1+'Inputs-System'!$C$42)+VLOOKUP(DB$3,Capacity!$A$53:$E$85,5,FALSE)*'Inputs-System'!$C$29*(1+'Inputs-System'!$C$43)), $C21 = "3", ('Inputs-System'!$C$26*'Coincidence Factors'!$B$9*(1+'Inputs-System'!$C$18))*'Inputs-Proposals'!$D$28*(VLOOKUP(DB$3,Capacity!$A$53:$E$85,4,FALSE)*(1+'Inputs-System'!$C$42)+VLOOKUP(DB$3,Capacity!$A$53:$E$85,5,FALSE)*'Inputs-System'!$C$29*(1+'Inputs-System'!$C$43)), $C21 = "0", 0), 0)</f>
        <v>0</v>
      </c>
      <c r="DF21" s="44">
        <v>0</v>
      </c>
      <c r="DG21" s="342">
        <f>IFERROR(_xlfn.IFS($C21="1", 'Inputs-System'!$C$30*'Coincidence Factors'!$B$9*'Inputs-Proposals'!$E$17*'Inputs-Proposals'!$E$19*(VLOOKUP(DB$3,'Non-Embedded Emissions'!$A$56:$D$90,2,FALSE)-VLOOKUP(DB$3,'Non-Embedded Emissions'!$F$57:$H$88,2,FALSE)+VLOOKUP(DB$3,'Non-Embedded Emissions'!$A$143:$D$174,2,FALSE)-VLOOKUP(DB$3,'Non-Embedded Emissions'!$F$143:$H$174,2,FALSE)+VLOOKUP(DB$3,'Non-Embedded Emissions'!$A$230:$D$259,2,FALSE)), $C21 = "2", 'Inputs-System'!$C$30*'Coincidence Factors'!$B$9*'Inputs-Proposals'!$E$23*'Inputs-Proposals'!$E$25*(VLOOKUP(DB$3,'Non-Embedded Emissions'!$A$56:$D$90,2,FALSE)-VLOOKUP(DB$3,'Non-Embedded Emissions'!$F$57:$H$88,2,FALSE)+VLOOKUP(DB$3,'Non-Embedded Emissions'!$A$143:$D$174,2,FALSE)-VLOOKUP(DB$3,'Non-Embedded Emissions'!$F$143:$H$174,2,FALSE)+VLOOKUP(DB$3,'Non-Embedded Emissions'!$A$230:$D$259,2,FALSE)), $C21 = "3", 'Inputs-System'!$C$30*'Coincidence Factors'!$B$9*'Inputs-Proposals'!$E$29*'Inputs-Proposals'!$E$31*(VLOOKUP(DB$3,'Non-Embedded Emissions'!$A$56:$D$90,2,FALSE)-VLOOKUP(DB$3,'Non-Embedded Emissions'!$F$57:$H$88,2,FALSE)+VLOOKUP(DB$3,'Non-Embedded Emissions'!$A$143:$D$174,2,FALSE)-VLOOKUP(DB$3,'Non-Embedded Emissions'!$F$143:$H$174,2,FALSE)+VLOOKUP(DB$3,'Non-Embedded Emissions'!$A$230:$D$259,2,FALSE)), $C21 = "0", 0), 0)</f>
        <v>0</v>
      </c>
      <c r="DH21" s="45">
        <f>IFERROR(_xlfn.IFS($C21="1",('Inputs-System'!$C$30*'Coincidence Factors'!$B$9*(1+'Inputs-System'!$C$18)*(1+'Inputs-System'!$C$41)*('Inputs-Proposals'!$C$17*'Inputs-Proposals'!$C$19*(1-'Inputs-Proposals'!$C$20^(DH$3-'Inputs-System'!$C$7)))*(VLOOKUP(DH$3,Energy!$A$51:$K$83,5,FALSE))), $C21 = "2",('Inputs-System'!$C$30*'Coincidence Factors'!$B$9)*(1+'Inputs-System'!$C$18)*(1+'Inputs-System'!$C$41)*('Inputs-Proposals'!$C$23*'Inputs-Proposals'!$C$25*(1-'Inputs-Proposals'!$C$26^(DH$3-'Inputs-System'!$C$7)))*(VLOOKUP(DH$3,Energy!$A$51:$K$83,5,FALSE)), $C21= "3", ('Inputs-System'!$C$30*'Coincidence Factors'!$B$9*(1+'Inputs-System'!$C$18)*(1+'Inputs-System'!$C$41)*('Inputs-Proposals'!$C$29*'Inputs-Proposals'!$C$31*(1-'Inputs-Proposals'!$C$32^(DH$3-'Inputs-System'!$C$7)))*(VLOOKUP(DH$3,Energy!$A$51:$K$83,5,FALSE))), $C21= "0", 0), 0)</f>
        <v>0</v>
      </c>
      <c r="DI21" s="44">
        <f>IFERROR(_xlfn.IFS($C21="1",('Inputs-System'!$C$30*'Coincidence Factors'!$B$9*(1+'Inputs-System'!$C$18)*(1+'Inputs-System'!$C$41))*'Inputs-Proposals'!$E$17*'Inputs-Proposals'!$E$19*(1-'Inputs-Proposals'!$E$20^(DH$3-'Inputs-System'!$C$7))*(VLOOKUP(DH$3,'Embedded Emissions'!$A$47:$B$78,2,FALSE)+VLOOKUP(DH$3,'Embedded Emissions'!$A$129:$B$158,2,FALSE)), $C21 = "2",('Inputs-System'!$C$30*'Coincidence Factors'!$B$9*(1+'Inputs-System'!$C$18)*(1+'Inputs-System'!$C$41))*'Inputs-Proposals'!$E$23*'Inputs-Proposals'!$E$25*(1-'Inputs-Proposals'!$E$20^(DH$3-'Inputs-System'!$C$7))*(VLOOKUP(DH$3,'Embedded Emissions'!$A$47:$B$78,2,FALSE)+VLOOKUP(DH$3,'Embedded Emissions'!$A$129:$B$158,2,FALSE)), $C21 = "3", ('Inputs-System'!$C$30*'Coincidence Factors'!$B$9*(1+'Inputs-System'!$C$18)*(1+'Inputs-System'!$C$41))*'Inputs-Proposals'!$E$29*'Inputs-Proposals'!$E$31*(1-'Inputs-Proposals'!$E$20^(DH$3-'Inputs-System'!$C$7))*(VLOOKUP(DH$3,'Embedded Emissions'!$A$47:$B$78,2,FALSE)+VLOOKUP(DH$3,'Embedded Emissions'!$A$129:$B$158,2,FALSE)), $C21 = "0", 0), 0)</f>
        <v>0</v>
      </c>
      <c r="DJ21" s="44">
        <f>IFERROR(_xlfn.IFS($C21="1",( 'Inputs-System'!$C$30*'Coincidence Factors'!$B$9*(1+'Inputs-System'!$C$18)*(1+'Inputs-System'!$C$41))*('Inputs-Proposals'!$E$17*'Inputs-Proposals'!$E$19*(1-'Inputs-Proposals'!$E$20)^(DH$3-'Inputs-System'!$C$7))*(VLOOKUP(DH$3,DRIPE!$A$54:$I$82,5,FALSE)+VLOOKUP(DH$3,DRIPE!$A$54:$I$82,9,FALSE))+ ('Inputs-System'!$C$26*'Coincidence Factors'!$B$6*(1+'Inputs-System'!$C$18)*(1+'Inputs-System'!$C$42))*'Inputs-Proposals'!$E$16*VLOOKUP(DH$3,DRIPE!$A$54:$I$82,8,FALSE), $C21 = "2",( 'Inputs-System'!$C$30*'Coincidence Factors'!$B$9*(1+'Inputs-System'!$C$18)*(1+'Inputs-System'!$C$41))*('Inputs-Proposals'!$E$23*'Inputs-Proposals'!$E$25*(1-'Inputs-Proposals'!$E$26)^(DH$3-'Inputs-System'!$C$7))*(VLOOKUP(DH$3,DRIPE!$A$54:$I$82,5,FALSE)+VLOOKUP(DH$3,DRIPE!$A$54:$I$82,9,FALSE))+ ('Inputs-System'!$C$26*'Coincidence Factors'!$B$6*(1+'Inputs-System'!$C$18)*(1+'Inputs-System'!$C$42))*'Inputs-Proposals'!$E$22*VLOOKUP(DH$3,DRIPE!$A$54:$I$82,8,FALSE), $C21= "3", ( 'Inputs-System'!$C$30*'Coincidence Factors'!$B$9*(1+'Inputs-System'!$C$18)*(1+'Inputs-System'!$C$41))*('Inputs-Proposals'!$E$29*'Inputs-Proposals'!$E$31*(1-'Inputs-Proposals'!$E$32)^(DH$3-'Inputs-System'!$C$7))*(VLOOKUP(DH$3,DRIPE!$A$54:$I$82,5,FALSE)+VLOOKUP(DH$3,DRIPE!$A$54:$I$82,9,FALSE))+ ('Inputs-System'!$C$26*'Coincidence Factors'!$B$6*(1+'Inputs-System'!$C$18)*(1+'Inputs-System'!$C$42))*'Inputs-Proposals'!$E$28*VLOOKUP(DH$3,DRIPE!$A$54:$I$82,8,FALSE), $C21 = "0", 0), 0)</f>
        <v>0</v>
      </c>
      <c r="DK21" s="45">
        <f>IFERROR(_xlfn.IFS($C21="1",('Inputs-System'!$C$26*'Coincidence Factors'!$B$9*(1+'Inputs-System'!$C$18)*(1+'Inputs-System'!$C$42))*'Inputs-Proposals'!$D$16*(VLOOKUP(DH$3,Capacity!$A$53:$E$85,4,FALSE)*(1+'Inputs-System'!$C$42)+VLOOKUP(DH$3,Capacity!$A$53:$E$85,5,FALSE)*(1+'Inputs-System'!$C$43)*'Inputs-System'!$C$29), $C21 = "2", ('Inputs-System'!$C$26*'Coincidence Factors'!$B$9*(1+'Inputs-System'!$C$18))*'Inputs-Proposals'!$D$22*(VLOOKUP(DH$3,Capacity!$A$53:$E$85,4,FALSE)*(1+'Inputs-System'!$C$42)+VLOOKUP(DH$3,Capacity!$A$53:$E$85,5,FALSE)*'Inputs-System'!$C$29*(1+'Inputs-System'!$C$43)), $C21 = "3", ('Inputs-System'!$C$26*'Coincidence Factors'!$B$9*(1+'Inputs-System'!$C$18))*'Inputs-Proposals'!$D$28*(VLOOKUP(DH$3,Capacity!$A$53:$E$85,4,FALSE)*(1+'Inputs-System'!$C$42)+VLOOKUP(DH$3,Capacity!$A$53:$E$85,5,FALSE)*'Inputs-System'!$C$29*(1+'Inputs-System'!$C$43)), $C21 = "0", 0), 0)</f>
        <v>0</v>
      </c>
      <c r="DL21" s="44">
        <v>0</v>
      </c>
      <c r="DM21" s="342">
        <f>IFERROR(_xlfn.IFS($C21="1", 'Inputs-System'!$C$30*'Coincidence Factors'!$B$9*'Inputs-Proposals'!$E$17*'Inputs-Proposals'!$E$19*(VLOOKUP(DH$3,'Non-Embedded Emissions'!$A$56:$D$90,2,FALSE)-VLOOKUP(DH$3,'Non-Embedded Emissions'!$F$57:$H$88,2,FALSE)+VLOOKUP(DH$3,'Non-Embedded Emissions'!$A$143:$D$174,2,FALSE)-VLOOKUP(DH$3,'Non-Embedded Emissions'!$F$143:$H$174,2,FALSE)+VLOOKUP(DH$3,'Non-Embedded Emissions'!$A$230:$D$259,2,FALSE)), $C21 = "2", 'Inputs-System'!$C$30*'Coincidence Factors'!$B$9*'Inputs-Proposals'!$E$23*'Inputs-Proposals'!$E$25*(VLOOKUP(DH$3,'Non-Embedded Emissions'!$A$56:$D$90,2,FALSE)-VLOOKUP(DH$3,'Non-Embedded Emissions'!$F$57:$H$88,2,FALSE)+VLOOKUP(DH$3,'Non-Embedded Emissions'!$A$143:$D$174,2,FALSE)-VLOOKUP(DH$3,'Non-Embedded Emissions'!$F$143:$H$174,2,FALSE)+VLOOKUP(DH$3,'Non-Embedded Emissions'!$A$230:$D$259,2,FALSE)), $C21 = "3", 'Inputs-System'!$C$30*'Coincidence Factors'!$B$9*'Inputs-Proposals'!$E$29*'Inputs-Proposals'!$E$31*(VLOOKUP(DH$3,'Non-Embedded Emissions'!$A$56:$D$90,2,FALSE)-VLOOKUP(DH$3,'Non-Embedded Emissions'!$F$57:$H$88,2,FALSE)+VLOOKUP(DH$3,'Non-Embedded Emissions'!$A$143:$D$174,2,FALSE)-VLOOKUP(DH$3,'Non-Embedded Emissions'!$F$143:$H$174,2,FALSE)+VLOOKUP(DH$3,'Non-Embedded Emissions'!$A$230:$D$259,2,FALSE)), $C21 = "0", 0), 0)</f>
        <v>0</v>
      </c>
      <c r="DN21" s="45">
        <f>IFERROR(_xlfn.IFS($C21="1",('Inputs-System'!$C$30*'Coincidence Factors'!$B$9*(1+'Inputs-System'!$C$18)*(1+'Inputs-System'!$C$41)*('Inputs-Proposals'!$C$17*'Inputs-Proposals'!$C$19*(1-'Inputs-Proposals'!$C$20^(DN$3-'Inputs-System'!$C$7)))*(VLOOKUP(DN$3,Energy!$A$51:$K$83,5,FALSE))), $C21 = "2",('Inputs-System'!$C$30*'Coincidence Factors'!$B$9)*(1+'Inputs-System'!$C$18)*(1+'Inputs-System'!$C$41)*('Inputs-Proposals'!$C$23*'Inputs-Proposals'!$C$25*(1-'Inputs-Proposals'!$C$26^(DN$3-'Inputs-System'!$C$7)))*(VLOOKUP(DN$3,Energy!$A$51:$K$83,5,FALSE)), $C21= "3", ('Inputs-System'!$C$30*'Coincidence Factors'!$B$9*(1+'Inputs-System'!$C$18)*(1+'Inputs-System'!$C$41)*('Inputs-Proposals'!$C$29*'Inputs-Proposals'!$C$31*(1-'Inputs-Proposals'!$C$32^(DN$3-'Inputs-System'!$C$7)))*(VLOOKUP(DN$3,Energy!$A$51:$K$83,5,FALSE))), $C21= "0", 0), 0)</f>
        <v>0</v>
      </c>
      <c r="DO21" s="44">
        <f>IFERROR(_xlfn.IFS($C21="1",('Inputs-System'!$C$30*'Coincidence Factors'!$B$9*(1+'Inputs-System'!$C$18)*(1+'Inputs-System'!$C$41))*'Inputs-Proposals'!$E$17*'Inputs-Proposals'!$E$19*(1-'Inputs-Proposals'!$E$20^(DN$3-'Inputs-System'!$C$7))*(VLOOKUP(DN$3,'Embedded Emissions'!$A$47:$B$78,2,FALSE)+VLOOKUP(DN$3,'Embedded Emissions'!$A$129:$B$158,2,FALSE)), $C21 = "2",('Inputs-System'!$C$30*'Coincidence Factors'!$B$9*(1+'Inputs-System'!$C$18)*(1+'Inputs-System'!$C$41))*'Inputs-Proposals'!$E$23*'Inputs-Proposals'!$E$25*(1-'Inputs-Proposals'!$E$20^(DN$3-'Inputs-System'!$C$7))*(VLOOKUP(DN$3,'Embedded Emissions'!$A$47:$B$78,2,FALSE)+VLOOKUP(DN$3,'Embedded Emissions'!$A$129:$B$158,2,FALSE)), $C21 = "3", ('Inputs-System'!$C$30*'Coincidence Factors'!$B$9*(1+'Inputs-System'!$C$18)*(1+'Inputs-System'!$C$41))*'Inputs-Proposals'!$E$29*'Inputs-Proposals'!$E$31*(1-'Inputs-Proposals'!$E$20^(DN$3-'Inputs-System'!$C$7))*(VLOOKUP(DN$3,'Embedded Emissions'!$A$47:$B$78,2,FALSE)+VLOOKUP(DN$3,'Embedded Emissions'!$A$129:$B$158,2,FALSE)), $C21 = "0", 0), 0)</f>
        <v>0</v>
      </c>
      <c r="DP21" s="44">
        <f>IFERROR(_xlfn.IFS($C21="1",( 'Inputs-System'!$C$30*'Coincidence Factors'!$B$9*(1+'Inputs-System'!$C$18)*(1+'Inputs-System'!$C$41))*('Inputs-Proposals'!$E$17*'Inputs-Proposals'!$E$19*(1-'Inputs-Proposals'!$E$20)^(DN$3-'Inputs-System'!$C$7))*(VLOOKUP(DN$3,DRIPE!$A$54:$I$82,5,FALSE)+VLOOKUP(DN$3,DRIPE!$A$54:$I$82,9,FALSE))+ ('Inputs-System'!$C$26*'Coincidence Factors'!$B$6*(1+'Inputs-System'!$C$18)*(1+'Inputs-System'!$C$42))*'Inputs-Proposals'!$E$16*VLOOKUP(DN$3,DRIPE!$A$54:$I$82,8,FALSE), $C21 = "2",( 'Inputs-System'!$C$30*'Coincidence Factors'!$B$9*(1+'Inputs-System'!$C$18)*(1+'Inputs-System'!$C$41))*('Inputs-Proposals'!$E$23*'Inputs-Proposals'!$E$25*(1-'Inputs-Proposals'!$E$26)^(DN$3-'Inputs-System'!$C$7))*(VLOOKUP(DN$3,DRIPE!$A$54:$I$82,5,FALSE)+VLOOKUP(DN$3,DRIPE!$A$54:$I$82,9,FALSE))+ ('Inputs-System'!$C$26*'Coincidence Factors'!$B$6*(1+'Inputs-System'!$C$18)*(1+'Inputs-System'!$C$42))*'Inputs-Proposals'!$E$22*VLOOKUP(DN$3,DRIPE!$A$54:$I$82,8,FALSE), $C21= "3", ( 'Inputs-System'!$C$30*'Coincidence Factors'!$B$9*(1+'Inputs-System'!$C$18)*(1+'Inputs-System'!$C$41))*('Inputs-Proposals'!$E$29*'Inputs-Proposals'!$E$31*(1-'Inputs-Proposals'!$E$32)^(DN$3-'Inputs-System'!$C$7))*(VLOOKUP(DN$3,DRIPE!$A$54:$I$82,5,FALSE)+VLOOKUP(DN$3,DRIPE!$A$54:$I$82,9,FALSE))+ ('Inputs-System'!$C$26*'Coincidence Factors'!$B$6*(1+'Inputs-System'!$C$18)*(1+'Inputs-System'!$C$42))*'Inputs-Proposals'!$E$28*VLOOKUP(DN$3,DRIPE!$A$54:$I$82,8,FALSE), $C21 = "0", 0), 0)</f>
        <v>0</v>
      </c>
      <c r="DQ21" s="45">
        <f>IFERROR(_xlfn.IFS($C21="1",('Inputs-System'!$C$26*'Coincidence Factors'!$B$9*(1+'Inputs-System'!$C$18)*(1+'Inputs-System'!$C$42))*'Inputs-Proposals'!$D$16*(VLOOKUP(DN$3,Capacity!$A$53:$E$85,4,FALSE)*(1+'Inputs-System'!$C$42)+VLOOKUP(DN$3,Capacity!$A$53:$E$85,5,FALSE)*(1+'Inputs-System'!$C$43)*'Inputs-System'!$C$29), $C21 = "2", ('Inputs-System'!$C$26*'Coincidence Factors'!$B$9*(1+'Inputs-System'!$C$18))*'Inputs-Proposals'!$D$22*(VLOOKUP(DN$3,Capacity!$A$53:$E$85,4,FALSE)*(1+'Inputs-System'!$C$42)+VLOOKUP(DN$3,Capacity!$A$53:$E$85,5,FALSE)*'Inputs-System'!$C$29*(1+'Inputs-System'!$C$43)), $C21 = "3", ('Inputs-System'!$C$26*'Coincidence Factors'!$B$9*(1+'Inputs-System'!$C$18))*'Inputs-Proposals'!$D$28*(VLOOKUP(DN$3,Capacity!$A$53:$E$85,4,FALSE)*(1+'Inputs-System'!$C$42)+VLOOKUP(DN$3,Capacity!$A$53:$E$85,5,FALSE)*'Inputs-System'!$C$29*(1+'Inputs-System'!$C$43)), $C21 = "0", 0), 0)</f>
        <v>0</v>
      </c>
      <c r="DR21" s="44">
        <v>0</v>
      </c>
      <c r="DS21" s="342">
        <f>IFERROR(_xlfn.IFS($C21="1", 'Inputs-System'!$C$30*'Coincidence Factors'!$B$9*'Inputs-Proposals'!$E$17*'Inputs-Proposals'!$E$19*(VLOOKUP(DN$3,'Non-Embedded Emissions'!$A$56:$D$90,2,FALSE)-VLOOKUP(DN$3,'Non-Embedded Emissions'!$F$57:$H$88,2,FALSE)+VLOOKUP(DN$3,'Non-Embedded Emissions'!$A$143:$D$174,2,FALSE)-VLOOKUP(DN$3,'Non-Embedded Emissions'!$F$143:$H$174,2,FALSE)+VLOOKUP(DN$3,'Non-Embedded Emissions'!$A$230:$D$259,2,FALSE)), $C21 = "2", 'Inputs-System'!$C$30*'Coincidence Factors'!$B$9*'Inputs-Proposals'!$E$23*'Inputs-Proposals'!$E$25*(VLOOKUP(DN$3,'Non-Embedded Emissions'!$A$56:$D$90,2,FALSE)-VLOOKUP(DN$3,'Non-Embedded Emissions'!$F$57:$H$88,2,FALSE)+VLOOKUP(DN$3,'Non-Embedded Emissions'!$A$143:$D$174,2,FALSE)-VLOOKUP(DN$3,'Non-Embedded Emissions'!$F$143:$H$174,2,FALSE)+VLOOKUP(DN$3,'Non-Embedded Emissions'!$A$230:$D$259,2,FALSE)), $C21 = "3", 'Inputs-System'!$C$30*'Coincidence Factors'!$B$9*'Inputs-Proposals'!$E$29*'Inputs-Proposals'!$E$31*(VLOOKUP(DN$3,'Non-Embedded Emissions'!$A$56:$D$90,2,FALSE)-VLOOKUP(DN$3,'Non-Embedded Emissions'!$F$57:$H$88,2,FALSE)+VLOOKUP(DN$3,'Non-Embedded Emissions'!$A$143:$D$174,2,FALSE)-VLOOKUP(DN$3,'Non-Embedded Emissions'!$F$143:$H$174,2,FALSE)+VLOOKUP(DN$3,'Non-Embedded Emissions'!$A$230:$D$259,2,FALSE)), $C21 = "0", 0), 0)</f>
        <v>0</v>
      </c>
      <c r="DT21" s="45">
        <f>IFERROR(_xlfn.IFS($C21="1",('Inputs-System'!$C$30*'Coincidence Factors'!$B$9*(1+'Inputs-System'!$C$18)*(1+'Inputs-System'!$C$41)*('Inputs-Proposals'!$C$17*'Inputs-Proposals'!$C$19*(1-'Inputs-Proposals'!$C$20^(DT$3-'Inputs-System'!$C$7)))*(VLOOKUP(DT$3,Energy!$A$51:$K$83,5,FALSE))), $C21 = "2",('Inputs-System'!$C$30*'Coincidence Factors'!$B$9)*(1+'Inputs-System'!$C$18)*(1+'Inputs-System'!$C$41)*('Inputs-Proposals'!$C$23*'Inputs-Proposals'!$C$25*(1-'Inputs-Proposals'!$C$26^(DT$3-'Inputs-System'!$C$7)))*(VLOOKUP(DT$3,Energy!$A$51:$K$83,5,FALSE)), $C21= "3", ('Inputs-System'!$C$30*'Coincidence Factors'!$B$9*(1+'Inputs-System'!$C$18)*(1+'Inputs-System'!$C$41)*('Inputs-Proposals'!$C$29*'Inputs-Proposals'!$C$31*(1-'Inputs-Proposals'!$C$32^(DT$3-'Inputs-System'!$C$7)))*(VLOOKUP(DT$3,Energy!$A$51:$K$83,5,FALSE))), $C21= "0", 0), 0)</f>
        <v>0</v>
      </c>
      <c r="DU21" s="44">
        <f>IFERROR(_xlfn.IFS($C21="1",('Inputs-System'!$C$30*'Coincidence Factors'!$B$9*(1+'Inputs-System'!$C$18)*(1+'Inputs-System'!$C$41))*'Inputs-Proposals'!$E$17*'Inputs-Proposals'!$E$19*(1-'Inputs-Proposals'!$E$20^(DT$3-'Inputs-System'!$C$7))*(VLOOKUP(DT$3,'Embedded Emissions'!$A$47:$B$78,2,FALSE)+VLOOKUP(DT$3,'Embedded Emissions'!$A$129:$B$158,2,FALSE)), $C21 = "2",('Inputs-System'!$C$30*'Coincidence Factors'!$B$9*(1+'Inputs-System'!$C$18)*(1+'Inputs-System'!$C$41))*'Inputs-Proposals'!$E$23*'Inputs-Proposals'!$E$25*(1-'Inputs-Proposals'!$E$20^(DT$3-'Inputs-System'!$C$7))*(VLOOKUP(DT$3,'Embedded Emissions'!$A$47:$B$78,2,FALSE)+VLOOKUP(DT$3,'Embedded Emissions'!$A$129:$B$158,2,FALSE)), $C21 = "3", ('Inputs-System'!$C$30*'Coincidence Factors'!$B$9*(1+'Inputs-System'!$C$18)*(1+'Inputs-System'!$C$41))*'Inputs-Proposals'!$E$29*'Inputs-Proposals'!$E$31*(1-'Inputs-Proposals'!$E$20^(DT$3-'Inputs-System'!$C$7))*(VLOOKUP(DT$3,'Embedded Emissions'!$A$47:$B$78,2,FALSE)+VLOOKUP(DT$3,'Embedded Emissions'!$A$129:$B$158,2,FALSE)), $C21 = "0", 0), 0)</f>
        <v>0</v>
      </c>
      <c r="DV21" s="44">
        <f>IFERROR(_xlfn.IFS($C21="1",( 'Inputs-System'!$C$30*'Coincidence Factors'!$B$9*(1+'Inputs-System'!$C$18)*(1+'Inputs-System'!$C$41))*('Inputs-Proposals'!$E$17*'Inputs-Proposals'!$E$19*(1-'Inputs-Proposals'!$E$20)^(DT$3-'Inputs-System'!$C$7))*(VLOOKUP(DT$3,DRIPE!$A$54:$I$82,5,FALSE)+VLOOKUP(DT$3,DRIPE!$A$54:$I$82,9,FALSE))+ ('Inputs-System'!$C$26*'Coincidence Factors'!$B$6*(1+'Inputs-System'!$C$18)*(1+'Inputs-System'!$C$42))*'Inputs-Proposals'!$E$16*VLOOKUP(DT$3,DRIPE!$A$54:$I$82,8,FALSE), $C21 = "2",( 'Inputs-System'!$C$30*'Coincidence Factors'!$B$9*(1+'Inputs-System'!$C$18)*(1+'Inputs-System'!$C$41))*('Inputs-Proposals'!$E$23*'Inputs-Proposals'!$E$25*(1-'Inputs-Proposals'!$E$26)^(DT$3-'Inputs-System'!$C$7))*(VLOOKUP(DT$3,DRIPE!$A$54:$I$82,5,FALSE)+VLOOKUP(DT$3,DRIPE!$A$54:$I$82,9,FALSE))+ ('Inputs-System'!$C$26*'Coincidence Factors'!$B$6*(1+'Inputs-System'!$C$18)*(1+'Inputs-System'!$C$42))*'Inputs-Proposals'!$E$22*VLOOKUP(DT$3,DRIPE!$A$54:$I$82,8,FALSE), $C21= "3", ( 'Inputs-System'!$C$30*'Coincidence Factors'!$B$9*(1+'Inputs-System'!$C$18)*(1+'Inputs-System'!$C$41))*('Inputs-Proposals'!$E$29*'Inputs-Proposals'!$E$31*(1-'Inputs-Proposals'!$E$32)^(DT$3-'Inputs-System'!$C$7))*(VLOOKUP(DT$3,DRIPE!$A$54:$I$82,5,FALSE)+VLOOKUP(DT$3,DRIPE!$A$54:$I$82,9,FALSE))+ ('Inputs-System'!$C$26*'Coincidence Factors'!$B$6*(1+'Inputs-System'!$C$18)*(1+'Inputs-System'!$C$42))*'Inputs-Proposals'!$E$28*VLOOKUP(DT$3,DRIPE!$A$54:$I$82,8,FALSE), $C21 = "0", 0), 0)</f>
        <v>0</v>
      </c>
      <c r="DW21" s="45">
        <f>IFERROR(_xlfn.IFS($C21="1",('Inputs-System'!$C$26*'Coincidence Factors'!$B$9*(1+'Inputs-System'!$C$18)*(1+'Inputs-System'!$C$42))*'Inputs-Proposals'!$D$16*(VLOOKUP(DT$3,Capacity!$A$53:$E$85,4,FALSE)*(1+'Inputs-System'!$C$42)+VLOOKUP(DT$3,Capacity!$A$53:$E$85,5,FALSE)*(1+'Inputs-System'!$C$43)*'Inputs-System'!$C$29), $C21 = "2", ('Inputs-System'!$C$26*'Coincidence Factors'!$B$9*(1+'Inputs-System'!$C$18))*'Inputs-Proposals'!$D$22*(VLOOKUP(DT$3,Capacity!$A$53:$E$85,4,FALSE)*(1+'Inputs-System'!$C$42)+VLOOKUP(DT$3,Capacity!$A$53:$E$85,5,FALSE)*'Inputs-System'!$C$29*(1+'Inputs-System'!$C$43)), $C21 = "3", ('Inputs-System'!$C$26*'Coincidence Factors'!$B$9*(1+'Inputs-System'!$C$18))*'Inputs-Proposals'!$D$28*(VLOOKUP(DT$3,Capacity!$A$53:$E$85,4,FALSE)*(1+'Inputs-System'!$C$42)+VLOOKUP(DT$3,Capacity!$A$53:$E$85,5,FALSE)*'Inputs-System'!$C$29*(1+'Inputs-System'!$C$43)), $C21 = "0", 0), 0)</f>
        <v>0</v>
      </c>
      <c r="DX21" s="44">
        <v>0</v>
      </c>
      <c r="DY21" s="342">
        <f>IFERROR(_xlfn.IFS($C21="1", 'Inputs-System'!$C$30*'Coincidence Factors'!$B$9*'Inputs-Proposals'!$E$17*'Inputs-Proposals'!$E$19*(VLOOKUP(DT$3,'Non-Embedded Emissions'!$A$56:$D$90,2,FALSE)-VLOOKUP(DT$3,'Non-Embedded Emissions'!$F$57:$H$88,2,FALSE)+VLOOKUP(DT$3,'Non-Embedded Emissions'!$A$143:$D$174,2,FALSE)-VLOOKUP(DT$3,'Non-Embedded Emissions'!$F$143:$H$174,2,FALSE)+VLOOKUP(DT$3,'Non-Embedded Emissions'!$A$230:$D$259,2,FALSE)), $C21 = "2", 'Inputs-System'!$C$30*'Coincidence Factors'!$B$9*'Inputs-Proposals'!$E$23*'Inputs-Proposals'!$E$25*(VLOOKUP(DT$3,'Non-Embedded Emissions'!$A$56:$D$90,2,FALSE)-VLOOKUP(DT$3,'Non-Embedded Emissions'!$F$57:$H$88,2,FALSE)+VLOOKUP(DT$3,'Non-Embedded Emissions'!$A$143:$D$174,2,FALSE)-VLOOKUP(DT$3,'Non-Embedded Emissions'!$F$143:$H$174,2,FALSE)+VLOOKUP(DT$3,'Non-Embedded Emissions'!$A$230:$D$259,2,FALSE)), $C21 = "3", 'Inputs-System'!$C$30*'Coincidence Factors'!$B$9*'Inputs-Proposals'!$E$29*'Inputs-Proposals'!$E$31*(VLOOKUP(DT$3,'Non-Embedded Emissions'!$A$56:$D$90,2,FALSE)-VLOOKUP(DT$3,'Non-Embedded Emissions'!$F$57:$H$88,2,FALSE)+VLOOKUP(DT$3,'Non-Embedded Emissions'!$A$143:$D$174,2,FALSE)-VLOOKUP(DT$3,'Non-Embedded Emissions'!$F$143:$H$174,2,FALSE)+VLOOKUP(DT$3,'Non-Embedded Emissions'!$A$230:$D$259,2,FALSE)), $C21 = "0", 0), 0)</f>
        <v>0</v>
      </c>
      <c r="DZ21" s="45">
        <f>IFERROR(_xlfn.IFS($C21="1",('Inputs-System'!$C$30*'Coincidence Factors'!$B$9*(1+'Inputs-System'!$C$18)*(1+'Inputs-System'!$C$41)*('Inputs-Proposals'!$C$17*'Inputs-Proposals'!$C$19*(1-'Inputs-Proposals'!$C$20^(DZ$3-'Inputs-System'!$C$7)))*(VLOOKUP(DZ$3,Energy!$A$51:$K$83,5,FALSE))), $C21 = "2",('Inputs-System'!$C$30*'Coincidence Factors'!$B$9)*(1+'Inputs-System'!$C$18)*(1+'Inputs-System'!$C$41)*('Inputs-Proposals'!$C$23*'Inputs-Proposals'!$C$25*(1-'Inputs-Proposals'!$C$26^(DZ$3-'Inputs-System'!$C$7)))*(VLOOKUP(DZ$3,Energy!$A$51:$K$83,5,FALSE)), $C21= "3", ('Inputs-System'!$C$30*'Coincidence Factors'!$B$9*(1+'Inputs-System'!$C$18)*(1+'Inputs-System'!$C$41)*('Inputs-Proposals'!$C$29*'Inputs-Proposals'!$C$31*(1-'Inputs-Proposals'!$C$32^(DZ$3-'Inputs-System'!$C$7)))*(VLOOKUP(DZ$3,Energy!$A$51:$K$83,5,FALSE))), $C21= "0", 0), 0)</f>
        <v>0</v>
      </c>
      <c r="EA21" s="44">
        <f>IFERROR(_xlfn.IFS($C21="1",('Inputs-System'!$C$30*'Coincidence Factors'!$B$9*(1+'Inputs-System'!$C$18)*(1+'Inputs-System'!$C$41))*'Inputs-Proposals'!$E$17*'Inputs-Proposals'!$E$19*(1-'Inputs-Proposals'!$E$20^(DZ$3-'Inputs-System'!$C$7))*(VLOOKUP(DZ$3,'Embedded Emissions'!$A$47:$B$78,2,FALSE)+VLOOKUP(DZ$3,'Embedded Emissions'!$A$129:$B$158,2,FALSE)), $C21 = "2",('Inputs-System'!$C$30*'Coincidence Factors'!$B$9*(1+'Inputs-System'!$C$18)*(1+'Inputs-System'!$C$41))*'Inputs-Proposals'!$E$23*'Inputs-Proposals'!$E$25*(1-'Inputs-Proposals'!$E$20^(DZ$3-'Inputs-System'!$C$7))*(VLOOKUP(DZ$3,'Embedded Emissions'!$A$47:$B$78,2,FALSE)+VLOOKUP(DZ$3,'Embedded Emissions'!$A$129:$B$158,2,FALSE)), $C21 = "3", ('Inputs-System'!$C$30*'Coincidence Factors'!$B$9*(1+'Inputs-System'!$C$18)*(1+'Inputs-System'!$C$41))*'Inputs-Proposals'!$E$29*'Inputs-Proposals'!$E$31*(1-'Inputs-Proposals'!$E$20^(DZ$3-'Inputs-System'!$C$7))*(VLOOKUP(DZ$3,'Embedded Emissions'!$A$47:$B$78,2,FALSE)+VLOOKUP(DZ$3,'Embedded Emissions'!$A$129:$B$158,2,FALSE)), $C21 = "0", 0), 0)</f>
        <v>0</v>
      </c>
      <c r="EB21" s="44">
        <f>IFERROR(_xlfn.IFS($C21="1",( 'Inputs-System'!$C$30*'Coincidence Factors'!$B$9*(1+'Inputs-System'!$C$18)*(1+'Inputs-System'!$C$41))*('Inputs-Proposals'!$E$17*'Inputs-Proposals'!$E$19*(1-'Inputs-Proposals'!$E$20)^(DZ$3-'Inputs-System'!$C$7))*(VLOOKUP(DZ$3,DRIPE!$A$54:$I$82,5,FALSE)+VLOOKUP(DZ$3,DRIPE!$A$54:$I$82,9,FALSE))+ ('Inputs-System'!$C$26*'Coincidence Factors'!$B$6*(1+'Inputs-System'!$C$18)*(1+'Inputs-System'!$C$42))*'Inputs-Proposals'!$E$16*VLOOKUP(DZ$3,DRIPE!$A$54:$I$82,8,FALSE), $C21 = "2",( 'Inputs-System'!$C$30*'Coincidence Factors'!$B$9*(1+'Inputs-System'!$C$18)*(1+'Inputs-System'!$C$41))*('Inputs-Proposals'!$E$23*'Inputs-Proposals'!$E$25*(1-'Inputs-Proposals'!$E$26)^(DZ$3-'Inputs-System'!$C$7))*(VLOOKUP(DZ$3,DRIPE!$A$54:$I$82,5,FALSE)+VLOOKUP(DZ$3,DRIPE!$A$54:$I$82,9,FALSE))+ ('Inputs-System'!$C$26*'Coincidence Factors'!$B$6*(1+'Inputs-System'!$C$18)*(1+'Inputs-System'!$C$42))*'Inputs-Proposals'!$E$22*VLOOKUP(DZ$3,DRIPE!$A$54:$I$82,8,FALSE), $C21= "3", ( 'Inputs-System'!$C$30*'Coincidence Factors'!$B$9*(1+'Inputs-System'!$C$18)*(1+'Inputs-System'!$C$41))*('Inputs-Proposals'!$E$29*'Inputs-Proposals'!$E$31*(1-'Inputs-Proposals'!$E$32)^(DZ$3-'Inputs-System'!$C$7))*(VLOOKUP(DZ$3,DRIPE!$A$54:$I$82,5,FALSE)+VLOOKUP(DZ$3,DRIPE!$A$54:$I$82,9,FALSE))+ ('Inputs-System'!$C$26*'Coincidence Factors'!$B$6*(1+'Inputs-System'!$C$18)*(1+'Inputs-System'!$C$42))*'Inputs-Proposals'!$E$28*VLOOKUP(DZ$3,DRIPE!$A$54:$I$82,8,FALSE), $C21 = "0", 0), 0)</f>
        <v>0</v>
      </c>
      <c r="EC21" s="45">
        <f>IFERROR(_xlfn.IFS($C21="1",('Inputs-System'!$C$26*'Coincidence Factors'!$B$9*(1+'Inputs-System'!$C$18)*(1+'Inputs-System'!$C$42))*'Inputs-Proposals'!$D$16*(VLOOKUP(DZ$3,Capacity!$A$53:$E$85,4,FALSE)*(1+'Inputs-System'!$C$42)+VLOOKUP(DZ$3,Capacity!$A$53:$E$85,5,FALSE)*(1+'Inputs-System'!$C$43)*'Inputs-System'!$C$29), $C21 = "2", ('Inputs-System'!$C$26*'Coincidence Factors'!$B$9*(1+'Inputs-System'!$C$18))*'Inputs-Proposals'!$D$22*(VLOOKUP(DZ$3,Capacity!$A$53:$E$85,4,FALSE)*(1+'Inputs-System'!$C$42)+VLOOKUP(DZ$3,Capacity!$A$53:$E$85,5,FALSE)*'Inputs-System'!$C$29*(1+'Inputs-System'!$C$43)), $C21 = "3", ('Inputs-System'!$C$26*'Coincidence Factors'!$B$9*(1+'Inputs-System'!$C$18))*'Inputs-Proposals'!$D$28*(VLOOKUP(DZ$3,Capacity!$A$53:$E$85,4,FALSE)*(1+'Inputs-System'!$C$42)+VLOOKUP(DZ$3,Capacity!$A$53:$E$85,5,FALSE)*'Inputs-System'!$C$29*(1+'Inputs-System'!$C$43)), $C21 = "0", 0), 0)</f>
        <v>0</v>
      </c>
      <c r="ED21" s="44">
        <v>0</v>
      </c>
      <c r="EE21" s="342">
        <f>IFERROR(_xlfn.IFS($C21="1", 'Inputs-System'!$C$30*'Coincidence Factors'!$B$9*'Inputs-Proposals'!$E$17*'Inputs-Proposals'!$E$19*(VLOOKUP(DZ$3,'Non-Embedded Emissions'!$A$56:$D$90,2,FALSE)-VLOOKUP(DZ$3,'Non-Embedded Emissions'!$F$57:$H$88,2,FALSE)+VLOOKUP(DZ$3,'Non-Embedded Emissions'!$A$143:$D$174,2,FALSE)-VLOOKUP(DZ$3,'Non-Embedded Emissions'!$F$143:$H$174,2,FALSE)+VLOOKUP(DZ$3,'Non-Embedded Emissions'!$A$230:$D$259,2,FALSE)), $C21 = "2", 'Inputs-System'!$C$30*'Coincidence Factors'!$B$9*'Inputs-Proposals'!$E$23*'Inputs-Proposals'!$E$25*(VLOOKUP(DZ$3,'Non-Embedded Emissions'!$A$56:$D$90,2,FALSE)-VLOOKUP(DZ$3,'Non-Embedded Emissions'!$F$57:$H$88,2,FALSE)+VLOOKUP(DZ$3,'Non-Embedded Emissions'!$A$143:$D$174,2,FALSE)-VLOOKUP(DZ$3,'Non-Embedded Emissions'!$F$143:$H$174,2,FALSE)+VLOOKUP(DZ$3,'Non-Embedded Emissions'!$A$230:$D$259,2,FALSE)), $C21 = "3", 'Inputs-System'!$C$30*'Coincidence Factors'!$B$9*'Inputs-Proposals'!$E$29*'Inputs-Proposals'!$E$31*(VLOOKUP(DZ$3,'Non-Embedded Emissions'!$A$56:$D$90,2,FALSE)-VLOOKUP(DZ$3,'Non-Embedded Emissions'!$F$57:$H$88,2,FALSE)+VLOOKUP(DZ$3,'Non-Embedded Emissions'!$A$143:$D$174,2,FALSE)-VLOOKUP(DZ$3,'Non-Embedded Emissions'!$F$143:$H$174,2,FALSE)+VLOOKUP(DZ$3,'Non-Embedded Emissions'!$A$230:$D$259,2,FALSE)), $C21 = "0", 0), 0)</f>
        <v>0</v>
      </c>
    </row>
    <row r="22" spans="1:135" x14ac:dyDescent="0.35">
      <c r="A22" s="708"/>
      <c r="B22" s="3" t="str">
        <f>B16</f>
        <v>LNG GenSet</v>
      </c>
      <c r="C22" s="3" t="str">
        <f>IFERROR(_xlfn.IFS('Benefits Calc'!B22='Inputs-Proposals'!$E$15, "1", 'Benefits Calc'!B22='Inputs-Proposals'!$E$21, "2", 'Benefits Calc'!B22='Inputs-Proposals'!$E$27, "3"), "0")</f>
        <v>0</v>
      </c>
      <c r="D22" s="324">
        <f t="shared" si="18"/>
        <v>0</v>
      </c>
      <c r="E22" s="320">
        <f t="shared" si="19"/>
        <v>0</v>
      </c>
      <c r="F22" s="320">
        <f t="shared" si="20"/>
        <v>0</v>
      </c>
      <c r="G22" s="320">
        <f t="shared" si="21"/>
        <v>0</v>
      </c>
      <c r="H22" s="320">
        <f t="shared" si="22"/>
        <v>0</v>
      </c>
      <c r="I22" s="320">
        <f t="shared" si="23"/>
        <v>0</v>
      </c>
      <c r="J22" s="323">
        <f>NPV('Inputs-System'!$C$20,P22+V22+AB22+AH22+AN22+AT22+AZ22+BF22+BL22+BR22+BX22+CD22+CJ22+CP22+CV22+DB22+DH22+DN22+DT22+DZ22)</f>
        <v>0</v>
      </c>
      <c r="K22" s="44">
        <f>NPV('Inputs-System'!$C$20,Q22+W22+AC22+AI22+AO22+AU22+BA22+BG22+BM22+BS22+BY22+CE22+CK22+CQ22+CW22+DC22+DI22+DO22+DU22+EA22)</f>
        <v>0</v>
      </c>
      <c r="L22" s="44">
        <f>NPV('Inputs-System'!$C$20,R22+X22+AD22+AJ22+AP22+AV22+BB22+BH22+BN22+BT22+BZ22+CF22+CL22+CR22+CX22+DD22+DJ22+DP22+DV22+EB22)</f>
        <v>0</v>
      </c>
      <c r="M22" s="44">
        <f>NPV('Inputs-System'!$C$20,S22+Y22+AE22+AK22+AQ22+AW22+BC22+BI22+BO22+BU22+CA22+CG22+CM22+CS22+CY22+DE22+DK22+DQ22+DW22+EC22)</f>
        <v>0</v>
      </c>
      <c r="N22" s="44">
        <f>NPV('Inputs-System'!$C$20,T22+Z22+AF22+AL22+AR22+AX22+BD22+BJ22+BP22+BV22+CB22+CH22+CN22+CT22+CZ22+DF22+DL22+DR22+DX22+ED22)</f>
        <v>0</v>
      </c>
      <c r="O22" s="44">
        <f>NPV('Inputs-System'!$C$20,U22+AA22+AG22+AM22+AS22+AY22+BE22+BK22+BQ22+BW22+CC22+CI22+CO22+CU22+DA22+DG22+DM22+DS22+DY22+EE22)</f>
        <v>0</v>
      </c>
      <c r="P22" s="367">
        <f>IFERROR(_xlfn.IFS($C22="1",('Inputs-System'!$C$30*'Coincidence Factors'!$B$10*(1+'Inputs-System'!$C$18)*(1+'Inputs-System'!$C$41)*('Inputs-Proposals'!$E$17*'Inputs-Proposals'!$E$19*(1-'Inputs-Proposals'!$E$20^(P$3-'Inputs-System'!$C$7+1)))*(VLOOKUP(P$3,Energy!$A$51:$K$83,5,FALSE))), $C22 = "2",('Inputs-System'!$C$30*'Coincidence Factors'!$B$10)*(1+'Inputs-System'!$C$18)*(1+'Inputs-System'!$C$41)*('Inputs-Proposals'!$E$23*'Inputs-Proposals'!$E$25*(1-'Inputs-Proposals'!$E$26^(P$3-'Inputs-System'!$C$7+1)))*(VLOOKUP(P$3,Energy!$A$51:$K$83,5,FALSE)), $C22= "3", ('Inputs-System'!$C$30*'Coincidence Factors'!$B$10*(1+'Inputs-System'!$C$18)*(1+'Inputs-System'!$C$41)*('Inputs-Proposals'!$E$29*'Inputs-Proposals'!$E$31*(1-'Inputs-Proposals'!$E$32^(P$3-'Inputs-System'!$C$7+1)))*(VLOOKUP(P$3,Energy!$A$51:$K$83,5,FALSE))), $C22= "0", 0), 0)</f>
        <v>0</v>
      </c>
      <c r="Q22" s="349">
        <f>IFERROR(_xlfn.IFS($C22="1",('Inputs-System'!$C$30*'Coincidence Factors'!$B$10*(1+'Inputs-System'!$C$18)*(1+'Inputs-System'!$C$41))*'Inputs-Proposals'!$E$17*'Inputs-Proposals'!$E$19*(1-'Inputs-Proposals'!$E$20^(P$3-'Inputs-System'!$C$7+1))*(VLOOKUP(P$3,'Embedded Emissions'!$A$47:$B$78,2,FALSE)+VLOOKUP(P$3,'Embedded Emissions'!$A$129:$B$158,2,FALSE)), $C22 = "2",('Inputs-System'!$C$30*'Coincidence Factors'!$B$10*(1+'Inputs-System'!$C$18)*(1+'Inputs-System'!$C$41))*'Inputs-Proposals'!$E$23*'Inputs-Proposals'!$E$25*(1-'Inputs-Proposals'!$E$20^(P$3-'Inputs-System'!$C$7+1))*(VLOOKUP(P$3,'Embedded Emissions'!$A$47:$B$78,2,FALSE)+VLOOKUP(P$3,'Embedded Emissions'!$A$129:$B$158,2,FALSE)), $C22 = "3", ('Inputs-System'!$C$30*'Coincidence Factors'!$B$10*(1+'Inputs-System'!$C$18)*(1+'Inputs-System'!$C$41))*'Inputs-Proposals'!$E$29*'Inputs-Proposals'!$E$31*(1-'Inputs-Proposals'!$E$20^(P$3-'Inputs-System'!$C$7+1))*(VLOOKUP(P$3,'Embedded Emissions'!$A$47:$B$78,2,FALSE)+VLOOKUP(P$3,'Embedded Emissions'!$A$129:$B$158,2,FALSE)), $C22 = "0", 0), 0)</f>
        <v>0</v>
      </c>
      <c r="R22" s="349">
        <f>IFERROR(_xlfn.IFS($C22="1",( 'Inputs-System'!$C$30*'Coincidence Factors'!$B$10*(1+'Inputs-System'!$C$18)*(1+'Inputs-System'!$C$41))*('Inputs-Proposals'!$E$17*'Inputs-Proposals'!$E$19*(1-'Inputs-Proposals'!$E$20)^(P$3-'Inputs-System'!$C$7))*(VLOOKUP(P$3,DRIPE!$A$54:$I$82,5,FALSE)+VLOOKUP(P$3,DRIPE!$A$54:$I$82,9,FALSE))+ ('Inputs-System'!$C$26*'Coincidence Factors'!$B$6*(1+'Inputs-System'!$C$18)*(1+'Inputs-System'!$C$42))*'Inputs-Proposals'!$E$16*VLOOKUP(P$3,DRIPE!$A$54:$I$82,8,FALSE), $C22 = "2",( 'Inputs-System'!$C$30*'Coincidence Factors'!$B$10*(1+'Inputs-System'!$C$18)*(1+'Inputs-System'!$C$41))*('Inputs-Proposals'!$E$23*'Inputs-Proposals'!$E$25*(1-'Inputs-Proposals'!$E$26)^(P$3-'Inputs-System'!$C$7))*(VLOOKUP(P$3,DRIPE!$A$54:$I$82,5,FALSE)+VLOOKUP(P$3,DRIPE!$A$54:$I$82,9,FALSE))+ ('Inputs-System'!$C$26*'Coincidence Factors'!$B$6*(1+'Inputs-System'!$C$18)*(1+'Inputs-System'!$C$42))*'Inputs-Proposals'!$E$22*VLOOKUP(P$3,DRIPE!$A$54:$I$82,8,FALSE), $C22= "3", ( 'Inputs-System'!$C$30*'Coincidence Factors'!$B$10*(1+'Inputs-System'!$C$18)*(1+'Inputs-System'!$C$41))*('Inputs-Proposals'!$E$29*'Inputs-Proposals'!$E$31*(1-'Inputs-Proposals'!$E$32)^(P$3-'Inputs-System'!$C$7))*(VLOOKUP(P$3,DRIPE!$A$54:$I$82,5,FALSE)+VLOOKUP(P$3,DRIPE!$A$54:$I$82,9,FALSE))+ ('Inputs-System'!$C$26*'Coincidence Factors'!$B$6*(1+'Inputs-System'!$C$18)*(1+'Inputs-System'!$C$42))*'Inputs-Proposals'!$E$28*VLOOKUP(P$3,DRIPE!$A$54:$I$82,8,FALSE), $C22 = "0", 0), 0)</f>
        <v>0</v>
      </c>
      <c r="S22" s="350">
        <f>IFERROR(_xlfn.IFS($C22="1",('Inputs-System'!$C$26*'Coincidence Factors'!$B$10*(1+'Inputs-System'!$C$18)*(1+'Inputs-System'!$C$42))*'Inputs-Proposals'!$D$16*(VLOOKUP(P$3,Capacity!$A$53:$E$85,4,FALSE)*(1+'Inputs-System'!$C$42)+VLOOKUP(P$3,Capacity!$A$53:$E$85,5,FALSE)*(1+'Inputs-System'!$C$43)*'Inputs-System'!$C$29), $C22 = "2", ('Inputs-System'!$C$26*'Coincidence Factors'!$B$10*(1+'Inputs-System'!$C$18))*'Inputs-Proposals'!$D$22*(VLOOKUP(P$3,Capacity!$A$53:$E$85,4,FALSE)*(1+'Inputs-System'!$C$42)+VLOOKUP(P$3,Capacity!$A$53:$E$85,5,FALSE)*'Inputs-System'!$C$29*(1+'Inputs-System'!$C$43)), $C22 = "3", ('Inputs-System'!$C$26*'Coincidence Factors'!$B$10*(1+'Inputs-System'!$C$18))*'Inputs-Proposals'!$D$28*(VLOOKUP(P$3,Capacity!$A$53:$E$85,4,FALSE)*(1+'Inputs-System'!$C$42)+VLOOKUP(P$3,Capacity!$A$53:$E$85,5,FALSE)*'Inputs-System'!$C$29*(1+'Inputs-System'!$C$43)), $C22 = "0", 0), 0)</f>
        <v>0</v>
      </c>
      <c r="T22" s="349">
        <v>0</v>
      </c>
      <c r="U22" s="343">
        <f>IFERROR(_xlfn.IFS($C22="1", 'Inputs-System'!$C$30*'Coincidence Factors'!$B$10*'Inputs-Proposals'!$E$17*'Inputs-Proposals'!$E$19*(VLOOKUP(P$3,'Non-Embedded Emissions'!$A$56:$D$90,2,FALSE)-VLOOKUP(P$3,'Non-Embedded Emissions'!$F$57:$H$88,3,FALSE)+VLOOKUP(P$3,'Non-Embedded Emissions'!$A$143:$D$174,2,FALSE)-VLOOKUP(P$3,'Non-Embedded Emissions'!$F$143:$H$174,3,FALSE)+VLOOKUP(P$3,'Non-Embedded Emissions'!$A$230:$D$259,2,FALSE)), $C22 = "2", 'Inputs-System'!$C$30*'Coincidence Factors'!$B$10*'Inputs-Proposals'!$E$23*'Inputs-Proposals'!$E$25*(VLOOKUP(P$3,'Non-Embedded Emissions'!$A$56:$D$90,2,FALSE)-VLOOKUP(P$3,'Non-Embedded Emissions'!$F$57:$H$88,3,FALSE)+VLOOKUP(P$3,'Non-Embedded Emissions'!$A$143:$D$174,2,FALSE)-VLOOKUP(P$3,'Non-Embedded Emissions'!$F$143:$H$174,3,FALSE)+VLOOKUP(P$3,'Non-Embedded Emissions'!$A$230:$D$259,2,FALSE)), $C22 = "3", 'Inputs-System'!$C$30*'Coincidence Factors'!$B$10*'Inputs-Proposals'!$E$29*'Inputs-Proposals'!$E$31*(VLOOKUP(P$3,'Non-Embedded Emissions'!$A$56:$D$90,2,FALSE)-VLOOKUP(P$3,'Non-Embedded Emissions'!$F$57:$H$88,3,FALSE)+VLOOKUP(P$3,'Non-Embedded Emissions'!$A$143:$D$174,2,FALSE)-VLOOKUP(P$3,'Non-Embedded Emissions'!$F$143:$H$174,3,FALSE)+VLOOKUP(P$3,'Non-Embedded Emissions'!$A$230:$D$259,2,FALSE)), $C22 = "0", 0), 0)</f>
        <v>0</v>
      </c>
      <c r="V22" s="45">
        <f>IFERROR(_xlfn.IFS($C22="1",('Inputs-System'!$C$30*'Coincidence Factors'!$B$10*(1+'Inputs-System'!$C$18)*(1+'Inputs-System'!$C$41)*('Inputs-Proposals'!$E$17*'Inputs-Proposals'!$E$19*(1-'Inputs-Proposals'!$E$20^(V$3-'Inputs-System'!$C$7)))*(VLOOKUP(V$3,Energy!$A$51:$K$83,5,FALSE))), $C22 = "2",('Inputs-System'!$C$30*'Coincidence Factors'!$B$10)*(1+'Inputs-System'!$C$18)*(1+'Inputs-System'!$C$41)*('Inputs-Proposals'!$E$23*'Inputs-Proposals'!$E$25*(1-'Inputs-Proposals'!$E$26^(V$3-'Inputs-System'!$C$7)))*(VLOOKUP(V$3,Energy!$A$51:$K$83,5,FALSE)), $C22= "3", ('Inputs-System'!$C$30*'Coincidence Factors'!$B$10*(1+'Inputs-System'!$C$18)*(1+'Inputs-System'!$C$41)*('Inputs-Proposals'!$E$29*'Inputs-Proposals'!$E$31*(1-'Inputs-Proposals'!$E$32^(V$3-'Inputs-System'!$C$7)))*(VLOOKUP(V$3,Energy!$A$51:$K$83,5,FALSE))), $C22= "0", 0), 0)</f>
        <v>0</v>
      </c>
      <c r="W22" s="44">
        <f>IFERROR(_xlfn.IFS($C22="1",('Inputs-System'!$C$30*'Coincidence Factors'!$B$10*(1+'Inputs-System'!$C$18)*(1+'Inputs-System'!$C$41))*'Inputs-Proposals'!$E$17*'Inputs-Proposals'!$E$19*(1-'Inputs-Proposals'!$E$20^(V$3-'Inputs-System'!$C$7))*(VLOOKUP(V$3,'Embedded Emissions'!$A$47:$B$78,2,FALSE)+VLOOKUP(V$3,'Embedded Emissions'!$A$129:$B$158,2,FALSE)), $C22 = "2",('Inputs-System'!$C$30*'Coincidence Factors'!$B$10*(1+'Inputs-System'!$C$18)*(1+'Inputs-System'!$C$41))*'Inputs-Proposals'!$E$23*'Inputs-Proposals'!$E$25*(1-'Inputs-Proposals'!$E$20^(V$3-'Inputs-System'!$C$7))*(VLOOKUP(V$3,'Embedded Emissions'!$A$47:$B$78,2,FALSE)+VLOOKUP(V$3,'Embedded Emissions'!$A$129:$B$158,2,FALSE)), $C22 = "3", ('Inputs-System'!$C$30*'Coincidence Factors'!$B$10*(1+'Inputs-System'!$C$18)*(1+'Inputs-System'!$C$41))*'Inputs-Proposals'!$E$29*'Inputs-Proposals'!$E$31*(1-'Inputs-Proposals'!$E$20^(V$3-'Inputs-System'!$C$7))*(VLOOKUP(V$3,'Embedded Emissions'!$A$47:$B$78,2,FALSE)+VLOOKUP(V$3,'Embedded Emissions'!$A$129:$B$158,2,FALSE)), $C22 = "0", 0), 0)</f>
        <v>0</v>
      </c>
      <c r="X22" s="349">
        <f>IFERROR(_xlfn.IFS($C22="1",( 'Inputs-System'!$C$30*'Coincidence Factors'!$B$10*(1+'Inputs-System'!$C$18)*(1+'Inputs-System'!$C$41))*('Inputs-Proposals'!$E$17*'Inputs-Proposals'!$E$19*(1-'Inputs-Proposals'!$E$20)^(V$3-'Inputs-System'!$C$7))*(VLOOKUP(V$3,DRIPE!$A$54:$I$82,5,FALSE)+VLOOKUP(V$3,DRIPE!$A$54:$I$82,9,FALSE))+ ('Inputs-System'!$C$26*'Coincidence Factors'!$B$6*(1+'Inputs-System'!$C$18)*(1+'Inputs-System'!$C$42))*'Inputs-Proposals'!$E$16*VLOOKUP(V$3,DRIPE!$A$54:$I$82,8,FALSE), $C22 = "2",( 'Inputs-System'!$C$30*'Coincidence Factors'!$B$10*(1+'Inputs-System'!$C$18)*(1+'Inputs-System'!$C$41))*('Inputs-Proposals'!$E$23*'Inputs-Proposals'!$E$25*(1-'Inputs-Proposals'!$E$26)^(V$3-'Inputs-System'!$C$7))*(VLOOKUP(V$3,DRIPE!$A$54:$I$82,5,FALSE)+VLOOKUP(V$3,DRIPE!$A$54:$I$82,9,FALSE))+ ('Inputs-System'!$C$26*'Coincidence Factors'!$B$6*(1+'Inputs-System'!$C$18)*(1+'Inputs-System'!$C$42))*'Inputs-Proposals'!$E$22*VLOOKUP(V$3,DRIPE!$A$54:$I$82,8,FALSE), $C22= "3", ( 'Inputs-System'!$C$30*'Coincidence Factors'!$B$10*(1+'Inputs-System'!$C$18)*(1+'Inputs-System'!$C$41))*('Inputs-Proposals'!$E$29*'Inputs-Proposals'!$E$31*(1-'Inputs-Proposals'!$E$32)^(V$3-'Inputs-System'!$C$7))*(VLOOKUP(V$3,DRIPE!$A$54:$I$82,5,FALSE)+VLOOKUP(V$3,DRIPE!$A$54:$I$82,9,FALSE))+ ('Inputs-System'!$C$26*'Coincidence Factors'!$B$6*(1+'Inputs-System'!$C$18)*(1+'Inputs-System'!$C$42))*'Inputs-Proposals'!$E$28*VLOOKUP(V$3,DRIPE!$A$54:$I$82,8,FALSE), $C22 = "0", 0), 0)</f>
        <v>0</v>
      </c>
      <c r="Y22" s="350">
        <f>IFERROR(_xlfn.IFS($C22="1",('Inputs-System'!$C$26*'Coincidence Factors'!$B$10*(1+'Inputs-System'!$C$18)*(1+'Inputs-System'!$C$42))*'Inputs-Proposals'!$D$16*(VLOOKUP(V$3,Capacity!$A$53:$E$85,4,FALSE)*(1+'Inputs-System'!$C$42)+VLOOKUP(V$3,Capacity!$A$53:$E$85,5,FALSE)*(1+'Inputs-System'!$C$43)*'Inputs-System'!$C$29), $C22 = "2", ('Inputs-System'!$C$26*'Coincidence Factors'!$B$10*(1+'Inputs-System'!$C$18))*'Inputs-Proposals'!$D$22*(VLOOKUP(V$3,Capacity!$A$53:$E$85,4,FALSE)*(1+'Inputs-System'!$C$42)+VLOOKUP(V$3,Capacity!$A$53:$E$85,5,FALSE)*'Inputs-System'!$C$29*(1+'Inputs-System'!$C$43)), $C22 = "3", ('Inputs-System'!$C$26*'Coincidence Factors'!$B$10*(1+'Inputs-System'!$C$18))*'Inputs-Proposals'!$D$28*(VLOOKUP(V$3,Capacity!$A$53:$E$85,4,FALSE)*(1+'Inputs-System'!$C$42)+VLOOKUP(V$3,Capacity!$A$53:$E$85,5,FALSE)*'Inputs-System'!$C$29*(1+'Inputs-System'!$C$43)), $C22 = "0", 0), 0)</f>
        <v>0</v>
      </c>
      <c r="Z22" s="44">
        <v>0</v>
      </c>
      <c r="AA22" s="342">
        <f>IFERROR(_xlfn.IFS($C22="1", 'Inputs-System'!$C$30*'Coincidence Factors'!$B$10*'Inputs-Proposals'!$E$17*'Inputs-Proposals'!$E$19*(VLOOKUP(V$3,'Non-Embedded Emissions'!$A$56:$D$90,2,FALSE)-VLOOKUP(V$3,'Non-Embedded Emissions'!$F$57:$H$88,3,FALSE)+VLOOKUP(V$3,'Non-Embedded Emissions'!$A$143:$D$174,2,FALSE)-VLOOKUP(V$3,'Non-Embedded Emissions'!$F$143:$H$174,3,FALSE)+VLOOKUP(V$3,'Non-Embedded Emissions'!$A$230:$D$259,2,FALSE)), $C22 = "2", 'Inputs-System'!$C$30*'Coincidence Factors'!$B$10*'Inputs-Proposals'!$E$23*'Inputs-Proposals'!$E$25*(VLOOKUP(V$3,'Non-Embedded Emissions'!$A$56:$D$90,2,FALSE)-VLOOKUP(V$3,'Non-Embedded Emissions'!$F$57:$H$88,3,FALSE)+VLOOKUP(V$3,'Non-Embedded Emissions'!$A$143:$D$174,2,FALSE)-VLOOKUP(V$3,'Non-Embedded Emissions'!$F$143:$H$174,3,FALSE)+VLOOKUP(V$3,'Non-Embedded Emissions'!$A$230:$D$259,2,FALSE)), $C22 = "3", 'Inputs-System'!$C$30*'Coincidence Factors'!$B$10*'Inputs-Proposals'!$E$29*'Inputs-Proposals'!$E$31*(VLOOKUP(V$3,'Non-Embedded Emissions'!$A$56:$D$90,2,FALSE)-VLOOKUP(V$3,'Non-Embedded Emissions'!$F$57:$H$88,3,FALSE)+VLOOKUP(V$3,'Non-Embedded Emissions'!$A$143:$D$174,2,FALSE)-VLOOKUP(V$3,'Non-Embedded Emissions'!$F$143:$H$174,3,FALSE)+VLOOKUP(V$3,'Non-Embedded Emissions'!$A$230:$D$259,2,FALSE)), $C22 = "0", 0), 0)</f>
        <v>0</v>
      </c>
      <c r="AB22" s="45">
        <f>IFERROR(_xlfn.IFS($C22="1",('Inputs-System'!$C$30*'Coincidence Factors'!$B$10*(1+'Inputs-System'!$C$18)*(1+'Inputs-System'!$C$41)*('Inputs-Proposals'!$E$17*'Inputs-Proposals'!$E$19*(1-'Inputs-Proposals'!$E$20^(AB$3-'Inputs-System'!$C$7)))*(VLOOKUP(AB$3,Energy!$A$51:$K$83,5,FALSE))), $C22 = "2",('Inputs-System'!$C$30*'Coincidence Factors'!$B$10)*(1+'Inputs-System'!$C$18)*(1+'Inputs-System'!$C$41)*('Inputs-Proposals'!$E$23*'Inputs-Proposals'!$E$25*(1-'Inputs-Proposals'!$E$26^(AB$3-'Inputs-System'!$C$7)))*(VLOOKUP(AB$3,Energy!$A$51:$K$83,5,FALSE)), $C22= "3", ('Inputs-System'!$C$30*'Coincidence Factors'!$B$10*(1+'Inputs-System'!$C$18)*(1+'Inputs-System'!$C$41)*('Inputs-Proposals'!$E$29*'Inputs-Proposals'!$E$31*(1-'Inputs-Proposals'!$E$32^(AB$3-'Inputs-System'!$C$7)))*(VLOOKUP(AB$3,Energy!$A$51:$K$83,5,FALSE))), $C22= "0", 0), 0)</f>
        <v>0</v>
      </c>
      <c r="AC22" s="44">
        <f>IFERROR(_xlfn.IFS($C22="1",('Inputs-System'!$C$30*'Coincidence Factors'!$B$10*(1+'Inputs-System'!$C$18)*(1+'Inputs-System'!$C$41))*'Inputs-Proposals'!$E$17*'Inputs-Proposals'!$E$19*(1-'Inputs-Proposals'!$E$20^(AB$3-'Inputs-System'!$C$7))*(VLOOKUP(AB$3,'Embedded Emissions'!$A$47:$B$78,2,FALSE)+VLOOKUP(AB$3,'Embedded Emissions'!$A$129:$B$158,2,FALSE)), $C22 = "2",('Inputs-System'!$C$30*'Coincidence Factors'!$B$10*(1+'Inputs-System'!$C$18)*(1+'Inputs-System'!$C$41))*'Inputs-Proposals'!$E$23*'Inputs-Proposals'!$E$25*(1-'Inputs-Proposals'!$E$20^(AB$3-'Inputs-System'!$C$7))*(VLOOKUP(AB$3,'Embedded Emissions'!$A$47:$B$78,2,FALSE)+VLOOKUP(AB$3,'Embedded Emissions'!$A$129:$B$158,2,FALSE)), $C22 = "3", ('Inputs-System'!$C$30*'Coincidence Factors'!$B$10*(1+'Inputs-System'!$C$18)*(1+'Inputs-System'!$C$41))*'Inputs-Proposals'!$E$29*'Inputs-Proposals'!$E$31*(1-'Inputs-Proposals'!$E$20^(AB$3-'Inputs-System'!$C$7))*(VLOOKUP(AB$3,'Embedded Emissions'!$A$47:$B$78,2,FALSE)+VLOOKUP(AB$3,'Embedded Emissions'!$A$129:$B$158,2,FALSE)), $C22 = "0", 0), 0)</f>
        <v>0</v>
      </c>
      <c r="AD22" s="349">
        <f>IFERROR(_xlfn.IFS($C22="1",( 'Inputs-System'!$C$30*'Coincidence Factors'!$B$10*(1+'Inputs-System'!$C$18)*(1+'Inputs-System'!$C$41))*('Inputs-Proposals'!$E$17*'Inputs-Proposals'!$E$19*(1-'Inputs-Proposals'!$E$20)^(AB$3-'Inputs-System'!$C$7))*(VLOOKUP(AB$3,DRIPE!$A$54:$I$82,5,FALSE)+VLOOKUP(AB$3,DRIPE!$A$54:$I$82,9,FALSE))+ ('Inputs-System'!$C$26*'Coincidence Factors'!$B$6*(1+'Inputs-System'!$C$18)*(1+'Inputs-System'!$C$42))*'Inputs-Proposals'!$E$16*VLOOKUP(AB$3,DRIPE!$A$54:$I$82,8,FALSE), $C22 = "2",( 'Inputs-System'!$C$30*'Coincidence Factors'!$B$10*(1+'Inputs-System'!$C$18)*(1+'Inputs-System'!$C$41))*('Inputs-Proposals'!$E$23*'Inputs-Proposals'!$E$25*(1-'Inputs-Proposals'!$E$26)^(AB$3-'Inputs-System'!$C$7))*(VLOOKUP(AB$3,DRIPE!$A$54:$I$82,5,FALSE)+VLOOKUP(AB$3,DRIPE!$A$54:$I$82,9,FALSE))+ ('Inputs-System'!$C$26*'Coincidence Factors'!$B$6*(1+'Inputs-System'!$C$18)*(1+'Inputs-System'!$C$42))*'Inputs-Proposals'!$E$22*VLOOKUP(AB$3,DRIPE!$A$54:$I$82,8,FALSE), $C22= "3", ( 'Inputs-System'!$C$30*'Coincidence Factors'!$B$10*(1+'Inputs-System'!$C$18)*(1+'Inputs-System'!$C$41))*('Inputs-Proposals'!$E$29*'Inputs-Proposals'!$E$31*(1-'Inputs-Proposals'!$E$32)^(AB$3-'Inputs-System'!$C$7))*(VLOOKUP(AB$3,DRIPE!$A$54:$I$82,5,FALSE)+VLOOKUP(AB$3,DRIPE!$A$54:$I$82,9,FALSE))+ ('Inputs-System'!$C$26*'Coincidence Factors'!$B$6*(1+'Inputs-System'!$C$18)*(1+'Inputs-System'!$C$42))*'Inputs-Proposals'!$E$28*VLOOKUP(AB$3,DRIPE!$A$54:$I$82,8,FALSE), $C22 = "0", 0), 0)</f>
        <v>0</v>
      </c>
      <c r="AE22" s="350">
        <f>IFERROR(_xlfn.IFS($C22="1",('Inputs-System'!$C$26*'Coincidence Factors'!$B$10*(1+'Inputs-System'!$C$18)*(1+'Inputs-System'!$C$42))*'Inputs-Proposals'!$D$16*(VLOOKUP(AB$3,Capacity!$A$53:$E$85,4,FALSE)*(1+'Inputs-System'!$C$42)+VLOOKUP(AB$3,Capacity!$A$53:$E$85,5,FALSE)*(1+'Inputs-System'!$C$43)*'Inputs-System'!$C$29), $C22 = "2", ('Inputs-System'!$C$26*'Coincidence Factors'!$B$10*(1+'Inputs-System'!$C$18))*'Inputs-Proposals'!$D$22*(VLOOKUP(AB$3,Capacity!$A$53:$E$85,4,FALSE)*(1+'Inputs-System'!$C$42)+VLOOKUP(AB$3,Capacity!$A$53:$E$85,5,FALSE)*'Inputs-System'!$C$29*(1+'Inputs-System'!$C$43)), $C22 = "3", ('Inputs-System'!$C$26*'Coincidence Factors'!$B$10*(1+'Inputs-System'!$C$18))*'Inputs-Proposals'!$D$28*(VLOOKUP(AB$3,Capacity!$A$53:$E$85,4,FALSE)*(1+'Inputs-System'!$C$42)+VLOOKUP(AB$3,Capacity!$A$53:$E$85,5,FALSE)*'Inputs-System'!$C$29*(1+'Inputs-System'!$C$43)), $C22 = "0", 0), 0)</f>
        <v>0</v>
      </c>
      <c r="AF22" s="44">
        <v>0</v>
      </c>
      <c r="AG22" s="342">
        <f>IFERROR(_xlfn.IFS($C22="1", 'Inputs-System'!$C$30*'Coincidence Factors'!$B$10*'Inputs-Proposals'!$E$17*'Inputs-Proposals'!$E$19*(VLOOKUP(AB$3,'Non-Embedded Emissions'!$A$56:$D$90,2,FALSE)-VLOOKUP(AB$3,'Non-Embedded Emissions'!$F$57:$H$88,3,FALSE)+VLOOKUP(AB$3,'Non-Embedded Emissions'!$A$143:$D$174,2,FALSE)-VLOOKUP(AB$3,'Non-Embedded Emissions'!$F$143:$H$174,3,FALSE)+VLOOKUP(AB$3,'Non-Embedded Emissions'!$A$230:$D$259,2,FALSE)), $C22 = "2", 'Inputs-System'!$C$30*'Coincidence Factors'!$B$10*'Inputs-Proposals'!$E$23*'Inputs-Proposals'!$E$25*(VLOOKUP(AB$3,'Non-Embedded Emissions'!$A$56:$D$90,2,FALSE)-VLOOKUP(AB$3,'Non-Embedded Emissions'!$F$57:$H$88,3,FALSE)+VLOOKUP(AB$3,'Non-Embedded Emissions'!$A$143:$D$174,2,FALSE)-VLOOKUP(AB$3,'Non-Embedded Emissions'!$F$143:$H$174,3,FALSE)+VLOOKUP(AB$3,'Non-Embedded Emissions'!$A$230:$D$259,2,FALSE)), $C22 = "3", 'Inputs-System'!$C$30*'Coincidence Factors'!$B$10*'Inputs-Proposals'!$E$29*'Inputs-Proposals'!$E$31*(VLOOKUP(AB$3,'Non-Embedded Emissions'!$A$56:$D$90,2,FALSE)-VLOOKUP(AB$3,'Non-Embedded Emissions'!$F$57:$H$88,3,FALSE)+VLOOKUP(AB$3,'Non-Embedded Emissions'!$A$143:$D$174,2,FALSE)-VLOOKUP(AB$3,'Non-Embedded Emissions'!$F$143:$H$174,3,FALSE)+VLOOKUP(AB$3,'Non-Embedded Emissions'!$A$230:$D$259,2,FALSE)), $C22 = "0", 0), 0)</f>
        <v>0</v>
      </c>
      <c r="AH22" s="45">
        <f>IFERROR(_xlfn.IFS($C22="1",('Inputs-System'!$C$30*'Coincidence Factors'!$B$10*(1+'Inputs-System'!$C$18)*(1+'Inputs-System'!$C$41)*('Inputs-Proposals'!$E$17*'Inputs-Proposals'!$E$19*(1-'Inputs-Proposals'!$E$20^(AH$3-'Inputs-System'!$C$7)))*(VLOOKUP(AH$3,Energy!$A$51:$K$83,5,FALSE))), $C22 = "2",('Inputs-System'!$C$30*'Coincidence Factors'!$B$10)*(1+'Inputs-System'!$C$18)*(1+'Inputs-System'!$C$41)*('Inputs-Proposals'!$E$23*'Inputs-Proposals'!$E$25*(1-'Inputs-Proposals'!$E$26^(AH$3-'Inputs-System'!$C$7)))*(VLOOKUP(AH$3,Energy!$A$51:$K$83,5,FALSE)), $C22= "3", ('Inputs-System'!$C$30*'Coincidence Factors'!$B$10*(1+'Inputs-System'!$C$18)*(1+'Inputs-System'!$C$41)*('Inputs-Proposals'!$E$29*'Inputs-Proposals'!$E$31*(1-'Inputs-Proposals'!$E$32^(AH$3-'Inputs-System'!$C$7)))*(VLOOKUP(AH$3,Energy!$A$51:$K$83,5,FALSE))), $C22= "0", 0), 0)</f>
        <v>0</v>
      </c>
      <c r="AI22" s="44">
        <f>IFERROR(_xlfn.IFS($C22="1",('Inputs-System'!$C$30*'Coincidence Factors'!$B$10*(1+'Inputs-System'!$C$18)*(1+'Inputs-System'!$C$41))*'Inputs-Proposals'!$E$17*'Inputs-Proposals'!$E$19*(1-'Inputs-Proposals'!$E$20^(AH$3-'Inputs-System'!$C$7))*(VLOOKUP(AH$3,'Embedded Emissions'!$A$47:$B$78,2,FALSE)+VLOOKUP(AH$3,'Embedded Emissions'!$A$129:$B$158,2,FALSE)), $C22 = "2",('Inputs-System'!$C$30*'Coincidence Factors'!$B$10*(1+'Inputs-System'!$C$18)*(1+'Inputs-System'!$C$41))*'Inputs-Proposals'!$E$23*'Inputs-Proposals'!$E$25*(1-'Inputs-Proposals'!$E$20^(AH$3-'Inputs-System'!$C$7))*(VLOOKUP(AH$3,'Embedded Emissions'!$A$47:$B$78,2,FALSE)+VLOOKUP(AH$3,'Embedded Emissions'!$A$129:$B$158,2,FALSE)), $C22 = "3", ('Inputs-System'!$C$30*'Coincidence Factors'!$B$10*(1+'Inputs-System'!$C$18)*(1+'Inputs-System'!$C$41))*'Inputs-Proposals'!$E$29*'Inputs-Proposals'!$E$31*(1-'Inputs-Proposals'!$E$20^(AH$3-'Inputs-System'!$C$7))*(VLOOKUP(AH$3,'Embedded Emissions'!$A$47:$B$78,2,FALSE)+VLOOKUP(AH$3,'Embedded Emissions'!$A$129:$B$158,2,FALSE)), $C22 = "0", 0), 0)</f>
        <v>0</v>
      </c>
      <c r="AJ22" s="349">
        <f>IFERROR(_xlfn.IFS($C22="1",( 'Inputs-System'!$C$30*'Coincidence Factors'!$B$10*(1+'Inputs-System'!$C$18)*(1+'Inputs-System'!$C$41))*('Inputs-Proposals'!$E$17*'Inputs-Proposals'!$E$19*(1-'Inputs-Proposals'!$E$20)^(AH$3-'Inputs-System'!$C$7))*(VLOOKUP(AH$3,DRIPE!$A$54:$I$82,5,FALSE)+VLOOKUP(AH$3,DRIPE!$A$54:$I$82,9,FALSE))+ ('Inputs-System'!$C$26*'Coincidence Factors'!$B$6*(1+'Inputs-System'!$C$18)*(1+'Inputs-System'!$C$42))*'Inputs-Proposals'!$E$16*VLOOKUP(AH$3,DRIPE!$A$54:$I$82,8,FALSE), $C22 = "2",( 'Inputs-System'!$C$30*'Coincidence Factors'!$B$10*(1+'Inputs-System'!$C$18)*(1+'Inputs-System'!$C$41))*('Inputs-Proposals'!$E$23*'Inputs-Proposals'!$E$25*(1-'Inputs-Proposals'!$E$26)^(AH$3-'Inputs-System'!$C$7))*(VLOOKUP(AH$3,DRIPE!$A$54:$I$82,5,FALSE)+VLOOKUP(AH$3,DRIPE!$A$54:$I$82,9,FALSE))+ ('Inputs-System'!$C$26*'Coincidence Factors'!$B$6*(1+'Inputs-System'!$C$18)*(1+'Inputs-System'!$C$42))*'Inputs-Proposals'!$E$22*VLOOKUP(AH$3,DRIPE!$A$54:$I$82,8,FALSE), $C22= "3", ( 'Inputs-System'!$C$30*'Coincidence Factors'!$B$10*(1+'Inputs-System'!$C$18)*(1+'Inputs-System'!$C$41))*('Inputs-Proposals'!$E$29*'Inputs-Proposals'!$E$31*(1-'Inputs-Proposals'!$E$32)^(AH$3-'Inputs-System'!$C$7))*(VLOOKUP(AH$3,DRIPE!$A$54:$I$82,5,FALSE)+VLOOKUP(AH$3,DRIPE!$A$54:$I$82,9,FALSE))+ ('Inputs-System'!$C$26*'Coincidence Factors'!$B$6*(1+'Inputs-System'!$C$18)*(1+'Inputs-System'!$C$42))*'Inputs-Proposals'!$E$28*VLOOKUP(AH$3,DRIPE!$A$54:$I$82,8,FALSE), $C22 = "0", 0), 0)</f>
        <v>0</v>
      </c>
      <c r="AK22" s="350">
        <f>IFERROR(_xlfn.IFS($C22="1",('Inputs-System'!$C$26*'Coincidence Factors'!$B$10*(1+'Inputs-System'!$C$18)*(1+'Inputs-System'!$C$42))*'Inputs-Proposals'!$D$16*(VLOOKUP(AH$3,Capacity!$A$53:$E$85,4,FALSE)*(1+'Inputs-System'!$C$42)+VLOOKUP(AH$3,Capacity!$A$53:$E$85,5,FALSE)*(1+'Inputs-System'!$C$43)*'Inputs-System'!$C$29), $C22 = "2", ('Inputs-System'!$C$26*'Coincidence Factors'!$B$10*(1+'Inputs-System'!$C$18))*'Inputs-Proposals'!$D$22*(VLOOKUP(AH$3,Capacity!$A$53:$E$85,4,FALSE)*(1+'Inputs-System'!$C$42)+VLOOKUP(AH$3,Capacity!$A$53:$E$85,5,FALSE)*'Inputs-System'!$C$29*(1+'Inputs-System'!$C$43)), $C22 = "3", ('Inputs-System'!$C$26*'Coincidence Factors'!$B$10*(1+'Inputs-System'!$C$18))*'Inputs-Proposals'!$D$28*(VLOOKUP(AH$3,Capacity!$A$53:$E$85,4,FALSE)*(1+'Inputs-System'!$C$42)+VLOOKUP(AH$3,Capacity!$A$53:$E$85,5,FALSE)*'Inputs-System'!$C$29*(1+'Inputs-System'!$C$43)), $C22 = "0", 0), 0)</f>
        <v>0</v>
      </c>
      <c r="AL22" s="44">
        <v>0</v>
      </c>
      <c r="AM22" s="342">
        <f>IFERROR(_xlfn.IFS($C22="1", 'Inputs-System'!$C$30*'Coincidence Factors'!$B$10*'Inputs-Proposals'!$E$17*'Inputs-Proposals'!$E$19*(VLOOKUP(AH$3,'Non-Embedded Emissions'!$A$56:$D$90,2,FALSE)-VLOOKUP(AH$3,'Non-Embedded Emissions'!$F$57:$H$88,3,FALSE)+VLOOKUP(AH$3,'Non-Embedded Emissions'!$A$143:$D$174,2,FALSE)-VLOOKUP(AH$3,'Non-Embedded Emissions'!$F$143:$H$174,3,FALSE)+VLOOKUP(AH$3,'Non-Embedded Emissions'!$A$230:$D$259,2,FALSE)), $C22 = "2", 'Inputs-System'!$C$30*'Coincidence Factors'!$B$10*'Inputs-Proposals'!$E$23*'Inputs-Proposals'!$E$25*(VLOOKUP(AH$3,'Non-Embedded Emissions'!$A$56:$D$90,2,FALSE)-VLOOKUP(AH$3,'Non-Embedded Emissions'!$F$57:$H$88,3,FALSE)+VLOOKUP(AH$3,'Non-Embedded Emissions'!$A$143:$D$174,2,FALSE)-VLOOKUP(AH$3,'Non-Embedded Emissions'!$F$143:$H$174,3,FALSE)+VLOOKUP(AH$3,'Non-Embedded Emissions'!$A$230:$D$259,2,FALSE)), $C22 = "3", 'Inputs-System'!$C$30*'Coincidence Factors'!$B$10*'Inputs-Proposals'!$E$29*'Inputs-Proposals'!$E$31*(VLOOKUP(AH$3,'Non-Embedded Emissions'!$A$56:$D$90,2,FALSE)-VLOOKUP(AH$3,'Non-Embedded Emissions'!$F$57:$H$88,3,FALSE)+VLOOKUP(AH$3,'Non-Embedded Emissions'!$A$143:$D$174,2,FALSE)-VLOOKUP(AH$3,'Non-Embedded Emissions'!$F$143:$H$174,3,FALSE)+VLOOKUP(AH$3,'Non-Embedded Emissions'!$A$230:$D$259,2,FALSE)), $C22 = "0", 0), 0)</f>
        <v>0</v>
      </c>
      <c r="AN22" s="45">
        <f>IFERROR(_xlfn.IFS($C22="1",('Inputs-System'!$C$30*'Coincidence Factors'!$B$10*(1+'Inputs-System'!$C$18)*(1+'Inputs-System'!$C$41)*('Inputs-Proposals'!$E$17*'Inputs-Proposals'!$E$19*(1-'Inputs-Proposals'!$E$20^(AN$3-'Inputs-System'!$C$7)))*(VLOOKUP(AN$3,Energy!$A$51:$K$83,5,FALSE))), $C22 = "2",('Inputs-System'!$C$30*'Coincidence Factors'!$B$10)*(1+'Inputs-System'!$C$18)*(1+'Inputs-System'!$C$41)*('Inputs-Proposals'!$E$23*'Inputs-Proposals'!$E$25*(1-'Inputs-Proposals'!$E$26^(AN$3-'Inputs-System'!$C$7)))*(VLOOKUP(AN$3,Energy!$A$51:$K$83,5,FALSE)), $C22= "3", ('Inputs-System'!$C$30*'Coincidence Factors'!$B$10*(1+'Inputs-System'!$C$18)*(1+'Inputs-System'!$C$41)*('Inputs-Proposals'!$E$29*'Inputs-Proposals'!$E$31*(1-'Inputs-Proposals'!$E$32^(AN$3-'Inputs-System'!$C$7)))*(VLOOKUP(AN$3,Energy!$A$51:$K$83,5,FALSE))), $C22= "0", 0), 0)</f>
        <v>0</v>
      </c>
      <c r="AO22" s="44">
        <f>IFERROR(_xlfn.IFS($C22="1",('Inputs-System'!$C$30*'Coincidence Factors'!$B$10*(1+'Inputs-System'!$C$18)*(1+'Inputs-System'!$C$41))*'Inputs-Proposals'!$E$17*'Inputs-Proposals'!$E$19*(1-'Inputs-Proposals'!$E$20^(AN$3-'Inputs-System'!$C$7))*(VLOOKUP(AN$3,'Embedded Emissions'!$A$47:$B$78,2,FALSE)+VLOOKUP(AN$3,'Embedded Emissions'!$A$129:$B$158,2,FALSE)), $C22 = "2",('Inputs-System'!$C$30*'Coincidence Factors'!$B$10*(1+'Inputs-System'!$C$18)*(1+'Inputs-System'!$C$41))*'Inputs-Proposals'!$E$23*'Inputs-Proposals'!$E$25*(1-'Inputs-Proposals'!$E$20^(AN$3-'Inputs-System'!$C$7))*(VLOOKUP(AN$3,'Embedded Emissions'!$A$47:$B$78,2,FALSE)+VLOOKUP(AN$3,'Embedded Emissions'!$A$129:$B$158,2,FALSE)), $C22 = "3", ('Inputs-System'!$C$30*'Coincidence Factors'!$B$10*(1+'Inputs-System'!$C$18)*(1+'Inputs-System'!$C$41))*'Inputs-Proposals'!$E$29*'Inputs-Proposals'!$E$31*(1-'Inputs-Proposals'!$E$20^(AN$3-'Inputs-System'!$C$7))*(VLOOKUP(AN$3,'Embedded Emissions'!$A$47:$B$78,2,FALSE)+VLOOKUP(AN$3,'Embedded Emissions'!$A$129:$B$158,2,FALSE)), $C22 = "0", 0), 0)</f>
        <v>0</v>
      </c>
      <c r="AP22" s="349">
        <f>IFERROR(_xlfn.IFS($C22="1",( 'Inputs-System'!$C$30*'Coincidence Factors'!$B$10*(1+'Inputs-System'!$C$18)*(1+'Inputs-System'!$C$41))*('Inputs-Proposals'!$E$17*'Inputs-Proposals'!$E$19*(1-'Inputs-Proposals'!$E$20)^(AN$3-'Inputs-System'!$C$7))*(VLOOKUP(AN$3,DRIPE!$A$54:$I$82,5,FALSE)+VLOOKUP(AN$3,DRIPE!$A$54:$I$82,9,FALSE))+ ('Inputs-System'!$C$26*'Coincidence Factors'!$B$6*(1+'Inputs-System'!$C$18)*(1+'Inputs-System'!$C$42))*'Inputs-Proposals'!$E$16*VLOOKUP(AN$3,DRIPE!$A$54:$I$82,8,FALSE), $C22 = "2",( 'Inputs-System'!$C$30*'Coincidence Factors'!$B$10*(1+'Inputs-System'!$C$18)*(1+'Inputs-System'!$C$41))*('Inputs-Proposals'!$E$23*'Inputs-Proposals'!$E$25*(1-'Inputs-Proposals'!$E$26)^(AN$3-'Inputs-System'!$C$7))*(VLOOKUP(AN$3,DRIPE!$A$54:$I$82,5,FALSE)+VLOOKUP(AN$3,DRIPE!$A$54:$I$82,9,FALSE))+ ('Inputs-System'!$C$26*'Coincidence Factors'!$B$6*(1+'Inputs-System'!$C$18)*(1+'Inputs-System'!$C$42))*'Inputs-Proposals'!$E$22*VLOOKUP(AN$3,DRIPE!$A$54:$I$82,8,FALSE), $C22= "3", ( 'Inputs-System'!$C$30*'Coincidence Factors'!$B$10*(1+'Inputs-System'!$C$18)*(1+'Inputs-System'!$C$41))*('Inputs-Proposals'!$E$29*'Inputs-Proposals'!$E$31*(1-'Inputs-Proposals'!$E$32)^(AN$3-'Inputs-System'!$C$7))*(VLOOKUP(AN$3,DRIPE!$A$54:$I$82,5,FALSE)+VLOOKUP(AN$3,DRIPE!$A$54:$I$82,9,FALSE))+ ('Inputs-System'!$C$26*'Coincidence Factors'!$B$6*(1+'Inputs-System'!$C$18)*(1+'Inputs-System'!$C$42))*'Inputs-Proposals'!$E$28*VLOOKUP(AN$3,DRIPE!$A$54:$I$82,8,FALSE), $C22 = "0", 0), 0)</f>
        <v>0</v>
      </c>
      <c r="AQ22" s="350">
        <f>IFERROR(_xlfn.IFS($C22="1",('Inputs-System'!$C$26*'Coincidence Factors'!$B$10*(1+'Inputs-System'!$C$18)*(1+'Inputs-System'!$C$42))*'Inputs-Proposals'!$D$16*(VLOOKUP(AN$3,Capacity!$A$53:$E$85,4,FALSE)*(1+'Inputs-System'!$C$42)+VLOOKUP(AN$3,Capacity!$A$53:$E$85,5,FALSE)*(1+'Inputs-System'!$C$43)*'Inputs-System'!$C$29), $C22 = "2", ('Inputs-System'!$C$26*'Coincidence Factors'!$B$10*(1+'Inputs-System'!$C$18))*'Inputs-Proposals'!$D$22*(VLOOKUP(AN$3,Capacity!$A$53:$E$85,4,FALSE)*(1+'Inputs-System'!$C$42)+VLOOKUP(AN$3,Capacity!$A$53:$E$85,5,FALSE)*'Inputs-System'!$C$29*(1+'Inputs-System'!$C$43)), $C22 = "3", ('Inputs-System'!$C$26*'Coincidence Factors'!$B$10*(1+'Inputs-System'!$C$18))*'Inputs-Proposals'!$D$28*(VLOOKUP(AN$3,Capacity!$A$53:$E$85,4,FALSE)*(1+'Inputs-System'!$C$42)+VLOOKUP(AN$3,Capacity!$A$53:$E$85,5,FALSE)*'Inputs-System'!$C$29*(1+'Inputs-System'!$C$43)), $C22 = "0", 0), 0)</f>
        <v>0</v>
      </c>
      <c r="AR22" s="44">
        <v>0</v>
      </c>
      <c r="AS22" s="342">
        <f>IFERROR(_xlfn.IFS($C22="1", 'Inputs-System'!$C$30*'Coincidence Factors'!$B$10*'Inputs-Proposals'!$E$17*'Inputs-Proposals'!$E$19*(VLOOKUP(AN$3,'Non-Embedded Emissions'!$A$56:$D$90,2,FALSE)-VLOOKUP(AN$3,'Non-Embedded Emissions'!$F$57:$H$88,3,FALSE)+VLOOKUP(AN$3,'Non-Embedded Emissions'!$A$143:$D$174,2,FALSE)-VLOOKUP(AN$3,'Non-Embedded Emissions'!$F$143:$H$174,3,FALSE)+VLOOKUP(AN$3,'Non-Embedded Emissions'!$A$230:$D$259,2,FALSE)), $C22 = "2", 'Inputs-System'!$C$30*'Coincidence Factors'!$B$10*'Inputs-Proposals'!$E$23*'Inputs-Proposals'!$E$25*(VLOOKUP(AN$3,'Non-Embedded Emissions'!$A$56:$D$90,2,FALSE)-VLOOKUP(AN$3,'Non-Embedded Emissions'!$F$57:$H$88,3,FALSE)+VLOOKUP(AN$3,'Non-Embedded Emissions'!$A$143:$D$174,2,FALSE)-VLOOKUP(AN$3,'Non-Embedded Emissions'!$F$143:$H$174,3,FALSE)+VLOOKUP(AN$3,'Non-Embedded Emissions'!$A$230:$D$259,2,FALSE)), $C22 = "3", 'Inputs-System'!$C$30*'Coincidence Factors'!$B$10*'Inputs-Proposals'!$E$29*'Inputs-Proposals'!$E$31*(VLOOKUP(AN$3,'Non-Embedded Emissions'!$A$56:$D$90,2,FALSE)-VLOOKUP(AN$3,'Non-Embedded Emissions'!$F$57:$H$88,3,FALSE)+VLOOKUP(AN$3,'Non-Embedded Emissions'!$A$143:$D$174,2,FALSE)-VLOOKUP(AN$3,'Non-Embedded Emissions'!$F$143:$H$174,3,FALSE)+VLOOKUP(AN$3,'Non-Embedded Emissions'!$A$230:$D$259,2,FALSE)), $C22 = "0", 0), 0)</f>
        <v>0</v>
      </c>
      <c r="AT22" s="45">
        <f>IFERROR(_xlfn.IFS($C22="1",('Inputs-System'!$C$30*'Coincidence Factors'!$B$10*(1+'Inputs-System'!$C$18)*(1+'Inputs-System'!$C$41)*('Inputs-Proposals'!$E$17*'Inputs-Proposals'!$E$19*(1-'Inputs-Proposals'!$E$20^(AT$3-'Inputs-System'!$C$7)))*(VLOOKUP(AT$3,Energy!$A$51:$K$83,5,FALSE))), $C22 = "2",('Inputs-System'!$C$30*'Coincidence Factors'!$B$10)*(1+'Inputs-System'!$C$18)*(1+'Inputs-System'!$C$41)*('Inputs-Proposals'!$E$23*'Inputs-Proposals'!$E$25*(1-'Inputs-Proposals'!$E$26^(AT$3-'Inputs-System'!$C$7)))*(VLOOKUP(AT$3,Energy!$A$51:$K$83,5,FALSE)), $C22= "3", ('Inputs-System'!$C$30*'Coincidence Factors'!$B$10*(1+'Inputs-System'!$C$18)*(1+'Inputs-System'!$C$41)*('Inputs-Proposals'!$E$29*'Inputs-Proposals'!$E$31*(1-'Inputs-Proposals'!$E$32^(AT$3-'Inputs-System'!$C$7)))*(VLOOKUP(AT$3,Energy!$A$51:$K$83,5,FALSE))), $C22= "0", 0), 0)</f>
        <v>0</v>
      </c>
      <c r="AU22" s="44">
        <f>IFERROR(_xlfn.IFS($C22="1",('Inputs-System'!$C$30*'Coincidence Factors'!$B$10*(1+'Inputs-System'!$C$18)*(1+'Inputs-System'!$C$41))*'Inputs-Proposals'!$E$17*'Inputs-Proposals'!$E$19*(1-'Inputs-Proposals'!$E$20^(AT$3-'Inputs-System'!$C$7))*(VLOOKUP(AT$3,'Embedded Emissions'!$A$47:$B$78,2,FALSE)+VLOOKUP(AT$3,'Embedded Emissions'!$A$129:$B$158,2,FALSE)), $C22 = "2",('Inputs-System'!$C$30*'Coincidence Factors'!$B$10*(1+'Inputs-System'!$C$18)*(1+'Inputs-System'!$C$41))*'Inputs-Proposals'!$E$23*'Inputs-Proposals'!$E$25*(1-'Inputs-Proposals'!$E$20^(AT$3-'Inputs-System'!$C$7))*(VLOOKUP(AT$3,'Embedded Emissions'!$A$47:$B$78,2,FALSE)+VLOOKUP(AT$3,'Embedded Emissions'!$A$129:$B$158,2,FALSE)), $C22 = "3", ('Inputs-System'!$C$30*'Coincidence Factors'!$B$10*(1+'Inputs-System'!$C$18)*(1+'Inputs-System'!$C$41))*'Inputs-Proposals'!$E$29*'Inputs-Proposals'!$E$31*(1-'Inputs-Proposals'!$E$20^(AT$3-'Inputs-System'!$C$7))*(VLOOKUP(AT$3,'Embedded Emissions'!$A$47:$B$78,2,FALSE)+VLOOKUP(AT$3,'Embedded Emissions'!$A$129:$B$158,2,FALSE)), $C22 = "0", 0), 0)</f>
        <v>0</v>
      </c>
      <c r="AV22" s="349">
        <f>IFERROR(_xlfn.IFS($C22="1",( 'Inputs-System'!$C$30*'Coincidence Factors'!$B$10*(1+'Inputs-System'!$C$18)*(1+'Inputs-System'!$C$41))*('Inputs-Proposals'!$E$17*'Inputs-Proposals'!$E$19*(1-'Inputs-Proposals'!$E$20)^(AT$3-'Inputs-System'!$C$7))*(VLOOKUP(AT$3,DRIPE!$A$54:$I$82,5,FALSE)+VLOOKUP(AT$3,DRIPE!$A$54:$I$82,9,FALSE))+ ('Inputs-System'!$C$26*'Coincidence Factors'!$B$6*(1+'Inputs-System'!$C$18)*(1+'Inputs-System'!$C$42))*'Inputs-Proposals'!$E$16*VLOOKUP(AT$3,DRIPE!$A$54:$I$82,8,FALSE), $C22 = "2",( 'Inputs-System'!$C$30*'Coincidence Factors'!$B$10*(1+'Inputs-System'!$C$18)*(1+'Inputs-System'!$C$41))*('Inputs-Proposals'!$E$23*'Inputs-Proposals'!$E$25*(1-'Inputs-Proposals'!$E$26)^(AT$3-'Inputs-System'!$C$7))*(VLOOKUP(AT$3,DRIPE!$A$54:$I$82,5,FALSE)+VLOOKUP(AT$3,DRIPE!$A$54:$I$82,9,FALSE))+ ('Inputs-System'!$C$26*'Coincidence Factors'!$B$6*(1+'Inputs-System'!$C$18)*(1+'Inputs-System'!$C$42))*'Inputs-Proposals'!$E$22*VLOOKUP(AT$3,DRIPE!$A$54:$I$82,8,FALSE), $C22= "3", ( 'Inputs-System'!$C$30*'Coincidence Factors'!$B$10*(1+'Inputs-System'!$C$18)*(1+'Inputs-System'!$C$41))*('Inputs-Proposals'!$E$29*'Inputs-Proposals'!$E$31*(1-'Inputs-Proposals'!$E$32)^(AT$3-'Inputs-System'!$C$7))*(VLOOKUP(AT$3,DRIPE!$A$54:$I$82,5,FALSE)+VLOOKUP(AT$3,DRIPE!$A$54:$I$82,9,FALSE))+ ('Inputs-System'!$C$26*'Coincidence Factors'!$B$6*(1+'Inputs-System'!$C$18)*(1+'Inputs-System'!$C$42))*'Inputs-Proposals'!$E$28*VLOOKUP(AT$3,DRIPE!$A$54:$I$82,8,FALSE), $C22 = "0", 0), 0)</f>
        <v>0</v>
      </c>
      <c r="AW22" s="350">
        <f>IFERROR(_xlfn.IFS($C22="1",('Inputs-System'!$C$26*'Coincidence Factors'!$B$10*(1+'Inputs-System'!$C$18)*(1+'Inputs-System'!$C$42))*'Inputs-Proposals'!$D$16*(VLOOKUP(AT$3,Capacity!$A$53:$E$85,4,FALSE)*(1+'Inputs-System'!$C$42)+VLOOKUP(AT$3,Capacity!$A$53:$E$85,5,FALSE)*(1+'Inputs-System'!$C$43)*'Inputs-System'!$C$29), $C22 = "2", ('Inputs-System'!$C$26*'Coincidence Factors'!$B$10*(1+'Inputs-System'!$C$18))*'Inputs-Proposals'!$D$22*(VLOOKUP(AT$3,Capacity!$A$53:$E$85,4,FALSE)*(1+'Inputs-System'!$C$42)+VLOOKUP(AT$3,Capacity!$A$53:$E$85,5,FALSE)*'Inputs-System'!$C$29*(1+'Inputs-System'!$C$43)), $C22 = "3", ('Inputs-System'!$C$26*'Coincidence Factors'!$B$10*(1+'Inputs-System'!$C$18))*'Inputs-Proposals'!$D$28*(VLOOKUP(AT$3,Capacity!$A$53:$E$85,4,FALSE)*(1+'Inputs-System'!$C$42)+VLOOKUP(AT$3,Capacity!$A$53:$E$85,5,FALSE)*'Inputs-System'!$C$29*(1+'Inputs-System'!$C$43)), $C22 = "0", 0), 0)</f>
        <v>0</v>
      </c>
      <c r="AX22" s="44">
        <v>0</v>
      </c>
      <c r="AY22" s="342">
        <f>IFERROR(_xlfn.IFS($C22="1", 'Inputs-System'!$C$30*'Coincidence Factors'!$B$10*'Inputs-Proposals'!$E$17*'Inputs-Proposals'!$E$19*(VLOOKUP(AT$3,'Non-Embedded Emissions'!$A$56:$D$90,2,FALSE)-VLOOKUP(AT$3,'Non-Embedded Emissions'!$F$57:$H$88,3,FALSE)+VLOOKUP(AT$3,'Non-Embedded Emissions'!$A$143:$D$174,2,FALSE)-VLOOKUP(AT$3,'Non-Embedded Emissions'!$F$143:$H$174,3,FALSE)+VLOOKUP(AT$3,'Non-Embedded Emissions'!$A$230:$D$259,2,FALSE)), $C22 = "2", 'Inputs-System'!$C$30*'Coincidence Factors'!$B$10*'Inputs-Proposals'!$E$23*'Inputs-Proposals'!$E$25*(VLOOKUP(AT$3,'Non-Embedded Emissions'!$A$56:$D$90,2,FALSE)-VLOOKUP(AT$3,'Non-Embedded Emissions'!$F$57:$H$88,3,FALSE)+VLOOKUP(AT$3,'Non-Embedded Emissions'!$A$143:$D$174,2,FALSE)-VLOOKUP(AT$3,'Non-Embedded Emissions'!$F$143:$H$174,3,FALSE)+VLOOKUP(AT$3,'Non-Embedded Emissions'!$A$230:$D$259,2,FALSE)), $C22 = "3", 'Inputs-System'!$C$30*'Coincidence Factors'!$B$10*'Inputs-Proposals'!$E$29*'Inputs-Proposals'!$E$31*(VLOOKUP(AT$3,'Non-Embedded Emissions'!$A$56:$D$90,2,FALSE)-VLOOKUP(AT$3,'Non-Embedded Emissions'!$F$57:$H$88,3,FALSE)+VLOOKUP(AT$3,'Non-Embedded Emissions'!$A$143:$D$174,2,FALSE)-VLOOKUP(AT$3,'Non-Embedded Emissions'!$F$143:$H$174,3,FALSE)+VLOOKUP(AT$3,'Non-Embedded Emissions'!$A$230:$D$259,2,FALSE)), $C22 = "0", 0), 0)</f>
        <v>0</v>
      </c>
      <c r="AZ22" s="45">
        <f>IFERROR(_xlfn.IFS($C22="1",('Inputs-System'!$C$30*'Coincidence Factors'!$B$10*(1+'Inputs-System'!$C$18)*(1+'Inputs-System'!$C$41)*('Inputs-Proposals'!$E$17*'Inputs-Proposals'!$E$19*(1-'Inputs-Proposals'!$E$20^(AZ$3-'Inputs-System'!$C$7)))*(VLOOKUP(AZ$3,Energy!$A$51:$K$83,5,FALSE))), $C22 = "2",('Inputs-System'!$C$30*'Coincidence Factors'!$B$10)*(1+'Inputs-System'!$C$18)*(1+'Inputs-System'!$C$41)*('Inputs-Proposals'!$E$23*'Inputs-Proposals'!$E$25*(1-'Inputs-Proposals'!$E$26^(AZ$3-'Inputs-System'!$C$7)))*(VLOOKUP(AZ$3,Energy!$A$51:$K$83,5,FALSE)), $C22= "3", ('Inputs-System'!$C$30*'Coincidence Factors'!$B$10*(1+'Inputs-System'!$C$18)*(1+'Inputs-System'!$C$41)*('Inputs-Proposals'!$E$29*'Inputs-Proposals'!$E$31*(1-'Inputs-Proposals'!$E$32^(AZ$3-'Inputs-System'!$C$7)))*(VLOOKUP(AZ$3,Energy!$A$51:$K$83,5,FALSE))), $C22= "0", 0), 0)</f>
        <v>0</v>
      </c>
      <c r="BA22" s="44">
        <f>IFERROR(_xlfn.IFS($C22="1",('Inputs-System'!$C$30*'Coincidence Factors'!$B$10*(1+'Inputs-System'!$C$18)*(1+'Inputs-System'!$C$41))*'Inputs-Proposals'!$E$17*'Inputs-Proposals'!$E$19*(1-'Inputs-Proposals'!$E$20^(AZ$3-'Inputs-System'!$C$7))*(VLOOKUP(AZ$3,'Embedded Emissions'!$A$47:$B$78,2,FALSE)+VLOOKUP(AZ$3,'Embedded Emissions'!$A$129:$B$158,2,FALSE)), $C22 = "2",('Inputs-System'!$C$30*'Coincidence Factors'!$B$10*(1+'Inputs-System'!$C$18)*(1+'Inputs-System'!$C$41))*'Inputs-Proposals'!$E$23*'Inputs-Proposals'!$E$25*(1-'Inputs-Proposals'!$E$20^(AZ$3-'Inputs-System'!$C$7))*(VLOOKUP(AZ$3,'Embedded Emissions'!$A$47:$B$78,2,FALSE)+VLOOKUP(AZ$3,'Embedded Emissions'!$A$129:$B$158,2,FALSE)), $C22 = "3", ('Inputs-System'!$C$30*'Coincidence Factors'!$B$10*(1+'Inputs-System'!$C$18)*(1+'Inputs-System'!$C$41))*'Inputs-Proposals'!$E$29*'Inputs-Proposals'!$E$31*(1-'Inputs-Proposals'!$E$20^(AZ$3-'Inputs-System'!$C$7))*(VLOOKUP(AZ$3,'Embedded Emissions'!$A$47:$B$78,2,FALSE)+VLOOKUP(AZ$3,'Embedded Emissions'!$A$129:$B$158,2,FALSE)), $C22 = "0", 0), 0)</f>
        <v>0</v>
      </c>
      <c r="BB22" s="349">
        <f>IFERROR(_xlfn.IFS($C22="1",( 'Inputs-System'!$C$30*'Coincidence Factors'!$B$10*(1+'Inputs-System'!$C$18)*(1+'Inputs-System'!$C$41))*('Inputs-Proposals'!$E$17*'Inputs-Proposals'!$E$19*(1-'Inputs-Proposals'!$E$20)^(AZ$3-'Inputs-System'!$C$7))*(VLOOKUP(AZ$3,DRIPE!$A$54:$I$82,5,FALSE)+VLOOKUP(AZ$3,DRIPE!$A$54:$I$82,9,FALSE))+ ('Inputs-System'!$C$26*'Coincidence Factors'!$B$6*(1+'Inputs-System'!$C$18)*(1+'Inputs-System'!$C$42))*'Inputs-Proposals'!$E$16*VLOOKUP(AZ$3,DRIPE!$A$54:$I$82,8,FALSE), $C22 = "2",( 'Inputs-System'!$C$30*'Coincidence Factors'!$B$10*(1+'Inputs-System'!$C$18)*(1+'Inputs-System'!$C$41))*('Inputs-Proposals'!$E$23*'Inputs-Proposals'!$E$25*(1-'Inputs-Proposals'!$E$26)^(AZ$3-'Inputs-System'!$C$7))*(VLOOKUP(AZ$3,DRIPE!$A$54:$I$82,5,FALSE)+VLOOKUP(AZ$3,DRIPE!$A$54:$I$82,9,FALSE))+ ('Inputs-System'!$C$26*'Coincidence Factors'!$B$6*(1+'Inputs-System'!$C$18)*(1+'Inputs-System'!$C$42))*'Inputs-Proposals'!$E$22*VLOOKUP(AZ$3,DRIPE!$A$54:$I$82,8,FALSE), $C22= "3", ( 'Inputs-System'!$C$30*'Coincidence Factors'!$B$10*(1+'Inputs-System'!$C$18)*(1+'Inputs-System'!$C$41))*('Inputs-Proposals'!$E$29*'Inputs-Proposals'!$E$31*(1-'Inputs-Proposals'!$E$32)^(AZ$3-'Inputs-System'!$C$7))*(VLOOKUP(AZ$3,DRIPE!$A$54:$I$82,5,FALSE)+VLOOKUP(AZ$3,DRIPE!$A$54:$I$82,9,FALSE))+ ('Inputs-System'!$C$26*'Coincidence Factors'!$B$6*(1+'Inputs-System'!$C$18)*(1+'Inputs-System'!$C$42))*'Inputs-Proposals'!$E$28*VLOOKUP(AZ$3,DRIPE!$A$54:$I$82,8,FALSE), $C22 = "0", 0), 0)</f>
        <v>0</v>
      </c>
      <c r="BC22" s="350">
        <f>IFERROR(_xlfn.IFS($C22="1",('Inputs-System'!$C$26*'Coincidence Factors'!$B$10*(1+'Inputs-System'!$C$18)*(1+'Inputs-System'!$C$42))*'Inputs-Proposals'!$D$16*(VLOOKUP(AZ$3,Capacity!$A$53:$E$85,4,FALSE)*(1+'Inputs-System'!$C$42)+VLOOKUP(AZ$3,Capacity!$A$53:$E$85,5,FALSE)*(1+'Inputs-System'!$C$43)*'Inputs-System'!$C$29), $C22 = "2", ('Inputs-System'!$C$26*'Coincidence Factors'!$B$10*(1+'Inputs-System'!$C$18))*'Inputs-Proposals'!$D$22*(VLOOKUP(AZ$3,Capacity!$A$53:$E$85,4,FALSE)*(1+'Inputs-System'!$C$42)+VLOOKUP(AZ$3,Capacity!$A$53:$E$85,5,FALSE)*'Inputs-System'!$C$29*(1+'Inputs-System'!$C$43)), $C22 = "3", ('Inputs-System'!$C$26*'Coincidence Factors'!$B$10*(1+'Inputs-System'!$C$18))*'Inputs-Proposals'!$D$28*(VLOOKUP(AZ$3,Capacity!$A$53:$E$85,4,FALSE)*(1+'Inputs-System'!$C$42)+VLOOKUP(AZ$3,Capacity!$A$53:$E$85,5,FALSE)*'Inputs-System'!$C$29*(1+'Inputs-System'!$C$43)), $C22 = "0", 0), 0)</f>
        <v>0</v>
      </c>
      <c r="BD22" s="44">
        <v>0</v>
      </c>
      <c r="BE22" s="342">
        <f>IFERROR(_xlfn.IFS($C22="1", 'Inputs-System'!$C$30*'Coincidence Factors'!$B$10*'Inputs-Proposals'!$E$17*'Inputs-Proposals'!$E$19*(VLOOKUP(AZ$3,'Non-Embedded Emissions'!$A$56:$D$90,2,FALSE)-VLOOKUP(AZ$3,'Non-Embedded Emissions'!$F$57:$H$88,3,FALSE)+VLOOKUP(AZ$3,'Non-Embedded Emissions'!$A$143:$D$174,2,FALSE)-VLOOKUP(AZ$3,'Non-Embedded Emissions'!$F$143:$H$174,3,FALSE)+VLOOKUP(AZ$3,'Non-Embedded Emissions'!$A$230:$D$259,2,FALSE)), $C22 = "2", 'Inputs-System'!$C$30*'Coincidence Factors'!$B$10*'Inputs-Proposals'!$E$23*'Inputs-Proposals'!$E$25*(VLOOKUP(AZ$3,'Non-Embedded Emissions'!$A$56:$D$90,2,FALSE)-VLOOKUP(AZ$3,'Non-Embedded Emissions'!$F$57:$H$88,3,FALSE)+VLOOKUP(AZ$3,'Non-Embedded Emissions'!$A$143:$D$174,2,FALSE)-VLOOKUP(AZ$3,'Non-Embedded Emissions'!$F$143:$H$174,3,FALSE)+VLOOKUP(AZ$3,'Non-Embedded Emissions'!$A$230:$D$259,2,FALSE)), $C22 = "3", 'Inputs-System'!$C$30*'Coincidence Factors'!$B$10*'Inputs-Proposals'!$E$29*'Inputs-Proposals'!$E$31*(VLOOKUP(AZ$3,'Non-Embedded Emissions'!$A$56:$D$90,2,FALSE)-VLOOKUP(AZ$3,'Non-Embedded Emissions'!$F$57:$H$88,3,FALSE)+VLOOKUP(AZ$3,'Non-Embedded Emissions'!$A$143:$D$174,2,FALSE)-VLOOKUP(AZ$3,'Non-Embedded Emissions'!$F$143:$H$174,3,FALSE)+VLOOKUP(AZ$3,'Non-Embedded Emissions'!$A$230:$D$259,2,FALSE)), $C22 = "0", 0), 0)</f>
        <v>0</v>
      </c>
      <c r="BF22" s="45">
        <f>IFERROR(_xlfn.IFS($C22="1",('Inputs-System'!$C$30*'Coincidence Factors'!$B$10*(1+'Inputs-System'!$C$18)*(1+'Inputs-System'!$C$41)*('Inputs-Proposals'!$E$17*'Inputs-Proposals'!$E$19*(1-'Inputs-Proposals'!$E$20^(BF$3-'Inputs-System'!$C$7)))*(VLOOKUP(BF$3,Energy!$A$51:$K$83,5,FALSE))), $C22 = "2",('Inputs-System'!$C$30*'Coincidence Factors'!$B$10)*(1+'Inputs-System'!$C$18)*(1+'Inputs-System'!$C$41)*('Inputs-Proposals'!$E$23*'Inputs-Proposals'!$E$25*(1-'Inputs-Proposals'!$E$26^(BF$3-'Inputs-System'!$C$7)))*(VLOOKUP(BF$3,Energy!$A$51:$K$83,5,FALSE)), $C22= "3", ('Inputs-System'!$C$30*'Coincidence Factors'!$B$10*(1+'Inputs-System'!$C$18)*(1+'Inputs-System'!$C$41)*('Inputs-Proposals'!$E$29*'Inputs-Proposals'!$E$31*(1-'Inputs-Proposals'!$E$32^(BF$3-'Inputs-System'!$C$7)))*(VLOOKUP(BF$3,Energy!$A$51:$K$83,5,FALSE))), $C22= "0", 0), 0)</f>
        <v>0</v>
      </c>
      <c r="BG22" s="44">
        <f>IFERROR(_xlfn.IFS($C22="1",('Inputs-System'!$C$30*'Coincidence Factors'!$B$10*(1+'Inputs-System'!$C$18)*(1+'Inputs-System'!$C$41))*'Inputs-Proposals'!$E$17*'Inputs-Proposals'!$E$19*(1-'Inputs-Proposals'!$E$20^(BF$3-'Inputs-System'!$C$7))*(VLOOKUP(BF$3,'Embedded Emissions'!$A$47:$B$78,2,FALSE)+VLOOKUP(BF$3,'Embedded Emissions'!$A$129:$B$158,2,FALSE)), $C22 = "2",('Inputs-System'!$C$30*'Coincidence Factors'!$B$10*(1+'Inputs-System'!$C$18)*(1+'Inputs-System'!$C$41))*'Inputs-Proposals'!$E$23*'Inputs-Proposals'!$E$25*(1-'Inputs-Proposals'!$E$20^(BF$3-'Inputs-System'!$C$7))*(VLOOKUP(BF$3,'Embedded Emissions'!$A$47:$B$78,2,FALSE)+VLOOKUP(BF$3,'Embedded Emissions'!$A$129:$B$158,2,FALSE)), $C22 = "3", ('Inputs-System'!$C$30*'Coincidence Factors'!$B$10*(1+'Inputs-System'!$C$18)*(1+'Inputs-System'!$C$41))*'Inputs-Proposals'!$E$29*'Inputs-Proposals'!$E$31*(1-'Inputs-Proposals'!$E$20^(BF$3-'Inputs-System'!$C$7))*(VLOOKUP(BF$3,'Embedded Emissions'!$A$47:$B$78,2,FALSE)+VLOOKUP(BF$3,'Embedded Emissions'!$A$129:$B$158,2,FALSE)), $C22 = "0", 0), 0)</f>
        <v>0</v>
      </c>
      <c r="BH22" s="349">
        <f>IFERROR(_xlfn.IFS($C22="1",( 'Inputs-System'!$C$30*'Coincidence Factors'!$B$10*(1+'Inputs-System'!$C$18)*(1+'Inputs-System'!$C$41))*('Inputs-Proposals'!$E$17*'Inputs-Proposals'!$E$19*(1-'Inputs-Proposals'!$E$20)^(BF$3-'Inputs-System'!$C$7))*(VLOOKUP(BF$3,DRIPE!$A$54:$I$82,5,FALSE)+VLOOKUP(BF$3,DRIPE!$A$54:$I$82,9,FALSE))+ ('Inputs-System'!$C$26*'Coincidence Factors'!$B$6*(1+'Inputs-System'!$C$18)*(1+'Inputs-System'!$C$42))*'Inputs-Proposals'!$E$16*VLOOKUP(BF$3,DRIPE!$A$54:$I$82,8,FALSE), $C22 = "2",( 'Inputs-System'!$C$30*'Coincidence Factors'!$B$10*(1+'Inputs-System'!$C$18)*(1+'Inputs-System'!$C$41))*('Inputs-Proposals'!$E$23*'Inputs-Proposals'!$E$25*(1-'Inputs-Proposals'!$E$26)^(BF$3-'Inputs-System'!$C$7))*(VLOOKUP(BF$3,DRIPE!$A$54:$I$82,5,FALSE)+VLOOKUP(BF$3,DRIPE!$A$54:$I$82,9,FALSE))+ ('Inputs-System'!$C$26*'Coincidence Factors'!$B$6*(1+'Inputs-System'!$C$18)*(1+'Inputs-System'!$C$42))*'Inputs-Proposals'!$E$22*VLOOKUP(BF$3,DRIPE!$A$54:$I$82,8,FALSE), $C22= "3", ( 'Inputs-System'!$C$30*'Coincidence Factors'!$B$10*(1+'Inputs-System'!$C$18)*(1+'Inputs-System'!$C$41))*('Inputs-Proposals'!$E$29*'Inputs-Proposals'!$E$31*(1-'Inputs-Proposals'!$E$32)^(BF$3-'Inputs-System'!$C$7))*(VLOOKUP(BF$3,DRIPE!$A$54:$I$82,5,FALSE)+VLOOKUP(BF$3,DRIPE!$A$54:$I$82,9,FALSE))+ ('Inputs-System'!$C$26*'Coincidence Factors'!$B$6*(1+'Inputs-System'!$C$18)*(1+'Inputs-System'!$C$42))*'Inputs-Proposals'!$E$28*VLOOKUP(BF$3,DRIPE!$A$54:$I$82,8,FALSE), $C22 = "0", 0), 0)</f>
        <v>0</v>
      </c>
      <c r="BI22" s="350">
        <f>IFERROR(_xlfn.IFS($C22="1",('Inputs-System'!$C$26*'Coincidence Factors'!$B$10*(1+'Inputs-System'!$C$18)*(1+'Inputs-System'!$C$42))*'Inputs-Proposals'!$D$16*(VLOOKUP(BF$3,Capacity!$A$53:$E$85,4,FALSE)*(1+'Inputs-System'!$C$42)+VLOOKUP(BF$3,Capacity!$A$53:$E$85,5,FALSE)*(1+'Inputs-System'!$C$43)*'Inputs-System'!$C$29), $C22 = "2", ('Inputs-System'!$C$26*'Coincidence Factors'!$B$10*(1+'Inputs-System'!$C$18))*'Inputs-Proposals'!$D$22*(VLOOKUP(BF$3,Capacity!$A$53:$E$85,4,FALSE)*(1+'Inputs-System'!$C$42)+VLOOKUP(BF$3,Capacity!$A$53:$E$85,5,FALSE)*'Inputs-System'!$C$29*(1+'Inputs-System'!$C$43)), $C22 = "3", ('Inputs-System'!$C$26*'Coincidence Factors'!$B$10*(1+'Inputs-System'!$C$18))*'Inputs-Proposals'!$D$28*(VLOOKUP(BF$3,Capacity!$A$53:$E$85,4,FALSE)*(1+'Inputs-System'!$C$42)+VLOOKUP(BF$3,Capacity!$A$53:$E$85,5,FALSE)*'Inputs-System'!$C$29*(1+'Inputs-System'!$C$43)), $C22 = "0", 0), 0)</f>
        <v>0</v>
      </c>
      <c r="BJ22" s="44">
        <v>0</v>
      </c>
      <c r="BK22" s="342">
        <f>IFERROR(_xlfn.IFS($C22="1", 'Inputs-System'!$C$30*'Coincidence Factors'!$B$10*'Inputs-Proposals'!$E$17*'Inputs-Proposals'!$E$19*(VLOOKUP(BF$3,'Non-Embedded Emissions'!$A$56:$D$90,2,FALSE)-VLOOKUP(BF$3,'Non-Embedded Emissions'!$F$57:$H$88,3,FALSE)+VLOOKUP(BF$3,'Non-Embedded Emissions'!$A$143:$D$174,2,FALSE)-VLOOKUP(BF$3,'Non-Embedded Emissions'!$F$143:$H$174,3,FALSE)+VLOOKUP(BF$3,'Non-Embedded Emissions'!$A$230:$D$259,2,FALSE)), $C22 = "2", 'Inputs-System'!$C$30*'Coincidence Factors'!$B$10*'Inputs-Proposals'!$E$23*'Inputs-Proposals'!$E$25*(VLOOKUP(BF$3,'Non-Embedded Emissions'!$A$56:$D$90,2,FALSE)-VLOOKUP(BF$3,'Non-Embedded Emissions'!$F$57:$H$88,3,FALSE)+VLOOKUP(BF$3,'Non-Embedded Emissions'!$A$143:$D$174,2,FALSE)-VLOOKUP(BF$3,'Non-Embedded Emissions'!$F$143:$H$174,3,FALSE)+VLOOKUP(BF$3,'Non-Embedded Emissions'!$A$230:$D$259,2,FALSE)), $C22 = "3", 'Inputs-System'!$C$30*'Coincidence Factors'!$B$10*'Inputs-Proposals'!$E$29*'Inputs-Proposals'!$E$31*(VLOOKUP(BF$3,'Non-Embedded Emissions'!$A$56:$D$90,2,FALSE)-VLOOKUP(BF$3,'Non-Embedded Emissions'!$F$57:$H$88,3,FALSE)+VLOOKUP(BF$3,'Non-Embedded Emissions'!$A$143:$D$174,2,FALSE)-VLOOKUP(BF$3,'Non-Embedded Emissions'!$F$143:$H$174,3,FALSE)+VLOOKUP(BF$3,'Non-Embedded Emissions'!$A$230:$D$259,2,FALSE)), $C22 = "0", 0), 0)</f>
        <v>0</v>
      </c>
      <c r="BL22" s="45">
        <f>IFERROR(_xlfn.IFS($C22="1",('Inputs-System'!$C$30*'Coincidence Factors'!$B$10*(1+'Inputs-System'!$C$18)*(1+'Inputs-System'!$C$41)*('Inputs-Proposals'!$E$17*'Inputs-Proposals'!$E$19*(1-'Inputs-Proposals'!$E$20^(BL$3-'Inputs-System'!$C$7)))*(VLOOKUP(BL$3,Energy!$A$51:$K$83,5,FALSE))), $C22 = "2",('Inputs-System'!$C$30*'Coincidence Factors'!$B$10)*(1+'Inputs-System'!$C$18)*(1+'Inputs-System'!$C$41)*('Inputs-Proposals'!$E$23*'Inputs-Proposals'!$E$25*(1-'Inputs-Proposals'!$E$26^(BL$3-'Inputs-System'!$C$7)))*(VLOOKUP(BL$3,Energy!$A$51:$K$83,5,FALSE)), $C22= "3", ('Inputs-System'!$C$30*'Coincidence Factors'!$B$10*(1+'Inputs-System'!$C$18)*(1+'Inputs-System'!$C$41)*('Inputs-Proposals'!$E$29*'Inputs-Proposals'!$E$31*(1-'Inputs-Proposals'!$E$32^(BL$3-'Inputs-System'!$C$7)))*(VLOOKUP(BL$3,Energy!$A$51:$K$83,5,FALSE))), $C22= "0", 0), 0)</f>
        <v>0</v>
      </c>
      <c r="BM22" s="44">
        <f>IFERROR(_xlfn.IFS($C22="1",('Inputs-System'!$C$30*'Coincidence Factors'!$B$10*(1+'Inputs-System'!$C$18)*(1+'Inputs-System'!$C$41))*'Inputs-Proposals'!$E$17*'Inputs-Proposals'!$E$19*(1-'Inputs-Proposals'!$E$20^(BL$3-'Inputs-System'!$C$7))*(VLOOKUP(BL$3,'Embedded Emissions'!$A$47:$B$78,2,FALSE)+VLOOKUP(BL$3,'Embedded Emissions'!$A$129:$B$158,2,FALSE)), $C22 = "2",('Inputs-System'!$C$30*'Coincidence Factors'!$B$10*(1+'Inputs-System'!$C$18)*(1+'Inputs-System'!$C$41))*'Inputs-Proposals'!$E$23*'Inputs-Proposals'!$E$25*(1-'Inputs-Proposals'!$E$20^(BL$3-'Inputs-System'!$C$7))*(VLOOKUP(BL$3,'Embedded Emissions'!$A$47:$B$78,2,FALSE)+VLOOKUP(BL$3,'Embedded Emissions'!$A$129:$B$158,2,FALSE)), $C22 = "3", ('Inputs-System'!$C$30*'Coincidence Factors'!$B$10*(1+'Inputs-System'!$C$18)*(1+'Inputs-System'!$C$41))*'Inputs-Proposals'!$E$29*'Inputs-Proposals'!$E$31*(1-'Inputs-Proposals'!$E$20^(BL$3-'Inputs-System'!$C$7))*(VLOOKUP(BL$3,'Embedded Emissions'!$A$47:$B$78,2,FALSE)+VLOOKUP(BL$3,'Embedded Emissions'!$A$129:$B$158,2,FALSE)), $C22 = "0", 0), 0)</f>
        <v>0</v>
      </c>
      <c r="BN22" s="349">
        <f>IFERROR(_xlfn.IFS($C22="1",( 'Inputs-System'!$C$30*'Coincidence Factors'!$B$10*(1+'Inputs-System'!$C$18)*(1+'Inputs-System'!$C$41))*('Inputs-Proposals'!$E$17*'Inputs-Proposals'!$E$19*(1-'Inputs-Proposals'!$E$20)^(BL$3-'Inputs-System'!$C$7))*(VLOOKUP(BL$3,DRIPE!$A$54:$I$82,5,FALSE)+VLOOKUP(BL$3,DRIPE!$A$54:$I$82,9,FALSE))+ ('Inputs-System'!$C$26*'Coincidence Factors'!$B$6*(1+'Inputs-System'!$C$18)*(1+'Inputs-System'!$C$42))*'Inputs-Proposals'!$E$16*VLOOKUP(BL$3,DRIPE!$A$54:$I$82,8,FALSE), $C22 = "2",( 'Inputs-System'!$C$30*'Coincidence Factors'!$B$10*(1+'Inputs-System'!$C$18)*(1+'Inputs-System'!$C$41))*('Inputs-Proposals'!$E$23*'Inputs-Proposals'!$E$25*(1-'Inputs-Proposals'!$E$26)^(BL$3-'Inputs-System'!$C$7))*(VLOOKUP(BL$3,DRIPE!$A$54:$I$82,5,FALSE)+VLOOKUP(BL$3,DRIPE!$A$54:$I$82,9,FALSE))+ ('Inputs-System'!$C$26*'Coincidence Factors'!$B$6*(1+'Inputs-System'!$C$18)*(1+'Inputs-System'!$C$42))*'Inputs-Proposals'!$E$22*VLOOKUP(BL$3,DRIPE!$A$54:$I$82,8,FALSE), $C22= "3", ( 'Inputs-System'!$C$30*'Coincidence Factors'!$B$10*(1+'Inputs-System'!$C$18)*(1+'Inputs-System'!$C$41))*('Inputs-Proposals'!$E$29*'Inputs-Proposals'!$E$31*(1-'Inputs-Proposals'!$E$32)^(BL$3-'Inputs-System'!$C$7))*(VLOOKUP(BL$3,DRIPE!$A$54:$I$82,5,FALSE)+VLOOKUP(BL$3,DRIPE!$A$54:$I$82,9,FALSE))+ ('Inputs-System'!$C$26*'Coincidence Factors'!$B$6*(1+'Inputs-System'!$C$18)*(1+'Inputs-System'!$C$42))*'Inputs-Proposals'!$E$28*VLOOKUP(BL$3,DRIPE!$A$54:$I$82,8,FALSE), $C22 = "0", 0), 0)</f>
        <v>0</v>
      </c>
      <c r="BO22" s="350">
        <f>IFERROR(_xlfn.IFS($C22="1",('Inputs-System'!$C$26*'Coincidence Factors'!$B$10*(1+'Inputs-System'!$C$18)*(1+'Inputs-System'!$C$42))*'Inputs-Proposals'!$D$16*(VLOOKUP(BL$3,Capacity!$A$53:$E$85,4,FALSE)*(1+'Inputs-System'!$C$42)+VLOOKUP(BL$3,Capacity!$A$53:$E$85,5,FALSE)*(1+'Inputs-System'!$C$43)*'Inputs-System'!$C$29), $C22 = "2", ('Inputs-System'!$C$26*'Coincidence Factors'!$B$10*(1+'Inputs-System'!$C$18))*'Inputs-Proposals'!$D$22*(VLOOKUP(BL$3,Capacity!$A$53:$E$85,4,FALSE)*(1+'Inputs-System'!$C$42)+VLOOKUP(BL$3,Capacity!$A$53:$E$85,5,FALSE)*'Inputs-System'!$C$29*(1+'Inputs-System'!$C$43)), $C22 = "3", ('Inputs-System'!$C$26*'Coincidence Factors'!$B$10*(1+'Inputs-System'!$C$18))*'Inputs-Proposals'!$D$28*(VLOOKUP(BL$3,Capacity!$A$53:$E$85,4,FALSE)*(1+'Inputs-System'!$C$42)+VLOOKUP(BL$3,Capacity!$A$53:$E$85,5,FALSE)*'Inputs-System'!$C$29*(1+'Inputs-System'!$C$43)), $C22 = "0", 0), 0)</f>
        <v>0</v>
      </c>
      <c r="BP22" s="44">
        <v>0</v>
      </c>
      <c r="BQ22" s="342">
        <f>IFERROR(_xlfn.IFS($C22="1", 'Inputs-System'!$C$30*'Coincidence Factors'!$B$10*'Inputs-Proposals'!$E$17*'Inputs-Proposals'!$E$19*(VLOOKUP(BL$3,'Non-Embedded Emissions'!$A$56:$D$90,2,FALSE)-VLOOKUP(BL$3,'Non-Embedded Emissions'!$F$57:$H$88,3,FALSE)+VLOOKUP(BL$3,'Non-Embedded Emissions'!$A$143:$D$174,2,FALSE)-VLOOKUP(BL$3,'Non-Embedded Emissions'!$F$143:$H$174,3,FALSE)+VLOOKUP(BL$3,'Non-Embedded Emissions'!$A$230:$D$259,2,FALSE)), $C22 = "2", 'Inputs-System'!$C$30*'Coincidence Factors'!$B$10*'Inputs-Proposals'!$E$23*'Inputs-Proposals'!$E$25*(VLOOKUP(BL$3,'Non-Embedded Emissions'!$A$56:$D$90,2,FALSE)-VLOOKUP(BL$3,'Non-Embedded Emissions'!$F$57:$H$88,3,FALSE)+VLOOKUP(BL$3,'Non-Embedded Emissions'!$A$143:$D$174,2,FALSE)-VLOOKUP(BL$3,'Non-Embedded Emissions'!$F$143:$H$174,3,FALSE)+VLOOKUP(BL$3,'Non-Embedded Emissions'!$A$230:$D$259,2,FALSE)), $C22 = "3", 'Inputs-System'!$C$30*'Coincidence Factors'!$B$10*'Inputs-Proposals'!$E$29*'Inputs-Proposals'!$E$31*(VLOOKUP(BL$3,'Non-Embedded Emissions'!$A$56:$D$90,2,FALSE)-VLOOKUP(BL$3,'Non-Embedded Emissions'!$F$57:$H$88,3,FALSE)+VLOOKUP(BL$3,'Non-Embedded Emissions'!$A$143:$D$174,2,FALSE)-VLOOKUP(BL$3,'Non-Embedded Emissions'!$F$143:$H$174,3,FALSE)+VLOOKUP(BL$3,'Non-Embedded Emissions'!$A$230:$D$259,2,FALSE)), $C22 = "0", 0), 0)</f>
        <v>0</v>
      </c>
      <c r="BR22" s="45">
        <f>IFERROR(_xlfn.IFS($C22="1",('Inputs-System'!$C$30*'Coincidence Factors'!$B$10*(1+'Inputs-System'!$C$18)*(1+'Inputs-System'!$C$41)*('Inputs-Proposals'!$E$17*'Inputs-Proposals'!$E$19*(1-'Inputs-Proposals'!$E$20^(BR$3-'Inputs-System'!$C$7)))*(VLOOKUP(BR$3,Energy!$A$51:$K$83,5,FALSE))), $C22 = "2",('Inputs-System'!$C$30*'Coincidence Factors'!$B$10)*(1+'Inputs-System'!$C$18)*(1+'Inputs-System'!$C$41)*('Inputs-Proposals'!$E$23*'Inputs-Proposals'!$E$25*(1-'Inputs-Proposals'!$E$26^(BR$3-'Inputs-System'!$C$7)))*(VLOOKUP(BR$3,Energy!$A$51:$K$83,5,FALSE)), $C22= "3", ('Inputs-System'!$C$30*'Coincidence Factors'!$B$10*(1+'Inputs-System'!$C$18)*(1+'Inputs-System'!$C$41)*('Inputs-Proposals'!$E$29*'Inputs-Proposals'!$E$31*(1-'Inputs-Proposals'!$E$32^(BR$3-'Inputs-System'!$C$7)))*(VLOOKUP(BR$3,Energy!$A$51:$K$83,5,FALSE))), $C22= "0", 0), 0)</f>
        <v>0</v>
      </c>
      <c r="BS22" s="44">
        <f>IFERROR(_xlfn.IFS($C22="1",('Inputs-System'!$C$30*'Coincidence Factors'!$B$10*(1+'Inputs-System'!$C$18)*(1+'Inputs-System'!$C$41))*'Inputs-Proposals'!$E$17*'Inputs-Proposals'!$E$19*(1-'Inputs-Proposals'!$E$20^(BR$3-'Inputs-System'!$C$7))*(VLOOKUP(BR$3,'Embedded Emissions'!$A$47:$B$78,2,FALSE)+VLOOKUP(BR$3,'Embedded Emissions'!$A$129:$B$158,2,FALSE)), $C22 = "2",('Inputs-System'!$C$30*'Coincidence Factors'!$B$10*(1+'Inputs-System'!$C$18)*(1+'Inputs-System'!$C$41))*'Inputs-Proposals'!$E$23*'Inputs-Proposals'!$E$25*(1-'Inputs-Proposals'!$E$20^(BR$3-'Inputs-System'!$C$7))*(VLOOKUP(BR$3,'Embedded Emissions'!$A$47:$B$78,2,FALSE)+VLOOKUP(BR$3,'Embedded Emissions'!$A$129:$B$158,2,FALSE)), $C22 = "3", ('Inputs-System'!$C$30*'Coincidence Factors'!$B$10*(1+'Inputs-System'!$C$18)*(1+'Inputs-System'!$C$41))*'Inputs-Proposals'!$E$29*'Inputs-Proposals'!$E$31*(1-'Inputs-Proposals'!$E$20^(BR$3-'Inputs-System'!$C$7))*(VLOOKUP(BR$3,'Embedded Emissions'!$A$47:$B$78,2,FALSE)+VLOOKUP(BR$3,'Embedded Emissions'!$A$129:$B$158,2,FALSE)), $C22 = "0", 0), 0)</f>
        <v>0</v>
      </c>
      <c r="BT22" s="349">
        <f>IFERROR(_xlfn.IFS($C22="1",( 'Inputs-System'!$C$30*'Coincidence Factors'!$B$10*(1+'Inputs-System'!$C$18)*(1+'Inputs-System'!$C$41))*('Inputs-Proposals'!$E$17*'Inputs-Proposals'!$E$19*(1-'Inputs-Proposals'!$E$20)^(BR$3-'Inputs-System'!$C$7))*(VLOOKUP(BR$3,DRIPE!$A$54:$I$82,5,FALSE)+VLOOKUP(BR$3,DRIPE!$A$54:$I$82,9,FALSE))+ ('Inputs-System'!$C$26*'Coincidence Factors'!$B$6*(1+'Inputs-System'!$C$18)*(1+'Inputs-System'!$C$42))*'Inputs-Proposals'!$E$16*VLOOKUP(BR$3,DRIPE!$A$54:$I$82,8,FALSE), $C22 = "2",( 'Inputs-System'!$C$30*'Coincidence Factors'!$B$10*(1+'Inputs-System'!$C$18)*(1+'Inputs-System'!$C$41))*('Inputs-Proposals'!$E$23*'Inputs-Proposals'!$E$25*(1-'Inputs-Proposals'!$E$26)^(BR$3-'Inputs-System'!$C$7))*(VLOOKUP(BR$3,DRIPE!$A$54:$I$82,5,FALSE)+VLOOKUP(BR$3,DRIPE!$A$54:$I$82,9,FALSE))+ ('Inputs-System'!$C$26*'Coincidence Factors'!$B$6*(1+'Inputs-System'!$C$18)*(1+'Inputs-System'!$C$42))*'Inputs-Proposals'!$E$22*VLOOKUP(BR$3,DRIPE!$A$54:$I$82,8,FALSE), $C22= "3", ( 'Inputs-System'!$C$30*'Coincidence Factors'!$B$10*(1+'Inputs-System'!$C$18)*(1+'Inputs-System'!$C$41))*('Inputs-Proposals'!$E$29*'Inputs-Proposals'!$E$31*(1-'Inputs-Proposals'!$E$32)^(BR$3-'Inputs-System'!$C$7))*(VLOOKUP(BR$3,DRIPE!$A$54:$I$82,5,FALSE)+VLOOKUP(BR$3,DRIPE!$A$54:$I$82,9,FALSE))+ ('Inputs-System'!$C$26*'Coincidence Factors'!$B$6*(1+'Inputs-System'!$C$18)*(1+'Inputs-System'!$C$42))*'Inputs-Proposals'!$E$28*VLOOKUP(BR$3,DRIPE!$A$54:$I$82,8,FALSE), $C22 = "0", 0), 0)</f>
        <v>0</v>
      </c>
      <c r="BU22" s="350">
        <f>IFERROR(_xlfn.IFS($C22="1",('Inputs-System'!$C$26*'Coincidence Factors'!$B$10*(1+'Inputs-System'!$C$18)*(1+'Inputs-System'!$C$42))*'Inputs-Proposals'!$D$16*(VLOOKUP(BR$3,Capacity!$A$53:$E$85,4,FALSE)*(1+'Inputs-System'!$C$42)+VLOOKUP(BR$3,Capacity!$A$53:$E$85,5,FALSE)*(1+'Inputs-System'!$C$43)*'Inputs-System'!$C$29), $C22 = "2", ('Inputs-System'!$C$26*'Coincidence Factors'!$B$10*(1+'Inputs-System'!$C$18))*'Inputs-Proposals'!$D$22*(VLOOKUP(BR$3,Capacity!$A$53:$E$85,4,FALSE)*(1+'Inputs-System'!$C$42)+VLOOKUP(BR$3,Capacity!$A$53:$E$85,5,FALSE)*'Inputs-System'!$C$29*(1+'Inputs-System'!$C$43)), $C22 = "3", ('Inputs-System'!$C$26*'Coincidence Factors'!$B$10*(1+'Inputs-System'!$C$18))*'Inputs-Proposals'!$D$28*(VLOOKUP(BR$3,Capacity!$A$53:$E$85,4,FALSE)*(1+'Inputs-System'!$C$42)+VLOOKUP(BR$3,Capacity!$A$53:$E$85,5,FALSE)*'Inputs-System'!$C$29*(1+'Inputs-System'!$C$43)), $C22 = "0", 0), 0)</f>
        <v>0</v>
      </c>
      <c r="BV22" s="44">
        <v>0</v>
      </c>
      <c r="BW22" s="342">
        <f>IFERROR(_xlfn.IFS($C22="1", 'Inputs-System'!$C$30*'Coincidence Factors'!$B$10*'Inputs-Proposals'!$E$17*'Inputs-Proposals'!$E$19*(VLOOKUP(BR$3,'Non-Embedded Emissions'!$A$56:$D$90,2,FALSE)-VLOOKUP(BR$3,'Non-Embedded Emissions'!$F$57:$H$88,3,FALSE)+VLOOKUP(BR$3,'Non-Embedded Emissions'!$A$143:$D$174,2,FALSE)-VLOOKUP(BR$3,'Non-Embedded Emissions'!$F$143:$H$174,3,FALSE)+VLOOKUP(BR$3,'Non-Embedded Emissions'!$A$230:$D$259,2,FALSE)), $C22 = "2", 'Inputs-System'!$C$30*'Coincidence Factors'!$B$10*'Inputs-Proposals'!$E$23*'Inputs-Proposals'!$E$25*(VLOOKUP(BR$3,'Non-Embedded Emissions'!$A$56:$D$90,2,FALSE)-VLOOKUP(BR$3,'Non-Embedded Emissions'!$F$57:$H$88,3,FALSE)+VLOOKUP(BR$3,'Non-Embedded Emissions'!$A$143:$D$174,2,FALSE)-VLOOKUP(BR$3,'Non-Embedded Emissions'!$F$143:$H$174,3,FALSE)+VLOOKUP(BR$3,'Non-Embedded Emissions'!$A$230:$D$259,2,FALSE)), $C22 = "3", 'Inputs-System'!$C$30*'Coincidence Factors'!$B$10*'Inputs-Proposals'!$E$29*'Inputs-Proposals'!$E$31*(VLOOKUP(BR$3,'Non-Embedded Emissions'!$A$56:$D$90,2,FALSE)-VLOOKUP(BR$3,'Non-Embedded Emissions'!$F$57:$H$88,3,FALSE)+VLOOKUP(BR$3,'Non-Embedded Emissions'!$A$143:$D$174,2,FALSE)-VLOOKUP(BR$3,'Non-Embedded Emissions'!$F$143:$H$174,3,FALSE)+VLOOKUP(BR$3,'Non-Embedded Emissions'!$A$230:$D$259,2,FALSE)), $C22 = "0", 0), 0)</f>
        <v>0</v>
      </c>
      <c r="BX22" s="45">
        <f>IFERROR(_xlfn.IFS($C22="1",('Inputs-System'!$C$30*'Coincidence Factors'!$B$10*(1+'Inputs-System'!$C$18)*(1+'Inputs-System'!$C$41)*('Inputs-Proposals'!$E$17*'Inputs-Proposals'!$E$19*(1-'Inputs-Proposals'!$E$20^(BX$3-'Inputs-System'!$C$7)))*(VLOOKUP(BX$3,Energy!$A$51:$K$83,5,FALSE))), $C22 = "2",('Inputs-System'!$C$30*'Coincidence Factors'!$B$10)*(1+'Inputs-System'!$C$18)*(1+'Inputs-System'!$C$41)*('Inputs-Proposals'!$E$23*'Inputs-Proposals'!$E$25*(1-'Inputs-Proposals'!$E$26^(BX$3-'Inputs-System'!$C$7)))*(VLOOKUP(BX$3,Energy!$A$51:$K$83,5,FALSE)), $C22= "3", ('Inputs-System'!$C$30*'Coincidence Factors'!$B$10*(1+'Inputs-System'!$C$18)*(1+'Inputs-System'!$C$41)*('Inputs-Proposals'!$E$29*'Inputs-Proposals'!$E$31*(1-'Inputs-Proposals'!$E$32^(BX$3-'Inputs-System'!$C$7)))*(VLOOKUP(BX$3,Energy!$A$51:$K$83,5,FALSE))), $C22= "0", 0), 0)</f>
        <v>0</v>
      </c>
      <c r="BY22" s="44">
        <f>IFERROR(_xlfn.IFS($C22="1",('Inputs-System'!$C$30*'Coincidence Factors'!$B$10*(1+'Inputs-System'!$C$18)*(1+'Inputs-System'!$C$41))*'Inputs-Proposals'!$E$17*'Inputs-Proposals'!$E$19*(1-'Inputs-Proposals'!$E$20^(BX$3-'Inputs-System'!$C$7))*(VLOOKUP(BX$3,'Embedded Emissions'!$A$47:$B$78,2,FALSE)+VLOOKUP(BX$3,'Embedded Emissions'!$A$129:$B$158,2,FALSE)), $C22 = "2",('Inputs-System'!$C$30*'Coincidence Factors'!$B$10*(1+'Inputs-System'!$C$18)*(1+'Inputs-System'!$C$41))*'Inputs-Proposals'!$E$23*'Inputs-Proposals'!$E$25*(1-'Inputs-Proposals'!$E$20^(BX$3-'Inputs-System'!$C$7))*(VLOOKUP(BX$3,'Embedded Emissions'!$A$47:$B$78,2,FALSE)+VLOOKUP(BX$3,'Embedded Emissions'!$A$129:$B$158,2,FALSE)), $C22 = "3", ('Inputs-System'!$C$30*'Coincidence Factors'!$B$10*(1+'Inputs-System'!$C$18)*(1+'Inputs-System'!$C$41))*'Inputs-Proposals'!$E$29*'Inputs-Proposals'!$E$31*(1-'Inputs-Proposals'!$E$20^(BX$3-'Inputs-System'!$C$7))*(VLOOKUP(BX$3,'Embedded Emissions'!$A$47:$B$78,2,FALSE)+VLOOKUP(BX$3,'Embedded Emissions'!$A$129:$B$158,2,FALSE)), $C22 = "0", 0), 0)</f>
        <v>0</v>
      </c>
      <c r="BZ22" s="349">
        <f>IFERROR(_xlfn.IFS($C22="1",( 'Inputs-System'!$C$30*'Coincidence Factors'!$B$10*(1+'Inputs-System'!$C$18)*(1+'Inputs-System'!$C$41))*('Inputs-Proposals'!$E$17*'Inputs-Proposals'!$E$19*(1-'Inputs-Proposals'!$E$20)^(BX$3-'Inputs-System'!$C$7))*(VLOOKUP(BX$3,DRIPE!$A$54:$I$82,5,FALSE)+VLOOKUP(BX$3,DRIPE!$A$54:$I$82,9,FALSE))+ ('Inputs-System'!$C$26*'Coincidence Factors'!$B$6*(1+'Inputs-System'!$C$18)*(1+'Inputs-System'!$C$42))*'Inputs-Proposals'!$E$16*VLOOKUP(BX$3,DRIPE!$A$54:$I$82,8,FALSE), $C22 = "2",( 'Inputs-System'!$C$30*'Coincidence Factors'!$B$10*(1+'Inputs-System'!$C$18)*(1+'Inputs-System'!$C$41))*('Inputs-Proposals'!$E$23*'Inputs-Proposals'!$E$25*(1-'Inputs-Proposals'!$E$26)^(BX$3-'Inputs-System'!$C$7))*(VLOOKUP(BX$3,DRIPE!$A$54:$I$82,5,FALSE)+VLOOKUP(BX$3,DRIPE!$A$54:$I$82,9,FALSE))+ ('Inputs-System'!$C$26*'Coincidence Factors'!$B$6*(1+'Inputs-System'!$C$18)*(1+'Inputs-System'!$C$42))*'Inputs-Proposals'!$E$22*VLOOKUP(BX$3,DRIPE!$A$54:$I$82,8,FALSE), $C22= "3", ( 'Inputs-System'!$C$30*'Coincidence Factors'!$B$10*(1+'Inputs-System'!$C$18)*(1+'Inputs-System'!$C$41))*('Inputs-Proposals'!$E$29*'Inputs-Proposals'!$E$31*(1-'Inputs-Proposals'!$E$32)^(BX$3-'Inputs-System'!$C$7))*(VLOOKUP(BX$3,DRIPE!$A$54:$I$82,5,FALSE)+VLOOKUP(BX$3,DRIPE!$A$54:$I$82,9,FALSE))+ ('Inputs-System'!$C$26*'Coincidence Factors'!$B$6*(1+'Inputs-System'!$C$18)*(1+'Inputs-System'!$C$42))*'Inputs-Proposals'!$E$28*VLOOKUP(BX$3,DRIPE!$A$54:$I$82,8,FALSE), $C22 = "0", 0), 0)</f>
        <v>0</v>
      </c>
      <c r="CA22" s="350">
        <f>IFERROR(_xlfn.IFS($C22="1",('Inputs-System'!$C$26*'Coincidence Factors'!$B$10*(1+'Inputs-System'!$C$18)*(1+'Inputs-System'!$C$42))*'Inputs-Proposals'!$D$16*(VLOOKUP(BX$3,Capacity!$A$53:$E$85,4,FALSE)*(1+'Inputs-System'!$C$42)+VLOOKUP(BX$3,Capacity!$A$53:$E$85,5,FALSE)*(1+'Inputs-System'!$C$43)*'Inputs-System'!$C$29), $C22 = "2", ('Inputs-System'!$C$26*'Coincidence Factors'!$B$10*(1+'Inputs-System'!$C$18))*'Inputs-Proposals'!$D$22*(VLOOKUP(BX$3,Capacity!$A$53:$E$85,4,FALSE)*(1+'Inputs-System'!$C$42)+VLOOKUP(BX$3,Capacity!$A$53:$E$85,5,FALSE)*'Inputs-System'!$C$29*(1+'Inputs-System'!$C$43)), $C22 = "3", ('Inputs-System'!$C$26*'Coincidence Factors'!$B$10*(1+'Inputs-System'!$C$18))*'Inputs-Proposals'!$D$28*(VLOOKUP(BX$3,Capacity!$A$53:$E$85,4,FALSE)*(1+'Inputs-System'!$C$42)+VLOOKUP(BX$3,Capacity!$A$53:$E$85,5,FALSE)*'Inputs-System'!$C$29*(1+'Inputs-System'!$C$43)), $C22 = "0", 0), 0)</f>
        <v>0</v>
      </c>
      <c r="CB22" s="44">
        <v>0</v>
      </c>
      <c r="CC22" s="342">
        <f>IFERROR(_xlfn.IFS($C22="1", 'Inputs-System'!$C$30*'Coincidence Factors'!$B$10*'Inputs-Proposals'!$E$17*'Inputs-Proposals'!$E$19*(VLOOKUP(BX$3,'Non-Embedded Emissions'!$A$56:$D$90,2,FALSE)-VLOOKUP(BX$3,'Non-Embedded Emissions'!$F$57:$H$88,3,FALSE)+VLOOKUP(BX$3,'Non-Embedded Emissions'!$A$143:$D$174,2,FALSE)-VLOOKUP(BX$3,'Non-Embedded Emissions'!$F$143:$H$174,3,FALSE)+VLOOKUP(BX$3,'Non-Embedded Emissions'!$A$230:$D$259,2,FALSE)), $C22 = "2", 'Inputs-System'!$C$30*'Coincidence Factors'!$B$10*'Inputs-Proposals'!$E$23*'Inputs-Proposals'!$E$25*(VLOOKUP(BX$3,'Non-Embedded Emissions'!$A$56:$D$90,2,FALSE)-VLOOKUP(BX$3,'Non-Embedded Emissions'!$F$57:$H$88,3,FALSE)+VLOOKUP(BX$3,'Non-Embedded Emissions'!$A$143:$D$174,2,FALSE)-VLOOKUP(BX$3,'Non-Embedded Emissions'!$F$143:$H$174,3,FALSE)+VLOOKUP(BX$3,'Non-Embedded Emissions'!$A$230:$D$259,2,FALSE)), $C22 = "3", 'Inputs-System'!$C$30*'Coincidence Factors'!$B$10*'Inputs-Proposals'!$E$29*'Inputs-Proposals'!$E$31*(VLOOKUP(BX$3,'Non-Embedded Emissions'!$A$56:$D$90,2,FALSE)-VLOOKUP(BX$3,'Non-Embedded Emissions'!$F$57:$H$88,3,FALSE)+VLOOKUP(BX$3,'Non-Embedded Emissions'!$A$143:$D$174,2,FALSE)-VLOOKUP(BX$3,'Non-Embedded Emissions'!$F$143:$H$174,3,FALSE)+VLOOKUP(BX$3,'Non-Embedded Emissions'!$A$230:$D$259,2,FALSE)), $C22 = "0", 0), 0)</f>
        <v>0</v>
      </c>
      <c r="CD22" s="45">
        <f>IFERROR(_xlfn.IFS($C22="1",('Inputs-System'!$C$30*'Coincidence Factors'!$B$10*(1+'Inputs-System'!$C$18)*(1+'Inputs-System'!$C$41)*('Inputs-Proposals'!$E$17*'Inputs-Proposals'!$E$19*(1-'Inputs-Proposals'!$E$20^(CD$3-'Inputs-System'!$C$7)))*(VLOOKUP(CD$3,Energy!$A$51:$K$83,5,FALSE))), $C22 = "2",('Inputs-System'!$C$30*'Coincidence Factors'!$B$10)*(1+'Inputs-System'!$C$18)*(1+'Inputs-System'!$C$41)*('Inputs-Proposals'!$E$23*'Inputs-Proposals'!$E$25*(1-'Inputs-Proposals'!$E$26^(CD$3-'Inputs-System'!$C$7)))*(VLOOKUP(CD$3,Energy!$A$51:$K$83,5,FALSE)), $C22= "3", ('Inputs-System'!$C$30*'Coincidence Factors'!$B$10*(1+'Inputs-System'!$C$18)*(1+'Inputs-System'!$C$41)*('Inputs-Proposals'!$E$29*'Inputs-Proposals'!$E$31*(1-'Inputs-Proposals'!$E$32^(CD$3-'Inputs-System'!$C$7)))*(VLOOKUP(CD$3,Energy!$A$51:$K$83,5,FALSE))), $C22= "0", 0), 0)</f>
        <v>0</v>
      </c>
      <c r="CE22" s="44">
        <f>IFERROR(_xlfn.IFS($C22="1",('Inputs-System'!$C$30*'Coincidence Factors'!$B$10*(1+'Inputs-System'!$C$18)*(1+'Inputs-System'!$C$41))*'Inputs-Proposals'!$E$17*'Inputs-Proposals'!$E$19*(1-'Inputs-Proposals'!$E$20^(CD$3-'Inputs-System'!$C$7))*(VLOOKUP(CD$3,'Embedded Emissions'!$A$47:$B$78,2,FALSE)+VLOOKUP(CD$3,'Embedded Emissions'!$A$129:$B$158,2,FALSE)), $C22 = "2",('Inputs-System'!$C$30*'Coincidence Factors'!$B$10*(1+'Inputs-System'!$C$18)*(1+'Inputs-System'!$C$41))*'Inputs-Proposals'!$E$23*'Inputs-Proposals'!$E$25*(1-'Inputs-Proposals'!$E$20^(CD$3-'Inputs-System'!$C$7))*(VLOOKUP(CD$3,'Embedded Emissions'!$A$47:$B$78,2,FALSE)+VLOOKUP(CD$3,'Embedded Emissions'!$A$129:$B$158,2,FALSE)), $C22 = "3", ('Inputs-System'!$C$30*'Coincidence Factors'!$B$10*(1+'Inputs-System'!$C$18)*(1+'Inputs-System'!$C$41))*'Inputs-Proposals'!$E$29*'Inputs-Proposals'!$E$31*(1-'Inputs-Proposals'!$E$20^(CD$3-'Inputs-System'!$C$7))*(VLOOKUP(CD$3,'Embedded Emissions'!$A$47:$B$78,2,FALSE)+VLOOKUP(CD$3,'Embedded Emissions'!$A$129:$B$158,2,FALSE)), $C22 = "0", 0), 0)</f>
        <v>0</v>
      </c>
      <c r="CF22" s="349">
        <f>IFERROR(_xlfn.IFS($C22="1",( 'Inputs-System'!$C$30*'Coincidence Factors'!$B$10*(1+'Inputs-System'!$C$18)*(1+'Inputs-System'!$C$41))*('Inputs-Proposals'!$E$17*'Inputs-Proposals'!$E$19*(1-'Inputs-Proposals'!$E$20)^(CD$3-'Inputs-System'!$C$7))*(VLOOKUP(CD$3,DRIPE!$A$54:$I$82,5,FALSE)+VLOOKUP(CD$3,DRIPE!$A$54:$I$82,9,FALSE))+ ('Inputs-System'!$C$26*'Coincidence Factors'!$B$6*(1+'Inputs-System'!$C$18)*(1+'Inputs-System'!$C$42))*'Inputs-Proposals'!$E$16*VLOOKUP(CD$3,DRIPE!$A$54:$I$82,8,FALSE), $C22 = "2",( 'Inputs-System'!$C$30*'Coincidence Factors'!$B$10*(1+'Inputs-System'!$C$18)*(1+'Inputs-System'!$C$41))*('Inputs-Proposals'!$E$23*'Inputs-Proposals'!$E$25*(1-'Inputs-Proposals'!$E$26)^(CD$3-'Inputs-System'!$C$7))*(VLOOKUP(CD$3,DRIPE!$A$54:$I$82,5,FALSE)+VLOOKUP(CD$3,DRIPE!$A$54:$I$82,9,FALSE))+ ('Inputs-System'!$C$26*'Coincidence Factors'!$B$6*(1+'Inputs-System'!$C$18)*(1+'Inputs-System'!$C$42))*'Inputs-Proposals'!$E$22*VLOOKUP(CD$3,DRIPE!$A$54:$I$82,8,FALSE), $C22= "3", ( 'Inputs-System'!$C$30*'Coincidence Factors'!$B$10*(1+'Inputs-System'!$C$18)*(1+'Inputs-System'!$C$41))*('Inputs-Proposals'!$E$29*'Inputs-Proposals'!$E$31*(1-'Inputs-Proposals'!$E$32)^(CD$3-'Inputs-System'!$C$7))*(VLOOKUP(CD$3,DRIPE!$A$54:$I$82,5,FALSE)+VLOOKUP(CD$3,DRIPE!$A$54:$I$82,9,FALSE))+ ('Inputs-System'!$C$26*'Coincidence Factors'!$B$6*(1+'Inputs-System'!$C$18)*(1+'Inputs-System'!$C$42))*'Inputs-Proposals'!$E$28*VLOOKUP(CD$3,DRIPE!$A$54:$I$82,8,FALSE), $C22 = "0", 0), 0)</f>
        <v>0</v>
      </c>
      <c r="CG22" s="350">
        <f>IFERROR(_xlfn.IFS($C22="1",('Inputs-System'!$C$26*'Coincidence Factors'!$B$10*(1+'Inputs-System'!$C$18)*(1+'Inputs-System'!$C$42))*'Inputs-Proposals'!$D$16*(VLOOKUP(CD$3,Capacity!$A$53:$E$85,4,FALSE)*(1+'Inputs-System'!$C$42)+VLOOKUP(CD$3,Capacity!$A$53:$E$85,5,FALSE)*(1+'Inputs-System'!$C$43)*'Inputs-System'!$C$29), $C22 = "2", ('Inputs-System'!$C$26*'Coincidence Factors'!$B$10*(1+'Inputs-System'!$C$18))*'Inputs-Proposals'!$D$22*(VLOOKUP(CD$3,Capacity!$A$53:$E$85,4,FALSE)*(1+'Inputs-System'!$C$42)+VLOOKUP(CD$3,Capacity!$A$53:$E$85,5,FALSE)*'Inputs-System'!$C$29*(1+'Inputs-System'!$C$43)), $C22 = "3", ('Inputs-System'!$C$26*'Coincidence Factors'!$B$10*(1+'Inputs-System'!$C$18))*'Inputs-Proposals'!$D$28*(VLOOKUP(CD$3,Capacity!$A$53:$E$85,4,FALSE)*(1+'Inputs-System'!$C$42)+VLOOKUP(CD$3,Capacity!$A$53:$E$85,5,FALSE)*'Inputs-System'!$C$29*(1+'Inputs-System'!$C$43)), $C22 = "0", 0), 0)</f>
        <v>0</v>
      </c>
      <c r="CH22" s="44">
        <v>0</v>
      </c>
      <c r="CI22" s="342">
        <f>IFERROR(_xlfn.IFS($C22="1", 'Inputs-System'!$C$30*'Coincidence Factors'!$B$10*'Inputs-Proposals'!$E$17*'Inputs-Proposals'!$E$19*(VLOOKUP(CD$3,'Non-Embedded Emissions'!$A$56:$D$90,2,FALSE)-VLOOKUP(CD$3,'Non-Embedded Emissions'!$F$57:$H$88,3,FALSE)+VLOOKUP(CD$3,'Non-Embedded Emissions'!$A$143:$D$174,2,FALSE)-VLOOKUP(CD$3,'Non-Embedded Emissions'!$F$143:$H$174,3,FALSE)+VLOOKUP(CD$3,'Non-Embedded Emissions'!$A$230:$D$259,2,FALSE)), $C22 = "2", 'Inputs-System'!$C$30*'Coincidence Factors'!$B$10*'Inputs-Proposals'!$E$23*'Inputs-Proposals'!$E$25*(VLOOKUP(CD$3,'Non-Embedded Emissions'!$A$56:$D$90,2,FALSE)-VLOOKUP(CD$3,'Non-Embedded Emissions'!$F$57:$H$88,3,FALSE)+VLOOKUP(CD$3,'Non-Embedded Emissions'!$A$143:$D$174,2,FALSE)-VLOOKUP(CD$3,'Non-Embedded Emissions'!$F$143:$H$174,3,FALSE)+VLOOKUP(CD$3,'Non-Embedded Emissions'!$A$230:$D$259,2,FALSE)), $C22 = "3", 'Inputs-System'!$C$30*'Coincidence Factors'!$B$10*'Inputs-Proposals'!$E$29*'Inputs-Proposals'!$E$31*(VLOOKUP(CD$3,'Non-Embedded Emissions'!$A$56:$D$90,2,FALSE)-VLOOKUP(CD$3,'Non-Embedded Emissions'!$F$57:$H$88,3,FALSE)+VLOOKUP(CD$3,'Non-Embedded Emissions'!$A$143:$D$174,2,FALSE)-VLOOKUP(CD$3,'Non-Embedded Emissions'!$F$143:$H$174,3,FALSE)+VLOOKUP(CD$3,'Non-Embedded Emissions'!$A$230:$D$259,2,FALSE)), $C22 = "0", 0), 0)</f>
        <v>0</v>
      </c>
      <c r="CJ22" s="45">
        <f>IFERROR(_xlfn.IFS($C22="1",('Inputs-System'!$C$30*'Coincidence Factors'!$B$10*(1+'Inputs-System'!$C$18)*(1+'Inputs-System'!$C$41)*('Inputs-Proposals'!$E$17*'Inputs-Proposals'!$E$19*(1-'Inputs-Proposals'!$E$20^(CJ$3-'Inputs-System'!$C$7)))*(VLOOKUP(CJ$3,Energy!$A$51:$K$83,5,FALSE))), $C22 = "2",('Inputs-System'!$C$30*'Coincidence Factors'!$B$10)*(1+'Inputs-System'!$C$18)*(1+'Inputs-System'!$C$41)*('Inputs-Proposals'!$E$23*'Inputs-Proposals'!$E$25*(1-'Inputs-Proposals'!$E$26^(CJ$3-'Inputs-System'!$C$7)))*(VLOOKUP(CJ$3,Energy!$A$51:$K$83,5,FALSE)), $C22= "3", ('Inputs-System'!$C$30*'Coincidence Factors'!$B$10*(1+'Inputs-System'!$C$18)*(1+'Inputs-System'!$C$41)*('Inputs-Proposals'!$E$29*'Inputs-Proposals'!$E$31*(1-'Inputs-Proposals'!$E$32^(CJ$3-'Inputs-System'!$C$7)))*(VLOOKUP(CJ$3,Energy!$A$51:$K$83,5,FALSE))), $C22= "0", 0), 0)</f>
        <v>0</v>
      </c>
      <c r="CK22" s="44">
        <f>IFERROR(_xlfn.IFS($C22="1",('Inputs-System'!$C$30*'Coincidence Factors'!$B$10*(1+'Inputs-System'!$C$18)*(1+'Inputs-System'!$C$41))*'Inputs-Proposals'!$E$17*'Inputs-Proposals'!$E$19*(1-'Inputs-Proposals'!$E$20^(CJ$3-'Inputs-System'!$C$7))*(VLOOKUP(CJ$3,'Embedded Emissions'!$A$47:$B$78,2,FALSE)+VLOOKUP(CJ$3,'Embedded Emissions'!$A$129:$B$158,2,FALSE)), $C22 = "2",('Inputs-System'!$C$30*'Coincidence Factors'!$B$10*(1+'Inputs-System'!$C$18)*(1+'Inputs-System'!$C$41))*'Inputs-Proposals'!$E$23*'Inputs-Proposals'!$E$25*(1-'Inputs-Proposals'!$E$20^(CJ$3-'Inputs-System'!$C$7))*(VLOOKUP(CJ$3,'Embedded Emissions'!$A$47:$B$78,2,FALSE)+VLOOKUP(CJ$3,'Embedded Emissions'!$A$129:$B$158,2,FALSE)), $C22 = "3", ('Inputs-System'!$C$30*'Coincidence Factors'!$B$10*(1+'Inputs-System'!$C$18)*(1+'Inputs-System'!$C$41))*'Inputs-Proposals'!$E$29*'Inputs-Proposals'!$E$31*(1-'Inputs-Proposals'!$E$20^(CJ$3-'Inputs-System'!$C$7))*(VLOOKUP(CJ$3,'Embedded Emissions'!$A$47:$B$78,2,FALSE)+VLOOKUP(CJ$3,'Embedded Emissions'!$A$129:$B$158,2,FALSE)), $C22 = "0", 0), 0)</f>
        <v>0</v>
      </c>
      <c r="CL22" s="349">
        <f>IFERROR(_xlfn.IFS($C22="1",( 'Inputs-System'!$C$30*'Coincidence Factors'!$B$10*(1+'Inputs-System'!$C$18)*(1+'Inputs-System'!$C$41))*('Inputs-Proposals'!$E$17*'Inputs-Proposals'!$E$19*(1-'Inputs-Proposals'!$E$20)^(CJ$3-'Inputs-System'!$C$7))*(VLOOKUP(CJ$3,DRIPE!$A$54:$I$82,5,FALSE)+VLOOKUP(CJ$3,DRIPE!$A$54:$I$82,9,FALSE))+ ('Inputs-System'!$C$26*'Coincidence Factors'!$B$6*(1+'Inputs-System'!$C$18)*(1+'Inputs-System'!$C$42))*'Inputs-Proposals'!$E$16*VLOOKUP(CJ$3,DRIPE!$A$54:$I$82,8,FALSE), $C22 = "2",( 'Inputs-System'!$C$30*'Coincidence Factors'!$B$10*(1+'Inputs-System'!$C$18)*(1+'Inputs-System'!$C$41))*('Inputs-Proposals'!$E$23*'Inputs-Proposals'!$E$25*(1-'Inputs-Proposals'!$E$26)^(CJ$3-'Inputs-System'!$C$7))*(VLOOKUP(CJ$3,DRIPE!$A$54:$I$82,5,FALSE)+VLOOKUP(CJ$3,DRIPE!$A$54:$I$82,9,FALSE))+ ('Inputs-System'!$C$26*'Coincidence Factors'!$B$6*(1+'Inputs-System'!$C$18)*(1+'Inputs-System'!$C$42))*'Inputs-Proposals'!$E$22*VLOOKUP(CJ$3,DRIPE!$A$54:$I$82,8,FALSE), $C22= "3", ( 'Inputs-System'!$C$30*'Coincidence Factors'!$B$10*(1+'Inputs-System'!$C$18)*(1+'Inputs-System'!$C$41))*('Inputs-Proposals'!$E$29*'Inputs-Proposals'!$E$31*(1-'Inputs-Proposals'!$E$32)^(CJ$3-'Inputs-System'!$C$7))*(VLOOKUP(CJ$3,DRIPE!$A$54:$I$82,5,FALSE)+VLOOKUP(CJ$3,DRIPE!$A$54:$I$82,9,FALSE))+ ('Inputs-System'!$C$26*'Coincidence Factors'!$B$6*(1+'Inputs-System'!$C$18)*(1+'Inputs-System'!$C$42))*'Inputs-Proposals'!$E$28*VLOOKUP(CJ$3,DRIPE!$A$54:$I$82,8,FALSE), $C22 = "0", 0), 0)</f>
        <v>0</v>
      </c>
      <c r="CM22" s="350">
        <f>IFERROR(_xlfn.IFS($C22="1",('Inputs-System'!$C$26*'Coincidence Factors'!$B$10*(1+'Inputs-System'!$C$18)*(1+'Inputs-System'!$C$42))*'Inputs-Proposals'!$D$16*(VLOOKUP(CJ$3,Capacity!$A$53:$E$85,4,FALSE)*(1+'Inputs-System'!$C$42)+VLOOKUP(CJ$3,Capacity!$A$53:$E$85,5,FALSE)*(1+'Inputs-System'!$C$43)*'Inputs-System'!$C$29), $C22 = "2", ('Inputs-System'!$C$26*'Coincidence Factors'!$B$10*(1+'Inputs-System'!$C$18))*'Inputs-Proposals'!$D$22*(VLOOKUP(CJ$3,Capacity!$A$53:$E$85,4,FALSE)*(1+'Inputs-System'!$C$42)+VLOOKUP(CJ$3,Capacity!$A$53:$E$85,5,FALSE)*'Inputs-System'!$C$29*(1+'Inputs-System'!$C$43)), $C22 = "3", ('Inputs-System'!$C$26*'Coincidence Factors'!$B$10*(1+'Inputs-System'!$C$18))*'Inputs-Proposals'!$D$28*(VLOOKUP(CJ$3,Capacity!$A$53:$E$85,4,FALSE)*(1+'Inputs-System'!$C$42)+VLOOKUP(CJ$3,Capacity!$A$53:$E$85,5,FALSE)*'Inputs-System'!$C$29*(1+'Inputs-System'!$C$43)), $C22 = "0", 0), 0)</f>
        <v>0</v>
      </c>
      <c r="CN22" s="44">
        <v>0</v>
      </c>
      <c r="CO22" s="342">
        <f>IFERROR(_xlfn.IFS($C22="1", 'Inputs-System'!$C$30*'Coincidence Factors'!$B$10*'Inputs-Proposals'!$E$17*'Inputs-Proposals'!$E$19*(VLOOKUP(CJ$3,'Non-Embedded Emissions'!$A$56:$D$90,2,FALSE)-VLOOKUP(CJ$3,'Non-Embedded Emissions'!$F$57:$H$88,3,FALSE)+VLOOKUP(CJ$3,'Non-Embedded Emissions'!$A$143:$D$174,2,FALSE)-VLOOKUP(CJ$3,'Non-Embedded Emissions'!$F$143:$H$174,3,FALSE)+VLOOKUP(CJ$3,'Non-Embedded Emissions'!$A$230:$D$259,2,FALSE)), $C22 = "2", 'Inputs-System'!$C$30*'Coincidence Factors'!$B$10*'Inputs-Proposals'!$E$23*'Inputs-Proposals'!$E$25*(VLOOKUP(CJ$3,'Non-Embedded Emissions'!$A$56:$D$90,2,FALSE)-VLOOKUP(CJ$3,'Non-Embedded Emissions'!$F$57:$H$88,3,FALSE)+VLOOKUP(CJ$3,'Non-Embedded Emissions'!$A$143:$D$174,2,FALSE)-VLOOKUP(CJ$3,'Non-Embedded Emissions'!$F$143:$H$174,3,FALSE)+VLOOKUP(CJ$3,'Non-Embedded Emissions'!$A$230:$D$259,2,FALSE)), $C22 = "3", 'Inputs-System'!$C$30*'Coincidence Factors'!$B$10*'Inputs-Proposals'!$E$29*'Inputs-Proposals'!$E$31*(VLOOKUP(CJ$3,'Non-Embedded Emissions'!$A$56:$D$90,2,FALSE)-VLOOKUP(CJ$3,'Non-Embedded Emissions'!$F$57:$H$88,3,FALSE)+VLOOKUP(CJ$3,'Non-Embedded Emissions'!$A$143:$D$174,2,FALSE)-VLOOKUP(CJ$3,'Non-Embedded Emissions'!$F$143:$H$174,3,FALSE)+VLOOKUP(CJ$3,'Non-Embedded Emissions'!$A$230:$D$259,2,FALSE)), $C22 = "0", 0), 0)</f>
        <v>0</v>
      </c>
      <c r="CP22" s="45">
        <f>IFERROR(_xlfn.IFS($C22="1",('Inputs-System'!$C$30*'Coincidence Factors'!$B$10*(1+'Inputs-System'!$C$18)*(1+'Inputs-System'!$C$41)*('Inputs-Proposals'!$E$17*'Inputs-Proposals'!$E$19*(1-'Inputs-Proposals'!$E$20^(CP$3-'Inputs-System'!$C$7)))*(VLOOKUP(CP$3,Energy!$A$51:$K$83,5,FALSE))), $C22 = "2",('Inputs-System'!$C$30*'Coincidence Factors'!$B$10)*(1+'Inputs-System'!$C$18)*(1+'Inputs-System'!$C$41)*('Inputs-Proposals'!$E$23*'Inputs-Proposals'!$E$25*(1-'Inputs-Proposals'!$E$26^(CP$3-'Inputs-System'!$C$7)))*(VLOOKUP(CP$3,Energy!$A$51:$K$83,5,FALSE)), $C22= "3", ('Inputs-System'!$C$30*'Coincidence Factors'!$B$10*(1+'Inputs-System'!$C$18)*(1+'Inputs-System'!$C$41)*('Inputs-Proposals'!$E$29*'Inputs-Proposals'!$E$31*(1-'Inputs-Proposals'!$E$32^(CP$3-'Inputs-System'!$C$7)))*(VLOOKUP(CP$3,Energy!$A$51:$K$83,5,FALSE))), $C22= "0", 0), 0)</f>
        <v>0</v>
      </c>
      <c r="CQ22" s="44">
        <f>IFERROR(_xlfn.IFS($C22="1",('Inputs-System'!$C$30*'Coincidence Factors'!$B$10*(1+'Inputs-System'!$C$18)*(1+'Inputs-System'!$C$41))*'Inputs-Proposals'!$E$17*'Inputs-Proposals'!$E$19*(1-'Inputs-Proposals'!$E$20^(CP$3-'Inputs-System'!$C$7))*(VLOOKUP(CP$3,'Embedded Emissions'!$A$47:$B$78,2,FALSE)+VLOOKUP(CP$3,'Embedded Emissions'!$A$129:$B$158,2,FALSE)), $C22 = "2",('Inputs-System'!$C$30*'Coincidence Factors'!$B$10*(1+'Inputs-System'!$C$18)*(1+'Inputs-System'!$C$41))*'Inputs-Proposals'!$E$23*'Inputs-Proposals'!$E$25*(1-'Inputs-Proposals'!$E$20^(CP$3-'Inputs-System'!$C$7))*(VLOOKUP(CP$3,'Embedded Emissions'!$A$47:$B$78,2,FALSE)+VLOOKUP(CP$3,'Embedded Emissions'!$A$129:$B$158,2,FALSE)), $C22 = "3", ('Inputs-System'!$C$30*'Coincidence Factors'!$B$10*(1+'Inputs-System'!$C$18)*(1+'Inputs-System'!$C$41))*'Inputs-Proposals'!$E$29*'Inputs-Proposals'!$E$31*(1-'Inputs-Proposals'!$E$20^(CP$3-'Inputs-System'!$C$7))*(VLOOKUP(CP$3,'Embedded Emissions'!$A$47:$B$78,2,FALSE)+VLOOKUP(CP$3,'Embedded Emissions'!$A$129:$B$158,2,FALSE)), $C22 = "0", 0), 0)</f>
        <v>0</v>
      </c>
      <c r="CR22" s="349">
        <f>IFERROR(_xlfn.IFS($C22="1",( 'Inputs-System'!$C$30*'Coincidence Factors'!$B$10*(1+'Inputs-System'!$C$18)*(1+'Inputs-System'!$C$41))*('Inputs-Proposals'!$E$17*'Inputs-Proposals'!$E$19*(1-'Inputs-Proposals'!$E$20)^(CP$3-'Inputs-System'!$C$7))*(VLOOKUP(CP$3,DRIPE!$A$54:$I$82,5,FALSE)+VLOOKUP(CP$3,DRIPE!$A$54:$I$82,9,FALSE))+ ('Inputs-System'!$C$26*'Coincidence Factors'!$B$6*(1+'Inputs-System'!$C$18)*(1+'Inputs-System'!$C$42))*'Inputs-Proposals'!$E$16*VLOOKUP(CP$3,DRIPE!$A$54:$I$82,8,FALSE), $C22 = "2",( 'Inputs-System'!$C$30*'Coincidence Factors'!$B$10*(1+'Inputs-System'!$C$18)*(1+'Inputs-System'!$C$41))*('Inputs-Proposals'!$E$23*'Inputs-Proposals'!$E$25*(1-'Inputs-Proposals'!$E$26)^(CP$3-'Inputs-System'!$C$7))*(VLOOKUP(CP$3,DRIPE!$A$54:$I$82,5,FALSE)+VLOOKUP(CP$3,DRIPE!$A$54:$I$82,9,FALSE))+ ('Inputs-System'!$C$26*'Coincidence Factors'!$B$6*(1+'Inputs-System'!$C$18)*(1+'Inputs-System'!$C$42))*'Inputs-Proposals'!$E$22*VLOOKUP(CP$3,DRIPE!$A$54:$I$82,8,FALSE), $C22= "3", ( 'Inputs-System'!$C$30*'Coincidence Factors'!$B$10*(1+'Inputs-System'!$C$18)*(1+'Inputs-System'!$C$41))*('Inputs-Proposals'!$E$29*'Inputs-Proposals'!$E$31*(1-'Inputs-Proposals'!$E$32)^(CP$3-'Inputs-System'!$C$7))*(VLOOKUP(CP$3,DRIPE!$A$54:$I$82,5,FALSE)+VLOOKUP(CP$3,DRIPE!$A$54:$I$82,9,FALSE))+ ('Inputs-System'!$C$26*'Coincidence Factors'!$B$6*(1+'Inputs-System'!$C$18)*(1+'Inputs-System'!$C$42))*'Inputs-Proposals'!$E$28*VLOOKUP(CP$3,DRIPE!$A$54:$I$82,8,FALSE), $C22 = "0", 0), 0)</f>
        <v>0</v>
      </c>
      <c r="CS22" s="350">
        <f>IFERROR(_xlfn.IFS($C22="1",('Inputs-System'!$C$26*'Coincidence Factors'!$B$10*(1+'Inputs-System'!$C$18)*(1+'Inputs-System'!$C$42))*'Inputs-Proposals'!$D$16*(VLOOKUP(CP$3,Capacity!$A$53:$E$85,4,FALSE)*(1+'Inputs-System'!$C$42)+VLOOKUP(CP$3,Capacity!$A$53:$E$85,5,FALSE)*(1+'Inputs-System'!$C$43)*'Inputs-System'!$C$29), $C22 = "2", ('Inputs-System'!$C$26*'Coincidence Factors'!$B$10*(1+'Inputs-System'!$C$18))*'Inputs-Proposals'!$D$22*(VLOOKUP(CP$3,Capacity!$A$53:$E$85,4,FALSE)*(1+'Inputs-System'!$C$42)+VLOOKUP(CP$3,Capacity!$A$53:$E$85,5,FALSE)*'Inputs-System'!$C$29*(1+'Inputs-System'!$C$43)), $C22 = "3", ('Inputs-System'!$C$26*'Coincidence Factors'!$B$10*(1+'Inputs-System'!$C$18))*'Inputs-Proposals'!$D$28*(VLOOKUP(CP$3,Capacity!$A$53:$E$85,4,FALSE)*(1+'Inputs-System'!$C$42)+VLOOKUP(CP$3,Capacity!$A$53:$E$85,5,FALSE)*'Inputs-System'!$C$29*(1+'Inputs-System'!$C$43)), $C22 = "0", 0), 0)</f>
        <v>0</v>
      </c>
      <c r="CT22" s="44">
        <v>0</v>
      </c>
      <c r="CU22" s="342">
        <f>IFERROR(_xlfn.IFS($C22="1", 'Inputs-System'!$C$30*'Coincidence Factors'!$B$10*'Inputs-Proposals'!$E$17*'Inputs-Proposals'!$E$19*(VLOOKUP(CP$3,'Non-Embedded Emissions'!$A$56:$D$90,2,FALSE)-VLOOKUP(CP$3,'Non-Embedded Emissions'!$F$57:$H$88,3,FALSE)+VLOOKUP(CP$3,'Non-Embedded Emissions'!$A$143:$D$174,2,FALSE)-VLOOKUP(CP$3,'Non-Embedded Emissions'!$F$143:$H$174,3,FALSE)+VLOOKUP(CP$3,'Non-Embedded Emissions'!$A$230:$D$259,2,FALSE)), $C22 = "2", 'Inputs-System'!$C$30*'Coincidence Factors'!$B$10*'Inputs-Proposals'!$E$23*'Inputs-Proposals'!$E$25*(VLOOKUP(CP$3,'Non-Embedded Emissions'!$A$56:$D$90,2,FALSE)-VLOOKUP(CP$3,'Non-Embedded Emissions'!$F$57:$H$88,3,FALSE)+VLOOKUP(CP$3,'Non-Embedded Emissions'!$A$143:$D$174,2,FALSE)-VLOOKUP(CP$3,'Non-Embedded Emissions'!$F$143:$H$174,3,FALSE)+VLOOKUP(CP$3,'Non-Embedded Emissions'!$A$230:$D$259,2,FALSE)), $C22 = "3", 'Inputs-System'!$C$30*'Coincidence Factors'!$B$10*'Inputs-Proposals'!$E$29*'Inputs-Proposals'!$E$31*(VLOOKUP(CP$3,'Non-Embedded Emissions'!$A$56:$D$90,2,FALSE)-VLOOKUP(CP$3,'Non-Embedded Emissions'!$F$57:$H$88,3,FALSE)+VLOOKUP(CP$3,'Non-Embedded Emissions'!$A$143:$D$174,2,FALSE)-VLOOKUP(CP$3,'Non-Embedded Emissions'!$F$143:$H$174,3,FALSE)+VLOOKUP(CP$3,'Non-Embedded Emissions'!$A$230:$D$259,2,FALSE)), $C22 = "0", 0), 0)</f>
        <v>0</v>
      </c>
      <c r="CV22" s="45">
        <f>IFERROR(_xlfn.IFS($C22="1",('Inputs-System'!$C$30*'Coincidence Factors'!$B$10*(1+'Inputs-System'!$C$18)*(1+'Inputs-System'!$C$41)*('Inputs-Proposals'!$E$17*'Inputs-Proposals'!$E$19*(1-'Inputs-Proposals'!$E$20^(CV$3-'Inputs-System'!$C$7)))*(VLOOKUP(CV$3,Energy!$A$51:$K$83,5,FALSE))), $C22 = "2",('Inputs-System'!$C$30*'Coincidence Factors'!$B$10)*(1+'Inputs-System'!$C$18)*(1+'Inputs-System'!$C$41)*('Inputs-Proposals'!$E$23*'Inputs-Proposals'!$E$25*(1-'Inputs-Proposals'!$E$26^(CV$3-'Inputs-System'!$C$7)))*(VLOOKUP(CV$3,Energy!$A$51:$K$83,5,FALSE)), $C22= "3", ('Inputs-System'!$C$30*'Coincidence Factors'!$B$10*(1+'Inputs-System'!$C$18)*(1+'Inputs-System'!$C$41)*('Inputs-Proposals'!$E$29*'Inputs-Proposals'!$E$31*(1-'Inputs-Proposals'!$E$32^(CV$3-'Inputs-System'!$C$7)))*(VLOOKUP(CV$3,Energy!$A$51:$K$83,5,FALSE))), $C22= "0", 0), 0)</f>
        <v>0</v>
      </c>
      <c r="CW22" s="44">
        <f>IFERROR(_xlfn.IFS($C22="1",('Inputs-System'!$C$30*'Coincidence Factors'!$B$10*(1+'Inputs-System'!$C$18)*(1+'Inputs-System'!$C$41))*'Inputs-Proposals'!$E$17*'Inputs-Proposals'!$E$19*(1-'Inputs-Proposals'!$E$20^(CV$3-'Inputs-System'!$C$7))*(VLOOKUP(CV$3,'Embedded Emissions'!$A$47:$B$78,2,FALSE)+VLOOKUP(CV$3,'Embedded Emissions'!$A$129:$B$158,2,FALSE)), $C22 = "2",('Inputs-System'!$C$30*'Coincidence Factors'!$B$10*(1+'Inputs-System'!$C$18)*(1+'Inputs-System'!$C$41))*'Inputs-Proposals'!$E$23*'Inputs-Proposals'!$E$25*(1-'Inputs-Proposals'!$E$20^(CV$3-'Inputs-System'!$C$7))*(VLOOKUP(CV$3,'Embedded Emissions'!$A$47:$B$78,2,FALSE)+VLOOKUP(CV$3,'Embedded Emissions'!$A$129:$B$158,2,FALSE)), $C22 = "3", ('Inputs-System'!$C$30*'Coincidence Factors'!$B$10*(1+'Inputs-System'!$C$18)*(1+'Inputs-System'!$C$41))*'Inputs-Proposals'!$E$29*'Inputs-Proposals'!$E$31*(1-'Inputs-Proposals'!$E$20^(CV$3-'Inputs-System'!$C$7))*(VLOOKUP(CV$3,'Embedded Emissions'!$A$47:$B$78,2,FALSE)+VLOOKUP(CV$3,'Embedded Emissions'!$A$129:$B$158,2,FALSE)), $C22 = "0", 0), 0)</f>
        <v>0</v>
      </c>
      <c r="CX22" s="349">
        <f>IFERROR(_xlfn.IFS($C22="1",( 'Inputs-System'!$C$30*'Coincidence Factors'!$B$10*(1+'Inputs-System'!$C$18)*(1+'Inputs-System'!$C$41))*('Inputs-Proposals'!$E$17*'Inputs-Proposals'!$E$19*(1-'Inputs-Proposals'!$E$20)^(CV$3-'Inputs-System'!$C$7))*(VLOOKUP(CV$3,DRIPE!$A$54:$I$82,5,FALSE)+VLOOKUP(CV$3,DRIPE!$A$54:$I$82,9,FALSE))+ ('Inputs-System'!$C$26*'Coincidence Factors'!$B$6*(1+'Inputs-System'!$C$18)*(1+'Inputs-System'!$C$42))*'Inputs-Proposals'!$E$16*VLOOKUP(CV$3,DRIPE!$A$54:$I$82,8,FALSE), $C22 = "2",( 'Inputs-System'!$C$30*'Coincidence Factors'!$B$10*(1+'Inputs-System'!$C$18)*(1+'Inputs-System'!$C$41))*('Inputs-Proposals'!$E$23*'Inputs-Proposals'!$E$25*(1-'Inputs-Proposals'!$E$26)^(CV$3-'Inputs-System'!$C$7))*(VLOOKUP(CV$3,DRIPE!$A$54:$I$82,5,FALSE)+VLOOKUP(CV$3,DRIPE!$A$54:$I$82,9,FALSE))+ ('Inputs-System'!$C$26*'Coincidence Factors'!$B$6*(1+'Inputs-System'!$C$18)*(1+'Inputs-System'!$C$42))*'Inputs-Proposals'!$E$22*VLOOKUP(CV$3,DRIPE!$A$54:$I$82,8,FALSE), $C22= "3", ( 'Inputs-System'!$C$30*'Coincidence Factors'!$B$10*(1+'Inputs-System'!$C$18)*(1+'Inputs-System'!$C$41))*('Inputs-Proposals'!$E$29*'Inputs-Proposals'!$E$31*(1-'Inputs-Proposals'!$E$32)^(CV$3-'Inputs-System'!$C$7))*(VLOOKUP(CV$3,DRIPE!$A$54:$I$82,5,FALSE)+VLOOKUP(CV$3,DRIPE!$A$54:$I$82,9,FALSE))+ ('Inputs-System'!$C$26*'Coincidence Factors'!$B$6*(1+'Inputs-System'!$C$18)*(1+'Inputs-System'!$C$42))*'Inputs-Proposals'!$E$28*VLOOKUP(CV$3,DRIPE!$A$54:$I$82,8,FALSE), $C22 = "0", 0), 0)</f>
        <v>0</v>
      </c>
      <c r="CY22" s="350">
        <f>IFERROR(_xlfn.IFS($C22="1",('Inputs-System'!$C$26*'Coincidence Factors'!$B$10*(1+'Inputs-System'!$C$18)*(1+'Inputs-System'!$C$42))*'Inputs-Proposals'!$D$16*(VLOOKUP(CV$3,Capacity!$A$53:$E$85,4,FALSE)*(1+'Inputs-System'!$C$42)+VLOOKUP(CV$3,Capacity!$A$53:$E$85,5,FALSE)*(1+'Inputs-System'!$C$43)*'Inputs-System'!$C$29), $C22 = "2", ('Inputs-System'!$C$26*'Coincidence Factors'!$B$10*(1+'Inputs-System'!$C$18))*'Inputs-Proposals'!$D$22*(VLOOKUP(CV$3,Capacity!$A$53:$E$85,4,FALSE)*(1+'Inputs-System'!$C$42)+VLOOKUP(CV$3,Capacity!$A$53:$E$85,5,FALSE)*'Inputs-System'!$C$29*(1+'Inputs-System'!$C$43)), $C22 = "3", ('Inputs-System'!$C$26*'Coincidence Factors'!$B$10*(1+'Inputs-System'!$C$18))*'Inputs-Proposals'!$D$28*(VLOOKUP(CV$3,Capacity!$A$53:$E$85,4,FALSE)*(1+'Inputs-System'!$C$42)+VLOOKUP(CV$3,Capacity!$A$53:$E$85,5,FALSE)*'Inputs-System'!$C$29*(1+'Inputs-System'!$C$43)), $C22 = "0", 0), 0)</f>
        <v>0</v>
      </c>
      <c r="CZ22" s="44">
        <v>0</v>
      </c>
      <c r="DA22" s="342">
        <f>IFERROR(_xlfn.IFS($C22="1", 'Inputs-System'!$C$30*'Coincidence Factors'!$B$10*'Inputs-Proposals'!$E$17*'Inputs-Proposals'!$E$19*(VLOOKUP(CV$3,'Non-Embedded Emissions'!$A$56:$D$90,2,FALSE)-VLOOKUP(CV$3,'Non-Embedded Emissions'!$F$57:$H$88,3,FALSE)+VLOOKUP(CV$3,'Non-Embedded Emissions'!$A$143:$D$174,2,FALSE)-VLOOKUP(CV$3,'Non-Embedded Emissions'!$F$143:$H$174,3,FALSE)+VLOOKUP(CV$3,'Non-Embedded Emissions'!$A$230:$D$259,2,FALSE)), $C22 = "2", 'Inputs-System'!$C$30*'Coincidence Factors'!$B$10*'Inputs-Proposals'!$E$23*'Inputs-Proposals'!$E$25*(VLOOKUP(CV$3,'Non-Embedded Emissions'!$A$56:$D$90,2,FALSE)-VLOOKUP(CV$3,'Non-Embedded Emissions'!$F$57:$H$88,3,FALSE)+VLOOKUP(CV$3,'Non-Embedded Emissions'!$A$143:$D$174,2,FALSE)-VLOOKUP(CV$3,'Non-Embedded Emissions'!$F$143:$H$174,3,FALSE)+VLOOKUP(CV$3,'Non-Embedded Emissions'!$A$230:$D$259,2,FALSE)), $C22 = "3", 'Inputs-System'!$C$30*'Coincidence Factors'!$B$10*'Inputs-Proposals'!$E$29*'Inputs-Proposals'!$E$31*(VLOOKUP(CV$3,'Non-Embedded Emissions'!$A$56:$D$90,2,FALSE)-VLOOKUP(CV$3,'Non-Embedded Emissions'!$F$57:$H$88,3,FALSE)+VLOOKUP(CV$3,'Non-Embedded Emissions'!$A$143:$D$174,2,FALSE)-VLOOKUP(CV$3,'Non-Embedded Emissions'!$F$143:$H$174,3,FALSE)+VLOOKUP(CV$3,'Non-Embedded Emissions'!$A$230:$D$259,2,FALSE)), $C22 = "0", 0), 0)</f>
        <v>0</v>
      </c>
      <c r="DB22" s="45">
        <f>IFERROR(_xlfn.IFS($C22="1",('Inputs-System'!$C$30*'Coincidence Factors'!$B$10*(1+'Inputs-System'!$C$18)*(1+'Inputs-System'!$C$41)*('Inputs-Proposals'!$E$17*'Inputs-Proposals'!$E$19*(1-'Inputs-Proposals'!$E$20^(DB$3-'Inputs-System'!$C$7)))*(VLOOKUP(DB$3,Energy!$A$51:$K$83,5,FALSE))), $C22 = "2",('Inputs-System'!$C$30*'Coincidence Factors'!$B$10)*(1+'Inputs-System'!$C$18)*(1+'Inputs-System'!$C$41)*('Inputs-Proposals'!$E$23*'Inputs-Proposals'!$E$25*(1-'Inputs-Proposals'!$E$26^(DB$3-'Inputs-System'!$C$7)))*(VLOOKUP(DB$3,Energy!$A$51:$K$83,5,FALSE)), $C22= "3", ('Inputs-System'!$C$30*'Coincidence Factors'!$B$10*(1+'Inputs-System'!$C$18)*(1+'Inputs-System'!$C$41)*('Inputs-Proposals'!$E$29*'Inputs-Proposals'!$E$31*(1-'Inputs-Proposals'!$E$32^(DB$3-'Inputs-System'!$C$7)))*(VLOOKUP(DB$3,Energy!$A$51:$K$83,5,FALSE))), $C22= "0", 0), 0)</f>
        <v>0</v>
      </c>
      <c r="DC22" s="44">
        <f>IFERROR(_xlfn.IFS($C22="1",('Inputs-System'!$C$30*'Coincidence Factors'!$B$10*(1+'Inputs-System'!$C$18)*(1+'Inputs-System'!$C$41))*'Inputs-Proposals'!$E$17*'Inputs-Proposals'!$E$19*(1-'Inputs-Proposals'!$E$20^(DB$3-'Inputs-System'!$C$7))*(VLOOKUP(DB$3,'Embedded Emissions'!$A$47:$B$78,2,FALSE)+VLOOKUP(DB$3,'Embedded Emissions'!$A$129:$B$158,2,FALSE)), $C22 = "2",('Inputs-System'!$C$30*'Coincidence Factors'!$B$10*(1+'Inputs-System'!$C$18)*(1+'Inputs-System'!$C$41))*'Inputs-Proposals'!$E$23*'Inputs-Proposals'!$E$25*(1-'Inputs-Proposals'!$E$20^(DB$3-'Inputs-System'!$C$7))*(VLOOKUP(DB$3,'Embedded Emissions'!$A$47:$B$78,2,FALSE)+VLOOKUP(DB$3,'Embedded Emissions'!$A$129:$B$158,2,FALSE)), $C22 = "3", ('Inputs-System'!$C$30*'Coincidence Factors'!$B$10*(1+'Inputs-System'!$C$18)*(1+'Inputs-System'!$C$41))*'Inputs-Proposals'!$E$29*'Inputs-Proposals'!$E$31*(1-'Inputs-Proposals'!$E$20^(DB$3-'Inputs-System'!$C$7))*(VLOOKUP(DB$3,'Embedded Emissions'!$A$47:$B$78,2,FALSE)+VLOOKUP(DB$3,'Embedded Emissions'!$A$129:$B$158,2,FALSE)), $C22 = "0", 0), 0)</f>
        <v>0</v>
      </c>
      <c r="DD22" s="349">
        <f>IFERROR(_xlfn.IFS($C22="1",( 'Inputs-System'!$C$30*'Coincidence Factors'!$B$10*(1+'Inputs-System'!$C$18)*(1+'Inputs-System'!$C$41))*('Inputs-Proposals'!$E$17*'Inputs-Proposals'!$E$19*(1-'Inputs-Proposals'!$E$20)^(DB$3-'Inputs-System'!$C$7))*(VLOOKUP(DB$3,DRIPE!$A$54:$I$82,5,FALSE)+VLOOKUP(DB$3,DRIPE!$A$54:$I$82,9,FALSE))+ ('Inputs-System'!$C$26*'Coincidence Factors'!$B$6*(1+'Inputs-System'!$C$18)*(1+'Inputs-System'!$C$42))*'Inputs-Proposals'!$E$16*VLOOKUP(DB$3,DRIPE!$A$54:$I$82,8,FALSE), $C22 = "2",( 'Inputs-System'!$C$30*'Coincidence Factors'!$B$10*(1+'Inputs-System'!$C$18)*(1+'Inputs-System'!$C$41))*('Inputs-Proposals'!$E$23*'Inputs-Proposals'!$E$25*(1-'Inputs-Proposals'!$E$26)^(DB$3-'Inputs-System'!$C$7))*(VLOOKUP(DB$3,DRIPE!$A$54:$I$82,5,FALSE)+VLOOKUP(DB$3,DRIPE!$A$54:$I$82,9,FALSE))+ ('Inputs-System'!$C$26*'Coincidence Factors'!$B$6*(1+'Inputs-System'!$C$18)*(1+'Inputs-System'!$C$42))*'Inputs-Proposals'!$E$22*VLOOKUP(DB$3,DRIPE!$A$54:$I$82,8,FALSE), $C22= "3", ( 'Inputs-System'!$C$30*'Coincidence Factors'!$B$10*(1+'Inputs-System'!$C$18)*(1+'Inputs-System'!$C$41))*('Inputs-Proposals'!$E$29*'Inputs-Proposals'!$E$31*(1-'Inputs-Proposals'!$E$32)^(DB$3-'Inputs-System'!$C$7))*(VLOOKUP(DB$3,DRIPE!$A$54:$I$82,5,FALSE)+VLOOKUP(DB$3,DRIPE!$A$54:$I$82,9,FALSE))+ ('Inputs-System'!$C$26*'Coincidence Factors'!$B$6*(1+'Inputs-System'!$C$18)*(1+'Inputs-System'!$C$42))*'Inputs-Proposals'!$E$28*VLOOKUP(DB$3,DRIPE!$A$54:$I$82,8,FALSE), $C22 = "0", 0), 0)</f>
        <v>0</v>
      </c>
      <c r="DE22" s="350">
        <f>IFERROR(_xlfn.IFS($C22="1",('Inputs-System'!$C$26*'Coincidence Factors'!$B$10*(1+'Inputs-System'!$C$18)*(1+'Inputs-System'!$C$42))*'Inputs-Proposals'!$D$16*(VLOOKUP(DB$3,Capacity!$A$53:$E$85,4,FALSE)*(1+'Inputs-System'!$C$42)+VLOOKUP(DB$3,Capacity!$A$53:$E$85,5,FALSE)*(1+'Inputs-System'!$C$43)*'Inputs-System'!$C$29), $C22 = "2", ('Inputs-System'!$C$26*'Coincidence Factors'!$B$10*(1+'Inputs-System'!$C$18))*'Inputs-Proposals'!$D$22*(VLOOKUP(DB$3,Capacity!$A$53:$E$85,4,FALSE)*(1+'Inputs-System'!$C$42)+VLOOKUP(DB$3,Capacity!$A$53:$E$85,5,FALSE)*'Inputs-System'!$C$29*(1+'Inputs-System'!$C$43)), $C22 = "3", ('Inputs-System'!$C$26*'Coincidence Factors'!$B$10*(1+'Inputs-System'!$C$18))*'Inputs-Proposals'!$D$28*(VLOOKUP(DB$3,Capacity!$A$53:$E$85,4,FALSE)*(1+'Inputs-System'!$C$42)+VLOOKUP(DB$3,Capacity!$A$53:$E$85,5,FALSE)*'Inputs-System'!$C$29*(1+'Inputs-System'!$C$43)), $C22 = "0", 0), 0)</f>
        <v>0</v>
      </c>
      <c r="DF22" s="44">
        <v>0</v>
      </c>
      <c r="DG22" s="342">
        <f>IFERROR(_xlfn.IFS($C22="1", 'Inputs-System'!$C$30*'Coincidence Factors'!$B$10*'Inputs-Proposals'!$E$17*'Inputs-Proposals'!$E$19*(VLOOKUP(DB$3,'Non-Embedded Emissions'!$A$56:$D$90,2,FALSE)-VLOOKUP(DB$3,'Non-Embedded Emissions'!$F$57:$H$88,3,FALSE)+VLOOKUP(DB$3,'Non-Embedded Emissions'!$A$143:$D$174,2,FALSE)-VLOOKUP(DB$3,'Non-Embedded Emissions'!$F$143:$H$174,3,FALSE)+VLOOKUP(DB$3,'Non-Embedded Emissions'!$A$230:$D$259,2,FALSE)), $C22 = "2", 'Inputs-System'!$C$30*'Coincidence Factors'!$B$10*'Inputs-Proposals'!$E$23*'Inputs-Proposals'!$E$25*(VLOOKUP(DB$3,'Non-Embedded Emissions'!$A$56:$D$90,2,FALSE)-VLOOKUP(DB$3,'Non-Embedded Emissions'!$F$57:$H$88,3,FALSE)+VLOOKUP(DB$3,'Non-Embedded Emissions'!$A$143:$D$174,2,FALSE)-VLOOKUP(DB$3,'Non-Embedded Emissions'!$F$143:$H$174,3,FALSE)+VLOOKUP(DB$3,'Non-Embedded Emissions'!$A$230:$D$259,2,FALSE)), $C22 = "3", 'Inputs-System'!$C$30*'Coincidence Factors'!$B$10*'Inputs-Proposals'!$E$29*'Inputs-Proposals'!$E$31*(VLOOKUP(DB$3,'Non-Embedded Emissions'!$A$56:$D$90,2,FALSE)-VLOOKUP(DB$3,'Non-Embedded Emissions'!$F$57:$H$88,3,FALSE)+VLOOKUP(DB$3,'Non-Embedded Emissions'!$A$143:$D$174,2,FALSE)-VLOOKUP(DB$3,'Non-Embedded Emissions'!$F$143:$H$174,3,FALSE)+VLOOKUP(DB$3,'Non-Embedded Emissions'!$A$230:$D$259,2,FALSE)), $C22 = "0", 0), 0)</f>
        <v>0</v>
      </c>
      <c r="DH22" s="45">
        <f>IFERROR(_xlfn.IFS($C22="1",('Inputs-System'!$C$30*'Coincidence Factors'!$B$10*(1+'Inputs-System'!$C$18)*(1+'Inputs-System'!$C$41)*('Inputs-Proposals'!$E$17*'Inputs-Proposals'!$E$19*(1-'Inputs-Proposals'!$E$20^(DH$3-'Inputs-System'!$C$7)))*(VLOOKUP(DH$3,Energy!$A$51:$K$83,5,FALSE))), $C22 = "2",('Inputs-System'!$C$30*'Coincidence Factors'!$B$10)*(1+'Inputs-System'!$C$18)*(1+'Inputs-System'!$C$41)*('Inputs-Proposals'!$E$23*'Inputs-Proposals'!$E$25*(1-'Inputs-Proposals'!$E$26^(DH$3-'Inputs-System'!$C$7)))*(VLOOKUP(DH$3,Energy!$A$51:$K$83,5,FALSE)), $C22= "3", ('Inputs-System'!$C$30*'Coincidence Factors'!$B$10*(1+'Inputs-System'!$C$18)*(1+'Inputs-System'!$C$41)*('Inputs-Proposals'!$E$29*'Inputs-Proposals'!$E$31*(1-'Inputs-Proposals'!$E$32^(DH$3-'Inputs-System'!$C$7)))*(VLOOKUP(DH$3,Energy!$A$51:$K$83,5,FALSE))), $C22= "0", 0), 0)</f>
        <v>0</v>
      </c>
      <c r="DI22" s="44">
        <f>IFERROR(_xlfn.IFS($C22="1",('Inputs-System'!$C$30*'Coincidence Factors'!$B$10*(1+'Inputs-System'!$C$18)*(1+'Inputs-System'!$C$41))*'Inputs-Proposals'!$E$17*'Inputs-Proposals'!$E$19*(1-'Inputs-Proposals'!$E$20^(DH$3-'Inputs-System'!$C$7))*(VLOOKUP(DH$3,'Embedded Emissions'!$A$47:$B$78,2,FALSE)+VLOOKUP(DH$3,'Embedded Emissions'!$A$129:$B$158,2,FALSE)), $C22 = "2",('Inputs-System'!$C$30*'Coincidence Factors'!$B$10*(1+'Inputs-System'!$C$18)*(1+'Inputs-System'!$C$41))*'Inputs-Proposals'!$E$23*'Inputs-Proposals'!$E$25*(1-'Inputs-Proposals'!$E$20^(DH$3-'Inputs-System'!$C$7))*(VLOOKUP(DH$3,'Embedded Emissions'!$A$47:$B$78,2,FALSE)+VLOOKUP(DH$3,'Embedded Emissions'!$A$129:$B$158,2,FALSE)), $C22 = "3", ('Inputs-System'!$C$30*'Coincidence Factors'!$B$10*(1+'Inputs-System'!$C$18)*(1+'Inputs-System'!$C$41))*'Inputs-Proposals'!$E$29*'Inputs-Proposals'!$E$31*(1-'Inputs-Proposals'!$E$20^(DH$3-'Inputs-System'!$C$7))*(VLOOKUP(DH$3,'Embedded Emissions'!$A$47:$B$78,2,FALSE)+VLOOKUP(DH$3,'Embedded Emissions'!$A$129:$B$158,2,FALSE)), $C22 = "0", 0), 0)</f>
        <v>0</v>
      </c>
      <c r="DJ22" s="349">
        <f>IFERROR(_xlfn.IFS($C22="1",( 'Inputs-System'!$C$30*'Coincidence Factors'!$B$10*(1+'Inputs-System'!$C$18)*(1+'Inputs-System'!$C$41))*('Inputs-Proposals'!$E$17*'Inputs-Proposals'!$E$19*(1-'Inputs-Proposals'!$E$20)^(DH$3-'Inputs-System'!$C$7))*(VLOOKUP(DH$3,DRIPE!$A$54:$I$82,5,FALSE)+VLOOKUP(DH$3,DRIPE!$A$54:$I$82,9,FALSE))+ ('Inputs-System'!$C$26*'Coincidence Factors'!$B$6*(1+'Inputs-System'!$C$18)*(1+'Inputs-System'!$C$42))*'Inputs-Proposals'!$E$16*VLOOKUP(DH$3,DRIPE!$A$54:$I$82,8,FALSE), $C22 = "2",( 'Inputs-System'!$C$30*'Coincidence Factors'!$B$10*(1+'Inputs-System'!$C$18)*(1+'Inputs-System'!$C$41))*('Inputs-Proposals'!$E$23*'Inputs-Proposals'!$E$25*(1-'Inputs-Proposals'!$E$26)^(DH$3-'Inputs-System'!$C$7))*(VLOOKUP(DH$3,DRIPE!$A$54:$I$82,5,FALSE)+VLOOKUP(DH$3,DRIPE!$A$54:$I$82,9,FALSE))+ ('Inputs-System'!$C$26*'Coincidence Factors'!$B$6*(1+'Inputs-System'!$C$18)*(1+'Inputs-System'!$C$42))*'Inputs-Proposals'!$E$22*VLOOKUP(DH$3,DRIPE!$A$54:$I$82,8,FALSE), $C22= "3", ( 'Inputs-System'!$C$30*'Coincidence Factors'!$B$10*(1+'Inputs-System'!$C$18)*(1+'Inputs-System'!$C$41))*('Inputs-Proposals'!$E$29*'Inputs-Proposals'!$E$31*(1-'Inputs-Proposals'!$E$32)^(DH$3-'Inputs-System'!$C$7))*(VLOOKUP(DH$3,DRIPE!$A$54:$I$82,5,FALSE)+VLOOKUP(DH$3,DRIPE!$A$54:$I$82,9,FALSE))+ ('Inputs-System'!$C$26*'Coincidence Factors'!$B$6*(1+'Inputs-System'!$C$18)*(1+'Inputs-System'!$C$42))*'Inputs-Proposals'!$E$28*VLOOKUP(DH$3,DRIPE!$A$54:$I$82,8,FALSE), $C22 = "0", 0), 0)</f>
        <v>0</v>
      </c>
      <c r="DK22" s="350">
        <f>IFERROR(_xlfn.IFS($C22="1",('Inputs-System'!$C$26*'Coincidence Factors'!$B$10*(1+'Inputs-System'!$C$18)*(1+'Inputs-System'!$C$42))*'Inputs-Proposals'!$D$16*(VLOOKUP(DH$3,Capacity!$A$53:$E$85,4,FALSE)*(1+'Inputs-System'!$C$42)+VLOOKUP(DH$3,Capacity!$A$53:$E$85,5,FALSE)*(1+'Inputs-System'!$C$43)*'Inputs-System'!$C$29), $C22 = "2", ('Inputs-System'!$C$26*'Coincidence Factors'!$B$10*(1+'Inputs-System'!$C$18))*'Inputs-Proposals'!$D$22*(VLOOKUP(DH$3,Capacity!$A$53:$E$85,4,FALSE)*(1+'Inputs-System'!$C$42)+VLOOKUP(DH$3,Capacity!$A$53:$E$85,5,FALSE)*'Inputs-System'!$C$29*(1+'Inputs-System'!$C$43)), $C22 = "3", ('Inputs-System'!$C$26*'Coincidence Factors'!$B$10*(1+'Inputs-System'!$C$18))*'Inputs-Proposals'!$D$28*(VLOOKUP(DH$3,Capacity!$A$53:$E$85,4,FALSE)*(1+'Inputs-System'!$C$42)+VLOOKUP(DH$3,Capacity!$A$53:$E$85,5,FALSE)*'Inputs-System'!$C$29*(1+'Inputs-System'!$C$43)), $C22 = "0", 0), 0)</f>
        <v>0</v>
      </c>
      <c r="DL22" s="44">
        <v>0</v>
      </c>
      <c r="DM22" s="342">
        <f>IFERROR(_xlfn.IFS($C22="1", 'Inputs-System'!$C$30*'Coincidence Factors'!$B$10*'Inputs-Proposals'!$E$17*'Inputs-Proposals'!$E$19*(VLOOKUP(DH$3,'Non-Embedded Emissions'!$A$56:$D$90,2,FALSE)-VLOOKUP(DH$3,'Non-Embedded Emissions'!$F$57:$H$88,3,FALSE)+VLOOKUP(DH$3,'Non-Embedded Emissions'!$A$143:$D$174,2,FALSE)-VLOOKUP(DH$3,'Non-Embedded Emissions'!$F$143:$H$174,3,FALSE)+VLOOKUP(DH$3,'Non-Embedded Emissions'!$A$230:$D$259,2,FALSE)), $C22 = "2", 'Inputs-System'!$C$30*'Coincidence Factors'!$B$10*'Inputs-Proposals'!$E$23*'Inputs-Proposals'!$E$25*(VLOOKUP(DH$3,'Non-Embedded Emissions'!$A$56:$D$90,2,FALSE)-VLOOKUP(DH$3,'Non-Embedded Emissions'!$F$57:$H$88,3,FALSE)+VLOOKUP(DH$3,'Non-Embedded Emissions'!$A$143:$D$174,2,FALSE)-VLOOKUP(DH$3,'Non-Embedded Emissions'!$F$143:$H$174,3,FALSE)+VLOOKUP(DH$3,'Non-Embedded Emissions'!$A$230:$D$259,2,FALSE)), $C22 = "3", 'Inputs-System'!$C$30*'Coincidence Factors'!$B$10*'Inputs-Proposals'!$E$29*'Inputs-Proposals'!$E$31*(VLOOKUP(DH$3,'Non-Embedded Emissions'!$A$56:$D$90,2,FALSE)-VLOOKUP(DH$3,'Non-Embedded Emissions'!$F$57:$H$88,3,FALSE)+VLOOKUP(DH$3,'Non-Embedded Emissions'!$A$143:$D$174,2,FALSE)-VLOOKUP(DH$3,'Non-Embedded Emissions'!$F$143:$H$174,3,FALSE)+VLOOKUP(DH$3,'Non-Embedded Emissions'!$A$230:$D$259,2,FALSE)), $C22 = "0", 0), 0)</f>
        <v>0</v>
      </c>
      <c r="DN22" s="45">
        <f>IFERROR(_xlfn.IFS($C22="1",('Inputs-System'!$C$30*'Coincidence Factors'!$B$10*(1+'Inputs-System'!$C$18)*(1+'Inputs-System'!$C$41)*('Inputs-Proposals'!$E$17*'Inputs-Proposals'!$E$19*(1-'Inputs-Proposals'!$E$20^(DN$3-'Inputs-System'!$C$7)))*(VLOOKUP(DN$3,Energy!$A$51:$K$83,5,FALSE))), $C22 = "2",('Inputs-System'!$C$30*'Coincidence Factors'!$B$10)*(1+'Inputs-System'!$C$18)*(1+'Inputs-System'!$C$41)*('Inputs-Proposals'!$E$23*'Inputs-Proposals'!$E$25*(1-'Inputs-Proposals'!$E$26^(DN$3-'Inputs-System'!$C$7)))*(VLOOKUP(DN$3,Energy!$A$51:$K$83,5,FALSE)), $C22= "3", ('Inputs-System'!$C$30*'Coincidence Factors'!$B$10*(1+'Inputs-System'!$C$18)*(1+'Inputs-System'!$C$41)*('Inputs-Proposals'!$E$29*'Inputs-Proposals'!$E$31*(1-'Inputs-Proposals'!$E$32^(DN$3-'Inputs-System'!$C$7)))*(VLOOKUP(DN$3,Energy!$A$51:$K$83,5,FALSE))), $C22= "0", 0), 0)</f>
        <v>0</v>
      </c>
      <c r="DO22" s="44">
        <f>IFERROR(_xlfn.IFS($C22="1",('Inputs-System'!$C$30*'Coincidence Factors'!$B$10*(1+'Inputs-System'!$C$18)*(1+'Inputs-System'!$C$41))*'Inputs-Proposals'!$E$17*'Inputs-Proposals'!$E$19*(1-'Inputs-Proposals'!$E$20^(DN$3-'Inputs-System'!$C$7))*(VLOOKUP(DN$3,'Embedded Emissions'!$A$47:$B$78,2,FALSE)+VLOOKUP(DN$3,'Embedded Emissions'!$A$129:$B$158,2,FALSE)), $C22 = "2",('Inputs-System'!$C$30*'Coincidence Factors'!$B$10*(1+'Inputs-System'!$C$18)*(1+'Inputs-System'!$C$41))*'Inputs-Proposals'!$E$23*'Inputs-Proposals'!$E$25*(1-'Inputs-Proposals'!$E$20^(DN$3-'Inputs-System'!$C$7))*(VLOOKUP(DN$3,'Embedded Emissions'!$A$47:$B$78,2,FALSE)+VLOOKUP(DN$3,'Embedded Emissions'!$A$129:$B$158,2,FALSE)), $C22 = "3", ('Inputs-System'!$C$30*'Coincidence Factors'!$B$10*(1+'Inputs-System'!$C$18)*(1+'Inputs-System'!$C$41))*'Inputs-Proposals'!$E$29*'Inputs-Proposals'!$E$31*(1-'Inputs-Proposals'!$E$20^(DN$3-'Inputs-System'!$C$7))*(VLOOKUP(DN$3,'Embedded Emissions'!$A$47:$B$78,2,FALSE)+VLOOKUP(DN$3,'Embedded Emissions'!$A$129:$B$158,2,FALSE)), $C22 = "0", 0), 0)</f>
        <v>0</v>
      </c>
      <c r="DP22" s="349">
        <f>IFERROR(_xlfn.IFS($C22="1",( 'Inputs-System'!$C$30*'Coincidence Factors'!$B$10*(1+'Inputs-System'!$C$18)*(1+'Inputs-System'!$C$41))*('Inputs-Proposals'!$E$17*'Inputs-Proposals'!$E$19*(1-'Inputs-Proposals'!$E$20)^(DN$3-'Inputs-System'!$C$7))*(VLOOKUP(DN$3,DRIPE!$A$54:$I$82,5,FALSE)+VLOOKUP(DN$3,DRIPE!$A$54:$I$82,9,FALSE))+ ('Inputs-System'!$C$26*'Coincidence Factors'!$B$6*(1+'Inputs-System'!$C$18)*(1+'Inputs-System'!$C$42))*'Inputs-Proposals'!$E$16*VLOOKUP(DN$3,DRIPE!$A$54:$I$82,8,FALSE), $C22 = "2",( 'Inputs-System'!$C$30*'Coincidence Factors'!$B$10*(1+'Inputs-System'!$C$18)*(1+'Inputs-System'!$C$41))*('Inputs-Proposals'!$E$23*'Inputs-Proposals'!$E$25*(1-'Inputs-Proposals'!$E$26)^(DN$3-'Inputs-System'!$C$7))*(VLOOKUP(DN$3,DRIPE!$A$54:$I$82,5,FALSE)+VLOOKUP(DN$3,DRIPE!$A$54:$I$82,9,FALSE))+ ('Inputs-System'!$C$26*'Coincidence Factors'!$B$6*(1+'Inputs-System'!$C$18)*(1+'Inputs-System'!$C$42))*'Inputs-Proposals'!$E$22*VLOOKUP(DN$3,DRIPE!$A$54:$I$82,8,FALSE), $C22= "3", ( 'Inputs-System'!$C$30*'Coincidence Factors'!$B$10*(1+'Inputs-System'!$C$18)*(1+'Inputs-System'!$C$41))*('Inputs-Proposals'!$E$29*'Inputs-Proposals'!$E$31*(1-'Inputs-Proposals'!$E$32)^(DN$3-'Inputs-System'!$C$7))*(VLOOKUP(DN$3,DRIPE!$A$54:$I$82,5,FALSE)+VLOOKUP(DN$3,DRIPE!$A$54:$I$82,9,FALSE))+ ('Inputs-System'!$C$26*'Coincidence Factors'!$B$6*(1+'Inputs-System'!$C$18)*(1+'Inputs-System'!$C$42))*'Inputs-Proposals'!$E$28*VLOOKUP(DN$3,DRIPE!$A$54:$I$82,8,FALSE), $C22 = "0", 0), 0)</f>
        <v>0</v>
      </c>
      <c r="DQ22" s="350">
        <f>IFERROR(_xlfn.IFS($C22="1",('Inputs-System'!$C$26*'Coincidence Factors'!$B$10*(1+'Inputs-System'!$C$18)*(1+'Inputs-System'!$C$42))*'Inputs-Proposals'!$D$16*(VLOOKUP(DN$3,Capacity!$A$53:$E$85,4,FALSE)*(1+'Inputs-System'!$C$42)+VLOOKUP(DN$3,Capacity!$A$53:$E$85,5,FALSE)*(1+'Inputs-System'!$C$43)*'Inputs-System'!$C$29), $C22 = "2", ('Inputs-System'!$C$26*'Coincidence Factors'!$B$10*(1+'Inputs-System'!$C$18))*'Inputs-Proposals'!$D$22*(VLOOKUP(DN$3,Capacity!$A$53:$E$85,4,FALSE)*(1+'Inputs-System'!$C$42)+VLOOKUP(DN$3,Capacity!$A$53:$E$85,5,FALSE)*'Inputs-System'!$C$29*(1+'Inputs-System'!$C$43)), $C22 = "3", ('Inputs-System'!$C$26*'Coincidence Factors'!$B$10*(1+'Inputs-System'!$C$18))*'Inputs-Proposals'!$D$28*(VLOOKUP(DN$3,Capacity!$A$53:$E$85,4,FALSE)*(1+'Inputs-System'!$C$42)+VLOOKUP(DN$3,Capacity!$A$53:$E$85,5,FALSE)*'Inputs-System'!$C$29*(1+'Inputs-System'!$C$43)), $C22 = "0", 0), 0)</f>
        <v>0</v>
      </c>
      <c r="DR22" s="44">
        <v>0</v>
      </c>
      <c r="DS22" s="342">
        <f>IFERROR(_xlfn.IFS($C22="1", 'Inputs-System'!$C$30*'Coincidence Factors'!$B$10*'Inputs-Proposals'!$E$17*'Inputs-Proposals'!$E$19*(VLOOKUP(DN$3,'Non-Embedded Emissions'!$A$56:$D$90,2,FALSE)-VLOOKUP(DN$3,'Non-Embedded Emissions'!$F$57:$H$88,3,FALSE)+VLOOKUP(DN$3,'Non-Embedded Emissions'!$A$143:$D$174,2,FALSE)-VLOOKUP(DN$3,'Non-Embedded Emissions'!$F$143:$H$174,3,FALSE)+VLOOKUP(DN$3,'Non-Embedded Emissions'!$A$230:$D$259,2,FALSE)), $C22 = "2", 'Inputs-System'!$C$30*'Coincidence Factors'!$B$10*'Inputs-Proposals'!$E$23*'Inputs-Proposals'!$E$25*(VLOOKUP(DN$3,'Non-Embedded Emissions'!$A$56:$D$90,2,FALSE)-VLOOKUP(DN$3,'Non-Embedded Emissions'!$F$57:$H$88,3,FALSE)+VLOOKUP(DN$3,'Non-Embedded Emissions'!$A$143:$D$174,2,FALSE)-VLOOKUP(DN$3,'Non-Embedded Emissions'!$F$143:$H$174,3,FALSE)+VLOOKUP(DN$3,'Non-Embedded Emissions'!$A$230:$D$259,2,FALSE)), $C22 = "3", 'Inputs-System'!$C$30*'Coincidence Factors'!$B$10*'Inputs-Proposals'!$E$29*'Inputs-Proposals'!$E$31*(VLOOKUP(DN$3,'Non-Embedded Emissions'!$A$56:$D$90,2,FALSE)-VLOOKUP(DN$3,'Non-Embedded Emissions'!$F$57:$H$88,3,FALSE)+VLOOKUP(DN$3,'Non-Embedded Emissions'!$A$143:$D$174,2,FALSE)-VLOOKUP(DN$3,'Non-Embedded Emissions'!$F$143:$H$174,3,FALSE)+VLOOKUP(DN$3,'Non-Embedded Emissions'!$A$230:$D$259,2,FALSE)), $C22 = "0", 0), 0)</f>
        <v>0</v>
      </c>
      <c r="DT22" s="45">
        <f>IFERROR(_xlfn.IFS($C22="1",('Inputs-System'!$C$30*'Coincidence Factors'!$B$10*(1+'Inputs-System'!$C$18)*(1+'Inputs-System'!$C$41)*('Inputs-Proposals'!$E$17*'Inputs-Proposals'!$E$19*(1-'Inputs-Proposals'!$E$20^(DT$3-'Inputs-System'!$C$7)))*(VLOOKUP(DT$3,Energy!$A$51:$K$83,5,FALSE))), $C22 = "2",('Inputs-System'!$C$30*'Coincidence Factors'!$B$10)*(1+'Inputs-System'!$C$18)*(1+'Inputs-System'!$C$41)*('Inputs-Proposals'!$E$23*'Inputs-Proposals'!$E$25*(1-'Inputs-Proposals'!$E$26^(DT$3-'Inputs-System'!$C$7)))*(VLOOKUP(DT$3,Energy!$A$51:$K$83,5,FALSE)), $C22= "3", ('Inputs-System'!$C$30*'Coincidence Factors'!$B$10*(1+'Inputs-System'!$C$18)*(1+'Inputs-System'!$C$41)*('Inputs-Proposals'!$E$29*'Inputs-Proposals'!$E$31*(1-'Inputs-Proposals'!$E$32^(DT$3-'Inputs-System'!$C$7)))*(VLOOKUP(DT$3,Energy!$A$51:$K$83,5,FALSE))), $C22= "0", 0), 0)</f>
        <v>0</v>
      </c>
      <c r="DU22" s="44">
        <f>IFERROR(_xlfn.IFS($C22="1",('Inputs-System'!$C$30*'Coincidence Factors'!$B$10*(1+'Inputs-System'!$C$18)*(1+'Inputs-System'!$C$41))*'Inputs-Proposals'!$E$17*'Inputs-Proposals'!$E$19*(1-'Inputs-Proposals'!$E$20^(DT$3-'Inputs-System'!$C$7))*(VLOOKUP(DT$3,'Embedded Emissions'!$A$47:$B$78,2,FALSE)+VLOOKUP(DT$3,'Embedded Emissions'!$A$129:$B$158,2,FALSE)), $C22 = "2",('Inputs-System'!$C$30*'Coincidence Factors'!$B$10*(1+'Inputs-System'!$C$18)*(1+'Inputs-System'!$C$41))*'Inputs-Proposals'!$E$23*'Inputs-Proposals'!$E$25*(1-'Inputs-Proposals'!$E$20^(DT$3-'Inputs-System'!$C$7))*(VLOOKUP(DT$3,'Embedded Emissions'!$A$47:$B$78,2,FALSE)+VLOOKUP(DT$3,'Embedded Emissions'!$A$129:$B$158,2,FALSE)), $C22 = "3", ('Inputs-System'!$C$30*'Coincidence Factors'!$B$10*(1+'Inputs-System'!$C$18)*(1+'Inputs-System'!$C$41))*'Inputs-Proposals'!$E$29*'Inputs-Proposals'!$E$31*(1-'Inputs-Proposals'!$E$20^(DT$3-'Inputs-System'!$C$7))*(VLOOKUP(DT$3,'Embedded Emissions'!$A$47:$B$78,2,FALSE)+VLOOKUP(DT$3,'Embedded Emissions'!$A$129:$B$158,2,FALSE)), $C22 = "0", 0), 0)</f>
        <v>0</v>
      </c>
      <c r="DV22" s="349">
        <f>IFERROR(_xlfn.IFS($C22="1",( 'Inputs-System'!$C$30*'Coincidence Factors'!$B$10*(1+'Inputs-System'!$C$18)*(1+'Inputs-System'!$C$41))*('Inputs-Proposals'!$E$17*'Inputs-Proposals'!$E$19*(1-'Inputs-Proposals'!$E$20)^(DT$3-'Inputs-System'!$C$7))*(VLOOKUP(DT$3,DRIPE!$A$54:$I$82,5,FALSE)+VLOOKUP(DT$3,DRIPE!$A$54:$I$82,9,FALSE))+ ('Inputs-System'!$C$26*'Coincidence Factors'!$B$6*(1+'Inputs-System'!$C$18)*(1+'Inputs-System'!$C$42))*'Inputs-Proposals'!$E$16*VLOOKUP(DT$3,DRIPE!$A$54:$I$82,8,FALSE), $C22 = "2",( 'Inputs-System'!$C$30*'Coincidence Factors'!$B$10*(1+'Inputs-System'!$C$18)*(1+'Inputs-System'!$C$41))*('Inputs-Proposals'!$E$23*'Inputs-Proposals'!$E$25*(1-'Inputs-Proposals'!$E$26)^(DT$3-'Inputs-System'!$C$7))*(VLOOKUP(DT$3,DRIPE!$A$54:$I$82,5,FALSE)+VLOOKUP(DT$3,DRIPE!$A$54:$I$82,9,FALSE))+ ('Inputs-System'!$C$26*'Coincidence Factors'!$B$6*(1+'Inputs-System'!$C$18)*(1+'Inputs-System'!$C$42))*'Inputs-Proposals'!$E$22*VLOOKUP(DT$3,DRIPE!$A$54:$I$82,8,FALSE), $C22= "3", ( 'Inputs-System'!$C$30*'Coincidence Factors'!$B$10*(1+'Inputs-System'!$C$18)*(1+'Inputs-System'!$C$41))*('Inputs-Proposals'!$E$29*'Inputs-Proposals'!$E$31*(1-'Inputs-Proposals'!$E$32)^(DT$3-'Inputs-System'!$C$7))*(VLOOKUP(DT$3,DRIPE!$A$54:$I$82,5,FALSE)+VLOOKUP(DT$3,DRIPE!$A$54:$I$82,9,FALSE))+ ('Inputs-System'!$C$26*'Coincidence Factors'!$B$6*(1+'Inputs-System'!$C$18)*(1+'Inputs-System'!$C$42))*'Inputs-Proposals'!$E$28*VLOOKUP(DT$3,DRIPE!$A$54:$I$82,8,FALSE), $C22 = "0", 0), 0)</f>
        <v>0</v>
      </c>
      <c r="DW22" s="350">
        <f>IFERROR(_xlfn.IFS($C22="1",('Inputs-System'!$C$26*'Coincidence Factors'!$B$10*(1+'Inputs-System'!$C$18)*(1+'Inputs-System'!$C$42))*'Inputs-Proposals'!$D$16*(VLOOKUP(DT$3,Capacity!$A$53:$E$85,4,FALSE)*(1+'Inputs-System'!$C$42)+VLOOKUP(DT$3,Capacity!$A$53:$E$85,5,FALSE)*(1+'Inputs-System'!$C$43)*'Inputs-System'!$C$29), $C22 = "2", ('Inputs-System'!$C$26*'Coincidence Factors'!$B$10*(1+'Inputs-System'!$C$18))*'Inputs-Proposals'!$D$22*(VLOOKUP(DT$3,Capacity!$A$53:$E$85,4,FALSE)*(1+'Inputs-System'!$C$42)+VLOOKUP(DT$3,Capacity!$A$53:$E$85,5,FALSE)*'Inputs-System'!$C$29*(1+'Inputs-System'!$C$43)), $C22 = "3", ('Inputs-System'!$C$26*'Coincidence Factors'!$B$10*(1+'Inputs-System'!$C$18))*'Inputs-Proposals'!$D$28*(VLOOKUP(DT$3,Capacity!$A$53:$E$85,4,FALSE)*(1+'Inputs-System'!$C$42)+VLOOKUP(DT$3,Capacity!$A$53:$E$85,5,FALSE)*'Inputs-System'!$C$29*(1+'Inputs-System'!$C$43)), $C22 = "0", 0), 0)</f>
        <v>0</v>
      </c>
      <c r="DX22" s="44">
        <v>0</v>
      </c>
      <c r="DY22" s="342">
        <f>IFERROR(_xlfn.IFS($C22="1", 'Inputs-System'!$C$30*'Coincidence Factors'!$B$10*'Inputs-Proposals'!$E$17*'Inputs-Proposals'!$E$19*(VLOOKUP(DT$3,'Non-Embedded Emissions'!$A$56:$D$90,2,FALSE)-VLOOKUP(DT$3,'Non-Embedded Emissions'!$F$57:$H$88,3,FALSE)+VLOOKUP(DT$3,'Non-Embedded Emissions'!$A$143:$D$174,2,FALSE)-VLOOKUP(DT$3,'Non-Embedded Emissions'!$F$143:$H$174,3,FALSE)+VLOOKUP(DT$3,'Non-Embedded Emissions'!$A$230:$D$259,2,FALSE)), $C22 = "2", 'Inputs-System'!$C$30*'Coincidence Factors'!$B$10*'Inputs-Proposals'!$E$23*'Inputs-Proposals'!$E$25*(VLOOKUP(DT$3,'Non-Embedded Emissions'!$A$56:$D$90,2,FALSE)-VLOOKUP(DT$3,'Non-Embedded Emissions'!$F$57:$H$88,3,FALSE)+VLOOKUP(DT$3,'Non-Embedded Emissions'!$A$143:$D$174,2,FALSE)-VLOOKUP(DT$3,'Non-Embedded Emissions'!$F$143:$H$174,3,FALSE)+VLOOKUP(DT$3,'Non-Embedded Emissions'!$A$230:$D$259,2,FALSE)), $C22 = "3", 'Inputs-System'!$C$30*'Coincidence Factors'!$B$10*'Inputs-Proposals'!$E$29*'Inputs-Proposals'!$E$31*(VLOOKUP(DT$3,'Non-Embedded Emissions'!$A$56:$D$90,2,FALSE)-VLOOKUP(DT$3,'Non-Embedded Emissions'!$F$57:$H$88,3,FALSE)+VLOOKUP(DT$3,'Non-Embedded Emissions'!$A$143:$D$174,2,FALSE)-VLOOKUP(DT$3,'Non-Embedded Emissions'!$F$143:$H$174,3,FALSE)+VLOOKUP(DT$3,'Non-Embedded Emissions'!$A$230:$D$259,2,FALSE)), $C22 = "0", 0), 0)</f>
        <v>0</v>
      </c>
      <c r="DZ22" s="45">
        <f>IFERROR(_xlfn.IFS($C22="1",('Inputs-System'!$C$30*'Coincidence Factors'!$B$10*(1+'Inputs-System'!$C$18)*(1+'Inputs-System'!$C$41)*('Inputs-Proposals'!$E$17*'Inputs-Proposals'!$E$19*(1-'Inputs-Proposals'!$E$20^(DZ$3-'Inputs-System'!$C$7)))*(VLOOKUP(DZ$3,Energy!$A$51:$K$83,5,FALSE))), $C22 = "2",('Inputs-System'!$C$30*'Coincidence Factors'!$B$10)*(1+'Inputs-System'!$C$18)*(1+'Inputs-System'!$C$41)*('Inputs-Proposals'!$E$23*'Inputs-Proposals'!$E$25*(1-'Inputs-Proposals'!$E$26^(DZ$3-'Inputs-System'!$C$7)))*(VLOOKUP(DZ$3,Energy!$A$51:$K$83,5,FALSE)), $C22= "3", ('Inputs-System'!$C$30*'Coincidence Factors'!$B$10*(1+'Inputs-System'!$C$18)*(1+'Inputs-System'!$C$41)*('Inputs-Proposals'!$E$29*'Inputs-Proposals'!$E$31*(1-'Inputs-Proposals'!$E$32^(DZ$3-'Inputs-System'!$C$7)))*(VLOOKUP(DZ$3,Energy!$A$51:$K$83,5,FALSE))), $C22= "0", 0), 0)</f>
        <v>0</v>
      </c>
      <c r="EA22" s="44">
        <f>IFERROR(_xlfn.IFS($C22="1",('Inputs-System'!$C$30*'Coincidence Factors'!$B$10*(1+'Inputs-System'!$C$18)*(1+'Inputs-System'!$C$41))*'Inputs-Proposals'!$E$17*'Inputs-Proposals'!$E$19*(1-'Inputs-Proposals'!$E$20^(DZ$3-'Inputs-System'!$C$7))*(VLOOKUP(DZ$3,'Embedded Emissions'!$A$47:$B$78,2,FALSE)+VLOOKUP(DZ$3,'Embedded Emissions'!$A$129:$B$158,2,FALSE)), $C22 = "2",('Inputs-System'!$C$30*'Coincidence Factors'!$B$10*(1+'Inputs-System'!$C$18)*(1+'Inputs-System'!$C$41))*'Inputs-Proposals'!$E$23*'Inputs-Proposals'!$E$25*(1-'Inputs-Proposals'!$E$20^(DZ$3-'Inputs-System'!$C$7))*(VLOOKUP(DZ$3,'Embedded Emissions'!$A$47:$B$78,2,FALSE)+VLOOKUP(DZ$3,'Embedded Emissions'!$A$129:$B$158,2,FALSE)), $C22 = "3", ('Inputs-System'!$C$30*'Coincidence Factors'!$B$10*(1+'Inputs-System'!$C$18)*(1+'Inputs-System'!$C$41))*'Inputs-Proposals'!$E$29*'Inputs-Proposals'!$E$31*(1-'Inputs-Proposals'!$E$20^(DZ$3-'Inputs-System'!$C$7))*(VLOOKUP(DZ$3,'Embedded Emissions'!$A$47:$B$78,2,FALSE)+VLOOKUP(DZ$3,'Embedded Emissions'!$A$129:$B$158,2,FALSE)), $C22 = "0", 0), 0)</f>
        <v>0</v>
      </c>
      <c r="EB22" s="349">
        <f>IFERROR(_xlfn.IFS($C22="1",( 'Inputs-System'!$C$30*'Coincidence Factors'!$B$10*(1+'Inputs-System'!$C$18)*(1+'Inputs-System'!$C$41))*('Inputs-Proposals'!$E$17*'Inputs-Proposals'!$E$19*(1-'Inputs-Proposals'!$E$20)^(DZ$3-'Inputs-System'!$C$7))*(VLOOKUP(DZ$3,DRIPE!$A$54:$I$82,5,FALSE)+VLOOKUP(DZ$3,DRIPE!$A$54:$I$82,9,FALSE))+ ('Inputs-System'!$C$26*'Coincidence Factors'!$B$6*(1+'Inputs-System'!$C$18)*(1+'Inputs-System'!$C$42))*'Inputs-Proposals'!$E$16*VLOOKUP(DZ$3,DRIPE!$A$54:$I$82,8,FALSE), $C22 = "2",( 'Inputs-System'!$C$30*'Coincidence Factors'!$B$10*(1+'Inputs-System'!$C$18)*(1+'Inputs-System'!$C$41))*('Inputs-Proposals'!$E$23*'Inputs-Proposals'!$E$25*(1-'Inputs-Proposals'!$E$26)^(DZ$3-'Inputs-System'!$C$7))*(VLOOKUP(DZ$3,DRIPE!$A$54:$I$82,5,FALSE)+VLOOKUP(DZ$3,DRIPE!$A$54:$I$82,9,FALSE))+ ('Inputs-System'!$C$26*'Coincidence Factors'!$B$6*(1+'Inputs-System'!$C$18)*(1+'Inputs-System'!$C$42))*'Inputs-Proposals'!$E$22*VLOOKUP(DZ$3,DRIPE!$A$54:$I$82,8,FALSE), $C22= "3", ( 'Inputs-System'!$C$30*'Coincidence Factors'!$B$10*(1+'Inputs-System'!$C$18)*(1+'Inputs-System'!$C$41))*('Inputs-Proposals'!$E$29*'Inputs-Proposals'!$E$31*(1-'Inputs-Proposals'!$E$32)^(DZ$3-'Inputs-System'!$C$7))*(VLOOKUP(DZ$3,DRIPE!$A$54:$I$82,5,FALSE)+VLOOKUP(DZ$3,DRIPE!$A$54:$I$82,9,FALSE))+ ('Inputs-System'!$C$26*'Coincidence Factors'!$B$6*(1+'Inputs-System'!$C$18)*(1+'Inputs-System'!$C$42))*'Inputs-Proposals'!$E$28*VLOOKUP(DZ$3,DRIPE!$A$54:$I$82,8,FALSE), $C22 = "0", 0), 0)</f>
        <v>0</v>
      </c>
      <c r="EC22" s="350">
        <f>IFERROR(_xlfn.IFS($C22="1",('Inputs-System'!$C$26*'Coincidence Factors'!$B$10*(1+'Inputs-System'!$C$18)*(1+'Inputs-System'!$C$42))*'Inputs-Proposals'!$D$16*(VLOOKUP(DZ$3,Capacity!$A$53:$E$85,4,FALSE)*(1+'Inputs-System'!$C$42)+VLOOKUP(DZ$3,Capacity!$A$53:$E$85,5,FALSE)*(1+'Inputs-System'!$C$43)*'Inputs-System'!$C$29), $C22 = "2", ('Inputs-System'!$C$26*'Coincidence Factors'!$B$10*(1+'Inputs-System'!$C$18))*'Inputs-Proposals'!$D$22*(VLOOKUP(DZ$3,Capacity!$A$53:$E$85,4,FALSE)*(1+'Inputs-System'!$C$42)+VLOOKUP(DZ$3,Capacity!$A$53:$E$85,5,FALSE)*'Inputs-System'!$C$29*(1+'Inputs-System'!$C$43)), $C22 = "3", ('Inputs-System'!$C$26*'Coincidence Factors'!$B$10*(1+'Inputs-System'!$C$18))*'Inputs-Proposals'!$D$28*(VLOOKUP(DZ$3,Capacity!$A$53:$E$85,4,FALSE)*(1+'Inputs-System'!$C$42)+VLOOKUP(DZ$3,Capacity!$A$53:$E$85,5,FALSE)*'Inputs-System'!$C$29*(1+'Inputs-System'!$C$43)), $C22 = "0", 0), 0)</f>
        <v>0</v>
      </c>
      <c r="ED22" s="44">
        <v>0</v>
      </c>
      <c r="EE22" s="342">
        <f>IFERROR(_xlfn.IFS($C22="1", 'Inputs-System'!$C$30*'Coincidence Factors'!$B$10*'Inputs-Proposals'!$E$17*'Inputs-Proposals'!$E$19*(VLOOKUP(DZ$3,'Non-Embedded Emissions'!$A$56:$D$90,2,FALSE)-VLOOKUP(DZ$3,'Non-Embedded Emissions'!$F$57:$H$88,3,FALSE)+VLOOKUP(DZ$3,'Non-Embedded Emissions'!$A$143:$D$174,2,FALSE)-VLOOKUP(DZ$3,'Non-Embedded Emissions'!$F$143:$H$174,3,FALSE)+VLOOKUP(DZ$3,'Non-Embedded Emissions'!$A$230:$D$259,2,FALSE)), $C22 = "2", 'Inputs-System'!$C$30*'Coincidence Factors'!$B$10*'Inputs-Proposals'!$E$23*'Inputs-Proposals'!$E$25*(VLOOKUP(DZ$3,'Non-Embedded Emissions'!$A$56:$D$90,2,FALSE)-VLOOKUP(DZ$3,'Non-Embedded Emissions'!$F$57:$H$88,3,FALSE)+VLOOKUP(DZ$3,'Non-Embedded Emissions'!$A$143:$D$174,2,FALSE)-VLOOKUP(DZ$3,'Non-Embedded Emissions'!$F$143:$H$174,3,FALSE)+VLOOKUP(DZ$3,'Non-Embedded Emissions'!$A$230:$D$259,2,FALSE)), $C22 = "3", 'Inputs-System'!$C$30*'Coincidence Factors'!$B$10*'Inputs-Proposals'!$E$29*'Inputs-Proposals'!$E$31*(VLOOKUP(DZ$3,'Non-Embedded Emissions'!$A$56:$D$90,2,FALSE)-VLOOKUP(DZ$3,'Non-Embedded Emissions'!$F$57:$H$88,3,FALSE)+VLOOKUP(DZ$3,'Non-Embedded Emissions'!$A$143:$D$174,2,FALSE)-VLOOKUP(DZ$3,'Non-Embedded Emissions'!$F$143:$H$174,3,FALSE)+VLOOKUP(DZ$3,'Non-Embedded Emissions'!$A$230:$D$259,2,FALSE)), $C22 = "0", 0), 0)</f>
        <v>0</v>
      </c>
    </row>
    <row r="23" spans="1:135" x14ac:dyDescent="0.35">
      <c r="A23" s="707">
        <f>'Inputs-Proposals'!F2</f>
        <v>0</v>
      </c>
      <c r="B23" s="52" t="s">
        <v>90</v>
      </c>
      <c r="C23" s="52" t="str">
        <f>IFERROR(_xlfn.IFS('Benefits Calc'!B23='Inputs-Proposals'!$F$15, "1", 'Benefits Calc'!B23='Inputs-Proposals'!$F$21, "2", 'Benefits Calc'!B23='Inputs-Proposals'!$F$27, "3"), "0")</f>
        <v>0</v>
      </c>
      <c r="D23" s="323">
        <f t="shared" si="0"/>
        <v>0</v>
      </c>
      <c r="E23" s="44">
        <f t="shared" si="1"/>
        <v>0</v>
      </c>
      <c r="F23" s="44">
        <f t="shared" si="2"/>
        <v>0</v>
      </c>
      <c r="G23" s="44">
        <f t="shared" si="3"/>
        <v>0</v>
      </c>
      <c r="H23" s="44">
        <f t="shared" si="4"/>
        <v>0</v>
      </c>
      <c r="I23" s="44">
        <f t="shared" si="5"/>
        <v>0</v>
      </c>
      <c r="J23" s="322">
        <f>NPV('Inputs-System'!$C$20,P23+V23+AB23+AH23+AN23+AT23+AZ23+BF23+BL23+BR23+BX23+CD23+CJ23+CP23+CV23+DB23+DH23+DN23+DT23+DZ23)</f>
        <v>0</v>
      </c>
      <c r="K23" s="318">
        <f>NPV('Inputs-System'!$C$20,Q23+W23+AC23+AI23+AO23+AU23+BA23+BG23+BM23+BS23+BY23+CE23+CK23+CQ23+CW23+DC23+DI23+DO23+DU23+EA23)</f>
        <v>0</v>
      </c>
      <c r="L23" s="318">
        <f>NPV('Inputs-System'!$C$20,R23+X23+AD23+AJ23+AP23+AV23+BB23+BH23+BN23+BT23+BZ23+CF23+CL23+CR23+CX23+DD23+DJ23+DP23+DV23+EB23)</f>
        <v>0</v>
      </c>
      <c r="M23" s="318">
        <f>NPV('Inputs-System'!$C$20,S23+Y23+AE23+AK23+AQ23+AW23+BC23+BI23+BO23+BU23+CA23+CG23+CM23+CS23+CY23+DE23+DK23+DQ23+DW23+EC23)</f>
        <v>0</v>
      </c>
      <c r="N23" s="318">
        <f>NPV('Inputs-System'!$C$20,T23+Z23+AF23+AL23+AR23+AX23+BD23+BJ23+BP23+BV23+CB23+CH23+CN23+CT23+CZ23+DF23+DL23+DR23+DX23+ED23)</f>
        <v>0</v>
      </c>
      <c r="O23" s="318">
        <f>NPV('Inputs-System'!$C$20,U23+AA23+AG23+AM23+AS23+AY23+BE23+BK23+BQ23+BW23+CC23+CI23+CO23+CU23+DA23+DG23+DM23+DS23+DY23+EE23)</f>
        <v>0</v>
      </c>
      <c r="P23" s="344">
        <f>IFERROR(_xlfn.IFS($C23="1",('Inputs-System'!$C$30*'Coincidence Factors'!$B$5*(1+'Inputs-System'!$C$18)*(1+'Inputs-System'!$C$41)*('Inputs-Proposals'!$F$17*'Inputs-Proposals'!$F$19*(1-'Inputs-Proposals'!$F$20))*(VLOOKUP(P$3,Energy!$A$51:$K$83,5,FALSE)-VLOOKUP(P$3,Energy!$A$51:$K$83,6,FALSE))), $C23 = "2",('Inputs-System'!$C$30*'Coincidence Factors'!$B$5)*(1+'Inputs-System'!$C$18)*(1+'Inputs-System'!$C$41)*('Inputs-Proposals'!$F$23*'Inputs-Proposals'!$F$25*(1-'Inputs-Proposals'!$F$26))*(VLOOKUP(P$3,Energy!$A$51:$K$83,5,FALSE)-VLOOKUP(P$3,Energy!$A$51:$K$83,6,FALSE)), $C23= "3", ('Inputs-System'!$C$30*'Coincidence Factors'!$B$5*(1+'Inputs-System'!$C$18)*(1+'Inputs-System'!$C$41)*('Inputs-Proposals'!$F$29*'Inputs-Proposals'!$F$31*(1-'Inputs-Proposals'!$F$32))*(VLOOKUP(P$3,Energy!$A$51:$K$83,5,FALSE)-VLOOKUP(P$3,Energy!$A$51:$K$83,6,FALSE))), $C23= "0", 0), 0)</f>
        <v>0</v>
      </c>
      <c r="Q23" s="100">
        <f>IFERROR(_xlfn.IFS($C23="1", 'Inputs-System'!$C$30*'Coincidence Factors'!$B$5*(1+'Inputs-System'!$C$18)*(1+'Inputs-System'!$C$41)*'Inputs-Proposals'!$F$17*'Inputs-Proposals'!$F$19*(1-'Inputs-Proposals'!$F$20)*(VLOOKUP(P$3,'Embedded Emissions'!$A$47:$B$78,2,FALSE)+VLOOKUP(P$3,'Embedded Emissions'!$A$129:$B$158,2,FALSE)), $C23 = "2",'Inputs-System'!$C$30*'Coincidence Factors'!$B$5*(1+'Inputs-System'!$C$18)*(1+'Inputs-System'!$C$41)*'Inputs-Proposals'!$F$23*'Inputs-Proposals'!$F$25*(1-'Inputs-Proposals'!$F$20)*(VLOOKUP(P$3,'Embedded Emissions'!$A$47:$B$78,2,FALSE)+VLOOKUP(P$3,'Embedded Emissions'!$A$129:$B$158,2,FALSE)), $C23 = "3", 'Inputs-System'!$C$30*'Coincidence Factors'!$B$5*(1+'Inputs-System'!$C$18)*(1+'Inputs-System'!$C$41)*'Inputs-Proposals'!$F$29*'Inputs-Proposals'!$F$31*(1-'Inputs-Proposals'!$F$20)*(VLOOKUP(P$3,'Embedded Emissions'!$A$47:$B$78,2,FALSE)+VLOOKUP(P$3,'Embedded Emissions'!$A$129:$B$158,2,FALSE)), $C23 = "0", 0), 0)</f>
        <v>0</v>
      </c>
      <c r="R23" s="100">
        <f>IFERROR(_xlfn.IFS($C23="1",( 'Inputs-System'!$C$30*'Coincidence Factors'!$B$5*(1+'Inputs-System'!$C$18)*(1+'Inputs-System'!$C$41))*('Inputs-Proposals'!$F$17*'Inputs-Proposals'!$F$19*(1-'Inputs-Proposals'!$F$20))*(VLOOKUP(P$3,DRIPE!$A$54:$I$82,5,FALSE)-VLOOKUP(P$3,DRIPE!$A$54:$I$82,6,FALSE)+VLOOKUP(P$3,DRIPE!$A$54:$I$82,9,FALSE))+ ('Inputs-System'!$C$26*'Coincidence Factors'!$B$5*(1+'Inputs-System'!$C$18)*(1+'Inputs-System'!$C$42))*'Inputs-Proposals'!$F$16*VLOOKUP(P$3,DRIPE!$A$54:$I$80,8,FALSE), $C23 = "2",( 'Inputs-System'!$C$30*'Coincidence Factors'!$B$5*(1+'Inputs-System'!$C$18)*(1+'Inputs-System'!$C$41))*('Inputs-Proposals'!$F$23*'Inputs-Proposals'!$F$25*(1-'Inputs-Proposals'!$F$26))*(VLOOKUP(P$3,DRIPE!$A$54:$I$82,5,FALSE)-VLOOKUP(P$3,DRIPE!$A$54:$I$82,6,FALSE)+VLOOKUP(P$3,DRIPE!$A$54:$I$82,9,FALSE))+ ('Inputs-System'!$C$26*'Coincidence Factors'!$B$5*(1+'Inputs-System'!$C$18)*(1+'Inputs-System'!$C$41))+ ('Inputs-System'!$C$26*'Coincidence Factors'!$B$5)*'Inputs-Proposals'!$F$22*VLOOKUP(P$3,DRIPE!$A$54:$I$80,8,FALSE), $C23= "3", ('Inputs-System'!$C$30*'Coincidence Factors'!$B$5)*('Inputs-Proposals'!$F$29*'Inputs-Proposals'!$F$31*(1-'Inputs-Proposals'!$F$32))*(VLOOKUP(P$3,DRIPE!$A$54:$I$80,5,FALSE)-VLOOKUP(P$3,DRIPE!$A$54:$I$80,6,FALSE)+VLOOKUP(P$3,DRIPE!$A$54:$I$80,9,FALSE))+ ('Inputs-System'!$C$26*'Coincidence Factors'!$B$5*(1+'Inputs-System'!$C$18)*(1+'Inputs-System'!$C$42))*'Inputs-Proposals'!$F$28*VLOOKUP(P$3,DRIPE!$A$54:$I$80,8,FALSE), $C23 = "0", 0), 0)</f>
        <v>0</v>
      </c>
      <c r="S23" s="345">
        <f>IFERROR(_xlfn.IFS($C23="1",('Inputs-System'!$C$26*'Coincidence Factors'!$B$5*(1+'Inputs-System'!$C$18)*(1+'Inputs-System'!$C$42))*'Inputs-Proposals'!$F$16*(VLOOKUP(P$3,Capacity!$A$53:$E$85,4,FALSE)*(1+'Inputs-System'!$C$42)+VLOOKUP(P$3,Capacity!$A$53:$E$85,5,FALSE)*(1+'Inputs-System'!$C$43)*'Inputs-System'!$C$29), $C23 = "2", ('Inputs-System'!$C$26*'Coincidence Factors'!$B$5*(1+'Inputs-System'!$C$18))*'Inputs-Proposals'!$F$22*(VLOOKUP(P$3,Capacity!$A$53:$E$85,4,FALSE)*(1+'Inputs-System'!$C$42)+VLOOKUP(P$3,Capacity!$A$53:$E$85,5,FALSE)*'Inputs-System'!$C$29*(1+'Inputs-System'!$C$43)), $C23 = "3", ('Inputs-System'!$C$26*'Coincidence Factors'!$B$5*(1+'Inputs-System'!$C$18))*'Inputs-Proposals'!$F$28*(VLOOKUP(P$3,Capacity!$A$53:$E$85,4,FALSE)*(1+'Inputs-System'!$C$42)+VLOOKUP(P$3,Capacity!$A$53:$E$85,5,FALSE)*'Inputs-System'!$C$29*(1+'Inputs-System'!$C$43)), $C23 = "0", 0), 0)</f>
        <v>0</v>
      </c>
      <c r="T23" s="100">
        <v>0</v>
      </c>
      <c r="U23" s="346">
        <f>IFERROR(_xlfn.IFS($C23="1", 'Inputs-System'!$C$30*'Coincidence Factors'!$B$5*'Inputs-Proposals'!$F$17*'Inputs-Proposals'!$F$19*(VLOOKUP(P$3,'Non-Embedded Emissions'!$A$56:$D$90,2,FALSE)+VLOOKUP(P$3,'Non-Embedded Emissions'!$A$143:$D$174,2,FALSE)+VLOOKUP(P$3,'Non-Embedded Emissions'!$A$230:$D$259,2,FALSE)-VLOOKUP(P$3,'Non-Embedded Emissions'!$A$56:$D$90,3,FALSE)-VLOOKUP(P$3,'Non-Embedded Emissions'!$A$143:$D$174,3,FALSE)-VLOOKUP(P$3,'Non-Embedded Emissions'!$A$230:$D$259,3,FALSE)), $C23 = "2", 'Inputs-System'!$C$30*'Coincidence Factors'!$B$5*'Inputs-Proposals'!$F$23*'Inputs-Proposals'!$F$25*(VLOOKUP(P$3,'Non-Embedded Emissions'!$A$56:$D$90,2,FALSE)+VLOOKUP(P$3,'Non-Embedded Emissions'!$A$143:$D$174,2,FALSE)+VLOOKUP(P$3,'Non-Embedded Emissions'!$A$230:$D$259,2,FALSE)-VLOOKUP(P$3,'Non-Embedded Emissions'!$A$56:$D$90,3,FALSE)-VLOOKUP(P$3,'Non-Embedded Emissions'!$A$143:$D$174,3,FALSE)-VLOOKUP(P$3,'Non-Embedded Emissions'!$A$230:$D$259,3,FALSE)), $C23 = "3", 'Inputs-System'!$C$30*'Coincidence Factors'!$B$5*'Inputs-Proposals'!$F$29*'Inputs-Proposals'!$F$31*(VLOOKUP(P$3,'Non-Embedded Emissions'!$A$56:$D$90,2,FALSE)+VLOOKUP(P$3,'Non-Embedded Emissions'!$A$143:$D$174,2,FALSE)+VLOOKUP(P$3,'Non-Embedded Emissions'!$A$230:$D$259,2,FALSE)-VLOOKUP(P$3,'Non-Embedded Emissions'!$A$56:$D$90,3,FALSE)-VLOOKUP(P$3,'Non-Embedded Emissions'!$A$143:$D$174,3,FALSE)-VLOOKUP(P$3,'Non-Embedded Emissions'!$A$230:$D$259,3,FALSE)), $C23 = "0", 0), 0)</f>
        <v>0</v>
      </c>
      <c r="V23" s="345">
        <f>IFERROR(_xlfn.IFS($C23="1",('Inputs-System'!$C$30*'Coincidence Factors'!$B$5*(1+'Inputs-System'!$C$18)*(1+'Inputs-System'!$C$41)*('Inputs-Proposals'!$F$17*'Inputs-Proposals'!$F$19*(1-'Inputs-Proposals'!$F$20))*(VLOOKUP(V$3,Energy!$A$51:$K$83,5,FALSE)-VLOOKUP(V$3,Energy!$A$51:$K$83,6,FALSE))), $C23 = "2",('Inputs-System'!$C$30*'Coincidence Factors'!$B$5)*(1+'Inputs-System'!$C$18)*(1+'Inputs-System'!$C$41)*('Inputs-Proposals'!$F$23*'Inputs-Proposals'!$F$25*(1-'Inputs-Proposals'!$F$26))*(VLOOKUP(V$3,Energy!$A$51:$K$83,5,FALSE)-VLOOKUP(V$3,Energy!$A$51:$K$83,6,FALSE)), $C23= "3", ('Inputs-System'!$C$30*'Coincidence Factors'!$B$5*(1+'Inputs-System'!$C$18)*(1+'Inputs-System'!$C$41)*('Inputs-Proposals'!$F$29*'Inputs-Proposals'!$F$31*(1-'Inputs-Proposals'!$F$32))*(VLOOKUP(V$3,Energy!$A$51:$K$83,5,FALSE)-VLOOKUP(V$3,Energy!$A$51:$K$83,6,FALSE))), $C23= "0", 0), 0)</f>
        <v>0</v>
      </c>
      <c r="W23" s="100">
        <f>IFERROR(_xlfn.IFS($C23="1", 'Inputs-System'!$C$30*'Coincidence Factors'!$B$5*(1+'Inputs-System'!$C$18)*(1+'Inputs-System'!$C$41)*'Inputs-Proposals'!$F$17*'Inputs-Proposals'!$F$19*(1-'Inputs-Proposals'!$F$20)*(VLOOKUP(V$3,'Embedded Emissions'!$A$47:$B$78,2,FALSE)+VLOOKUP(V$3,'Embedded Emissions'!$A$129:$B$158,2,FALSE)), $C23 = "2",'Inputs-System'!$C$30*'Coincidence Factors'!$B$5*(1+'Inputs-System'!$C$18)*(1+'Inputs-System'!$C$41)*'Inputs-Proposals'!$F$23*'Inputs-Proposals'!$F$25*(1-'Inputs-Proposals'!$F$20)*(VLOOKUP(V$3,'Embedded Emissions'!$A$47:$B$78,2,FALSE)+VLOOKUP(V$3,'Embedded Emissions'!$A$129:$B$158,2,FALSE)), $C23 = "3", 'Inputs-System'!$C$30*'Coincidence Factors'!$B$5*(1+'Inputs-System'!$C$18)*(1+'Inputs-System'!$C$41)*'Inputs-Proposals'!$F$29*'Inputs-Proposals'!$F$31*(1-'Inputs-Proposals'!$F$20)*(VLOOKUP(V$3,'Embedded Emissions'!$A$47:$B$78,2,FALSE)+VLOOKUP(V$3,'Embedded Emissions'!$A$129:$B$158,2,FALSE)), $C23 = "0", 0), 0)</f>
        <v>0</v>
      </c>
      <c r="X23" s="100">
        <f>IFERROR(_xlfn.IFS($C23="1",( 'Inputs-System'!$C$30*'Coincidence Factors'!$B$5*(1+'Inputs-System'!$C$18)*(1+'Inputs-System'!$C$41))*('Inputs-Proposals'!$F$17*'Inputs-Proposals'!$F$19*(1-'Inputs-Proposals'!$F$20))*(VLOOKUP(V$3,DRIPE!$A$54:$I$82,5,FALSE)-VLOOKUP(V$3,DRIPE!$A$54:$I$82,6,FALSE)+VLOOKUP(V$3,DRIPE!$A$54:$I$82,9,FALSE))+ ('Inputs-System'!$C$26*'Coincidence Factors'!$B$5*(1+'Inputs-System'!$C$18)*(1+'Inputs-System'!$C$42))*'Inputs-Proposals'!$F$16*VLOOKUP(V$3,DRIPE!$A$54:$I$80,8,FALSE), $C23 = "2",( 'Inputs-System'!$C$30*'Coincidence Factors'!$B$5*(1+'Inputs-System'!$C$18)*(1+'Inputs-System'!$C$41))*('Inputs-Proposals'!$F$23*'Inputs-Proposals'!$F$25*(1-'Inputs-Proposals'!$F$26))*(VLOOKUP(V$3,DRIPE!$A$54:$I$82,5,FALSE)-VLOOKUP(V$3,DRIPE!$A$54:$I$82,6,FALSE)+VLOOKUP(V$3,DRIPE!$A$54:$I$82,9,FALSE))+ ('Inputs-System'!$C$26*'Coincidence Factors'!$B$5*(1+'Inputs-System'!$C$18)*(1+'Inputs-System'!$C$41))+ ('Inputs-System'!$C$26*'Coincidence Factors'!$B$5)*'Inputs-Proposals'!$F$22*VLOOKUP(V$3,DRIPE!$A$54:$I$80,8,FALSE), $C23= "3", ('Inputs-System'!$C$30*'Coincidence Factors'!$B$5)*('Inputs-Proposals'!$F$29*'Inputs-Proposals'!$F$31*(1-'Inputs-Proposals'!$F$32))*(VLOOKUP(V$3,DRIPE!$A$54:$I$80,5,FALSE)-VLOOKUP(V$3,DRIPE!$A$54:$I$80,6,FALSE)+VLOOKUP(V$3,DRIPE!$A$54:$I$80,9,FALSE))+ ('Inputs-System'!$C$26*'Coincidence Factors'!$B$5*(1+'Inputs-System'!$C$18)*(1+'Inputs-System'!$C$42))*'Inputs-Proposals'!$F$28*VLOOKUP(V$3,DRIPE!$A$54:$I$80,8,FALSE), $C23 = "0", 0), 0)</f>
        <v>0</v>
      </c>
      <c r="Y23" s="345">
        <f>IFERROR(_xlfn.IFS($C23="1",('Inputs-System'!$C$26*'Coincidence Factors'!$B$5*(1+'Inputs-System'!$C$18)*(1+'Inputs-System'!$C$42))*'Inputs-Proposals'!$F$16*(VLOOKUP(V$3,Capacity!$A$53:$E$85,4,FALSE)*(1+'Inputs-System'!$C$42)+VLOOKUP(V$3,Capacity!$A$53:$E$85,5,FALSE)*(1+'Inputs-System'!$C$43)*'Inputs-System'!$C$29), $C23 = "2", ('Inputs-System'!$C$26*'Coincidence Factors'!$B$5*(1+'Inputs-System'!$C$18))*'Inputs-Proposals'!$F$22*(VLOOKUP(V$3,Capacity!$A$53:$E$85,4,FALSE)*(1+'Inputs-System'!$C$42)+VLOOKUP(V$3,Capacity!$A$53:$E$85,5,FALSE)*'Inputs-System'!$C$29*(1+'Inputs-System'!$C$43)), $C23 = "3", ('Inputs-System'!$C$26*'Coincidence Factors'!$B$5*(1+'Inputs-System'!$C$18))*'Inputs-Proposals'!$F$28*(VLOOKUP(V$3,Capacity!$A$53:$E$85,4,FALSE)*(1+'Inputs-System'!$C$42)+VLOOKUP(V$3,Capacity!$A$53:$E$85,5,FALSE)*'Inputs-System'!$C$29*(1+'Inputs-System'!$C$43)), $C23 = "0", 0), 0)</f>
        <v>0</v>
      </c>
      <c r="Z23" s="100">
        <v>0</v>
      </c>
      <c r="AA23" s="346">
        <f>IFERROR(_xlfn.IFS($C23="1", 'Inputs-System'!$C$30*'Coincidence Factors'!$B$5*'Inputs-Proposals'!$F$17*'Inputs-Proposals'!$F$19*(VLOOKUP(V$3,'Non-Embedded Emissions'!$A$56:$D$90,2,FALSE)+VLOOKUP(V$3,'Non-Embedded Emissions'!$A$143:$D$174,2,FALSE)+VLOOKUP(V$3,'Non-Embedded Emissions'!$A$230:$D$259,2,FALSE)-VLOOKUP(V$3,'Non-Embedded Emissions'!$A$56:$D$90,3,FALSE)-VLOOKUP(V$3,'Non-Embedded Emissions'!$A$143:$D$174,3,FALSE)-VLOOKUP(V$3,'Non-Embedded Emissions'!$A$230:$D$259,3,FALSE)), $C23 = "2", 'Inputs-System'!$C$30*'Coincidence Factors'!$B$5*'Inputs-Proposals'!$F$23*'Inputs-Proposals'!$F$25*(VLOOKUP(V$3,'Non-Embedded Emissions'!$A$56:$D$90,2,FALSE)+VLOOKUP(V$3,'Non-Embedded Emissions'!$A$143:$D$174,2,FALSE)+VLOOKUP(V$3,'Non-Embedded Emissions'!$A$230:$D$259,2,FALSE)-VLOOKUP(V$3,'Non-Embedded Emissions'!$A$56:$D$90,3,FALSE)-VLOOKUP(V$3,'Non-Embedded Emissions'!$A$143:$D$174,3,FALSE)-VLOOKUP(V$3,'Non-Embedded Emissions'!$A$230:$D$259,3,FALSE)), $C23 = "3", 'Inputs-System'!$C$30*'Coincidence Factors'!$B$5*'Inputs-Proposals'!$F$29*'Inputs-Proposals'!$F$31*(VLOOKUP(V$3,'Non-Embedded Emissions'!$A$56:$D$90,2,FALSE)+VLOOKUP(V$3,'Non-Embedded Emissions'!$A$143:$D$174,2,FALSE)+VLOOKUP(V$3,'Non-Embedded Emissions'!$A$230:$D$259,2,FALSE)-VLOOKUP(V$3,'Non-Embedded Emissions'!$A$56:$D$90,3,FALSE)-VLOOKUP(V$3,'Non-Embedded Emissions'!$A$143:$D$174,3,FALSE)-VLOOKUP(V$3,'Non-Embedded Emissions'!$A$230:$D$259,3,FALSE)), $C23 = "0", 0), 0)</f>
        <v>0</v>
      </c>
      <c r="AB23" s="345">
        <f>IFERROR(_xlfn.IFS($C23="1",('Inputs-System'!$C$30*'Coincidence Factors'!$B$5*(1+'Inputs-System'!$C$18)*(1+'Inputs-System'!$C$41)*('Inputs-Proposals'!$F$17*'Inputs-Proposals'!$F$19*(1-'Inputs-Proposals'!$F$20))*(VLOOKUP(AB$3,Energy!$A$51:$K$83,5,FALSE)-VLOOKUP(AB$3,Energy!$A$51:$K$83,6,FALSE))), $C23 = "2",('Inputs-System'!$C$30*'Coincidence Factors'!$B$5)*(1+'Inputs-System'!$C$18)*(1+'Inputs-System'!$C$41)*('Inputs-Proposals'!$F$23*'Inputs-Proposals'!$F$25*(1-'Inputs-Proposals'!$F$26))*(VLOOKUP(AB$3,Energy!$A$51:$K$83,5,FALSE)-VLOOKUP(AB$3,Energy!$A$51:$K$83,6,FALSE)), $C23= "3", ('Inputs-System'!$C$30*'Coincidence Factors'!$B$5*(1+'Inputs-System'!$C$18)*(1+'Inputs-System'!$C$41)*('Inputs-Proposals'!$F$29*'Inputs-Proposals'!$F$31*(1-'Inputs-Proposals'!$F$32))*(VLOOKUP(AB$3,Energy!$A$51:$K$83,5,FALSE)-VLOOKUP(AB$3,Energy!$A$51:$K$83,6,FALSE))), $C23= "0", 0), 0)</f>
        <v>0</v>
      </c>
      <c r="AC23" s="100">
        <f>IFERROR(_xlfn.IFS($C23="1", 'Inputs-System'!$C$30*'Coincidence Factors'!$B$5*(1+'Inputs-System'!$C$18)*(1+'Inputs-System'!$C$41)*'Inputs-Proposals'!$F$17*'Inputs-Proposals'!$F$19*(1-'Inputs-Proposals'!$F$20)*(VLOOKUP(AB$3,'Embedded Emissions'!$A$47:$B$78,2,FALSE)+VLOOKUP(AB$3,'Embedded Emissions'!$A$129:$B$158,2,FALSE)), $C23 = "2",'Inputs-System'!$C$30*'Coincidence Factors'!$B$5*(1+'Inputs-System'!$C$18)*(1+'Inputs-System'!$C$41)*'Inputs-Proposals'!$F$23*'Inputs-Proposals'!$F$25*(1-'Inputs-Proposals'!$F$20)*(VLOOKUP(AB$3,'Embedded Emissions'!$A$47:$B$78,2,FALSE)+VLOOKUP(AB$3,'Embedded Emissions'!$A$129:$B$158,2,FALSE)), $C23 = "3", 'Inputs-System'!$C$30*'Coincidence Factors'!$B$5*(1+'Inputs-System'!$C$18)*(1+'Inputs-System'!$C$41)*'Inputs-Proposals'!$F$29*'Inputs-Proposals'!$F$31*(1-'Inputs-Proposals'!$F$20)*(VLOOKUP(AB$3,'Embedded Emissions'!$A$47:$B$78,2,FALSE)+VLOOKUP(AB$3,'Embedded Emissions'!$A$129:$B$158,2,FALSE)), $C23 = "0", 0), 0)</f>
        <v>0</v>
      </c>
      <c r="AD23" s="100">
        <f>IFERROR(_xlfn.IFS($C23="1",( 'Inputs-System'!$C$30*'Coincidence Factors'!$B$5*(1+'Inputs-System'!$C$18)*(1+'Inputs-System'!$C$41))*('Inputs-Proposals'!$F$17*'Inputs-Proposals'!$F$19*(1-'Inputs-Proposals'!$F$20))*(VLOOKUP(AB$3,DRIPE!$A$54:$I$82,5,FALSE)-VLOOKUP(AB$3,DRIPE!$A$54:$I$82,6,FALSE)+VLOOKUP(AB$3,DRIPE!$A$54:$I$82,9,FALSE))+ ('Inputs-System'!$C$26*'Coincidence Factors'!$B$5*(1+'Inputs-System'!$C$18)*(1+'Inputs-System'!$C$42))*'Inputs-Proposals'!$F$16*VLOOKUP(AB$3,DRIPE!$A$54:$I$80,8,FALSE), $C23 = "2",( 'Inputs-System'!$C$30*'Coincidence Factors'!$B$5*(1+'Inputs-System'!$C$18)*(1+'Inputs-System'!$C$41))*('Inputs-Proposals'!$F$23*'Inputs-Proposals'!$F$25*(1-'Inputs-Proposals'!$F$26))*(VLOOKUP(AB$3,DRIPE!$A$54:$I$82,5,FALSE)-VLOOKUP(AB$3,DRIPE!$A$54:$I$82,6,FALSE)+VLOOKUP(AB$3,DRIPE!$A$54:$I$82,9,FALSE))+ ('Inputs-System'!$C$26*'Coincidence Factors'!$B$5*(1+'Inputs-System'!$C$18)*(1+'Inputs-System'!$C$41))+ ('Inputs-System'!$C$26*'Coincidence Factors'!$B$5)*'Inputs-Proposals'!$F$22*VLOOKUP(AB$3,DRIPE!$A$54:$I$80,8,FALSE), $C23= "3", ('Inputs-System'!$C$30*'Coincidence Factors'!$B$5)*('Inputs-Proposals'!$F$29*'Inputs-Proposals'!$F$31*(1-'Inputs-Proposals'!$F$32))*(VLOOKUP(AB$3,DRIPE!$A$54:$I$80,5,FALSE)-VLOOKUP(AB$3,DRIPE!$A$54:$I$80,6,FALSE)+VLOOKUP(AB$3,DRIPE!$A$54:$I$80,9,FALSE))+ ('Inputs-System'!$C$26*'Coincidence Factors'!$B$5*(1+'Inputs-System'!$C$18)*(1+'Inputs-System'!$C$42))*'Inputs-Proposals'!$F$28*VLOOKUP(AB$3,DRIPE!$A$54:$I$80,8,FALSE), $C23 = "0", 0), 0)</f>
        <v>0</v>
      </c>
      <c r="AE23" s="345">
        <f>IFERROR(_xlfn.IFS($C23="1",('Inputs-System'!$C$26*'Coincidence Factors'!$B$5*(1+'Inputs-System'!$C$18)*(1+'Inputs-System'!$C$42))*'Inputs-Proposals'!$F$16*(VLOOKUP(AB$3,Capacity!$A$53:$E$85,4,FALSE)*(1+'Inputs-System'!$C$42)+VLOOKUP(AB$3,Capacity!$A$53:$E$85,5,FALSE)*(1+'Inputs-System'!$C$43)*'Inputs-System'!$C$29), $C23 = "2", ('Inputs-System'!$C$26*'Coincidence Factors'!$B$5*(1+'Inputs-System'!$C$18))*'Inputs-Proposals'!$F$22*(VLOOKUP(AB$3,Capacity!$A$53:$E$85,4,FALSE)*(1+'Inputs-System'!$C$42)+VLOOKUP(AB$3,Capacity!$A$53:$E$85,5,FALSE)*'Inputs-System'!$C$29*(1+'Inputs-System'!$C$43)), $C23 = "3", ('Inputs-System'!$C$26*'Coincidence Factors'!$B$5*(1+'Inputs-System'!$C$18))*'Inputs-Proposals'!$F$28*(VLOOKUP(AB$3,Capacity!$A$53:$E$85,4,FALSE)*(1+'Inputs-System'!$C$42)+VLOOKUP(AB$3,Capacity!$A$53:$E$85,5,FALSE)*'Inputs-System'!$C$29*(1+'Inputs-System'!$C$43)), $C23 = "0", 0), 0)</f>
        <v>0</v>
      </c>
      <c r="AF23" s="100">
        <v>0</v>
      </c>
      <c r="AG23" s="346">
        <f>IFERROR(_xlfn.IFS($C23="1", 'Inputs-System'!$C$30*'Coincidence Factors'!$B$5*'Inputs-Proposals'!$F$17*'Inputs-Proposals'!$F$19*(VLOOKUP(AB$3,'Non-Embedded Emissions'!$A$56:$D$90,2,FALSE)+VLOOKUP(AB$3,'Non-Embedded Emissions'!$A$143:$D$174,2,FALSE)+VLOOKUP(AB$3,'Non-Embedded Emissions'!$A$230:$D$259,2,FALSE)-VLOOKUP(AB$3,'Non-Embedded Emissions'!$A$56:$D$90,3,FALSE)-VLOOKUP(AB$3,'Non-Embedded Emissions'!$A$143:$D$174,3,FALSE)-VLOOKUP(AB$3,'Non-Embedded Emissions'!$A$230:$D$259,3,FALSE)), $C23 = "2", 'Inputs-System'!$C$30*'Coincidence Factors'!$B$5*'Inputs-Proposals'!$F$23*'Inputs-Proposals'!$F$25*(VLOOKUP(AB$3,'Non-Embedded Emissions'!$A$56:$D$90,2,FALSE)+VLOOKUP(AB$3,'Non-Embedded Emissions'!$A$143:$D$174,2,FALSE)+VLOOKUP(AB$3,'Non-Embedded Emissions'!$A$230:$D$259,2,FALSE)-VLOOKUP(AB$3,'Non-Embedded Emissions'!$A$56:$D$90,3,FALSE)-VLOOKUP(AB$3,'Non-Embedded Emissions'!$A$143:$D$174,3,FALSE)-VLOOKUP(AB$3,'Non-Embedded Emissions'!$A$230:$D$259,3,FALSE)), $C23 = "3", 'Inputs-System'!$C$30*'Coincidence Factors'!$B$5*'Inputs-Proposals'!$F$29*'Inputs-Proposals'!$F$31*(VLOOKUP(AB$3,'Non-Embedded Emissions'!$A$56:$D$90,2,FALSE)+VLOOKUP(AB$3,'Non-Embedded Emissions'!$A$143:$D$174,2,FALSE)+VLOOKUP(AB$3,'Non-Embedded Emissions'!$A$230:$D$259,2,FALSE)-VLOOKUP(AB$3,'Non-Embedded Emissions'!$A$56:$D$90,3,FALSE)-VLOOKUP(AB$3,'Non-Embedded Emissions'!$A$143:$D$174,3,FALSE)-VLOOKUP(AB$3,'Non-Embedded Emissions'!$A$230:$D$259,3,FALSE)), $C23 = "0", 0), 0)</f>
        <v>0</v>
      </c>
      <c r="AH23" s="345">
        <f>IFERROR(_xlfn.IFS($C23="1",('Inputs-System'!$C$30*'Coincidence Factors'!$B$5*(1+'Inputs-System'!$C$18)*(1+'Inputs-System'!$C$41)*('Inputs-Proposals'!$F$17*'Inputs-Proposals'!$F$19*(1-'Inputs-Proposals'!$F$20))*(VLOOKUP(AH$3,Energy!$A$51:$K$83,5,FALSE)-VLOOKUP(AH$3,Energy!$A$51:$K$83,6,FALSE))), $C23 = "2",('Inputs-System'!$C$30*'Coincidence Factors'!$B$5)*(1+'Inputs-System'!$C$18)*(1+'Inputs-System'!$C$41)*('Inputs-Proposals'!$F$23*'Inputs-Proposals'!$F$25*(1-'Inputs-Proposals'!$F$26))*(VLOOKUP(AH$3,Energy!$A$51:$K$83,5,FALSE)-VLOOKUP(AH$3,Energy!$A$51:$K$83,6,FALSE)), $C23= "3", ('Inputs-System'!$C$30*'Coincidence Factors'!$B$5*(1+'Inputs-System'!$C$18)*(1+'Inputs-System'!$C$41)*('Inputs-Proposals'!$F$29*'Inputs-Proposals'!$F$31*(1-'Inputs-Proposals'!$F$32))*(VLOOKUP(AH$3,Energy!$A$51:$K$83,5,FALSE)-VLOOKUP(AH$3,Energy!$A$51:$K$83,6,FALSE))), $C23= "0", 0), 0)</f>
        <v>0</v>
      </c>
      <c r="AI23" s="100">
        <f>IFERROR(_xlfn.IFS($C23="1", 'Inputs-System'!$C$30*'Coincidence Factors'!$B$5*(1+'Inputs-System'!$C$18)*(1+'Inputs-System'!$C$41)*'Inputs-Proposals'!$F$17*'Inputs-Proposals'!$F$19*(1-'Inputs-Proposals'!$F$20)*(VLOOKUP(AH$3,'Embedded Emissions'!$A$47:$B$78,2,FALSE)+VLOOKUP(AH$3,'Embedded Emissions'!$A$129:$B$158,2,FALSE)), $C23 = "2",'Inputs-System'!$C$30*'Coincidence Factors'!$B$5*(1+'Inputs-System'!$C$18)*(1+'Inputs-System'!$C$41)*'Inputs-Proposals'!$F$23*'Inputs-Proposals'!$F$25*(1-'Inputs-Proposals'!$F$20)*(VLOOKUP(AH$3,'Embedded Emissions'!$A$47:$B$78,2,FALSE)+VLOOKUP(AH$3,'Embedded Emissions'!$A$129:$B$158,2,FALSE)), $C23 = "3", 'Inputs-System'!$C$30*'Coincidence Factors'!$B$5*(1+'Inputs-System'!$C$18)*(1+'Inputs-System'!$C$41)*'Inputs-Proposals'!$F$29*'Inputs-Proposals'!$F$31*(1-'Inputs-Proposals'!$F$20)*(VLOOKUP(AH$3,'Embedded Emissions'!$A$47:$B$78,2,FALSE)+VLOOKUP(AH$3,'Embedded Emissions'!$A$129:$B$158,2,FALSE)), $C23 = "0", 0), 0)</f>
        <v>0</v>
      </c>
      <c r="AJ23" s="100">
        <f>IFERROR(_xlfn.IFS($C23="1",( 'Inputs-System'!$C$30*'Coincidence Factors'!$B$5*(1+'Inputs-System'!$C$18)*(1+'Inputs-System'!$C$41))*('Inputs-Proposals'!$F$17*'Inputs-Proposals'!$F$19*(1-'Inputs-Proposals'!$F$20))*(VLOOKUP(AH$3,DRIPE!$A$54:$I$82,5,FALSE)-VLOOKUP(AH$3,DRIPE!$A$54:$I$82,6,FALSE)+VLOOKUP(AH$3,DRIPE!$A$54:$I$82,9,FALSE))+ ('Inputs-System'!$C$26*'Coincidence Factors'!$B$5*(1+'Inputs-System'!$C$18)*(1+'Inputs-System'!$C$42))*'Inputs-Proposals'!$F$16*VLOOKUP(AH$3,DRIPE!$A$54:$I$80,8,FALSE), $C23 = "2",( 'Inputs-System'!$C$30*'Coincidence Factors'!$B$5*(1+'Inputs-System'!$C$18)*(1+'Inputs-System'!$C$41))*('Inputs-Proposals'!$F$23*'Inputs-Proposals'!$F$25*(1-'Inputs-Proposals'!$F$26))*(VLOOKUP(AH$3,DRIPE!$A$54:$I$82,5,FALSE)-VLOOKUP(AH$3,DRIPE!$A$54:$I$82,6,FALSE)+VLOOKUP(AH$3,DRIPE!$A$54:$I$82,9,FALSE))+ ('Inputs-System'!$C$26*'Coincidence Factors'!$B$5*(1+'Inputs-System'!$C$18)*(1+'Inputs-System'!$C$41))+ ('Inputs-System'!$C$26*'Coincidence Factors'!$B$5)*'Inputs-Proposals'!$F$22*VLOOKUP(AH$3,DRIPE!$A$54:$I$80,8,FALSE), $C23= "3", ('Inputs-System'!$C$30*'Coincidence Factors'!$B$5)*('Inputs-Proposals'!$F$29*'Inputs-Proposals'!$F$31*(1-'Inputs-Proposals'!$F$32))*(VLOOKUP(AH$3,DRIPE!$A$54:$I$80,5,FALSE)-VLOOKUP(AH$3,DRIPE!$A$54:$I$80,6,FALSE)+VLOOKUP(AH$3,DRIPE!$A$54:$I$80,9,FALSE))+ ('Inputs-System'!$C$26*'Coincidence Factors'!$B$5*(1+'Inputs-System'!$C$18)*(1+'Inputs-System'!$C$42))*'Inputs-Proposals'!$F$28*VLOOKUP(AH$3,DRIPE!$A$54:$I$80,8,FALSE), $C23 = "0", 0), 0)</f>
        <v>0</v>
      </c>
      <c r="AK23" s="345">
        <f>IFERROR(_xlfn.IFS($C23="1",('Inputs-System'!$C$26*'Coincidence Factors'!$B$5*(1+'Inputs-System'!$C$18)*(1+'Inputs-System'!$C$42))*'Inputs-Proposals'!$F$16*(VLOOKUP(AH$3,Capacity!$A$53:$E$85,4,FALSE)*(1+'Inputs-System'!$C$42)+VLOOKUP(AH$3,Capacity!$A$53:$E$85,5,FALSE)*(1+'Inputs-System'!$C$43)*'Inputs-System'!$C$29), $C23 = "2", ('Inputs-System'!$C$26*'Coincidence Factors'!$B$5*(1+'Inputs-System'!$C$18))*'Inputs-Proposals'!$F$22*(VLOOKUP(AH$3,Capacity!$A$53:$E$85,4,FALSE)*(1+'Inputs-System'!$C$42)+VLOOKUP(AH$3,Capacity!$A$53:$E$85,5,FALSE)*'Inputs-System'!$C$29*(1+'Inputs-System'!$C$43)), $C23 = "3", ('Inputs-System'!$C$26*'Coincidence Factors'!$B$5*(1+'Inputs-System'!$C$18))*'Inputs-Proposals'!$F$28*(VLOOKUP(AH$3,Capacity!$A$53:$E$85,4,FALSE)*(1+'Inputs-System'!$C$42)+VLOOKUP(AH$3,Capacity!$A$53:$E$85,5,FALSE)*'Inputs-System'!$C$29*(1+'Inputs-System'!$C$43)), $C23 = "0", 0), 0)</f>
        <v>0</v>
      </c>
      <c r="AL23" s="100">
        <v>0</v>
      </c>
      <c r="AM23" s="346">
        <f>IFERROR(_xlfn.IFS($C23="1", 'Inputs-System'!$C$30*'Coincidence Factors'!$B$5*'Inputs-Proposals'!$F$17*'Inputs-Proposals'!$F$19*(VLOOKUP(AH$3,'Non-Embedded Emissions'!$A$56:$D$90,2,FALSE)+VLOOKUP(AH$3,'Non-Embedded Emissions'!$A$143:$D$174,2,FALSE)+VLOOKUP(AH$3,'Non-Embedded Emissions'!$A$230:$D$259,2,FALSE)-VLOOKUP(AH$3,'Non-Embedded Emissions'!$A$56:$D$90,3,FALSE)-VLOOKUP(AH$3,'Non-Embedded Emissions'!$A$143:$D$174,3,FALSE)-VLOOKUP(AH$3,'Non-Embedded Emissions'!$A$230:$D$259,3,FALSE)), $C23 = "2", 'Inputs-System'!$C$30*'Coincidence Factors'!$B$5*'Inputs-Proposals'!$F$23*'Inputs-Proposals'!$F$25*(VLOOKUP(AH$3,'Non-Embedded Emissions'!$A$56:$D$90,2,FALSE)+VLOOKUP(AH$3,'Non-Embedded Emissions'!$A$143:$D$174,2,FALSE)+VLOOKUP(AH$3,'Non-Embedded Emissions'!$A$230:$D$259,2,FALSE)-VLOOKUP(AH$3,'Non-Embedded Emissions'!$A$56:$D$90,3,FALSE)-VLOOKUP(AH$3,'Non-Embedded Emissions'!$A$143:$D$174,3,FALSE)-VLOOKUP(AH$3,'Non-Embedded Emissions'!$A$230:$D$259,3,FALSE)), $C23 = "3", 'Inputs-System'!$C$30*'Coincidence Factors'!$B$5*'Inputs-Proposals'!$F$29*'Inputs-Proposals'!$F$31*(VLOOKUP(AH$3,'Non-Embedded Emissions'!$A$56:$D$90,2,FALSE)+VLOOKUP(AH$3,'Non-Embedded Emissions'!$A$143:$D$174,2,FALSE)+VLOOKUP(AH$3,'Non-Embedded Emissions'!$A$230:$D$259,2,FALSE)-VLOOKUP(AH$3,'Non-Embedded Emissions'!$A$56:$D$90,3,FALSE)-VLOOKUP(AH$3,'Non-Embedded Emissions'!$A$143:$D$174,3,FALSE)-VLOOKUP(AH$3,'Non-Embedded Emissions'!$A$230:$D$259,3,FALSE)), $C23 = "0", 0), 0)</f>
        <v>0</v>
      </c>
      <c r="AN23" s="345">
        <f>IFERROR(_xlfn.IFS($C23="1",('Inputs-System'!$C$30*'Coincidence Factors'!$B$5*(1+'Inputs-System'!$C$18)*(1+'Inputs-System'!$C$41)*('Inputs-Proposals'!$F$17*'Inputs-Proposals'!$F$19*(1-'Inputs-Proposals'!$F$20))*(VLOOKUP(AN$3,Energy!$A$51:$K$83,5,FALSE)-VLOOKUP(AN$3,Energy!$A$51:$K$83,6,FALSE))), $C23 = "2",('Inputs-System'!$C$30*'Coincidence Factors'!$B$5)*(1+'Inputs-System'!$C$18)*(1+'Inputs-System'!$C$41)*('Inputs-Proposals'!$F$23*'Inputs-Proposals'!$F$25*(1-'Inputs-Proposals'!$F$26))*(VLOOKUP(AN$3,Energy!$A$51:$K$83,5,FALSE)-VLOOKUP(AN$3,Energy!$A$51:$K$83,6,FALSE)), $C23= "3", ('Inputs-System'!$C$30*'Coincidence Factors'!$B$5*(1+'Inputs-System'!$C$18)*(1+'Inputs-System'!$C$41)*('Inputs-Proposals'!$F$29*'Inputs-Proposals'!$F$31*(1-'Inputs-Proposals'!$F$32))*(VLOOKUP(AN$3,Energy!$A$51:$K$83,5,FALSE)-VLOOKUP(AN$3,Energy!$A$51:$K$83,6,FALSE))), $C23= "0", 0), 0)</f>
        <v>0</v>
      </c>
      <c r="AO23" s="100">
        <f>IFERROR(_xlfn.IFS($C23="1", 'Inputs-System'!$C$30*'Coincidence Factors'!$B$5*(1+'Inputs-System'!$C$18)*(1+'Inputs-System'!$C$41)*'Inputs-Proposals'!$F$17*'Inputs-Proposals'!$F$19*(1-'Inputs-Proposals'!$F$20)*(VLOOKUP(AN$3,'Embedded Emissions'!$A$47:$B$78,2,FALSE)+VLOOKUP(AN$3,'Embedded Emissions'!$A$129:$B$158,2,FALSE)), $C23 = "2",'Inputs-System'!$C$30*'Coincidence Factors'!$B$5*(1+'Inputs-System'!$C$18)*(1+'Inputs-System'!$C$41)*'Inputs-Proposals'!$F$23*'Inputs-Proposals'!$F$25*(1-'Inputs-Proposals'!$F$20)*(VLOOKUP(AN$3,'Embedded Emissions'!$A$47:$B$78,2,FALSE)+VLOOKUP(AN$3,'Embedded Emissions'!$A$129:$B$158,2,FALSE)), $C23 = "3", 'Inputs-System'!$C$30*'Coincidence Factors'!$B$5*(1+'Inputs-System'!$C$18)*(1+'Inputs-System'!$C$41)*'Inputs-Proposals'!$F$29*'Inputs-Proposals'!$F$31*(1-'Inputs-Proposals'!$F$20)*(VLOOKUP(AN$3,'Embedded Emissions'!$A$47:$B$78,2,FALSE)+VLOOKUP(AN$3,'Embedded Emissions'!$A$129:$B$158,2,FALSE)), $C23 = "0", 0), 0)</f>
        <v>0</v>
      </c>
      <c r="AP23" s="100">
        <f>IFERROR(_xlfn.IFS($C23="1",( 'Inputs-System'!$C$30*'Coincidence Factors'!$B$5*(1+'Inputs-System'!$C$18)*(1+'Inputs-System'!$C$41))*('Inputs-Proposals'!$F$17*'Inputs-Proposals'!$F$19*(1-'Inputs-Proposals'!$F$20))*(VLOOKUP(AN$3,DRIPE!$A$54:$I$82,5,FALSE)-VLOOKUP(AN$3,DRIPE!$A$54:$I$82,6,FALSE)+VLOOKUP(AN$3,DRIPE!$A$54:$I$82,9,FALSE))+ ('Inputs-System'!$C$26*'Coincidence Factors'!$B$5*(1+'Inputs-System'!$C$18)*(1+'Inputs-System'!$C$42))*'Inputs-Proposals'!$F$16*VLOOKUP(AN$3,DRIPE!$A$54:$I$80,8,FALSE), $C23 = "2",( 'Inputs-System'!$C$30*'Coincidence Factors'!$B$5*(1+'Inputs-System'!$C$18)*(1+'Inputs-System'!$C$41))*('Inputs-Proposals'!$F$23*'Inputs-Proposals'!$F$25*(1-'Inputs-Proposals'!$F$26))*(VLOOKUP(AN$3,DRIPE!$A$54:$I$82,5,FALSE)-VLOOKUP(AN$3,DRIPE!$A$54:$I$82,6,FALSE)+VLOOKUP(AN$3,DRIPE!$A$54:$I$82,9,FALSE))+ ('Inputs-System'!$C$26*'Coincidence Factors'!$B$5*(1+'Inputs-System'!$C$18)*(1+'Inputs-System'!$C$41))+ ('Inputs-System'!$C$26*'Coincidence Factors'!$B$5)*'Inputs-Proposals'!$F$22*VLOOKUP(AN$3,DRIPE!$A$54:$I$80,8,FALSE), $C23= "3", ('Inputs-System'!$C$30*'Coincidence Factors'!$B$5)*('Inputs-Proposals'!$F$29*'Inputs-Proposals'!$F$31*(1-'Inputs-Proposals'!$F$32))*(VLOOKUP(AN$3,DRIPE!$A$54:$I$80,5,FALSE)-VLOOKUP(AN$3,DRIPE!$A$54:$I$80,6,FALSE)+VLOOKUP(AN$3,DRIPE!$A$54:$I$80,9,FALSE))+ ('Inputs-System'!$C$26*'Coincidence Factors'!$B$5*(1+'Inputs-System'!$C$18)*(1+'Inputs-System'!$C$42))*'Inputs-Proposals'!$F$28*VLOOKUP(AN$3,DRIPE!$A$54:$I$80,8,FALSE), $C23 = "0", 0), 0)</f>
        <v>0</v>
      </c>
      <c r="AQ23" s="345">
        <f>IFERROR(_xlfn.IFS($C23="1",('Inputs-System'!$C$26*'Coincidence Factors'!$B$5*(1+'Inputs-System'!$C$18)*(1+'Inputs-System'!$C$42))*'Inputs-Proposals'!$F$16*(VLOOKUP(AN$3,Capacity!$A$53:$E$85,4,FALSE)*(1+'Inputs-System'!$C$42)+VLOOKUP(AN$3,Capacity!$A$53:$E$85,5,FALSE)*(1+'Inputs-System'!$C$43)*'Inputs-System'!$C$29), $C23 = "2", ('Inputs-System'!$C$26*'Coincidence Factors'!$B$5*(1+'Inputs-System'!$C$18))*'Inputs-Proposals'!$F$22*(VLOOKUP(AN$3,Capacity!$A$53:$E$85,4,FALSE)*(1+'Inputs-System'!$C$42)+VLOOKUP(AN$3,Capacity!$A$53:$E$85,5,FALSE)*'Inputs-System'!$C$29*(1+'Inputs-System'!$C$43)), $C23 = "3", ('Inputs-System'!$C$26*'Coincidence Factors'!$B$5*(1+'Inputs-System'!$C$18))*'Inputs-Proposals'!$F$28*(VLOOKUP(AN$3,Capacity!$A$53:$E$85,4,FALSE)*(1+'Inputs-System'!$C$42)+VLOOKUP(AN$3,Capacity!$A$53:$E$85,5,FALSE)*'Inputs-System'!$C$29*(1+'Inputs-System'!$C$43)), $C23 = "0", 0), 0)</f>
        <v>0</v>
      </c>
      <c r="AR23" s="100">
        <v>0</v>
      </c>
      <c r="AS23" s="346">
        <f>IFERROR(_xlfn.IFS($C23="1", 'Inputs-System'!$C$30*'Coincidence Factors'!$B$5*'Inputs-Proposals'!$F$17*'Inputs-Proposals'!$F$19*(VLOOKUP(AN$3,'Non-Embedded Emissions'!$A$56:$D$90,2,FALSE)+VLOOKUP(AN$3,'Non-Embedded Emissions'!$A$143:$D$174,2,FALSE)+VLOOKUP(AN$3,'Non-Embedded Emissions'!$A$230:$D$259,2,FALSE)-VLOOKUP(AN$3,'Non-Embedded Emissions'!$A$56:$D$90,3,FALSE)-VLOOKUP(AN$3,'Non-Embedded Emissions'!$A$143:$D$174,3,FALSE)-VLOOKUP(AN$3,'Non-Embedded Emissions'!$A$230:$D$259,3,FALSE)), $C23 = "2", 'Inputs-System'!$C$30*'Coincidence Factors'!$B$5*'Inputs-Proposals'!$F$23*'Inputs-Proposals'!$F$25*(VLOOKUP(AN$3,'Non-Embedded Emissions'!$A$56:$D$90,2,FALSE)+VLOOKUP(AN$3,'Non-Embedded Emissions'!$A$143:$D$174,2,FALSE)+VLOOKUP(AN$3,'Non-Embedded Emissions'!$A$230:$D$259,2,FALSE)-VLOOKUP(AN$3,'Non-Embedded Emissions'!$A$56:$D$90,3,FALSE)-VLOOKUP(AN$3,'Non-Embedded Emissions'!$A$143:$D$174,3,FALSE)-VLOOKUP(AN$3,'Non-Embedded Emissions'!$A$230:$D$259,3,FALSE)), $C23 = "3", 'Inputs-System'!$C$30*'Coincidence Factors'!$B$5*'Inputs-Proposals'!$F$29*'Inputs-Proposals'!$F$31*(VLOOKUP(AN$3,'Non-Embedded Emissions'!$A$56:$D$90,2,FALSE)+VLOOKUP(AN$3,'Non-Embedded Emissions'!$A$143:$D$174,2,FALSE)+VLOOKUP(AN$3,'Non-Embedded Emissions'!$A$230:$D$259,2,FALSE)-VLOOKUP(AN$3,'Non-Embedded Emissions'!$A$56:$D$90,3,FALSE)-VLOOKUP(AN$3,'Non-Embedded Emissions'!$A$143:$D$174,3,FALSE)-VLOOKUP(AN$3,'Non-Embedded Emissions'!$A$230:$D$259,3,FALSE)), $C23 = "0", 0), 0)</f>
        <v>0</v>
      </c>
      <c r="AT23" s="345">
        <f>IFERROR(_xlfn.IFS($C23="1",('Inputs-System'!$C$30*'Coincidence Factors'!$B$5*(1+'Inputs-System'!$C$18)*(1+'Inputs-System'!$C$41)*('Inputs-Proposals'!$F$17*'Inputs-Proposals'!$F$19*(1-'Inputs-Proposals'!$F$20))*(VLOOKUP(AT$3,Energy!$A$51:$K$83,5,FALSE)-VLOOKUP(AT$3,Energy!$A$51:$K$83,6,FALSE))), $C23 = "2",('Inputs-System'!$C$30*'Coincidence Factors'!$B$5)*(1+'Inputs-System'!$C$18)*(1+'Inputs-System'!$C$41)*('Inputs-Proposals'!$F$23*'Inputs-Proposals'!$F$25*(1-'Inputs-Proposals'!$F$26))*(VLOOKUP(AT$3,Energy!$A$51:$K$83,5,FALSE)-VLOOKUP(AT$3,Energy!$A$51:$K$83,6,FALSE)), $C23= "3", ('Inputs-System'!$C$30*'Coincidence Factors'!$B$5*(1+'Inputs-System'!$C$18)*(1+'Inputs-System'!$C$41)*('Inputs-Proposals'!$F$29*'Inputs-Proposals'!$F$31*(1-'Inputs-Proposals'!$F$32))*(VLOOKUP(AT$3,Energy!$A$51:$K$83,5,FALSE)-VLOOKUP(AT$3,Energy!$A$51:$K$83,6,FALSE))), $C23= "0", 0), 0)</f>
        <v>0</v>
      </c>
      <c r="AU23" s="100">
        <f>IFERROR(_xlfn.IFS($C23="1", 'Inputs-System'!$C$30*'Coincidence Factors'!$B$5*(1+'Inputs-System'!$C$18)*(1+'Inputs-System'!$C$41)*'Inputs-Proposals'!$F$17*'Inputs-Proposals'!$F$19*(1-'Inputs-Proposals'!$F$20)*(VLOOKUP(AT$3,'Embedded Emissions'!$A$47:$B$78,2,FALSE)+VLOOKUP(AT$3,'Embedded Emissions'!$A$129:$B$158,2,FALSE)), $C23 = "2",'Inputs-System'!$C$30*'Coincidence Factors'!$B$5*(1+'Inputs-System'!$C$18)*(1+'Inputs-System'!$C$41)*'Inputs-Proposals'!$F$23*'Inputs-Proposals'!$F$25*(1-'Inputs-Proposals'!$F$20)*(VLOOKUP(AT$3,'Embedded Emissions'!$A$47:$B$78,2,FALSE)+VLOOKUP(AT$3,'Embedded Emissions'!$A$129:$B$158,2,FALSE)), $C23 = "3", 'Inputs-System'!$C$30*'Coincidence Factors'!$B$5*(1+'Inputs-System'!$C$18)*(1+'Inputs-System'!$C$41)*'Inputs-Proposals'!$F$29*'Inputs-Proposals'!$F$31*(1-'Inputs-Proposals'!$F$20)*(VLOOKUP(AT$3,'Embedded Emissions'!$A$47:$B$78,2,FALSE)+VLOOKUP(AT$3,'Embedded Emissions'!$A$129:$B$158,2,FALSE)), $C23 = "0", 0), 0)</f>
        <v>0</v>
      </c>
      <c r="AV23" s="100">
        <f>IFERROR(_xlfn.IFS($C23="1",( 'Inputs-System'!$C$30*'Coincidence Factors'!$B$5*(1+'Inputs-System'!$C$18)*(1+'Inputs-System'!$C$41))*('Inputs-Proposals'!$F$17*'Inputs-Proposals'!$F$19*(1-'Inputs-Proposals'!$F$20))*(VLOOKUP(AT$3,DRIPE!$A$54:$I$82,5,FALSE)-VLOOKUP(AT$3,DRIPE!$A$54:$I$82,6,FALSE)+VLOOKUP(AT$3,DRIPE!$A$54:$I$82,9,FALSE))+ ('Inputs-System'!$C$26*'Coincidence Factors'!$B$5*(1+'Inputs-System'!$C$18)*(1+'Inputs-System'!$C$42))*'Inputs-Proposals'!$F$16*VLOOKUP(AT$3,DRIPE!$A$54:$I$80,8,FALSE), $C23 = "2",( 'Inputs-System'!$C$30*'Coincidence Factors'!$B$5*(1+'Inputs-System'!$C$18)*(1+'Inputs-System'!$C$41))*('Inputs-Proposals'!$F$23*'Inputs-Proposals'!$F$25*(1-'Inputs-Proposals'!$F$26))*(VLOOKUP(AT$3,DRIPE!$A$54:$I$82,5,FALSE)-VLOOKUP(AT$3,DRIPE!$A$54:$I$82,6,FALSE)+VLOOKUP(AT$3,DRIPE!$A$54:$I$82,9,FALSE))+ ('Inputs-System'!$C$26*'Coincidence Factors'!$B$5*(1+'Inputs-System'!$C$18)*(1+'Inputs-System'!$C$41))+ ('Inputs-System'!$C$26*'Coincidence Factors'!$B$5)*'Inputs-Proposals'!$F$22*VLOOKUP(AT$3,DRIPE!$A$54:$I$80,8,FALSE), $C23= "3", ('Inputs-System'!$C$30*'Coincidence Factors'!$B$5)*('Inputs-Proposals'!$F$29*'Inputs-Proposals'!$F$31*(1-'Inputs-Proposals'!$F$32))*(VLOOKUP(AT$3,DRIPE!$A$54:$I$80,5,FALSE)-VLOOKUP(AT$3,DRIPE!$A$54:$I$80,6,FALSE)+VLOOKUP(AT$3,DRIPE!$A$54:$I$80,9,FALSE))+ ('Inputs-System'!$C$26*'Coincidence Factors'!$B$5*(1+'Inputs-System'!$C$18)*(1+'Inputs-System'!$C$42))*'Inputs-Proposals'!$F$28*VLOOKUP(AT$3,DRIPE!$A$54:$I$80,8,FALSE), $C23 = "0", 0), 0)</f>
        <v>0</v>
      </c>
      <c r="AW23" s="345">
        <f>IFERROR(_xlfn.IFS($C23="1",('Inputs-System'!$C$26*'Coincidence Factors'!$B$5*(1+'Inputs-System'!$C$18)*(1+'Inputs-System'!$C$42))*'Inputs-Proposals'!$F$16*(VLOOKUP(AT$3,Capacity!$A$53:$E$85,4,FALSE)*(1+'Inputs-System'!$C$42)+VLOOKUP(AT$3,Capacity!$A$53:$E$85,5,FALSE)*(1+'Inputs-System'!$C$43)*'Inputs-System'!$C$29), $C23 = "2", ('Inputs-System'!$C$26*'Coincidence Factors'!$B$5*(1+'Inputs-System'!$C$18))*'Inputs-Proposals'!$F$22*(VLOOKUP(AT$3,Capacity!$A$53:$E$85,4,FALSE)*(1+'Inputs-System'!$C$42)+VLOOKUP(AT$3,Capacity!$A$53:$E$85,5,FALSE)*'Inputs-System'!$C$29*(1+'Inputs-System'!$C$43)), $C23 = "3", ('Inputs-System'!$C$26*'Coincidence Factors'!$B$5*(1+'Inputs-System'!$C$18))*'Inputs-Proposals'!$F$28*(VLOOKUP(AT$3,Capacity!$A$53:$E$85,4,FALSE)*(1+'Inputs-System'!$C$42)+VLOOKUP(AT$3,Capacity!$A$53:$E$85,5,FALSE)*'Inputs-System'!$C$29*(1+'Inputs-System'!$C$43)), $C23 = "0", 0), 0)</f>
        <v>0</v>
      </c>
      <c r="AX23" s="100">
        <v>0</v>
      </c>
      <c r="AY23" s="346">
        <f>IFERROR(_xlfn.IFS($C23="1", 'Inputs-System'!$C$30*'Coincidence Factors'!$B$5*'Inputs-Proposals'!$F$17*'Inputs-Proposals'!$F$19*(VLOOKUP(AT$3,'Non-Embedded Emissions'!$A$56:$D$90,2,FALSE)+VLOOKUP(AT$3,'Non-Embedded Emissions'!$A$143:$D$174,2,FALSE)+VLOOKUP(AT$3,'Non-Embedded Emissions'!$A$230:$D$259,2,FALSE)-VLOOKUP(AT$3,'Non-Embedded Emissions'!$A$56:$D$90,3,FALSE)-VLOOKUP(AT$3,'Non-Embedded Emissions'!$A$143:$D$174,3,FALSE)-VLOOKUP(AT$3,'Non-Embedded Emissions'!$A$230:$D$259,3,FALSE)), $C23 = "2", 'Inputs-System'!$C$30*'Coincidence Factors'!$B$5*'Inputs-Proposals'!$F$23*'Inputs-Proposals'!$F$25*(VLOOKUP(AT$3,'Non-Embedded Emissions'!$A$56:$D$90,2,FALSE)+VLOOKUP(AT$3,'Non-Embedded Emissions'!$A$143:$D$174,2,FALSE)+VLOOKUP(AT$3,'Non-Embedded Emissions'!$A$230:$D$259,2,FALSE)-VLOOKUP(AT$3,'Non-Embedded Emissions'!$A$56:$D$90,3,FALSE)-VLOOKUP(AT$3,'Non-Embedded Emissions'!$A$143:$D$174,3,FALSE)-VLOOKUP(AT$3,'Non-Embedded Emissions'!$A$230:$D$259,3,FALSE)), $C23 = "3", 'Inputs-System'!$C$30*'Coincidence Factors'!$B$5*'Inputs-Proposals'!$F$29*'Inputs-Proposals'!$F$31*(VLOOKUP(AT$3,'Non-Embedded Emissions'!$A$56:$D$90,2,FALSE)+VLOOKUP(AT$3,'Non-Embedded Emissions'!$A$143:$D$174,2,FALSE)+VLOOKUP(AT$3,'Non-Embedded Emissions'!$A$230:$D$259,2,FALSE)-VLOOKUP(AT$3,'Non-Embedded Emissions'!$A$56:$D$90,3,FALSE)-VLOOKUP(AT$3,'Non-Embedded Emissions'!$A$143:$D$174,3,FALSE)-VLOOKUP(AT$3,'Non-Embedded Emissions'!$A$230:$D$259,3,FALSE)), $C23 = "0", 0), 0)</f>
        <v>0</v>
      </c>
      <c r="AZ23" s="345">
        <f>IFERROR(_xlfn.IFS($C23="1",('Inputs-System'!$C$30*'Coincidence Factors'!$B$5*(1+'Inputs-System'!$C$18)*(1+'Inputs-System'!$C$41)*('Inputs-Proposals'!$F$17*'Inputs-Proposals'!$F$19*(1-'Inputs-Proposals'!$F$20))*(VLOOKUP(AZ$3,Energy!$A$51:$K$83,5,FALSE)-VLOOKUP(AZ$3,Energy!$A$51:$K$83,6,FALSE))), $C23 = "2",('Inputs-System'!$C$30*'Coincidence Factors'!$B$5)*(1+'Inputs-System'!$C$18)*(1+'Inputs-System'!$C$41)*('Inputs-Proposals'!$F$23*'Inputs-Proposals'!$F$25*(1-'Inputs-Proposals'!$F$26))*(VLOOKUP(AZ$3,Energy!$A$51:$K$83,5,FALSE)-VLOOKUP(AZ$3,Energy!$A$51:$K$83,6,FALSE)), $C23= "3", ('Inputs-System'!$C$30*'Coincidence Factors'!$B$5*(1+'Inputs-System'!$C$18)*(1+'Inputs-System'!$C$41)*('Inputs-Proposals'!$F$29*'Inputs-Proposals'!$F$31*(1-'Inputs-Proposals'!$F$32))*(VLOOKUP(AZ$3,Energy!$A$51:$K$83,5,FALSE)-VLOOKUP(AZ$3,Energy!$A$51:$K$83,6,FALSE))), $C23= "0", 0), 0)</f>
        <v>0</v>
      </c>
      <c r="BA23" s="100">
        <f>IFERROR(_xlfn.IFS($C23="1", 'Inputs-System'!$C$30*'Coincidence Factors'!$B$5*(1+'Inputs-System'!$C$18)*(1+'Inputs-System'!$C$41)*'Inputs-Proposals'!$F$17*'Inputs-Proposals'!$F$19*(1-'Inputs-Proposals'!$F$20)*(VLOOKUP(AZ$3,'Embedded Emissions'!$A$47:$B$78,2,FALSE)+VLOOKUP(AZ$3,'Embedded Emissions'!$A$129:$B$158,2,FALSE)), $C23 = "2",'Inputs-System'!$C$30*'Coincidence Factors'!$B$5*(1+'Inputs-System'!$C$18)*(1+'Inputs-System'!$C$41)*'Inputs-Proposals'!$F$23*'Inputs-Proposals'!$F$25*(1-'Inputs-Proposals'!$F$20)*(VLOOKUP(AZ$3,'Embedded Emissions'!$A$47:$B$78,2,FALSE)+VLOOKUP(AZ$3,'Embedded Emissions'!$A$129:$B$158,2,FALSE)), $C23 = "3", 'Inputs-System'!$C$30*'Coincidence Factors'!$B$5*(1+'Inputs-System'!$C$18)*(1+'Inputs-System'!$C$41)*'Inputs-Proposals'!$F$29*'Inputs-Proposals'!$F$31*(1-'Inputs-Proposals'!$F$20)*(VLOOKUP(AZ$3,'Embedded Emissions'!$A$47:$B$78,2,FALSE)+VLOOKUP(AZ$3,'Embedded Emissions'!$A$129:$B$158,2,FALSE)), $C23 = "0", 0), 0)</f>
        <v>0</v>
      </c>
      <c r="BB23" s="100">
        <f>IFERROR(_xlfn.IFS($C23="1",( 'Inputs-System'!$C$30*'Coincidence Factors'!$B$5*(1+'Inputs-System'!$C$18)*(1+'Inputs-System'!$C$41))*('Inputs-Proposals'!$F$17*'Inputs-Proposals'!$F$19*(1-'Inputs-Proposals'!$F$20))*(VLOOKUP(AZ$3,DRIPE!$A$54:$I$82,5,FALSE)-VLOOKUP(AZ$3,DRIPE!$A$54:$I$82,6,FALSE)+VLOOKUP(AZ$3,DRIPE!$A$54:$I$82,9,FALSE))+ ('Inputs-System'!$C$26*'Coincidence Factors'!$B$5*(1+'Inputs-System'!$C$18)*(1+'Inputs-System'!$C$42))*'Inputs-Proposals'!$F$16*VLOOKUP(AZ$3,DRIPE!$A$54:$I$80,8,FALSE), $C23 = "2",( 'Inputs-System'!$C$30*'Coincidence Factors'!$B$5*(1+'Inputs-System'!$C$18)*(1+'Inputs-System'!$C$41))*('Inputs-Proposals'!$F$23*'Inputs-Proposals'!$F$25*(1-'Inputs-Proposals'!$F$26))*(VLOOKUP(AZ$3,DRIPE!$A$54:$I$82,5,FALSE)-VLOOKUP(AZ$3,DRIPE!$A$54:$I$82,6,FALSE)+VLOOKUP(AZ$3,DRIPE!$A$54:$I$82,9,FALSE))+ ('Inputs-System'!$C$26*'Coincidence Factors'!$B$5*(1+'Inputs-System'!$C$18)*(1+'Inputs-System'!$C$41))+ ('Inputs-System'!$C$26*'Coincidence Factors'!$B$5)*'Inputs-Proposals'!$F$22*VLOOKUP(AZ$3,DRIPE!$A$54:$I$80,8,FALSE), $C23= "3", ('Inputs-System'!$C$30*'Coincidence Factors'!$B$5)*('Inputs-Proposals'!$F$29*'Inputs-Proposals'!$F$31*(1-'Inputs-Proposals'!$F$32))*(VLOOKUP(AZ$3,DRIPE!$A$54:$I$80,5,FALSE)-VLOOKUP(AZ$3,DRIPE!$A$54:$I$80,6,FALSE)+VLOOKUP(AZ$3,DRIPE!$A$54:$I$80,9,FALSE))+ ('Inputs-System'!$C$26*'Coincidence Factors'!$B$5*(1+'Inputs-System'!$C$18)*(1+'Inputs-System'!$C$42))*'Inputs-Proposals'!$F$28*VLOOKUP(AZ$3,DRIPE!$A$54:$I$80,8,FALSE), $C23 = "0", 0), 0)</f>
        <v>0</v>
      </c>
      <c r="BC23" s="345">
        <f>IFERROR(_xlfn.IFS($C23="1",('Inputs-System'!$C$26*'Coincidence Factors'!$B$5*(1+'Inputs-System'!$C$18)*(1+'Inputs-System'!$C$42))*'Inputs-Proposals'!$F$16*(VLOOKUP(AZ$3,Capacity!$A$53:$E$85,4,FALSE)*(1+'Inputs-System'!$C$42)+VLOOKUP(AZ$3,Capacity!$A$53:$E$85,5,FALSE)*(1+'Inputs-System'!$C$43)*'Inputs-System'!$C$29), $C23 = "2", ('Inputs-System'!$C$26*'Coincidence Factors'!$B$5*(1+'Inputs-System'!$C$18))*'Inputs-Proposals'!$F$22*(VLOOKUP(AZ$3,Capacity!$A$53:$E$85,4,FALSE)*(1+'Inputs-System'!$C$42)+VLOOKUP(AZ$3,Capacity!$A$53:$E$85,5,FALSE)*'Inputs-System'!$C$29*(1+'Inputs-System'!$C$43)), $C23 = "3", ('Inputs-System'!$C$26*'Coincidence Factors'!$B$5*(1+'Inputs-System'!$C$18))*'Inputs-Proposals'!$F$28*(VLOOKUP(AZ$3,Capacity!$A$53:$E$85,4,FALSE)*(1+'Inputs-System'!$C$42)+VLOOKUP(AZ$3,Capacity!$A$53:$E$85,5,FALSE)*'Inputs-System'!$C$29*(1+'Inputs-System'!$C$43)), $C23 = "0", 0), 0)</f>
        <v>0</v>
      </c>
      <c r="BD23" s="100">
        <v>0</v>
      </c>
      <c r="BE23" s="346">
        <f>IFERROR(_xlfn.IFS($C23="1", 'Inputs-System'!$C$30*'Coincidence Factors'!$B$5*'Inputs-Proposals'!$F$17*'Inputs-Proposals'!$F$19*(VLOOKUP(AZ$3,'Non-Embedded Emissions'!$A$56:$D$90,2,FALSE)+VLOOKUP(AZ$3,'Non-Embedded Emissions'!$A$143:$D$174,2,FALSE)+VLOOKUP(AZ$3,'Non-Embedded Emissions'!$A$230:$D$259,2,FALSE)-VLOOKUP(AZ$3,'Non-Embedded Emissions'!$A$56:$D$90,3,FALSE)-VLOOKUP(AZ$3,'Non-Embedded Emissions'!$A$143:$D$174,3,FALSE)-VLOOKUP(AZ$3,'Non-Embedded Emissions'!$A$230:$D$259,3,FALSE)), $C23 = "2", 'Inputs-System'!$C$30*'Coincidence Factors'!$B$5*'Inputs-Proposals'!$F$23*'Inputs-Proposals'!$F$25*(VLOOKUP(AZ$3,'Non-Embedded Emissions'!$A$56:$D$90,2,FALSE)+VLOOKUP(AZ$3,'Non-Embedded Emissions'!$A$143:$D$174,2,FALSE)+VLOOKUP(AZ$3,'Non-Embedded Emissions'!$A$230:$D$259,2,FALSE)-VLOOKUP(AZ$3,'Non-Embedded Emissions'!$A$56:$D$90,3,FALSE)-VLOOKUP(AZ$3,'Non-Embedded Emissions'!$A$143:$D$174,3,FALSE)-VLOOKUP(AZ$3,'Non-Embedded Emissions'!$A$230:$D$259,3,FALSE)), $C23 = "3", 'Inputs-System'!$C$30*'Coincidence Factors'!$B$5*'Inputs-Proposals'!$F$29*'Inputs-Proposals'!$F$31*(VLOOKUP(AZ$3,'Non-Embedded Emissions'!$A$56:$D$90,2,FALSE)+VLOOKUP(AZ$3,'Non-Embedded Emissions'!$A$143:$D$174,2,FALSE)+VLOOKUP(AZ$3,'Non-Embedded Emissions'!$A$230:$D$259,2,FALSE)-VLOOKUP(AZ$3,'Non-Embedded Emissions'!$A$56:$D$90,3,FALSE)-VLOOKUP(AZ$3,'Non-Embedded Emissions'!$A$143:$D$174,3,FALSE)-VLOOKUP(AZ$3,'Non-Embedded Emissions'!$A$230:$D$259,3,FALSE)), $C23 = "0", 0), 0)</f>
        <v>0</v>
      </c>
      <c r="BF23" s="345">
        <f>IFERROR(_xlfn.IFS($C23="1",('Inputs-System'!$C$30*'Coincidence Factors'!$B$5*(1+'Inputs-System'!$C$18)*(1+'Inputs-System'!$C$41)*('Inputs-Proposals'!$F$17*'Inputs-Proposals'!$F$19*(1-'Inputs-Proposals'!$F$20))*(VLOOKUP(BF$3,Energy!$A$51:$K$83,5,FALSE)-VLOOKUP(BF$3,Energy!$A$51:$K$83,6,FALSE))), $C23 = "2",('Inputs-System'!$C$30*'Coincidence Factors'!$B$5)*(1+'Inputs-System'!$C$18)*(1+'Inputs-System'!$C$41)*('Inputs-Proposals'!$F$23*'Inputs-Proposals'!$F$25*(1-'Inputs-Proposals'!$F$26))*(VLOOKUP(BF$3,Energy!$A$51:$K$83,5,FALSE)-VLOOKUP(BF$3,Energy!$A$51:$K$83,6,FALSE)), $C23= "3", ('Inputs-System'!$C$30*'Coincidence Factors'!$B$5*(1+'Inputs-System'!$C$18)*(1+'Inputs-System'!$C$41)*('Inputs-Proposals'!$F$29*'Inputs-Proposals'!$F$31*(1-'Inputs-Proposals'!$F$32))*(VLOOKUP(BF$3,Energy!$A$51:$K$83,5,FALSE)-VLOOKUP(BF$3,Energy!$A$51:$K$83,6,FALSE))), $C23= "0", 0), 0)</f>
        <v>0</v>
      </c>
      <c r="BG23" s="100">
        <f>IFERROR(_xlfn.IFS($C23="1", 'Inputs-System'!$C$30*'Coincidence Factors'!$B$5*(1+'Inputs-System'!$C$18)*(1+'Inputs-System'!$C$41)*'Inputs-Proposals'!$F$17*'Inputs-Proposals'!$F$19*(1-'Inputs-Proposals'!$F$20)*(VLOOKUP(BF$3,'Embedded Emissions'!$A$47:$B$78,2,FALSE)+VLOOKUP(BF$3,'Embedded Emissions'!$A$129:$B$158,2,FALSE)), $C23 = "2",'Inputs-System'!$C$30*'Coincidence Factors'!$B$5*(1+'Inputs-System'!$C$18)*(1+'Inputs-System'!$C$41)*'Inputs-Proposals'!$F$23*'Inputs-Proposals'!$F$25*(1-'Inputs-Proposals'!$F$20)*(VLOOKUP(BF$3,'Embedded Emissions'!$A$47:$B$78,2,FALSE)+VLOOKUP(BF$3,'Embedded Emissions'!$A$129:$B$158,2,FALSE)), $C23 = "3", 'Inputs-System'!$C$30*'Coincidence Factors'!$B$5*(1+'Inputs-System'!$C$18)*(1+'Inputs-System'!$C$41)*'Inputs-Proposals'!$F$29*'Inputs-Proposals'!$F$31*(1-'Inputs-Proposals'!$F$20)*(VLOOKUP(BF$3,'Embedded Emissions'!$A$47:$B$78,2,FALSE)+VLOOKUP(BF$3,'Embedded Emissions'!$A$129:$B$158,2,FALSE)), $C23 = "0", 0), 0)</f>
        <v>0</v>
      </c>
      <c r="BH23" s="100">
        <f>IFERROR(_xlfn.IFS($C23="1",( 'Inputs-System'!$C$30*'Coincidence Factors'!$B$5*(1+'Inputs-System'!$C$18)*(1+'Inputs-System'!$C$41))*('Inputs-Proposals'!$F$17*'Inputs-Proposals'!$F$19*(1-'Inputs-Proposals'!$F$20))*(VLOOKUP(BF$3,DRIPE!$A$54:$I$82,5,FALSE)-VLOOKUP(BF$3,DRIPE!$A$54:$I$82,6,FALSE)+VLOOKUP(BF$3,DRIPE!$A$54:$I$82,9,FALSE))+ ('Inputs-System'!$C$26*'Coincidence Factors'!$B$5*(1+'Inputs-System'!$C$18)*(1+'Inputs-System'!$C$42))*'Inputs-Proposals'!$F$16*VLOOKUP(BF$3,DRIPE!$A$54:$I$80,8,FALSE), $C23 = "2",( 'Inputs-System'!$C$30*'Coincidence Factors'!$B$5*(1+'Inputs-System'!$C$18)*(1+'Inputs-System'!$C$41))*('Inputs-Proposals'!$F$23*'Inputs-Proposals'!$F$25*(1-'Inputs-Proposals'!$F$26))*(VLOOKUP(BF$3,DRIPE!$A$54:$I$82,5,FALSE)-VLOOKUP(BF$3,DRIPE!$A$54:$I$82,6,FALSE)+VLOOKUP(BF$3,DRIPE!$A$54:$I$82,9,FALSE))+ ('Inputs-System'!$C$26*'Coincidence Factors'!$B$5*(1+'Inputs-System'!$C$18)*(1+'Inputs-System'!$C$41))+ ('Inputs-System'!$C$26*'Coincidence Factors'!$B$5)*'Inputs-Proposals'!$F$22*VLOOKUP(BF$3,DRIPE!$A$54:$I$80,8,FALSE), $C23= "3", ('Inputs-System'!$C$30*'Coincidence Factors'!$B$5)*('Inputs-Proposals'!$F$29*'Inputs-Proposals'!$F$31*(1-'Inputs-Proposals'!$F$32))*(VLOOKUP(BF$3,DRIPE!$A$54:$I$80,5,FALSE)-VLOOKUP(BF$3,DRIPE!$A$54:$I$80,6,FALSE)+VLOOKUP(BF$3,DRIPE!$A$54:$I$80,9,FALSE))+ ('Inputs-System'!$C$26*'Coincidence Factors'!$B$5*(1+'Inputs-System'!$C$18)*(1+'Inputs-System'!$C$42))*'Inputs-Proposals'!$F$28*VLOOKUP(BF$3,DRIPE!$A$54:$I$80,8,FALSE), $C23 = "0", 0), 0)</f>
        <v>0</v>
      </c>
      <c r="BI23" s="345">
        <f>IFERROR(_xlfn.IFS($C23="1",('Inputs-System'!$C$26*'Coincidence Factors'!$B$5*(1+'Inputs-System'!$C$18)*(1+'Inputs-System'!$C$42))*'Inputs-Proposals'!$F$16*(VLOOKUP(BF$3,Capacity!$A$53:$E$85,4,FALSE)*(1+'Inputs-System'!$C$42)+VLOOKUP(BF$3,Capacity!$A$53:$E$85,5,FALSE)*(1+'Inputs-System'!$C$43)*'Inputs-System'!$C$29), $C23 = "2", ('Inputs-System'!$C$26*'Coincidence Factors'!$B$5*(1+'Inputs-System'!$C$18))*'Inputs-Proposals'!$F$22*(VLOOKUP(BF$3,Capacity!$A$53:$E$85,4,FALSE)*(1+'Inputs-System'!$C$42)+VLOOKUP(BF$3,Capacity!$A$53:$E$85,5,FALSE)*'Inputs-System'!$C$29*(1+'Inputs-System'!$C$43)), $C23 = "3", ('Inputs-System'!$C$26*'Coincidence Factors'!$B$5*(1+'Inputs-System'!$C$18))*'Inputs-Proposals'!$F$28*(VLOOKUP(BF$3,Capacity!$A$53:$E$85,4,FALSE)*(1+'Inputs-System'!$C$42)+VLOOKUP(BF$3,Capacity!$A$53:$E$85,5,FALSE)*'Inputs-System'!$C$29*(1+'Inputs-System'!$C$43)), $C23 = "0", 0), 0)</f>
        <v>0</v>
      </c>
      <c r="BJ23" s="100">
        <v>0</v>
      </c>
      <c r="BK23" s="346">
        <f>IFERROR(_xlfn.IFS($C23="1", 'Inputs-System'!$C$30*'Coincidence Factors'!$B$5*'Inputs-Proposals'!$F$17*'Inputs-Proposals'!$F$19*(VLOOKUP(BF$3,'Non-Embedded Emissions'!$A$56:$D$90,2,FALSE)+VLOOKUP(BF$3,'Non-Embedded Emissions'!$A$143:$D$174,2,FALSE)+VLOOKUP(BF$3,'Non-Embedded Emissions'!$A$230:$D$259,2,FALSE)-VLOOKUP(BF$3,'Non-Embedded Emissions'!$A$56:$D$90,3,FALSE)-VLOOKUP(BF$3,'Non-Embedded Emissions'!$A$143:$D$174,3,FALSE)-VLOOKUP(BF$3,'Non-Embedded Emissions'!$A$230:$D$259,3,FALSE)), $C23 = "2", 'Inputs-System'!$C$30*'Coincidence Factors'!$B$5*'Inputs-Proposals'!$F$23*'Inputs-Proposals'!$F$25*(VLOOKUP(BF$3,'Non-Embedded Emissions'!$A$56:$D$90,2,FALSE)+VLOOKUP(BF$3,'Non-Embedded Emissions'!$A$143:$D$174,2,FALSE)+VLOOKUP(BF$3,'Non-Embedded Emissions'!$A$230:$D$259,2,FALSE)-VLOOKUP(BF$3,'Non-Embedded Emissions'!$A$56:$D$90,3,FALSE)-VLOOKUP(BF$3,'Non-Embedded Emissions'!$A$143:$D$174,3,FALSE)-VLOOKUP(BF$3,'Non-Embedded Emissions'!$A$230:$D$259,3,FALSE)), $C23 = "3", 'Inputs-System'!$C$30*'Coincidence Factors'!$B$5*'Inputs-Proposals'!$F$29*'Inputs-Proposals'!$F$31*(VLOOKUP(BF$3,'Non-Embedded Emissions'!$A$56:$D$90,2,FALSE)+VLOOKUP(BF$3,'Non-Embedded Emissions'!$A$143:$D$174,2,FALSE)+VLOOKUP(BF$3,'Non-Embedded Emissions'!$A$230:$D$259,2,FALSE)-VLOOKUP(BF$3,'Non-Embedded Emissions'!$A$56:$D$90,3,FALSE)-VLOOKUP(BF$3,'Non-Embedded Emissions'!$A$143:$D$174,3,FALSE)-VLOOKUP(BF$3,'Non-Embedded Emissions'!$A$230:$D$259,3,FALSE)), $C23 = "0", 0), 0)</f>
        <v>0</v>
      </c>
      <c r="BL23" s="345">
        <f>IFERROR(_xlfn.IFS($C23="1",('Inputs-System'!$C$30*'Coincidence Factors'!$B$5*(1+'Inputs-System'!$C$18)*(1+'Inputs-System'!$C$41)*('Inputs-Proposals'!$F$17*'Inputs-Proposals'!$F$19*(1-'Inputs-Proposals'!$F$20))*(VLOOKUP(BL$3,Energy!$A$51:$K$83,5,FALSE)-VLOOKUP(BL$3,Energy!$A$51:$K$83,6,FALSE))), $C23 = "2",('Inputs-System'!$C$30*'Coincidence Factors'!$B$5)*(1+'Inputs-System'!$C$18)*(1+'Inputs-System'!$C$41)*('Inputs-Proposals'!$F$23*'Inputs-Proposals'!$F$25*(1-'Inputs-Proposals'!$F$26))*(VLOOKUP(BL$3,Energy!$A$51:$K$83,5,FALSE)-VLOOKUP(BL$3,Energy!$A$51:$K$83,6,FALSE)), $C23= "3", ('Inputs-System'!$C$30*'Coincidence Factors'!$B$5*(1+'Inputs-System'!$C$18)*(1+'Inputs-System'!$C$41)*('Inputs-Proposals'!$F$29*'Inputs-Proposals'!$F$31*(1-'Inputs-Proposals'!$F$32))*(VLOOKUP(BL$3,Energy!$A$51:$K$83,5,FALSE)-VLOOKUP(BL$3,Energy!$A$51:$K$83,6,FALSE))), $C23= "0", 0), 0)</f>
        <v>0</v>
      </c>
      <c r="BM23" s="100">
        <f>IFERROR(_xlfn.IFS($C23="1", 'Inputs-System'!$C$30*'Coincidence Factors'!$B$5*(1+'Inputs-System'!$C$18)*(1+'Inputs-System'!$C$41)*'Inputs-Proposals'!$F$17*'Inputs-Proposals'!$F$19*(1-'Inputs-Proposals'!$F$20)*(VLOOKUP(BL$3,'Embedded Emissions'!$A$47:$B$78,2,FALSE)+VLOOKUP(BL$3,'Embedded Emissions'!$A$129:$B$158,2,FALSE)), $C23 = "2",'Inputs-System'!$C$30*'Coincidence Factors'!$B$5*(1+'Inputs-System'!$C$18)*(1+'Inputs-System'!$C$41)*'Inputs-Proposals'!$F$23*'Inputs-Proposals'!$F$25*(1-'Inputs-Proposals'!$F$20)*(VLOOKUP(BL$3,'Embedded Emissions'!$A$47:$B$78,2,FALSE)+VLOOKUP(BL$3,'Embedded Emissions'!$A$129:$B$158,2,FALSE)), $C23 = "3", 'Inputs-System'!$C$30*'Coincidence Factors'!$B$5*(1+'Inputs-System'!$C$18)*(1+'Inputs-System'!$C$41)*'Inputs-Proposals'!$F$29*'Inputs-Proposals'!$F$31*(1-'Inputs-Proposals'!$F$20)*(VLOOKUP(BL$3,'Embedded Emissions'!$A$47:$B$78,2,FALSE)+VLOOKUP(BL$3,'Embedded Emissions'!$A$129:$B$158,2,FALSE)), $C23 = "0", 0), 0)</f>
        <v>0</v>
      </c>
      <c r="BN23" s="100">
        <f>IFERROR(_xlfn.IFS($C23="1",( 'Inputs-System'!$C$30*'Coincidence Factors'!$B$5*(1+'Inputs-System'!$C$18)*(1+'Inputs-System'!$C$41))*('Inputs-Proposals'!$F$17*'Inputs-Proposals'!$F$19*(1-'Inputs-Proposals'!$F$20))*(VLOOKUP(BL$3,DRIPE!$A$54:$I$82,5,FALSE)-VLOOKUP(BL$3,DRIPE!$A$54:$I$82,6,FALSE)+VLOOKUP(BL$3,DRIPE!$A$54:$I$82,9,FALSE))+ ('Inputs-System'!$C$26*'Coincidence Factors'!$B$5*(1+'Inputs-System'!$C$18)*(1+'Inputs-System'!$C$42))*'Inputs-Proposals'!$F$16*VLOOKUP(BL$3,DRIPE!$A$54:$I$80,8,FALSE), $C23 = "2",( 'Inputs-System'!$C$30*'Coincidence Factors'!$B$5*(1+'Inputs-System'!$C$18)*(1+'Inputs-System'!$C$41))*('Inputs-Proposals'!$F$23*'Inputs-Proposals'!$F$25*(1-'Inputs-Proposals'!$F$26))*(VLOOKUP(BL$3,DRIPE!$A$54:$I$82,5,FALSE)-VLOOKUP(BL$3,DRIPE!$A$54:$I$82,6,FALSE)+VLOOKUP(BL$3,DRIPE!$A$54:$I$82,9,FALSE))+ ('Inputs-System'!$C$26*'Coincidence Factors'!$B$5*(1+'Inputs-System'!$C$18)*(1+'Inputs-System'!$C$41))+ ('Inputs-System'!$C$26*'Coincidence Factors'!$B$5)*'Inputs-Proposals'!$F$22*VLOOKUP(BL$3,DRIPE!$A$54:$I$80,8,FALSE), $C23= "3", ('Inputs-System'!$C$30*'Coincidence Factors'!$B$5)*('Inputs-Proposals'!$F$29*'Inputs-Proposals'!$F$31*(1-'Inputs-Proposals'!$F$32))*(VLOOKUP(BL$3,DRIPE!$A$54:$I$80,5,FALSE)-VLOOKUP(BL$3,DRIPE!$A$54:$I$80,6,FALSE)+VLOOKUP(BL$3,DRIPE!$A$54:$I$80,9,FALSE))+ ('Inputs-System'!$C$26*'Coincidence Factors'!$B$5*(1+'Inputs-System'!$C$18)*(1+'Inputs-System'!$C$42))*'Inputs-Proposals'!$F$28*VLOOKUP(BL$3,DRIPE!$A$54:$I$80,8,FALSE), $C23 = "0", 0), 0)</f>
        <v>0</v>
      </c>
      <c r="BO23" s="345">
        <f>IFERROR(_xlfn.IFS($C23="1",('Inputs-System'!$C$26*'Coincidence Factors'!$B$5*(1+'Inputs-System'!$C$18)*(1+'Inputs-System'!$C$42))*'Inputs-Proposals'!$F$16*(VLOOKUP(BL$3,Capacity!$A$53:$E$85,4,FALSE)*(1+'Inputs-System'!$C$42)+VLOOKUP(BL$3,Capacity!$A$53:$E$85,5,FALSE)*(1+'Inputs-System'!$C$43)*'Inputs-System'!$C$29), $C23 = "2", ('Inputs-System'!$C$26*'Coincidence Factors'!$B$5*(1+'Inputs-System'!$C$18))*'Inputs-Proposals'!$F$22*(VLOOKUP(BL$3,Capacity!$A$53:$E$85,4,FALSE)*(1+'Inputs-System'!$C$42)+VLOOKUP(BL$3,Capacity!$A$53:$E$85,5,FALSE)*'Inputs-System'!$C$29*(1+'Inputs-System'!$C$43)), $C23 = "3", ('Inputs-System'!$C$26*'Coincidence Factors'!$B$5*(1+'Inputs-System'!$C$18))*'Inputs-Proposals'!$F$28*(VLOOKUP(BL$3,Capacity!$A$53:$E$85,4,FALSE)*(1+'Inputs-System'!$C$42)+VLOOKUP(BL$3,Capacity!$A$53:$E$85,5,FALSE)*'Inputs-System'!$C$29*(1+'Inputs-System'!$C$43)), $C23 = "0", 0), 0)</f>
        <v>0</v>
      </c>
      <c r="BP23" s="100">
        <v>0</v>
      </c>
      <c r="BQ23" s="346">
        <f>IFERROR(_xlfn.IFS($C23="1", 'Inputs-System'!$C$30*'Coincidence Factors'!$B$5*'Inputs-Proposals'!$F$17*'Inputs-Proposals'!$F$19*(VLOOKUP(BL$3,'Non-Embedded Emissions'!$A$56:$D$90,2,FALSE)+VLOOKUP(BL$3,'Non-Embedded Emissions'!$A$143:$D$174,2,FALSE)+VLOOKUP(BL$3,'Non-Embedded Emissions'!$A$230:$D$259,2,FALSE)-VLOOKUP(BL$3,'Non-Embedded Emissions'!$A$56:$D$90,3,FALSE)-VLOOKUP(BL$3,'Non-Embedded Emissions'!$A$143:$D$174,3,FALSE)-VLOOKUP(BL$3,'Non-Embedded Emissions'!$A$230:$D$259,3,FALSE)), $C23 = "2", 'Inputs-System'!$C$30*'Coincidence Factors'!$B$5*'Inputs-Proposals'!$F$23*'Inputs-Proposals'!$F$25*(VLOOKUP(BL$3,'Non-Embedded Emissions'!$A$56:$D$90,2,FALSE)+VLOOKUP(BL$3,'Non-Embedded Emissions'!$A$143:$D$174,2,FALSE)+VLOOKUP(BL$3,'Non-Embedded Emissions'!$A$230:$D$259,2,FALSE)-VLOOKUP(BL$3,'Non-Embedded Emissions'!$A$56:$D$90,3,FALSE)-VLOOKUP(BL$3,'Non-Embedded Emissions'!$A$143:$D$174,3,FALSE)-VLOOKUP(BL$3,'Non-Embedded Emissions'!$A$230:$D$259,3,FALSE)), $C23 = "3", 'Inputs-System'!$C$30*'Coincidence Factors'!$B$5*'Inputs-Proposals'!$F$29*'Inputs-Proposals'!$F$31*(VLOOKUP(BL$3,'Non-Embedded Emissions'!$A$56:$D$90,2,FALSE)+VLOOKUP(BL$3,'Non-Embedded Emissions'!$A$143:$D$174,2,FALSE)+VLOOKUP(BL$3,'Non-Embedded Emissions'!$A$230:$D$259,2,FALSE)-VLOOKUP(BL$3,'Non-Embedded Emissions'!$A$56:$D$90,3,FALSE)-VLOOKUP(BL$3,'Non-Embedded Emissions'!$A$143:$D$174,3,FALSE)-VLOOKUP(BL$3,'Non-Embedded Emissions'!$A$230:$D$259,3,FALSE)), $C23 = "0", 0), 0)</f>
        <v>0</v>
      </c>
      <c r="BR23" s="345">
        <f>IFERROR(_xlfn.IFS($C23="1",('Inputs-System'!$C$30*'Coincidence Factors'!$B$5*(1+'Inputs-System'!$C$18)*(1+'Inputs-System'!$C$41)*('Inputs-Proposals'!$F$17*'Inputs-Proposals'!$F$19*(1-'Inputs-Proposals'!$F$20))*(VLOOKUP(BR$3,Energy!$A$51:$K$83,5,FALSE)-VLOOKUP(BR$3,Energy!$A$51:$K$83,6,FALSE))), $C23 = "2",('Inputs-System'!$C$30*'Coincidence Factors'!$B$5)*(1+'Inputs-System'!$C$18)*(1+'Inputs-System'!$C$41)*('Inputs-Proposals'!$F$23*'Inputs-Proposals'!$F$25*(1-'Inputs-Proposals'!$F$26))*(VLOOKUP(BR$3,Energy!$A$51:$K$83,5,FALSE)-VLOOKUP(BR$3,Energy!$A$51:$K$83,6,FALSE)), $C23= "3", ('Inputs-System'!$C$30*'Coincidence Factors'!$B$5*(1+'Inputs-System'!$C$18)*(1+'Inputs-System'!$C$41)*('Inputs-Proposals'!$F$29*'Inputs-Proposals'!$F$31*(1-'Inputs-Proposals'!$F$32))*(VLOOKUP(BR$3,Energy!$A$51:$K$83,5,FALSE)-VLOOKUP(BR$3,Energy!$A$51:$K$83,6,FALSE))), $C23= "0", 0), 0)</f>
        <v>0</v>
      </c>
      <c r="BS23" s="100">
        <f>IFERROR(_xlfn.IFS($C23="1", 'Inputs-System'!$C$30*'Coincidence Factors'!$B$5*(1+'Inputs-System'!$C$18)*(1+'Inputs-System'!$C$41)*'Inputs-Proposals'!$F$17*'Inputs-Proposals'!$F$19*(1-'Inputs-Proposals'!$F$20)*(VLOOKUP(BR$3,'Embedded Emissions'!$A$47:$B$78,2,FALSE)+VLOOKUP(BR$3,'Embedded Emissions'!$A$129:$B$158,2,FALSE)), $C23 = "2",'Inputs-System'!$C$30*'Coincidence Factors'!$B$5*(1+'Inputs-System'!$C$18)*(1+'Inputs-System'!$C$41)*'Inputs-Proposals'!$F$23*'Inputs-Proposals'!$F$25*(1-'Inputs-Proposals'!$F$20)*(VLOOKUP(BR$3,'Embedded Emissions'!$A$47:$B$78,2,FALSE)+VLOOKUP(BR$3,'Embedded Emissions'!$A$129:$B$158,2,FALSE)), $C23 = "3", 'Inputs-System'!$C$30*'Coincidence Factors'!$B$5*(1+'Inputs-System'!$C$18)*(1+'Inputs-System'!$C$41)*'Inputs-Proposals'!$F$29*'Inputs-Proposals'!$F$31*(1-'Inputs-Proposals'!$F$20)*(VLOOKUP(BR$3,'Embedded Emissions'!$A$47:$B$78,2,FALSE)+VLOOKUP(BR$3,'Embedded Emissions'!$A$129:$B$158,2,FALSE)), $C23 = "0", 0), 0)</f>
        <v>0</v>
      </c>
      <c r="BT23" s="100">
        <f>IFERROR(_xlfn.IFS($C23="1",( 'Inputs-System'!$C$30*'Coincidence Factors'!$B$5*(1+'Inputs-System'!$C$18)*(1+'Inputs-System'!$C$41))*('Inputs-Proposals'!$F$17*'Inputs-Proposals'!$F$19*(1-'Inputs-Proposals'!$F$20))*(VLOOKUP(BR$3,DRIPE!$A$54:$I$82,5,FALSE)-VLOOKUP(BR$3,DRIPE!$A$54:$I$82,6,FALSE)+VLOOKUP(BR$3,DRIPE!$A$54:$I$82,9,FALSE))+ ('Inputs-System'!$C$26*'Coincidence Factors'!$B$5*(1+'Inputs-System'!$C$18)*(1+'Inputs-System'!$C$42))*'Inputs-Proposals'!$F$16*VLOOKUP(BR$3,DRIPE!$A$54:$I$80,8,FALSE), $C23 = "2",( 'Inputs-System'!$C$30*'Coincidence Factors'!$B$5*(1+'Inputs-System'!$C$18)*(1+'Inputs-System'!$C$41))*('Inputs-Proposals'!$F$23*'Inputs-Proposals'!$F$25*(1-'Inputs-Proposals'!$F$26))*(VLOOKUP(BR$3,DRIPE!$A$54:$I$82,5,FALSE)-VLOOKUP(BR$3,DRIPE!$A$54:$I$82,6,FALSE)+VLOOKUP(BR$3,DRIPE!$A$54:$I$82,9,FALSE))+ ('Inputs-System'!$C$26*'Coincidence Factors'!$B$5*(1+'Inputs-System'!$C$18)*(1+'Inputs-System'!$C$41))+ ('Inputs-System'!$C$26*'Coincidence Factors'!$B$5)*'Inputs-Proposals'!$F$22*VLOOKUP(BR$3,DRIPE!$A$54:$I$80,8,FALSE), $C23= "3", ('Inputs-System'!$C$30*'Coincidence Factors'!$B$5)*('Inputs-Proposals'!$F$29*'Inputs-Proposals'!$F$31*(1-'Inputs-Proposals'!$F$32))*(VLOOKUP(BR$3,DRIPE!$A$54:$I$80,5,FALSE)-VLOOKUP(BR$3,DRIPE!$A$54:$I$80,6,FALSE)+VLOOKUP(BR$3,DRIPE!$A$54:$I$80,9,FALSE))+ ('Inputs-System'!$C$26*'Coincidence Factors'!$B$5*(1+'Inputs-System'!$C$18)*(1+'Inputs-System'!$C$42))*'Inputs-Proposals'!$F$28*VLOOKUP(BR$3,DRIPE!$A$54:$I$80,8,FALSE), $C23 = "0", 0), 0)</f>
        <v>0</v>
      </c>
      <c r="BU23" s="345">
        <f>IFERROR(_xlfn.IFS($C23="1",('Inputs-System'!$C$26*'Coincidence Factors'!$B$5*(1+'Inputs-System'!$C$18)*(1+'Inputs-System'!$C$42))*'Inputs-Proposals'!$F$16*(VLOOKUP(BR$3,Capacity!$A$53:$E$85,4,FALSE)*(1+'Inputs-System'!$C$42)+VLOOKUP(BR$3,Capacity!$A$53:$E$85,5,FALSE)*(1+'Inputs-System'!$C$43)*'Inputs-System'!$C$29), $C23 = "2", ('Inputs-System'!$C$26*'Coincidence Factors'!$B$5*(1+'Inputs-System'!$C$18))*'Inputs-Proposals'!$F$22*(VLOOKUP(BR$3,Capacity!$A$53:$E$85,4,FALSE)*(1+'Inputs-System'!$C$42)+VLOOKUP(BR$3,Capacity!$A$53:$E$85,5,FALSE)*'Inputs-System'!$C$29*(1+'Inputs-System'!$C$43)), $C23 = "3", ('Inputs-System'!$C$26*'Coincidence Factors'!$B$5*(1+'Inputs-System'!$C$18))*'Inputs-Proposals'!$F$28*(VLOOKUP(BR$3,Capacity!$A$53:$E$85,4,FALSE)*(1+'Inputs-System'!$C$42)+VLOOKUP(BR$3,Capacity!$A$53:$E$85,5,FALSE)*'Inputs-System'!$C$29*(1+'Inputs-System'!$C$43)), $C23 = "0", 0), 0)</f>
        <v>0</v>
      </c>
      <c r="BV23" s="100">
        <v>0</v>
      </c>
      <c r="BW23" s="346">
        <f>IFERROR(_xlfn.IFS($C23="1", 'Inputs-System'!$C$30*'Coincidence Factors'!$B$5*'Inputs-Proposals'!$F$17*'Inputs-Proposals'!$F$19*(VLOOKUP(BR$3,'Non-Embedded Emissions'!$A$56:$D$90,2,FALSE)+VLOOKUP(BR$3,'Non-Embedded Emissions'!$A$143:$D$174,2,FALSE)+VLOOKUP(BR$3,'Non-Embedded Emissions'!$A$230:$D$259,2,FALSE)-VLOOKUP(BR$3,'Non-Embedded Emissions'!$A$56:$D$90,3,FALSE)-VLOOKUP(BR$3,'Non-Embedded Emissions'!$A$143:$D$174,3,FALSE)-VLOOKUP(BR$3,'Non-Embedded Emissions'!$A$230:$D$259,3,FALSE)), $C23 = "2", 'Inputs-System'!$C$30*'Coincidence Factors'!$B$5*'Inputs-Proposals'!$F$23*'Inputs-Proposals'!$F$25*(VLOOKUP(BR$3,'Non-Embedded Emissions'!$A$56:$D$90,2,FALSE)+VLOOKUP(BR$3,'Non-Embedded Emissions'!$A$143:$D$174,2,FALSE)+VLOOKUP(BR$3,'Non-Embedded Emissions'!$A$230:$D$259,2,FALSE)-VLOOKUP(BR$3,'Non-Embedded Emissions'!$A$56:$D$90,3,FALSE)-VLOOKUP(BR$3,'Non-Embedded Emissions'!$A$143:$D$174,3,FALSE)-VLOOKUP(BR$3,'Non-Embedded Emissions'!$A$230:$D$259,3,FALSE)), $C23 = "3", 'Inputs-System'!$C$30*'Coincidence Factors'!$B$5*'Inputs-Proposals'!$F$29*'Inputs-Proposals'!$F$31*(VLOOKUP(BR$3,'Non-Embedded Emissions'!$A$56:$D$90,2,FALSE)+VLOOKUP(BR$3,'Non-Embedded Emissions'!$A$143:$D$174,2,FALSE)+VLOOKUP(BR$3,'Non-Embedded Emissions'!$A$230:$D$259,2,FALSE)-VLOOKUP(BR$3,'Non-Embedded Emissions'!$A$56:$D$90,3,FALSE)-VLOOKUP(BR$3,'Non-Embedded Emissions'!$A$143:$D$174,3,FALSE)-VLOOKUP(BR$3,'Non-Embedded Emissions'!$A$230:$D$259,3,FALSE)), $C23 = "0", 0), 0)</f>
        <v>0</v>
      </c>
      <c r="BX23" s="345">
        <f>IFERROR(_xlfn.IFS($C23="1",('Inputs-System'!$C$30*'Coincidence Factors'!$B$5*(1+'Inputs-System'!$C$18)*(1+'Inputs-System'!$C$41)*('Inputs-Proposals'!$F$17*'Inputs-Proposals'!$F$19*(1-'Inputs-Proposals'!$F$20))*(VLOOKUP(BX$3,Energy!$A$51:$K$83,5,FALSE)-VLOOKUP(BX$3,Energy!$A$51:$K$83,6,FALSE))), $C23 = "2",('Inputs-System'!$C$30*'Coincidence Factors'!$B$5)*(1+'Inputs-System'!$C$18)*(1+'Inputs-System'!$C$41)*('Inputs-Proposals'!$F$23*'Inputs-Proposals'!$F$25*(1-'Inputs-Proposals'!$F$26))*(VLOOKUP(BX$3,Energy!$A$51:$K$83,5,FALSE)-VLOOKUP(BX$3,Energy!$A$51:$K$83,6,FALSE)), $C23= "3", ('Inputs-System'!$C$30*'Coincidence Factors'!$B$5*(1+'Inputs-System'!$C$18)*(1+'Inputs-System'!$C$41)*('Inputs-Proposals'!$F$29*'Inputs-Proposals'!$F$31*(1-'Inputs-Proposals'!$F$32))*(VLOOKUP(BX$3,Energy!$A$51:$K$83,5,FALSE)-VLOOKUP(BX$3,Energy!$A$51:$K$83,6,FALSE))), $C23= "0", 0), 0)</f>
        <v>0</v>
      </c>
      <c r="BY23" s="100">
        <f>IFERROR(_xlfn.IFS($C23="1", 'Inputs-System'!$C$30*'Coincidence Factors'!$B$5*(1+'Inputs-System'!$C$18)*(1+'Inputs-System'!$C$41)*'Inputs-Proposals'!$F$17*'Inputs-Proposals'!$F$19*(1-'Inputs-Proposals'!$F$20)*(VLOOKUP(BX$3,'Embedded Emissions'!$A$47:$B$78,2,FALSE)+VLOOKUP(BX$3,'Embedded Emissions'!$A$129:$B$158,2,FALSE)), $C23 = "2",'Inputs-System'!$C$30*'Coincidence Factors'!$B$5*(1+'Inputs-System'!$C$18)*(1+'Inputs-System'!$C$41)*'Inputs-Proposals'!$F$23*'Inputs-Proposals'!$F$25*(1-'Inputs-Proposals'!$F$20)*(VLOOKUP(BX$3,'Embedded Emissions'!$A$47:$B$78,2,FALSE)+VLOOKUP(BX$3,'Embedded Emissions'!$A$129:$B$158,2,FALSE)), $C23 = "3", 'Inputs-System'!$C$30*'Coincidence Factors'!$B$5*(1+'Inputs-System'!$C$18)*(1+'Inputs-System'!$C$41)*'Inputs-Proposals'!$F$29*'Inputs-Proposals'!$F$31*(1-'Inputs-Proposals'!$F$20)*(VLOOKUP(BX$3,'Embedded Emissions'!$A$47:$B$78,2,FALSE)+VLOOKUP(BX$3,'Embedded Emissions'!$A$129:$B$158,2,FALSE)), $C23 = "0", 0), 0)</f>
        <v>0</v>
      </c>
      <c r="BZ23" s="100">
        <f>IFERROR(_xlfn.IFS($C23="1",( 'Inputs-System'!$C$30*'Coincidence Factors'!$B$5*(1+'Inputs-System'!$C$18)*(1+'Inputs-System'!$C$41))*('Inputs-Proposals'!$F$17*'Inputs-Proposals'!$F$19*(1-'Inputs-Proposals'!$F$20))*(VLOOKUP(BX$3,DRIPE!$A$54:$I$82,5,FALSE)-VLOOKUP(BX$3,DRIPE!$A$54:$I$82,6,FALSE)+VLOOKUP(BX$3,DRIPE!$A$54:$I$82,9,FALSE))+ ('Inputs-System'!$C$26*'Coincidence Factors'!$B$5*(1+'Inputs-System'!$C$18)*(1+'Inputs-System'!$C$42))*'Inputs-Proposals'!$F$16*VLOOKUP(BX$3,DRIPE!$A$54:$I$80,8,FALSE), $C23 = "2",( 'Inputs-System'!$C$30*'Coincidence Factors'!$B$5*(1+'Inputs-System'!$C$18)*(1+'Inputs-System'!$C$41))*('Inputs-Proposals'!$F$23*'Inputs-Proposals'!$F$25*(1-'Inputs-Proposals'!$F$26))*(VLOOKUP(BX$3,DRIPE!$A$54:$I$82,5,FALSE)-VLOOKUP(BX$3,DRIPE!$A$54:$I$82,6,FALSE)+VLOOKUP(BX$3,DRIPE!$A$54:$I$82,9,FALSE))+ ('Inputs-System'!$C$26*'Coincidence Factors'!$B$5*(1+'Inputs-System'!$C$18)*(1+'Inputs-System'!$C$41))+ ('Inputs-System'!$C$26*'Coincidence Factors'!$B$5)*'Inputs-Proposals'!$F$22*VLOOKUP(BX$3,DRIPE!$A$54:$I$80,8,FALSE), $C23= "3", ('Inputs-System'!$C$30*'Coincidence Factors'!$B$5)*('Inputs-Proposals'!$F$29*'Inputs-Proposals'!$F$31*(1-'Inputs-Proposals'!$F$32))*(VLOOKUP(BX$3,DRIPE!$A$54:$I$80,5,FALSE)-VLOOKUP(BX$3,DRIPE!$A$54:$I$80,6,FALSE)+VLOOKUP(BX$3,DRIPE!$A$54:$I$80,9,FALSE))+ ('Inputs-System'!$C$26*'Coincidence Factors'!$B$5*(1+'Inputs-System'!$C$18)*(1+'Inputs-System'!$C$42))*'Inputs-Proposals'!$F$28*VLOOKUP(BX$3,DRIPE!$A$54:$I$80,8,FALSE), $C23 = "0", 0), 0)</f>
        <v>0</v>
      </c>
      <c r="CA23" s="345">
        <f>IFERROR(_xlfn.IFS($C23="1",('Inputs-System'!$C$26*'Coincidence Factors'!$B$5*(1+'Inputs-System'!$C$18)*(1+'Inputs-System'!$C$42))*'Inputs-Proposals'!$F$16*(VLOOKUP(BX$3,Capacity!$A$53:$E$85,4,FALSE)*(1+'Inputs-System'!$C$42)+VLOOKUP(BX$3,Capacity!$A$53:$E$85,5,FALSE)*(1+'Inputs-System'!$C$43)*'Inputs-System'!$C$29), $C23 = "2", ('Inputs-System'!$C$26*'Coincidence Factors'!$B$5*(1+'Inputs-System'!$C$18))*'Inputs-Proposals'!$F$22*(VLOOKUP(BX$3,Capacity!$A$53:$E$85,4,FALSE)*(1+'Inputs-System'!$C$42)+VLOOKUP(BX$3,Capacity!$A$53:$E$85,5,FALSE)*'Inputs-System'!$C$29*(1+'Inputs-System'!$C$43)), $C23 = "3", ('Inputs-System'!$C$26*'Coincidence Factors'!$B$5*(1+'Inputs-System'!$C$18))*'Inputs-Proposals'!$F$28*(VLOOKUP(BX$3,Capacity!$A$53:$E$85,4,FALSE)*(1+'Inputs-System'!$C$42)+VLOOKUP(BX$3,Capacity!$A$53:$E$85,5,FALSE)*'Inputs-System'!$C$29*(1+'Inputs-System'!$C$43)), $C23 = "0", 0), 0)</f>
        <v>0</v>
      </c>
      <c r="CB23" s="100">
        <v>0</v>
      </c>
      <c r="CC23" s="346">
        <f>IFERROR(_xlfn.IFS($C23="1", 'Inputs-System'!$C$30*'Coincidence Factors'!$B$5*'Inputs-Proposals'!$F$17*'Inputs-Proposals'!$F$19*(VLOOKUP(BX$3,'Non-Embedded Emissions'!$A$56:$D$90,2,FALSE)+VLOOKUP(BX$3,'Non-Embedded Emissions'!$A$143:$D$174,2,FALSE)+VLOOKUP(BX$3,'Non-Embedded Emissions'!$A$230:$D$259,2,FALSE)-VLOOKUP(BX$3,'Non-Embedded Emissions'!$A$56:$D$90,3,FALSE)-VLOOKUP(BX$3,'Non-Embedded Emissions'!$A$143:$D$174,3,FALSE)-VLOOKUP(BX$3,'Non-Embedded Emissions'!$A$230:$D$259,3,FALSE)), $C23 = "2", 'Inputs-System'!$C$30*'Coincidence Factors'!$B$5*'Inputs-Proposals'!$F$23*'Inputs-Proposals'!$F$25*(VLOOKUP(BX$3,'Non-Embedded Emissions'!$A$56:$D$90,2,FALSE)+VLOOKUP(BX$3,'Non-Embedded Emissions'!$A$143:$D$174,2,FALSE)+VLOOKUP(BX$3,'Non-Embedded Emissions'!$A$230:$D$259,2,FALSE)-VLOOKUP(BX$3,'Non-Embedded Emissions'!$A$56:$D$90,3,FALSE)-VLOOKUP(BX$3,'Non-Embedded Emissions'!$A$143:$D$174,3,FALSE)-VLOOKUP(BX$3,'Non-Embedded Emissions'!$A$230:$D$259,3,FALSE)), $C23 = "3", 'Inputs-System'!$C$30*'Coincidence Factors'!$B$5*'Inputs-Proposals'!$F$29*'Inputs-Proposals'!$F$31*(VLOOKUP(BX$3,'Non-Embedded Emissions'!$A$56:$D$90,2,FALSE)+VLOOKUP(BX$3,'Non-Embedded Emissions'!$A$143:$D$174,2,FALSE)+VLOOKUP(BX$3,'Non-Embedded Emissions'!$A$230:$D$259,2,FALSE)-VLOOKUP(BX$3,'Non-Embedded Emissions'!$A$56:$D$90,3,FALSE)-VLOOKUP(BX$3,'Non-Embedded Emissions'!$A$143:$D$174,3,FALSE)-VLOOKUP(BX$3,'Non-Embedded Emissions'!$A$230:$D$259,3,FALSE)), $C23 = "0", 0), 0)</f>
        <v>0</v>
      </c>
      <c r="CD23" s="345">
        <f>IFERROR(_xlfn.IFS($C23="1",('Inputs-System'!$C$30*'Coincidence Factors'!$B$5*(1+'Inputs-System'!$C$18)*(1+'Inputs-System'!$C$41)*('Inputs-Proposals'!$F$17*'Inputs-Proposals'!$F$19*(1-'Inputs-Proposals'!$F$20))*(VLOOKUP(CD$3,Energy!$A$51:$K$83,5,FALSE)-VLOOKUP(CD$3,Energy!$A$51:$K$83,6,FALSE))), $C23 = "2",('Inputs-System'!$C$30*'Coincidence Factors'!$B$5)*(1+'Inputs-System'!$C$18)*(1+'Inputs-System'!$C$41)*('Inputs-Proposals'!$F$23*'Inputs-Proposals'!$F$25*(1-'Inputs-Proposals'!$F$26))*(VLOOKUP(CD$3,Energy!$A$51:$K$83,5,FALSE)-VLOOKUP(CD$3,Energy!$A$51:$K$83,6,FALSE)), $C23= "3", ('Inputs-System'!$C$30*'Coincidence Factors'!$B$5*(1+'Inputs-System'!$C$18)*(1+'Inputs-System'!$C$41)*('Inputs-Proposals'!$F$29*'Inputs-Proposals'!$F$31*(1-'Inputs-Proposals'!$F$32))*(VLOOKUP(CD$3,Energy!$A$51:$K$83,5,FALSE)-VLOOKUP(CD$3,Energy!$A$51:$K$83,6,FALSE))), $C23= "0", 0), 0)</f>
        <v>0</v>
      </c>
      <c r="CE23" s="100">
        <f>IFERROR(_xlfn.IFS($C23="1", 'Inputs-System'!$C$30*'Coincidence Factors'!$B$5*(1+'Inputs-System'!$C$18)*(1+'Inputs-System'!$C$41)*'Inputs-Proposals'!$F$17*'Inputs-Proposals'!$F$19*(1-'Inputs-Proposals'!$F$20)*(VLOOKUP(CD$3,'Embedded Emissions'!$A$47:$B$78,2,FALSE)+VLOOKUP(CD$3,'Embedded Emissions'!$A$129:$B$158,2,FALSE)), $C23 = "2",'Inputs-System'!$C$30*'Coincidence Factors'!$B$5*(1+'Inputs-System'!$C$18)*(1+'Inputs-System'!$C$41)*'Inputs-Proposals'!$F$23*'Inputs-Proposals'!$F$25*(1-'Inputs-Proposals'!$F$20)*(VLOOKUP(CD$3,'Embedded Emissions'!$A$47:$B$78,2,FALSE)+VLOOKUP(CD$3,'Embedded Emissions'!$A$129:$B$158,2,FALSE)), $C23 = "3", 'Inputs-System'!$C$30*'Coincidence Factors'!$B$5*(1+'Inputs-System'!$C$18)*(1+'Inputs-System'!$C$41)*'Inputs-Proposals'!$F$29*'Inputs-Proposals'!$F$31*(1-'Inputs-Proposals'!$F$20)*(VLOOKUP(CD$3,'Embedded Emissions'!$A$47:$B$78,2,FALSE)+VLOOKUP(CD$3,'Embedded Emissions'!$A$129:$B$158,2,FALSE)), $C23 = "0", 0), 0)</f>
        <v>0</v>
      </c>
      <c r="CF23" s="100">
        <f>IFERROR(_xlfn.IFS($C23="1",( 'Inputs-System'!$C$30*'Coincidence Factors'!$B$5*(1+'Inputs-System'!$C$18)*(1+'Inputs-System'!$C$41))*('Inputs-Proposals'!$F$17*'Inputs-Proposals'!$F$19*(1-'Inputs-Proposals'!$F$20))*(VLOOKUP(CD$3,DRIPE!$A$54:$I$82,5,FALSE)-VLOOKUP(CD$3,DRIPE!$A$54:$I$82,6,FALSE)+VLOOKUP(CD$3,DRIPE!$A$54:$I$82,9,FALSE))+ ('Inputs-System'!$C$26*'Coincidence Factors'!$B$5*(1+'Inputs-System'!$C$18)*(1+'Inputs-System'!$C$42))*'Inputs-Proposals'!$F$16*VLOOKUP(CD$3,DRIPE!$A$54:$I$80,8,FALSE), $C23 = "2",( 'Inputs-System'!$C$30*'Coincidence Factors'!$B$5*(1+'Inputs-System'!$C$18)*(1+'Inputs-System'!$C$41))*('Inputs-Proposals'!$F$23*'Inputs-Proposals'!$F$25*(1-'Inputs-Proposals'!$F$26))*(VLOOKUP(CD$3,DRIPE!$A$54:$I$82,5,FALSE)-VLOOKUP(CD$3,DRIPE!$A$54:$I$82,6,FALSE)+VLOOKUP(CD$3,DRIPE!$A$54:$I$82,9,FALSE))+ ('Inputs-System'!$C$26*'Coincidence Factors'!$B$5*(1+'Inputs-System'!$C$18)*(1+'Inputs-System'!$C$41))+ ('Inputs-System'!$C$26*'Coincidence Factors'!$B$5)*'Inputs-Proposals'!$F$22*VLOOKUP(CD$3,DRIPE!$A$54:$I$80,8,FALSE), $C23= "3", ('Inputs-System'!$C$30*'Coincidence Factors'!$B$5)*('Inputs-Proposals'!$F$29*'Inputs-Proposals'!$F$31*(1-'Inputs-Proposals'!$F$32))*(VLOOKUP(CD$3,DRIPE!$A$54:$I$80,5,FALSE)-VLOOKUP(CD$3,DRIPE!$A$54:$I$80,6,FALSE)+VLOOKUP(CD$3,DRIPE!$A$54:$I$80,9,FALSE))+ ('Inputs-System'!$C$26*'Coincidence Factors'!$B$5*(1+'Inputs-System'!$C$18)*(1+'Inputs-System'!$C$42))*'Inputs-Proposals'!$F$28*VLOOKUP(CD$3,DRIPE!$A$54:$I$80,8,FALSE), $C23 = "0", 0), 0)</f>
        <v>0</v>
      </c>
      <c r="CG23" s="345">
        <f>IFERROR(_xlfn.IFS($C23="1",('Inputs-System'!$C$26*'Coincidence Factors'!$B$5*(1+'Inputs-System'!$C$18)*(1+'Inputs-System'!$C$42))*'Inputs-Proposals'!$F$16*(VLOOKUP(CD$3,Capacity!$A$53:$E$85,4,FALSE)*(1+'Inputs-System'!$C$42)+VLOOKUP(CD$3,Capacity!$A$53:$E$85,5,FALSE)*(1+'Inputs-System'!$C$43)*'Inputs-System'!$C$29), $C23 = "2", ('Inputs-System'!$C$26*'Coincidence Factors'!$B$5*(1+'Inputs-System'!$C$18))*'Inputs-Proposals'!$F$22*(VLOOKUP(CD$3,Capacity!$A$53:$E$85,4,FALSE)*(1+'Inputs-System'!$C$42)+VLOOKUP(CD$3,Capacity!$A$53:$E$85,5,FALSE)*'Inputs-System'!$C$29*(1+'Inputs-System'!$C$43)), $C23 = "3", ('Inputs-System'!$C$26*'Coincidence Factors'!$B$5*(1+'Inputs-System'!$C$18))*'Inputs-Proposals'!$F$28*(VLOOKUP(CD$3,Capacity!$A$53:$E$85,4,FALSE)*(1+'Inputs-System'!$C$42)+VLOOKUP(CD$3,Capacity!$A$53:$E$85,5,FALSE)*'Inputs-System'!$C$29*(1+'Inputs-System'!$C$43)), $C23 = "0", 0), 0)</f>
        <v>0</v>
      </c>
      <c r="CH23" s="100">
        <v>0</v>
      </c>
      <c r="CI23" s="346">
        <f>IFERROR(_xlfn.IFS($C23="1", 'Inputs-System'!$C$30*'Coincidence Factors'!$B$5*'Inputs-Proposals'!$F$17*'Inputs-Proposals'!$F$19*(VLOOKUP(CD$3,'Non-Embedded Emissions'!$A$56:$D$90,2,FALSE)+VLOOKUP(CD$3,'Non-Embedded Emissions'!$A$143:$D$174,2,FALSE)+VLOOKUP(CD$3,'Non-Embedded Emissions'!$A$230:$D$259,2,FALSE)-VLOOKUP(CD$3,'Non-Embedded Emissions'!$A$56:$D$90,3,FALSE)-VLOOKUP(CD$3,'Non-Embedded Emissions'!$A$143:$D$174,3,FALSE)-VLOOKUP(CD$3,'Non-Embedded Emissions'!$A$230:$D$259,3,FALSE)), $C23 = "2", 'Inputs-System'!$C$30*'Coincidence Factors'!$B$5*'Inputs-Proposals'!$F$23*'Inputs-Proposals'!$F$25*(VLOOKUP(CD$3,'Non-Embedded Emissions'!$A$56:$D$90,2,FALSE)+VLOOKUP(CD$3,'Non-Embedded Emissions'!$A$143:$D$174,2,FALSE)+VLOOKUP(CD$3,'Non-Embedded Emissions'!$A$230:$D$259,2,FALSE)-VLOOKUP(CD$3,'Non-Embedded Emissions'!$A$56:$D$90,3,FALSE)-VLOOKUP(CD$3,'Non-Embedded Emissions'!$A$143:$D$174,3,FALSE)-VLOOKUP(CD$3,'Non-Embedded Emissions'!$A$230:$D$259,3,FALSE)), $C23 = "3", 'Inputs-System'!$C$30*'Coincidence Factors'!$B$5*'Inputs-Proposals'!$F$29*'Inputs-Proposals'!$F$31*(VLOOKUP(CD$3,'Non-Embedded Emissions'!$A$56:$D$90,2,FALSE)+VLOOKUP(CD$3,'Non-Embedded Emissions'!$A$143:$D$174,2,FALSE)+VLOOKUP(CD$3,'Non-Embedded Emissions'!$A$230:$D$259,2,FALSE)-VLOOKUP(CD$3,'Non-Embedded Emissions'!$A$56:$D$90,3,FALSE)-VLOOKUP(CD$3,'Non-Embedded Emissions'!$A$143:$D$174,3,FALSE)-VLOOKUP(CD$3,'Non-Embedded Emissions'!$A$230:$D$259,3,FALSE)), $C23 = "0", 0), 0)</f>
        <v>0</v>
      </c>
      <c r="CJ23" s="345">
        <f>IFERROR(_xlfn.IFS($C23="1",('Inputs-System'!$C$30*'Coincidence Factors'!$B$5*(1+'Inputs-System'!$C$18)*(1+'Inputs-System'!$C$41)*('Inputs-Proposals'!$F$17*'Inputs-Proposals'!$F$19*(1-'Inputs-Proposals'!$F$20))*(VLOOKUP(CJ$3,Energy!$A$51:$K$83,5,FALSE)-VLOOKUP(CJ$3,Energy!$A$51:$K$83,6,FALSE))), $C23 = "2",('Inputs-System'!$C$30*'Coincidence Factors'!$B$5)*(1+'Inputs-System'!$C$18)*(1+'Inputs-System'!$C$41)*('Inputs-Proposals'!$F$23*'Inputs-Proposals'!$F$25*(1-'Inputs-Proposals'!$F$26))*(VLOOKUP(CJ$3,Energy!$A$51:$K$83,5,FALSE)-VLOOKUP(CJ$3,Energy!$A$51:$K$83,6,FALSE)), $C23= "3", ('Inputs-System'!$C$30*'Coincidence Factors'!$B$5*(1+'Inputs-System'!$C$18)*(1+'Inputs-System'!$C$41)*('Inputs-Proposals'!$F$29*'Inputs-Proposals'!$F$31*(1-'Inputs-Proposals'!$F$32))*(VLOOKUP(CJ$3,Energy!$A$51:$K$83,5,FALSE)-VLOOKUP(CJ$3,Energy!$A$51:$K$83,6,FALSE))), $C23= "0", 0), 0)</f>
        <v>0</v>
      </c>
      <c r="CK23" s="100">
        <f>IFERROR(_xlfn.IFS($C23="1", 'Inputs-System'!$C$30*'Coincidence Factors'!$B$5*(1+'Inputs-System'!$C$18)*(1+'Inputs-System'!$C$41)*'Inputs-Proposals'!$F$17*'Inputs-Proposals'!$F$19*(1-'Inputs-Proposals'!$F$20)*(VLOOKUP(CJ$3,'Embedded Emissions'!$A$47:$B$78,2,FALSE)+VLOOKUP(CJ$3,'Embedded Emissions'!$A$129:$B$158,2,FALSE)), $C23 = "2",'Inputs-System'!$C$30*'Coincidence Factors'!$B$5*(1+'Inputs-System'!$C$18)*(1+'Inputs-System'!$C$41)*'Inputs-Proposals'!$F$23*'Inputs-Proposals'!$F$25*(1-'Inputs-Proposals'!$F$20)*(VLOOKUP(CJ$3,'Embedded Emissions'!$A$47:$B$78,2,FALSE)+VLOOKUP(CJ$3,'Embedded Emissions'!$A$129:$B$158,2,FALSE)), $C23 = "3", 'Inputs-System'!$C$30*'Coincidence Factors'!$B$5*(1+'Inputs-System'!$C$18)*(1+'Inputs-System'!$C$41)*'Inputs-Proposals'!$F$29*'Inputs-Proposals'!$F$31*(1-'Inputs-Proposals'!$F$20)*(VLOOKUP(CJ$3,'Embedded Emissions'!$A$47:$B$78,2,FALSE)+VLOOKUP(CJ$3,'Embedded Emissions'!$A$129:$B$158,2,FALSE)), $C23 = "0", 0), 0)</f>
        <v>0</v>
      </c>
      <c r="CL23" s="100">
        <f>IFERROR(_xlfn.IFS($C23="1",( 'Inputs-System'!$C$30*'Coincidence Factors'!$B$5*(1+'Inputs-System'!$C$18)*(1+'Inputs-System'!$C$41))*('Inputs-Proposals'!$F$17*'Inputs-Proposals'!$F$19*(1-'Inputs-Proposals'!$F$20))*(VLOOKUP(CJ$3,DRIPE!$A$54:$I$82,5,FALSE)-VLOOKUP(CJ$3,DRIPE!$A$54:$I$82,6,FALSE)+VLOOKUP(CJ$3,DRIPE!$A$54:$I$82,9,FALSE))+ ('Inputs-System'!$C$26*'Coincidence Factors'!$B$5*(1+'Inputs-System'!$C$18)*(1+'Inputs-System'!$C$42))*'Inputs-Proposals'!$F$16*VLOOKUP(CJ$3,DRIPE!$A$54:$I$80,8,FALSE), $C23 = "2",( 'Inputs-System'!$C$30*'Coincidence Factors'!$B$5*(1+'Inputs-System'!$C$18)*(1+'Inputs-System'!$C$41))*('Inputs-Proposals'!$F$23*'Inputs-Proposals'!$F$25*(1-'Inputs-Proposals'!$F$26))*(VLOOKUP(CJ$3,DRIPE!$A$54:$I$82,5,FALSE)-VLOOKUP(CJ$3,DRIPE!$A$54:$I$82,6,FALSE)+VLOOKUP(CJ$3,DRIPE!$A$54:$I$82,9,FALSE))+ ('Inputs-System'!$C$26*'Coincidence Factors'!$B$5*(1+'Inputs-System'!$C$18)*(1+'Inputs-System'!$C$41))+ ('Inputs-System'!$C$26*'Coincidence Factors'!$B$5)*'Inputs-Proposals'!$F$22*VLOOKUP(CJ$3,DRIPE!$A$54:$I$80,8,FALSE), $C23= "3", ('Inputs-System'!$C$30*'Coincidence Factors'!$B$5)*('Inputs-Proposals'!$F$29*'Inputs-Proposals'!$F$31*(1-'Inputs-Proposals'!$F$32))*(VLOOKUP(CJ$3,DRIPE!$A$54:$I$80,5,FALSE)-VLOOKUP(CJ$3,DRIPE!$A$54:$I$80,6,FALSE)+VLOOKUP(CJ$3,DRIPE!$A$54:$I$80,9,FALSE))+ ('Inputs-System'!$C$26*'Coincidence Factors'!$B$5*(1+'Inputs-System'!$C$18)*(1+'Inputs-System'!$C$42))*'Inputs-Proposals'!$F$28*VLOOKUP(CJ$3,DRIPE!$A$54:$I$80,8,FALSE), $C23 = "0", 0), 0)</f>
        <v>0</v>
      </c>
      <c r="CM23" s="345">
        <f>IFERROR(_xlfn.IFS($C23="1",('Inputs-System'!$C$26*'Coincidence Factors'!$B$5*(1+'Inputs-System'!$C$18)*(1+'Inputs-System'!$C$42))*'Inputs-Proposals'!$F$16*(VLOOKUP(CJ$3,Capacity!$A$53:$E$85,4,FALSE)*(1+'Inputs-System'!$C$42)+VLOOKUP(CJ$3,Capacity!$A$53:$E$85,5,FALSE)*(1+'Inputs-System'!$C$43)*'Inputs-System'!$C$29), $C23 = "2", ('Inputs-System'!$C$26*'Coincidence Factors'!$B$5*(1+'Inputs-System'!$C$18))*'Inputs-Proposals'!$F$22*(VLOOKUP(CJ$3,Capacity!$A$53:$E$85,4,FALSE)*(1+'Inputs-System'!$C$42)+VLOOKUP(CJ$3,Capacity!$A$53:$E$85,5,FALSE)*'Inputs-System'!$C$29*(1+'Inputs-System'!$C$43)), $C23 = "3", ('Inputs-System'!$C$26*'Coincidence Factors'!$B$5*(1+'Inputs-System'!$C$18))*'Inputs-Proposals'!$F$28*(VLOOKUP(CJ$3,Capacity!$A$53:$E$85,4,FALSE)*(1+'Inputs-System'!$C$42)+VLOOKUP(CJ$3,Capacity!$A$53:$E$85,5,FALSE)*'Inputs-System'!$C$29*(1+'Inputs-System'!$C$43)), $C23 = "0", 0), 0)</f>
        <v>0</v>
      </c>
      <c r="CN23" s="100">
        <v>0</v>
      </c>
      <c r="CO23" s="346">
        <f>IFERROR(_xlfn.IFS($C23="1", 'Inputs-System'!$C$30*'Coincidence Factors'!$B$5*'Inputs-Proposals'!$F$17*'Inputs-Proposals'!$F$19*(VLOOKUP(CJ$3,'Non-Embedded Emissions'!$A$56:$D$90,2,FALSE)+VLOOKUP(CJ$3,'Non-Embedded Emissions'!$A$143:$D$174,2,FALSE)+VLOOKUP(CJ$3,'Non-Embedded Emissions'!$A$230:$D$259,2,FALSE)-VLOOKUP(CJ$3,'Non-Embedded Emissions'!$A$56:$D$90,3,FALSE)-VLOOKUP(CJ$3,'Non-Embedded Emissions'!$A$143:$D$174,3,FALSE)-VLOOKUP(CJ$3,'Non-Embedded Emissions'!$A$230:$D$259,3,FALSE)), $C23 = "2", 'Inputs-System'!$C$30*'Coincidence Factors'!$B$5*'Inputs-Proposals'!$F$23*'Inputs-Proposals'!$F$25*(VLOOKUP(CJ$3,'Non-Embedded Emissions'!$A$56:$D$90,2,FALSE)+VLOOKUP(CJ$3,'Non-Embedded Emissions'!$A$143:$D$174,2,FALSE)+VLOOKUP(CJ$3,'Non-Embedded Emissions'!$A$230:$D$259,2,FALSE)-VLOOKUP(CJ$3,'Non-Embedded Emissions'!$A$56:$D$90,3,FALSE)-VLOOKUP(CJ$3,'Non-Embedded Emissions'!$A$143:$D$174,3,FALSE)-VLOOKUP(CJ$3,'Non-Embedded Emissions'!$A$230:$D$259,3,FALSE)), $C23 = "3", 'Inputs-System'!$C$30*'Coincidence Factors'!$B$5*'Inputs-Proposals'!$F$29*'Inputs-Proposals'!$F$31*(VLOOKUP(CJ$3,'Non-Embedded Emissions'!$A$56:$D$90,2,FALSE)+VLOOKUP(CJ$3,'Non-Embedded Emissions'!$A$143:$D$174,2,FALSE)+VLOOKUP(CJ$3,'Non-Embedded Emissions'!$A$230:$D$259,2,FALSE)-VLOOKUP(CJ$3,'Non-Embedded Emissions'!$A$56:$D$90,3,FALSE)-VLOOKUP(CJ$3,'Non-Embedded Emissions'!$A$143:$D$174,3,FALSE)-VLOOKUP(CJ$3,'Non-Embedded Emissions'!$A$230:$D$259,3,FALSE)), $C23 = "0", 0), 0)</f>
        <v>0</v>
      </c>
      <c r="CP23" s="345">
        <f>IFERROR(_xlfn.IFS($C23="1",('Inputs-System'!$C$30*'Coincidence Factors'!$B$5*(1+'Inputs-System'!$C$18)*(1+'Inputs-System'!$C$41)*('Inputs-Proposals'!$F$17*'Inputs-Proposals'!$F$19*(1-'Inputs-Proposals'!$F$20))*(VLOOKUP(CP$3,Energy!$A$51:$K$83,5,FALSE)-VLOOKUP(CP$3,Energy!$A$51:$K$83,6,FALSE))), $C23 = "2",('Inputs-System'!$C$30*'Coincidence Factors'!$B$5)*(1+'Inputs-System'!$C$18)*(1+'Inputs-System'!$C$41)*('Inputs-Proposals'!$F$23*'Inputs-Proposals'!$F$25*(1-'Inputs-Proposals'!$F$26))*(VLOOKUP(CP$3,Energy!$A$51:$K$83,5,FALSE)-VLOOKUP(CP$3,Energy!$A$51:$K$83,6,FALSE)), $C23= "3", ('Inputs-System'!$C$30*'Coincidence Factors'!$B$5*(1+'Inputs-System'!$C$18)*(1+'Inputs-System'!$C$41)*('Inputs-Proposals'!$F$29*'Inputs-Proposals'!$F$31*(1-'Inputs-Proposals'!$F$32))*(VLOOKUP(CP$3,Energy!$A$51:$K$83,5,FALSE)-VLOOKUP(CP$3,Energy!$A$51:$K$83,6,FALSE))), $C23= "0", 0), 0)</f>
        <v>0</v>
      </c>
      <c r="CQ23" s="100">
        <f>IFERROR(_xlfn.IFS($C23="1", 'Inputs-System'!$C$30*'Coincidence Factors'!$B$5*(1+'Inputs-System'!$C$18)*(1+'Inputs-System'!$C$41)*'Inputs-Proposals'!$F$17*'Inputs-Proposals'!$F$19*(1-'Inputs-Proposals'!$F$20)*(VLOOKUP(CP$3,'Embedded Emissions'!$A$47:$B$78,2,FALSE)+VLOOKUP(CP$3,'Embedded Emissions'!$A$129:$B$158,2,FALSE)), $C23 = "2",'Inputs-System'!$C$30*'Coincidence Factors'!$B$5*(1+'Inputs-System'!$C$18)*(1+'Inputs-System'!$C$41)*'Inputs-Proposals'!$F$23*'Inputs-Proposals'!$F$25*(1-'Inputs-Proposals'!$F$20)*(VLOOKUP(CP$3,'Embedded Emissions'!$A$47:$B$78,2,FALSE)+VLOOKUP(CP$3,'Embedded Emissions'!$A$129:$B$158,2,FALSE)), $C23 = "3", 'Inputs-System'!$C$30*'Coincidence Factors'!$B$5*(1+'Inputs-System'!$C$18)*(1+'Inputs-System'!$C$41)*'Inputs-Proposals'!$F$29*'Inputs-Proposals'!$F$31*(1-'Inputs-Proposals'!$F$20)*(VLOOKUP(CP$3,'Embedded Emissions'!$A$47:$B$78,2,FALSE)+VLOOKUP(CP$3,'Embedded Emissions'!$A$129:$B$158,2,FALSE)), $C23 = "0", 0), 0)</f>
        <v>0</v>
      </c>
      <c r="CR23" s="100">
        <f>IFERROR(_xlfn.IFS($C23="1",( 'Inputs-System'!$C$30*'Coincidence Factors'!$B$5*(1+'Inputs-System'!$C$18)*(1+'Inputs-System'!$C$41))*('Inputs-Proposals'!$F$17*'Inputs-Proposals'!$F$19*(1-'Inputs-Proposals'!$F$20))*(VLOOKUP(CP$3,DRIPE!$A$54:$I$82,5,FALSE)-VLOOKUP(CP$3,DRIPE!$A$54:$I$82,6,FALSE)+VLOOKUP(CP$3,DRIPE!$A$54:$I$82,9,FALSE))+ ('Inputs-System'!$C$26*'Coincidence Factors'!$B$5*(1+'Inputs-System'!$C$18)*(1+'Inputs-System'!$C$42))*'Inputs-Proposals'!$F$16*VLOOKUP(CP$3,DRIPE!$A$54:$I$80,8,FALSE), $C23 = "2",( 'Inputs-System'!$C$30*'Coincidence Factors'!$B$5*(1+'Inputs-System'!$C$18)*(1+'Inputs-System'!$C$41))*('Inputs-Proposals'!$F$23*'Inputs-Proposals'!$F$25*(1-'Inputs-Proposals'!$F$26))*(VLOOKUP(CP$3,DRIPE!$A$54:$I$82,5,FALSE)-VLOOKUP(CP$3,DRIPE!$A$54:$I$82,6,FALSE)+VLOOKUP(CP$3,DRIPE!$A$54:$I$82,9,FALSE))+ ('Inputs-System'!$C$26*'Coincidence Factors'!$B$5*(1+'Inputs-System'!$C$18)*(1+'Inputs-System'!$C$41))+ ('Inputs-System'!$C$26*'Coincidence Factors'!$B$5)*'Inputs-Proposals'!$F$22*VLOOKUP(CP$3,DRIPE!$A$54:$I$80,8,FALSE), $C23= "3", ('Inputs-System'!$C$30*'Coincidence Factors'!$B$5)*('Inputs-Proposals'!$F$29*'Inputs-Proposals'!$F$31*(1-'Inputs-Proposals'!$F$32))*(VLOOKUP(CP$3,DRIPE!$A$54:$I$80,5,FALSE)-VLOOKUP(CP$3,DRIPE!$A$54:$I$80,6,FALSE)+VLOOKUP(CP$3,DRIPE!$A$54:$I$80,9,FALSE))+ ('Inputs-System'!$C$26*'Coincidence Factors'!$B$5*(1+'Inputs-System'!$C$18)*(1+'Inputs-System'!$C$42))*'Inputs-Proposals'!$F$28*VLOOKUP(CP$3,DRIPE!$A$54:$I$80,8,FALSE), $C23 = "0", 0), 0)</f>
        <v>0</v>
      </c>
      <c r="CS23" s="345">
        <f>IFERROR(_xlfn.IFS($C23="1",('Inputs-System'!$C$26*'Coincidence Factors'!$B$5*(1+'Inputs-System'!$C$18)*(1+'Inputs-System'!$C$42))*'Inputs-Proposals'!$F$16*(VLOOKUP(CP$3,Capacity!$A$53:$E$85,4,FALSE)*(1+'Inputs-System'!$C$42)+VLOOKUP(CP$3,Capacity!$A$53:$E$85,5,FALSE)*(1+'Inputs-System'!$C$43)*'Inputs-System'!$C$29), $C23 = "2", ('Inputs-System'!$C$26*'Coincidence Factors'!$B$5*(1+'Inputs-System'!$C$18))*'Inputs-Proposals'!$F$22*(VLOOKUP(CP$3,Capacity!$A$53:$E$85,4,FALSE)*(1+'Inputs-System'!$C$42)+VLOOKUP(CP$3,Capacity!$A$53:$E$85,5,FALSE)*'Inputs-System'!$C$29*(1+'Inputs-System'!$C$43)), $C23 = "3", ('Inputs-System'!$C$26*'Coincidence Factors'!$B$5*(1+'Inputs-System'!$C$18))*'Inputs-Proposals'!$F$28*(VLOOKUP(CP$3,Capacity!$A$53:$E$85,4,FALSE)*(1+'Inputs-System'!$C$42)+VLOOKUP(CP$3,Capacity!$A$53:$E$85,5,FALSE)*'Inputs-System'!$C$29*(1+'Inputs-System'!$C$43)), $C23 = "0", 0), 0)</f>
        <v>0</v>
      </c>
      <c r="CT23" s="100">
        <v>0</v>
      </c>
      <c r="CU23" s="346">
        <f>IFERROR(_xlfn.IFS($C23="1", 'Inputs-System'!$C$30*'Coincidence Factors'!$B$5*'Inputs-Proposals'!$F$17*'Inputs-Proposals'!$F$19*(VLOOKUP(CP$3,'Non-Embedded Emissions'!$A$56:$D$90,2,FALSE)+VLOOKUP(CP$3,'Non-Embedded Emissions'!$A$143:$D$174,2,FALSE)+VLOOKUP(CP$3,'Non-Embedded Emissions'!$A$230:$D$259,2,FALSE)-VLOOKUP(CP$3,'Non-Embedded Emissions'!$A$56:$D$90,3,FALSE)-VLOOKUP(CP$3,'Non-Embedded Emissions'!$A$143:$D$174,3,FALSE)-VLOOKUP(CP$3,'Non-Embedded Emissions'!$A$230:$D$259,3,FALSE)), $C23 = "2", 'Inputs-System'!$C$30*'Coincidence Factors'!$B$5*'Inputs-Proposals'!$F$23*'Inputs-Proposals'!$F$25*(VLOOKUP(CP$3,'Non-Embedded Emissions'!$A$56:$D$90,2,FALSE)+VLOOKUP(CP$3,'Non-Embedded Emissions'!$A$143:$D$174,2,FALSE)+VLOOKUP(CP$3,'Non-Embedded Emissions'!$A$230:$D$259,2,FALSE)-VLOOKUP(CP$3,'Non-Embedded Emissions'!$A$56:$D$90,3,FALSE)-VLOOKUP(CP$3,'Non-Embedded Emissions'!$A$143:$D$174,3,FALSE)-VLOOKUP(CP$3,'Non-Embedded Emissions'!$A$230:$D$259,3,FALSE)), $C23 = "3", 'Inputs-System'!$C$30*'Coincidence Factors'!$B$5*'Inputs-Proposals'!$F$29*'Inputs-Proposals'!$F$31*(VLOOKUP(CP$3,'Non-Embedded Emissions'!$A$56:$D$90,2,FALSE)+VLOOKUP(CP$3,'Non-Embedded Emissions'!$A$143:$D$174,2,FALSE)+VLOOKUP(CP$3,'Non-Embedded Emissions'!$A$230:$D$259,2,FALSE)-VLOOKUP(CP$3,'Non-Embedded Emissions'!$A$56:$D$90,3,FALSE)-VLOOKUP(CP$3,'Non-Embedded Emissions'!$A$143:$D$174,3,FALSE)-VLOOKUP(CP$3,'Non-Embedded Emissions'!$A$230:$D$259,3,FALSE)), $C23 = "0", 0), 0)</f>
        <v>0</v>
      </c>
      <c r="CV23" s="345">
        <f>IFERROR(_xlfn.IFS($C23="1",('Inputs-System'!$C$30*'Coincidence Factors'!$B$5*(1+'Inputs-System'!$C$18)*(1+'Inputs-System'!$C$41)*('Inputs-Proposals'!$F$17*'Inputs-Proposals'!$F$19*(1-'Inputs-Proposals'!$F$20))*(VLOOKUP(CV$3,Energy!$A$51:$K$83,5,FALSE)-VLOOKUP(CV$3,Energy!$A$51:$K$83,6,FALSE))), $C23 = "2",('Inputs-System'!$C$30*'Coincidence Factors'!$B$5)*(1+'Inputs-System'!$C$18)*(1+'Inputs-System'!$C$41)*('Inputs-Proposals'!$F$23*'Inputs-Proposals'!$F$25*(1-'Inputs-Proposals'!$F$26))*(VLOOKUP(CV$3,Energy!$A$51:$K$83,5,FALSE)-VLOOKUP(CV$3,Energy!$A$51:$K$83,6,FALSE)), $C23= "3", ('Inputs-System'!$C$30*'Coincidence Factors'!$B$5*(1+'Inputs-System'!$C$18)*(1+'Inputs-System'!$C$41)*('Inputs-Proposals'!$F$29*'Inputs-Proposals'!$F$31*(1-'Inputs-Proposals'!$F$32))*(VLOOKUP(CV$3,Energy!$A$51:$K$83,5,FALSE)-VLOOKUP(CV$3,Energy!$A$51:$K$83,6,FALSE))), $C23= "0", 0), 0)</f>
        <v>0</v>
      </c>
      <c r="CW23" s="100">
        <f>IFERROR(_xlfn.IFS($C23="1", 'Inputs-System'!$C$30*'Coincidence Factors'!$B$5*(1+'Inputs-System'!$C$18)*(1+'Inputs-System'!$C$41)*'Inputs-Proposals'!$F$17*'Inputs-Proposals'!$F$19*(1-'Inputs-Proposals'!$F$20)*(VLOOKUP(CV$3,'Embedded Emissions'!$A$47:$B$78,2,FALSE)+VLOOKUP(CV$3,'Embedded Emissions'!$A$129:$B$158,2,FALSE)), $C23 = "2",'Inputs-System'!$C$30*'Coincidence Factors'!$B$5*(1+'Inputs-System'!$C$18)*(1+'Inputs-System'!$C$41)*'Inputs-Proposals'!$F$23*'Inputs-Proposals'!$F$25*(1-'Inputs-Proposals'!$F$20)*(VLOOKUP(CV$3,'Embedded Emissions'!$A$47:$B$78,2,FALSE)+VLOOKUP(CV$3,'Embedded Emissions'!$A$129:$B$158,2,FALSE)), $C23 = "3", 'Inputs-System'!$C$30*'Coincidence Factors'!$B$5*(1+'Inputs-System'!$C$18)*(1+'Inputs-System'!$C$41)*'Inputs-Proposals'!$F$29*'Inputs-Proposals'!$F$31*(1-'Inputs-Proposals'!$F$20)*(VLOOKUP(CV$3,'Embedded Emissions'!$A$47:$B$78,2,FALSE)+VLOOKUP(CV$3,'Embedded Emissions'!$A$129:$B$158,2,FALSE)), $C23 = "0", 0), 0)</f>
        <v>0</v>
      </c>
      <c r="CX23" s="100">
        <f>IFERROR(_xlfn.IFS($C23="1",( 'Inputs-System'!$C$30*'Coincidence Factors'!$B$5*(1+'Inputs-System'!$C$18)*(1+'Inputs-System'!$C$41))*('Inputs-Proposals'!$F$17*'Inputs-Proposals'!$F$19*(1-'Inputs-Proposals'!$F$20))*(VLOOKUP(CV$3,DRIPE!$A$54:$I$82,5,FALSE)-VLOOKUP(CV$3,DRIPE!$A$54:$I$82,6,FALSE)+VLOOKUP(CV$3,DRIPE!$A$54:$I$82,9,FALSE))+ ('Inputs-System'!$C$26*'Coincidence Factors'!$B$5*(1+'Inputs-System'!$C$18)*(1+'Inputs-System'!$C$42))*'Inputs-Proposals'!$F$16*VLOOKUP(CV$3,DRIPE!$A$54:$I$80,8,FALSE), $C23 = "2",( 'Inputs-System'!$C$30*'Coincidence Factors'!$B$5*(1+'Inputs-System'!$C$18)*(1+'Inputs-System'!$C$41))*('Inputs-Proposals'!$F$23*'Inputs-Proposals'!$F$25*(1-'Inputs-Proposals'!$F$26))*(VLOOKUP(CV$3,DRIPE!$A$54:$I$82,5,FALSE)-VLOOKUP(CV$3,DRIPE!$A$54:$I$82,6,FALSE)+VLOOKUP(CV$3,DRIPE!$A$54:$I$82,9,FALSE))+ ('Inputs-System'!$C$26*'Coincidence Factors'!$B$5*(1+'Inputs-System'!$C$18)*(1+'Inputs-System'!$C$41))+ ('Inputs-System'!$C$26*'Coincidence Factors'!$B$5)*'Inputs-Proposals'!$F$22*VLOOKUP(CV$3,DRIPE!$A$54:$I$80,8,FALSE), $C23= "3", ('Inputs-System'!$C$30*'Coincidence Factors'!$B$5)*('Inputs-Proposals'!$F$29*'Inputs-Proposals'!$F$31*(1-'Inputs-Proposals'!$F$32))*(VLOOKUP(CV$3,DRIPE!$A$54:$I$80,5,FALSE)-VLOOKUP(CV$3,DRIPE!$A$54:$I$80,6,FALSE)+VLOOKUP(CV$3,DRIPE!$A$54:$I$80,9,FALSE))+ ('Inputs-System'!$C$26*'Coincidence Factors'!$B$5*(1+'Inputs-System'!$C$18)*(1+'Inputs-System'!$C$42))*'Inputs-Proposals'!$F$28*VLOOKUP(CV$3,DRIPE!$A$54:$I$80,8,FALSE), $C23 = "0", 0), 0)</f>
        <v>0</v>
      </c>
      <c r="CY23" s="345">
        <f>IFERROR(_xlfn.IFS($C23="1",('Inputs-System'!$C$26*'Coincidence Factors'!$B$5*(1+'Inputs-System'!$C$18)*(1+'Inputs-System'!$C$42))*'Inputs-Proposals'!$F$16*(VLOOKUP(CV$3,Capacity!$A$53:$E$85,4,FALSE)*(1+'Inputs-System'!$C$42)+VLOOKUP(CV$3,Capacity!$A$53:$E$85,5,FALSE)*(1+'Inputs-System'!$C$43)*'Inputs-System'!$C$29), $C23 = "2", ('Inputs-System'!$C$26*'Coincidence Factors'!$B$5*(1+'Inputs-System'!$C$18))*'Inputs-Proposals'!$F$22*(VLOOKUP(CV$3,Capacity!$A$53:$E$85,4,FALSE)*(1+'Inputs-System'!$C$42)+VLOOKUP(CV$3,Capacity!$A$53:$E$85,5,FALSE)*'Inputs-System'!$C$29*(1+'Inputs-System'!$C$43)), $C23 = "3", ('Inputs-System'!$C$26*'Coincidence Factors'!$B$5*(1+'Inputs-System'!$C$18))*'Inputs-Proposals'!$F$28*(VLOOKUP(CV$3,Capacity!$A$53:$E$85,4,FALSE)*(1+'Inputs-System'!$C$42)+VLOOKUP(CV$3,Capacity!$A$53:$E$85,5,FALSE)*'Inputs-System'!$C$29*(1+'Inputs-System'!$C$43)), $C23 = "0", 0), 0)</f>
        <v>0</v>
      </c>
      <c r="CZ23" s="100">
        <v>0</v>
      </c>
      <c r="DA23" s="346">
        <f>IFERROR(_xlfn.IFS($C23="1", 'Inputs-System'!$C$30*'Coincidence Factors'!$B$5*'Inputs-Proposals'!$F$17*'Inputs-Proposals'!$F$19*(VLOOKUP(CV$3,'Non-Embedded Emissions'!$A$56:$D$90,2,FALSE)+VLOOKUP(CV$3,'Non-Embedded Emissions'!$A$143:$D$174,2,FALSE)+VLOOKUP(CV$3,'Non-Embedded Emissions'!$A$230:$D$259,2,FALSE)-VLOOKUP(CV$3,'Non-Embedded Emissions'!$A$56:$D$90,3,FALSE)-VLOOKUP(CV$3,'Non-Embedded Emissions'!$A$143:$D$174,3,FALSE)-VLOOKUP(CV$3,'Non-Embedded Emissions'!$A$230:$D$259,3,FALSE)), $C23 = "2", 'Inputs-System'!$C$30*'Coincidence Factors'!$B$5*'Inputs-Proposals'!$F$23*'Inputs-Proposals'!$F$25*(VLOOKUP(CV$3,'Non-Embedded Emissions'!$A$56:$D$90,2,FALSE)+VLOOKUP(CV$3,'Non-Embedded Emissions'!$A$143:$D$174,2,FALSE)+VLOOKUP(CV$3,'Non-Embedded Emissions'!$A$230:$D$259,2,FALSE)-VLOOKUP(CV$3,'Non-Embedded Emissions'!$A$56:$D$90,3,FALSE)-VLOOKUP(CV$3,'Non-Embedded Emissions'!$A$143:$D$174,3,FALSE)-VLOOKUP(CV$3,'Non-Embedded Emissions'!$A$230:$D$259,3,FALSE)), $C23 = "3", 'Inputs-System'!$C$30*'Coincidence Factors'!$B$5*'Inputs-Proposals'!$F$29*'Inputs-Proposals'!$F$31*(VLOOKUP(CV$3,'Non-Embedded Emissions'!$A$56:$D$90,2,FALSE)+VLOOKUP(CV$3,'Non-Embedded Emissions'!$A$143:$D$174,2,FALSE)+VLOOKUP(CV$3,'Non-Embedded Emissions'!$A$230:$D$259,2,FALSE)-VLOOKUP(CV$3,'Non-Embedded Emissions'!$A$56:$D$90,3,FALSE)-VLOOKUP(CV$3,'Non-Embedded Emissions'!$A$143:$D$174,3,FALSE)-VLOOKUP(CV$3,'Non-Embedded Emissions'!$A$230:$D$259,3,FALSE)), $C23 = "0", 0), 0)</f>
        <v>0</v>
      </c>
      <c r="DB23" s="345">
        <f>IFERROR(_xlfn.IFS($C23="1",('Inputs-System'!$C$30*'Coincidence Factors'!$B$5*(1+'Inputs-System'!$C$18)*(1+'Inputs-System'!$C$41)*('Inputs-Proposals'!$F$17*'Inputs-Proposals'!$F$19*(1-'Inputs-Proposals'!$F$20))*(VLOOKUP(DB$3,Energy!$A$51:$K$83,5,FALSE)-VLOOKUP(DB$3,Energy!$A$51:$K$83,6,FALSE))), $C23 = "2",('Inputs-System'!$C$30*'Coincidence Factors'!$B$5)*(1+'Inputs-System'!$C$18)*(1+'Inputs-System'!$C$41)*('Inputs-Proposals'!$F$23*'Inputs-Proposals'!$F$25*(1-'Inputs-Proposals'!$F$26))*(VLOOKUP(DB$3,Energy!$A$51:$K$83,5,FALSE)-VLOOKUP(DB$3,Energy!$A$51:$K$83,6,FALSE)), $C23= "3", ('Inputs-System'!$C$30*'Coincidence Factors'!$B$5*(1+'Inputs-System'!$C$18)*(1+'Inputs-System'!$C$41)*('Inputs-Proposals'!$F$29*'Inputs-Proposals'!$F$31*(1-'Inputs-Proposals'!$F$32))*(VLOOKUP(DB$3,Energy!$A$51:$K$83,5,FALSE)-VLOOKUP(DB$3,Energy!$A$51:$K$83,6,FALSE))), $C23= "0", 0), 0)</f>
        <v>0</v>
      </c>
      <c r="DC23" s="100">
        <f>IFERROR(_xlfn.IFS($C23="1", 'Inputs-System'!$C$30*'Coincidence Factors'!$B$5*(1+'Inputs-System'!$C$18)*(1+'Inputs-System'!$C$41)*'Inputs-Proposals'!$F$17*'Inputs-Proposals'!$F$19*(1-'Inputs-Proposals'!$F$20)*(VLOOKUP(DB$3,'Embedded Emissions'!$A$47:$B$78,2,FALSE)+VLOOKUP(DB$3,'Embedded Emissions'!$A$129:$B$158,2,FALSE)), $C23 = "2",'Inputs-System'!$C$30*'Coincidence Factors'!$B$5*(1+'Inputs-System'!$C$18)*(1+'Inputs-System'!$C$41)*'Inputs-Proposals'!$F$23*'Inputs-Proposals'!$F$25*(1-'Inputs-Proposals'!$F$20)*(VLOOKUP(DB$3,'Embedded Emissions'!$A$47:$B$78,2,FALSE)+VLOOKUP(DB$3,'Embedded Emissions'!$A$129:$B$158,2,FALSE)), $C23 = "3", 'Inputs-System'!$C$30*'Coincidence Factors'!$B$5*(1+'Inputs-System'!$C$18)*(1+'Inputs-System'!$C$41)*'Inputs-Proposals'!$F$29*'Inputs-Proposals'!$F$31*(1-'Inputs-Proposals'!$F$20)*(VLOOKUP(DB$3,'Embedded Emissions'!$A$47:$B$78,2,FALSE)+VLOOKUP(DB$3,'Embedded Emissions'!$A$129:$B$158,2,FALSE)), $C23 = "0", 0), 0)</f>
        <v>0</v>
      </c>
      <c r="DD23" s="100">
        <f>IFERROR(_xlfn.IFS($C23="1",( 'Inputs-System'!$C$30*'Coincidence Factors'!$B$5*(1+'Inputs-System'!$C$18)*(1+'Inputs-System'!$C$41))*('Inputs-Proposals'!$F$17*'Inputs-Proposals'!$F$19*(1-'Inputs-Proposals'!$F$20))*(VLOOKUP(DB$3,DRIPE!$A$54:$I$82,5,FALSE)-VLOOKUP(DB$3,DRIPE!$A$54:$I$82,6,FALSE)+VLOOKUP(DB$3,DRIPE!$A$54:$I$82,9,FALSE))+ ('Inputs-System'!$C$26*'Coincidence Factors'!$B$5*(1+'Inputs-System'!$C$18)*(1+'Inputs-System'!$C$42))*'Inputs-Proposals'!$F$16*VLOOKUP(DB$3,DRIPE!$A$54:$I$80,8,FALSE), $C23 = "2",( 'Inputs-System'!$C$30*'Coincidence Factors'!$B$5*(1+'Inputs-System'!$C$18)*(1+'Inputs-System'!$C$41))*('Inputs-Proposals'!$F$23*'Inputs-Proposals'!$F$25*(1-'Inputs-Proposals'!$F$26))*(VLOOKUP(DB$3,DRIPE!$A$54:$I$82,5,FALSE)-VLOOKUP(DB$3,DRIPE!$A$54:$I$82,6,FALSE)+VLOOKUP(DB$3,DRIPE!$A$54:$I$82,9,FALSE))+ ('Inputs-System'!$C$26*'Coincidence Factors'!$B$5*(1+'Inputs-System'!$C$18)*(1+'Inputs-System'!$C$41))+ ('Inputs-System'!$C$26*'Coincidence Factors'!$B$5)*'Inputs-Proposals'!$F$22*VLOOKUP(DB$3,DRIPE!$A$54:$I$80,8,FALSE), $C23= "3", ('Inputs-System'!$C$30*'Coincidence Factors'!$B$5)*('Inputs-Proposals'!$F$29*'Inputs-Proposals'!$F$31*(1-'Inputs-Proposals'!$F$32))*(VLOOKUP(DB$3,DRIPE!$A$54:$I$80,5,FALSE)-VLOOKUP(DB$3,DRIPE!$A$54:$I$80,6,FALSE)+VLOOKUP(DB$3,DRIPE!$A$54:$I$80,9,FALSE))+ ('Inputs-System'!$C$26*'Coincidence Factors'!$B$5*(1+'Inputs-System'!$C$18)*(1+'Inputs-System'!$C$42))*'Inputs-Proposals'!$F$28*VLOOKUP(DB$3,DRIPE!$A$54:$I$80,8,FALSE), $C23 = "0", 0), 0)</f>
        <v>0</v>
      </c>
      <c r="DE23" s="345">
        <f>IFERROR(_xlfn.IFS($C23="1",('Inputs-System'!$C$26*'Coincidence Factors'!$B$5*(1+'Inputs-System'!$C$18)*(1+'Inputs-System'!$C$42))*'Inputs-Proposals'!$F$16*(VLOOKUP(DB$3,Capacity!$A$53:$E$85,4,FALSE)*(1+'Inputs-System'!$C$42)+VLOOKUP(DB$3,Capacity!$A$53:$E$85,5,FALSE)*(1+'Inputs-System'!$C$43)*'Inputs-System'!$C$29), $C23 = "2", ('Inputs-System'!$C$26*'Coincidence Factors'!$B$5*(1+'Inputs-System'!$C$18))*'Inputs-Proposals'!$F$22*(VLOOKUP(DB$3,Capacity!$A$53:$E$85,4,FALSE)*(1+'Inputs-System'!$C$42)+VLOOKUP(DB$3,Capacity!$A$53:$E$85,5,FALSE)*'Inputs-System'!$C$29*(1+'Inputs-System'!$C$43)), $C23 = "3", ('Inputs-System'!$C$26*'Coincidence Factors'!$B$5*(1+'Inputs-System'!$C$18))*'Inputs-Proposals'!$F$28*(VLOOKUP(DB$3,Capacity!$A$53:$E$85,4,FALSE)*(1+'Inputs-System'!$C$42)+VLOOKUP(DB$3,Capacity!$A$53:$E$85,5,FALSE)*'Inputs-System'!$C$29*(1+'Inputs-System'!$C$43)), $C23 = "0", 0), 0)</f>
        <v>0</v>
      </c>
      <c r="DF23" s="100">
        <v>0</v>
      </c>
      <c r="DG23" s="346">
        <f>IFERROR(_xlfn.IFS($C23="1", 'Inputs-System'!$C$30*'Coincidence Factors'!$B$5*'Inputs-Proposals'!$F$17*'Inputs-Proposals'!$F$19*(VLOOKUP(DB$3,'Non-Embedded Emissions'!$A$56:$D$90,2,FALSE)+VLOOKUP(DB$3,'Non-Embedded Emissions'!$A$143:$D$174,2,FALSE)+VLOOKUP(DB$3,'Non-Embedded Emissions'!$A$230:$D$259,2,FALSE)-VLOOKUP(DB$3,'Non-Embedded Emissions'!$A$56:$D$90,3,FALSE)-VLOOKUP(DB$3,'Non-Embedded Emissions'!$A$143:$D$174,3,FALSE)-VLOOKUP(DB$3,'Non-Embedded Emissions'!$A$230:$D$259,3,FALSE)), $C23 = "2", 'Inputs-System'!$C$30*'Coincidence Factors'!$B$5*'Inputs-Proposals'!$F$23*'Inputs-Proposals'!$F$25*(VLOOKUP(DB$3,'Non-Embedded Emissions'!$A$56:$D$90,2,FALSE)+VLOOKUP(DB$3,'Non-Embedded Emissions'!$A$143:$D$174,2,FALSE)+VLOOKUP(DB$3,'Non-Embedded Emissions'!$A$230:$D$259,2,FALSE)-VLOOKUP(DB$3,'Non-Embedded Emissions'!$A$56:$D$90,3,FALSE)-VLOOKUP(DB$3,'Non-Embedded Emissions'!$A$143:$D$174,3,FALSE)-VLOOKUP(DB$3,'Non-Embedded Emissions'!$A$230:$D$259,3,FALSE)), $C23 = "3", 'Inputs-System'!$C$30*'Coincidence Factors'!$B$5*'Inputs-Proposals'!$F$29*'Inputs-Proposals'!$F$31*(VLOOKUP(DB$3,'Non-Embedded Emissions'!$A$56:$D$90,2,FALSE)+VLOOKUP(DB$3,'Non-Embedded Emissions'!$A$143:$D$174,2,FALSE)+VLOOKUP(DB$3,'Non-Embedded Emissions'!$A$230:$D$259,2,FALSE)-VLOOKUP(DB$3,'Non-Embedded Emissions'!$A$56:$D$90,3,FALSE)-VLOOKUP(DB$3,'Non-Embedded Emissions'!$A$143:$D$174,3,FALSE)-VLOOKUP(DB$3,'Non-Embedded Emissions'!$A$230:$D$259,3,FALSE)), $C23 = "0", 0), 0)</f>
        <v>0</v>
      </c>
      <c r="DH23" s="345">
        <f>IFERROR(_xlfn.IFS($C23="1",('Inputs-System'!$C$30*'Coincidence Factors'!$B$5*(1+'Inputs-System'!$C$18)*(1+'Inputs-System'!$C$41)*('Inputs-Proposals'!$F$17*'Inputs-Proposals'!$F$19*(1-'Inputs-Proposals'!$F$20))*(VLOOKUP(DH$3,Energy!$A$51:$K$83,5,FALSE)-VLOOKUP(DH$3,Energy!$A$51:$K$83,6,FALSE))), $C23 = "2",('Inputs-System'!$C$30*'Coincidence Factors'!$B$5)*(1+'Inputs-System'!$C$18)*(1+'Inputs-System'!$C$41)*('Inputs-Proposals'!$F$23*'Inputs-Proposals'!$F$25*(1-'Inputs-Proposals'!$F$26))*(VLOOKUP(DH$3,Energy!$A$51:$K$83,5,FALSE)-VLOOKUP(DH$3,Energy!$A$51:$K$83,6,FALSE)), $C23= "3", ('Inputs-System'!$C$30*'Coincidence Factors'!$B$5*(1+'Inputs-System'!$C$18)*(1+'Inputs-System'!$C$41)*('Inputs-Proposals'!$F$29*'Inputs-Proposals'!$F$31*(1-'Inputs-Proposals'!$F$32))*(VLOOKUP(DH$3,Energy!$A$51:$K$83,5,FALSE)-VLOOKUP(DH$3,Energy!$A$51:$K$83,6,FALSE))), $C23= "0", 0), 0)</f>
        <v>0</v>
      </c>
      <c r="DI23" s="100">
        <f>IFERROR(_xlfn.IFS($C23="1", 'Inputs-System'!$C$30*'Coincidence Factors'!$B$5*(1+'Inputs-System'!$C$18)*(1+'Inputs-System'!$C$41)*'Inputs-Proposals'!$F$17*'Inputs-Proposals'!$F$19*(1-'Inputs-Proposals'!$F$20)*(VLOOKUP(DH$3,'Embedded Emissions'!$A$47:$B$78,2,FALSE)+VLOOKUP(DH$3,'Embedded Emissions'!$A$129:$B$158,2,FALSE)), $C23 = "2",'Inputs-System'!$C$30*'Coincidence Factors'!$B$5*(1+'Inputs-System'!$C$18)*(1+'Inputs-System'!$C$41)*'Inputs-Proposals'!$F$23*'Inputs-Proposals'!$F$25*(1-'Inputs-Proposals'!$F$20)*(VLOOKUP(DH$3,'Embedded Emissions'!$A$47:$B$78,2,FALSE)+VLOOKUP(DH$3,'Embedded Emissions'!$A$129:$B$158,2,FALSE)), $C23 = "3", 'Inputs-System'!$C$30*'Coincidence Factors'!$B$5*(1+'Inputs-System'!$C$18)*(1+'Inputs-System'!$C$41)*'Inputs-Proposals'!$F$29*'Inputs-Proposals'!$F$31*(1-'Inputs-Proposals'!$F$20)*(VLOOKUP(DH$3,'Embedded Emissions'!$A$47:$B$78,2,FALSE)+VLOOKUP(DH$3,'Embedded Emissions'!$A$129:$B$158,2,FALSE)), $C23 = "0", 0), 0)</f>
        <v>0</v>
      </c>
      <c r="DJ23" s="100">
        <f>IFERROR(_xlfn.IFS($C23="1",( 'Inputs-System'!$C$30*'Coincidence Factors'!$B$5*(1+'Inputs-System'!$C$18)*(1+'Inputs-System'!$C$41))*('Inputs-Proposals'!$F$17*'Inputs-Proposals'!$F$19*(1-'Inputs-Proposals'!$F$20))*(VLOOKUP(DH$3,DRIPE!$A$54:$I$82,5,FALSE)-VLOOKUP(DH$3,DRIPE!$A$54:$I$82,6,FALSE)+VLOOKUP(DH$3,DRIPE!$A$54:$I$82,9,FALSE))+ ('Inputs-System'!$C$26*'Coincidence Factors'!$B$5*(1+'Inputs-System'!$C$18)*(1+'Inputs-System'!$C$42))*'Inputs-Proposals'!$F$16*VLOOKUP(DH$3,DRIPE!$A$54:$I$80,8,FALSE), $C23 = "2",( 'Inputs-System'!$C$30*'Coincidence Factors'!$B$5*(1+'Inputs-System'!$C$18)*(1+'Inputs-System'!$C$41))*('Inputs-Proposals'!$F$23*'Inputs-Proposals'!$F$25*(1-'Inputs-Proposals'!$F$26))*(VLOOKUP(DH$3,DRIPE!$A$54:$I$82,5,FALSE)-VLOOKUP(DH$3,DRIPE!$A$54:$I$82,6,FALSE)+VLOOKUP(DH$3,DRIPE!$A$54:$I$82,9,FALSE))+ ('Inputs-System'!$C$26*'Coincidence Factors'!$B$5*(1+'Inputs-System'!$C$18)*(1+'Inputs-System'!$C$41))+ ('Inputs-System'!$C$26*'Coincidence Factors'!$B$5)*'Inputs-Proposals'!$F$22*VLOOKUP(DH$3,DRIPE!$A$54:$I$80,8,FALSE), $C23= "3", ('Inputs-System'!$C$30*'Coincidence Factors'!$B$5)*('Inputs-Proposals'!$F$29*'Inputs-Proposals'!$F$31*(1-'Inputs-Proposals'!$F$32))*(VLOOKUP(DH$3,DRIPE!$A$54:$I$80,5,FALSE)-VLOOKUP(DH$3,DRIPE!$A$54:$I$80,6,FALSE)+VLOOKUP(DH$3,DRIPE!$A$54:$I$80,9,FALSE))+ ('Inputs-System'!$C$26*'Coincidence Factors'!$B$5*(1+'Inputs-System'!$C$18)*(1+'Inputs-System'!$C$42))*'Inputs-Proposals'!$F$28*VLOOKUP(DH$3,DRIPE!$A$54:$I$80,8,FALSE), $C23 = "0", 0), 0)</f>
        <v>0</v>
      </c>
      <c r="DK23" s="345">
        <f>IFERROR(_xlfn.IFS($C23="1",('Inputs-System'!$C$26*'Coincidence Factors'!$B$5*(1+'Inputs-System'!$C$18)*(1+'Inputs-System'!$C$42))*'Inputs-Proposals'!$F$16*(VLOOKUP(DH$3,Capacity!$A$53:$E$85,4,FALSE)*(1+'Inputs-System'!$C$42)+VLOOKUP(DH$3,Capacity!$A$53:$E$85,5,FALSE)*(1+'Inputs-System'!$C$43)*'Inputs-System'!$C$29), $C23 = "2", ('Inputs-System'!$C$26*'Coincidence Factors'!$B$5*(1+'Inputs-System'!$C$18))*'Inputs-Proposals'!$F$22*(VLOOKUP(DH$3,Capacity!$A$53:$E$85,4,FALSE)*(1+'Inputs-System'!$C$42)+VLOOKUP(DH$3,Capacity!$A$53:$E$85,5,FALSE)*'Inputs-System'!$C$29*(1+'Inputs-System'!$C$43)), $C23 = "3", ('Inputs-System'!$C$26*'Coincidence Factors'!$B$5*(1+'Inputs-System'!$C$18))*'Inputs-Proposals'!$F$28*(VLOOKUP(DH$3,Capacity!$A$53:$E$85,4,FALSE)*(1+'Inputs-System'!$C$42)+VLOOKUP(DH$3,Capacity!$A$53:$E$85,5,FALSE)*'Inputs-System'!$C$29*(1+'Inputs-System'!$C$43)), $C23 = "0", 0), 0)</f>
        <v>0</v>
      </c>
      <c r="DL23" s="100">
        <v>0</v>
      </c>
      <c r="DM23" s="346">
        <f>IFERROR(_xlfn.IFS($C23="1", 'Inputs-System'!$C$30*'Coincidence Factors'!$B$5*'Inputs-Proposals'!$F$17*'Inputs-Proposals'!$F$19*(VLOOKUP(DH$3,'Non-Embedded Emissions'!$A$56:$D$90,2,FALSE)+VLOOKUP(DH$3,'Non-Embedded Emissions'!$A$143:$D$174,2,FALSE)+VLOOKUP(DH$3,'Non-Embedded Emissions'!$A$230:$D$259,2,FALSE)-VLOOKUP(DH$3,'Non-Embedded Emissions'!$A$56:$D$90,3,FALSE)-VLOOKUP(DH$3,'Non-Embedded Emissions'!$A$143:$D$174,3,FALSE)-VLOOKUP(DH$3,'Non-Embedded Emissions'!$A$230:$D$259,3,FALSE)), $C23 = "2", 'Inputs-System'!$C$30*'Coincidence Factors'!$B$5*'Inputs-Proposals'!$F$23*'Inputs-Proposals'!$F$25*(VLOOKUP(DH$3,'Non-Embedded Emissions'!$A$56:$D$90,2,FALSE)+VLOOKUP(DH$3,'Non-Embedded Emissions'!$A$143:$D$174,2,FALSE)+VLOOKUP(DH$3,'Non-Embedded Emissions'!$A$230:$D$259,2,FALSE)-VLOOKUP(DH$3,'Non-Embedded Emissions'!$A$56:$D$90,3,FALSE)-VLOOKUP(DH$3,'Non-Embedded Emissions'!$A$143:$D$174,3,FALSE)-VLOOKUP(DH$3,'Non-Embedded Emissions'!$A$230:$D$259,3,FALSE)), $C23 = "3", 'Inputs-System'!$C$30*'Coincidence Factors'!$B$5*'Inputs-Proposals'!$F$29*'Inputs-Proposals'!$F$31*(VLOOKUP(DH$3,'Non-Embedded Emissions'!$A$56:$D$90,2,FALSE)+VLOOKUP(DH$3,'Non-Embedded Emissions'!$A$143:$D$174,2,FALSE)+VLOOKUP(DH$3,'Non-Embedded Emissions'!$A$230:$D$259,2,FALSE)-VLOOKUP(DH$3,'Non-Embedded Emissions'!$A$56:$D$90,3,FALSE)-VLOOKUP(DH$3,'Non-Embedded Emissions'!$A$143:$D$174,3,FALSE)-VLOOKUP(DH$3,'Non-Embedded Emissions'!$A$230:$D$259,3,FALSE)), $C23 = "0", 0), 0)</f>
        <v>0</v>
      </c>
      <c r="DN23" s="345">
        <f>IFERROR(_xlfn.IFS($C23="1",('Inputs-System'!$C$30*'Coincidence Factors'!$B$5*(1+'Inputs-System'!$C$18)*(1+'Inputs-System'!$C$41)*('Inputs-Proposals'!$F$17*'Inputs-Proposals'!$F$19*(1-'Inputs-Proposals'!$F$20))*(VLOOKUP(DN$3,Energy!$A$51:$K$83,5,FALSE)-VLOOKUP(DN$3,Energy!$A$51:$K$83,6,FALSE))), $C23 = "2",('Inputs-System'!$C$30*'Coincidence Factors'!$B$5)*(1+'Inputs-System'!$C$18)*(1+'Inputs-System'!$C$41)*('Inputs-Proposals'!$F$23*'Inputs-Proposals'!$F$25*(1-'Inputs-Proposals'!$F$26))*(VLOOKUP(DN$3,Energy!$A$51:$K$83,5,FALSE)-VLOOKUP(DN$3,Energy!$A$51:$K$83,6,FALSE)), $C23= "3", ('Inputs-System'!$C$30*'Coincidence Factors'!$B$5*(1+'Inputs-System'!$C$18)*(1+'Inputs-System'!$C$41)*('Inputs-Proposals'!$F$29*'Inputs-Proposals'!$F$31*(1-'Inputs-Proposals'!$F$32))*(VLOOKUP(DN$3,Energy!$A$51:$K$83,5,FALSE)-VLOOKUP(DN$3,Energy!$A$51:$K$83,6,FALSE))), $C23= "0", 0), 0)</f>
        <v>0</v>
      </c>
      <c r="DO23" s="100">
        <f>IFERROR(_xlfn.IFS($C23="1", 'Inputs-System'!$C$30*'Coincidence Factors'!$B$5*(1+'Inputs-System'!$C$18)*(1+'Inputs-System'!$C$41)*'Inputs-Proposals'!$F$17*'Inputs-Proposals'!$F$19*(1-'Inputs-Proposals'!$F$20)*(VLOOKUP(DN$3,'Embedded Emissions'!$A$47:$B$78,2,FALSE)+VLOOKUP(DN$3,'Embedded Emissions'!$A$129:$B$158,2,FALSE)), $C23 = "2",'Inputs-System'!$C$30*'Coincidence Factors'!$B$5*(1+'Inputs-System'!$C$18)*(1+'Inputs-System'!$C$41)*'Inputs-Proposals'!$F$23*'Inputs-Proposals'!$F$25*(1-'Inputs-Proposals'!$F$20)*(VLOOKUP(DN$3,'Embedded Emissions'!$A$47:$B$78,2,FALSE)+VLOOKUP(DN$3,'Embedded Emissions'!$A$129:$B$158,2,FALSE)), $C23 = "3", 'Inputs-System'!$C$30*'Coincidence Factors'!$B$5*(1+'Inputs-System'!$C$18)*(1+'Inputs-System'!$C$41)*'Inputs-Proposals'!$F$29*'Inputs-Proposals'!$F$31*(1-'Inputs-Proposals'!$F$20)*(VLOOKUP(DN$3,'Embedded Emissions'!$A$47:$B$78,2,FALSE)+VLOOKUP(DN$3,'Embedded Emissions'!$A$129:$B$158,2,FALSE)), $C23 = "0", 0), 0)</f>
        <v>0</v>
      </c>
      <c r="DP23" s="100">
        <f>IFERROR(_xlfn.IFS($C23="1",( 'Inputs-System'!$C$30*'Coincidence Factors'!$B$5*(1+'Inputs-System'!$C$18)*(1+'Inputs-System'!$C$41))*('Inputs-Proposals'!$F$17*'Inputs-Proposals'!$F$19*(1-'Inputs-Proposals'!$F$20))*(VLOOKUP(DN$3,DRIPE!$A$54:$I$82,5,FALSE)-VLOOKUP(DN$3,DRIPE!$A$54:$I$82,6,FALSE)+VLOOKUP(DN$3,DRIPE!$A$54:$I$82,9,FALSE))+ ('Inputs-System'!$C$26*'Coincidence Factors'!$B$5*(1+'Inputs-System'!$C$18)*(1+'Inputs-System'!$C$42))*'Inputs-Proposals'!$F$16*VLOOKUP(DN$3,DRIPE!$A$54:$I$80,8,FALSE), $C23 = "2",( 'Inputs-System'!$C$30*'Coincidence Factors'!$B$5*(1+'Inputs-System'!$C$18)*(1+'Inputs-System'!$C$41))*('Inputs-Proposals'!$F$23*'Inputs-Proposals'!$F$25*(1-'Inputs-Proposals'!$F$26))*(VLOOKUP(DN$3,DRIPE!$A$54:$I$82,5,FALSE)-VLOOKUP(DN$3,DRIPE!$A$54:$I$82,6,FALSE)+VLOOKUP(DN$3,DRIPE!$A$54:$I$82,9,FALSE))+ ('Inputs-System'!$C$26*'Coincidence Factors'!$B$5*(1+'Inputs-System'!$C$18)*(1+'Inputs-System'!$C$41))+ ('Inputs-System'!$C$26*'Coincidence Factors'!$B$5)*'Inputs-Proposals'!$F$22*VLOOKUP(DN$3,DRIPE!$A$54:$I$80,8,FALSE), $C23= "3", ('Inputs-System'!$C$30*'Coincidence Factors'!$B$5)*('Inputs-Proposals'!$F$29*'Inputs-Proposals'!$F$31*(1-'Inputs-Proposals'!$F$32))*(VLOOKUP(DN$3,DRIPE!$A$54:$I$80,5,FALSE)-VLOOKUP(DN$3,DRIPE!$A$54:$I$80,6,FALSE)+VLOOKUP(DN$3,DRIPE!$A$54:$I$80,9,FALSE))+ ('Inputs-System'!$C$26*'Coincidence Factors'!$B$5*(1+'Inputs-System'!$C$18)*(1+'Inputs-System'!$C$42))*'Inputs-Proposals'!$F$28*VLOOKUP(DN$3,DRIPE!$A$54:$I$80,8,FALSE), $C23 = "0", 0), 0)</f>
        <v>0</v>
      </c>
      <c r="DQ23" s="345">
        <f>IFERROR(_xlfn.IFS($C23="1",('Inputs-System'!$C$26*'Coincidence Factors'!$B$5*(1+'Inputs-System'!$C$18)*(1+'Inputs-System'!$C$42))*'Inputs-Proposals'!$F$16*(VLOOKUP(DN$3,Capacity!$A$53:$E$85,4,FALSE)*(1+'Inputs-System'!$C$42)+VLOOKUP(DN$3,Capacity!$A$53:$E$85,5,FALSE)*(1+'Inputs-System'!$C$43)*'Inputs-System'!$C$29), $C23 = "2", ('Inputs-System'!$C$26*'Coincidence Factors'!$B$5*(1+'Inputs-System'!$C$18))*'Inputs-Proposals'!$F$22*(VLOOKUP(DN$3,Capacity!$A$53:$E$85,4,FALSE)*(1+'Inputs-System'!$C$42)+VLOOKUP(DN$3,Capacity!$A$53:$E$85,5,FALSE)*'Inputs-System'!$C$29*(1+'Inputs-System'!$C$43)), $C23 = "3", ('Inputs-System'!$C$26*'Coincidence Factors'!$B$5*(1+'Inputs-System'!$C$18))*'Inputs-Proposals'!$F$28*(VLOOKUP(DN$3,Capacity!$A$53:$E$85,4,FALSE)*(1+'Inputs-System'!$C$42)+VLOOKUP(DN$3,Capacity!$A$53:$E$85,5,FALSE)*'Inputs-System'!$C$29*(1+'Inputs-System'!$C$43)), $C23 = "0", 0), 0)</f>
        <v>0</v>
      </c>
      <c r="DR23" s="100">
        <v>0</v>
      </c>
      <c r="DS23" s="346">
        <f>IFERROR(_xlfn.IFS($C23="1", 'Inputs-System'!$C$30*'Coincidence Factors'!$B$5*'Inputs-Proposals'!$F$17*'Inputs-Proposals'!$F$19*(VLOOKUP(DN$3,'Non-Embedded Emissions'!$A$56:$D$90,2,FALSE)+VLOOKUP(DN$3,'Non-Embedded Emissions'!$A$143:$D$174,2,FALSE)+VLOOKUP(DN$3,'Non-Embedded Emissions'!$A$230:$D$259,2,FALSE)-VLOOKUP(DN$3,'Non-Embedded Emissions'!$A$56:$D$90,3,FALSE)-VLOOKUP(DN$3,'Non-Embedded Emissions'!$A$143:$D$174,3,FALSE)-VLOOKUP(DN$3,'Non-Embedded Emissions'!$A$230:$D$259,3,FALSE)), $C23 = "2", 'Inputs-System'!$C$30*'Coincidence Factors'!$B$5*'Inputs-Proposals'!$F$23*'Inputs-Proposals'!$F$25*(VLOOKUP(DN$3,'Non-Embedded Emissions'!$A$56:$D$90,2,FALSE)+VLOOKUP(DN$3,'Non-Embedded Emissions'!$A$143:$D$174,2,FALSE)+VLOOKUP(DN$3,'Non-Embedded Emissions'!$A$230:$D$259,2,FALSE)-VLOOKUP(DN$3,'Non-Embedded Emissions'!$A$56:$D$90,3,FALSE)-VLOOKUP(DN$3,'Non-Embedded Emissions'!$A$143:$D$174,3,FALSE)-VLOOKUP(DN$3,'Non-Embedded Emissions'!$A$230:$D$259,3,FALSE)), $C23 = "3", 'Inputs-System'!$C$30*'Coincidence Factors'!$B$5*'Inputs-Proposals'!$F$29*'Inputs-Proposals'!$F$31*(VLOOKUP(DN$3,'Non-Embedded Emissions'!$A$56:$D$90,2,FALSE)+VLOOKUP(DN$3,'Non-Embedded Emissions'!$A$143:$D$174,2,FALSE)+VLOOKUP(DN$3,'Non-Embedded Emissions'!$A$230:$D$259,2,FALSE)-VLOOKUP(DN$3,'Non-Embedded Emissions'!$A$56:$D$90,3,FALSE)-VLOOKUP(DN$3,'Non-Embedded Emissions'!$A$143:$D$174,3,FALSE)-VLOOKUP(DN$3,'Non-Embedded Emissions'!$A$230:$D$259,3,FALSE)), $C23 = "0", 0), 0)</f>
        <v>0</v>
      </c>
      <c r="DT23" s="345">
        <f>IFERROR(_xlfn.IFS($C23="1",('Inputs-System'!$C$30*'Coincidence Factors'!$B$5*(1+'Inputs-System'!$C$18)*(1+'Inputs-System'!$C$41)*('Inputs-Proposals'!$F$17*'Inputs-Proposals'!$F$19*(1-'Inputs-Proposals'!$F$20))*(VLOOKUP(DT$3,Energy!$A$51:$K$83,5,FALSE)-VLOOKUP(DT$3,Energy!$A$51:$K$83,6,FALSE))), $C23 = "2",('Inputs-System'!$C$30*'Coincidence Factors'!$B$5)*(1+'Inputs-System'!$C$18)*(1+'Inputs-System'!$C$41)*('Inputs-Proposals'!$F$23*'Inputs-Proposals'!$F$25*(1-'Inputs-Proposals'!$F$26))*(VLOOKUP(DT$3,Energy!$A$51:$K$83,5,FALSE)-VLOOKUP(DT$3,Energy!$A$51:$K$83,6,FALSE)), $C23= "3", ('Inputs-System'!$C$30*'Coincidence Factors'!$B$5*(1+'Inputs-System'!$C$18)*(1+'Inputs-System'!$C$41)*('Inputs-Proposals'!$F$29*'Inputs-Proposals'!$F$31*(1-'Inputs-Proposals'!$F$32))*(VLOOKUP(DT$3,Energy!$A$51:$K$83,5,FALSE)-VLOOKUP(DT$3,Energy!$A$51:$K$83,6,FALSE))), $C23= "0", 0), 0)</f>
        <v>0</v>
      </c>
      <c r="DU23" s="100">
        <f>IFERROR(_xlfn.IFS($C23="1", 'Inputs-System'!$C$30*'Coincidence Factors'!$B$5*(1+'Inputs-System'!$C$18)*(1+'Inputs-System'!$C$41)*'Inputs-Proposals'!$F$17*'Inputs-Proposals'!$F$19*(1-'Inputs-Proposals'!$F$20)*(VLOOKUP(DT$3,'Embedded Emissions'!$A$47:$B$78,2,FALSE)+VLOOKUP(DT$3,'Embedded Emissions'!$A$129:$B$158,2,FALSE)), $C23 = "2",'Inputs-System'!$C$30*'Coincidence Factors'!$B$5*(1+'Inputs-System'!$C$18)*(1+'Inputs-System'!$C$41)*'Inputs-Proposals'!$F$23*'Inputs-Proposals'!$F$25*(1-'Inputs-Proposals'!$F$20)*(VLOOKUP(DT$3,'Embedded Emissions'!$A$47:$B$78,2,FALSE)+VLOOKUP(DT$3,'Embedded Emissions'!$A$129:$B$158,2,FALSE)), $C23 = "3", 'Inputs-System'!$C$30*'Coincidence Factors'!$B$5*(1+'Inputs-System'!$C$18)*(1+'Inputs-System'!$C$41)*'Inputs-Proposals'!$F$29*'Inputs-Proposals'!$F$31*(1-'Inputs-Proposals'!$F$20)*(VLOOKUP(DT$3,'Embedded Emissions'!$A$47:$B$78,2,FALSE)+VLOOKUP(DT$3,'Embedded Emissions'!$A$129:$B$158,2,FALSE)), $C23 = "0", 0), 0)</f>
        <v>0</v>
      </c>
      <c r="DV23" s="100">
        <f>IFERROR(_xlfn.IFS($C23="1",( 'Inputs-System'!$C$30*'Coincidence Factors'!$B$5*(1+'Inputs-System'!$C$18)*(1+'Inputs-System'!$C$41))*('Inputs-Proposals'!$F$17*'Inputs-Proposals'!$F$19*(1-'Inputs-Proposals'!$F$20))*(VLOOKUP(DT$3,DRIPE!$A$54:$I$82,5,FALSE)-VLOOKUP(DT$3,DRIPE!$A$54:$I$82,6,FALSE)+VLOOKUP(DT$3,DRIPE!$A$54:$I$82,9,FALSE))+ ('Inputs-System'!$C$26*'Coincidence Factors'!$B$5*(1+'Inputs-System'!$C$18)*(1+'Inputs-System'!$C$42))*'Inputs-Proposals'!$F$16*VLOOKUP(DT$3,DRIPE!$A$54:$I$80,8,FALSE), $C23 = "2",( 'Inputs-System'!$C$30*'Coincidence Factors'!$B$5*(1+'Inputs-System'!$C$18)*(1+'Inputs-System'!$C$41))*('Inputs-Proposals'!$F$23*'Inputs-Proposals'!$F$25*(1-'Inputs-Proposals'!$F$26))*(VLOOKUP(DT$3,DRIPE!$A$54:$I$82,5,FALSE)-VLOOKUP(DT$3,DRIPE!$A$54:$I$82,6,FALSE)+VLOOKUP(DT$3,DRIPE!$A$54:$I$82,9,FALSE))+ ('Inputs-System'!$C$26*'Coincidence Factors'!$B$5*(1+'Inputs-System'!$C$18)*(1+'Inputs-System'!$C$41))+ ('Inputs-System'!$C$26*'Coincidence Factors'!$B$5)*'Inputs-Proposals'!$F$22*VLOOKUP(DT$3,DRIPE!$A$54:$I$80,8,FALSE), $C23= "3", ('Inputs-System'!$C$30*'Coincidence Factors'!$B$5)*('Inputs-Proposals'!$F$29*'Inputs-Proposals'!$F$31*(1-'Inputs-Proposals'!$F$32))*(VLOOKUP(DT$3,DRIPE!$A$54:$I$80,5,FALSE)-VLOOKUP(DT$3,DRIPE!$A$54:$I$80,6,FALSE)+VLOOKUP(DT$3,DRIPE!$A$54:$I$80,9,FALSE))+ ('Inputs-System'!$C$26*'Coincidence Factors'!$B$5*(1+'Inputs-System'!$C$18)*(1+'Inputs-System'!$C$42))*'Inputs-Proposals'!$F$28*VLOOKUP(DT$3,DRIPE!$A$54:$I$80,8,FALSE), $C23 = "0", 0), 0)</f>
        <v>0</v>
      </c>
      <c r="DW23" s="345">
        <f>IFERROR(_xlfn.IFS($C23="1",('Inputs-System'!$C$26*'Coincidence Factors'!$B$5*(1+'Inputs-System'!$C$18)*(1+'Inputs-System'!$C$42))*'Inputs-Proposals'!$F$16*(VLOOKUP(DT$3,Capacity!$A$53:$E$85,4,FALSE)*(1+'Inputs-System'!$C$42)+VLOOKUP(DT$3,Capacity!$A$53:$E$85,5,FALSE)*(1+'Inputs-System'!$C$43)*'Inputs-System'!$C$29), $C23 = "2", ('Inputs-System'!$C$26*'Coincidence Factors'!$B$5*(1+'Inputs-System'!$C$18))*'Inputs-Proposals'!$F$22*(VLOOKUP(DT$3,Capacity!$A$53:$E$85,4,FALSE)*(1+'Inputs-System'!$C$42)+VLOOKUP(DT$3,Capacity!$A$53:$E$85,5,FALSE)*'Inputs-System'!$C$29*(1+'Inputs-System'!$C$43)), $C23 = "3", ('Inputs-System'!$C$26*'Coincidence Factors'!$B$5*(1+'Inputs-System'!$C$18))*'Inputs-Proposals'!$F$28*(VLOOKUP(DT$3,Capacity!$A$53:$E$85,4,FALSE)*(1+'Inputs-System'!$C$42)+VLOOKUP(DT$3,Capacity!$A$53:$E$85,5,FALSE)*'Inputs-System'!$C$29*(1+'Inputs-System'!$C$43)), $C23 = "0", 0), 0)</f>
        <v>0</v>
      </c>
      <c r="DX23" s="100">
        <v>0</v>
      </c>
      <c r="DY23" s="346">
        <f>IFERROR(_xlfn.IFS($C23="1", 'Inputs-System'!$C$30*'Coincidence Factors'!$B$5*'Inputs-Proposals'!$F$17*'Inputs-Proposals'!$F$19*(VLOOKUP(DT$3,'Non-Embedded Emissions'!$A$56:$D$90,2,FALSE)+VLOOKUP(DT$3,'Non-Embedded Emissions'!$A$143:$D$174,2,FALSE)+VLOOKUP(DT$3,'Non-Embedded Emissions'!$A$230:$D$259,2,FALSE)-VLOOKUP(DT$3,'Non-Embedded Emissions'!$A$56:$D$90,3,FALSE)-VLOOKUP(DT$3,'Non-Embedded Emissions'!$A$143:$D$174,3,FALSE)-VLOOKUP(DT$3,'Non-Embedded Emissions'!$A$230:$D$259,3,FALSE)), $C23 = "2", 'Inputs-System'!$C$30*'Coincidence Factors'!$B$5*'Inputs-Proposals'!$F$23*'Inputs-Proposals'!$F$25*(VLOOKUP(DT$3,'Non-Embedded Emissions'!$A$56:$D$90,2,FALSE)+VLOOKUP(DT$3,'Non-Embedded Emissions'!$A$143:$D$174,2,FALSE)+VLOOKUP(DT$3,'Non-Embedded Emissions'!$A$230:$D$259,2,FALSE)-VLOOKUP(DT$3,'Non-Embedded Emissions'!$A$56:$D$90,3,FALSE)-VLOOKUP(DT$3,'Non-Embedded Emissions'!$A$143:$D$174,3,FALSE)-VLOOKUP(DT$3,'Non-Embedded Emissions'!$A$230:$D$259,3,FALSE)), $C23 = "3", 'Inputs-System'!$C$30*'Coincidence Factors'!$B$5*'Inputs-Proposals'!$F$29*'Inputs-Proposals'!$F$31*(VLOOKUP(DT$3,'Non-Embedded Emissions'!$A$56:$D$90,2,FALSE)+VLOOKUP(DT$3,'Non-Embedded Emissions'!$A$143:$D$174,2,FALSE)+VLOOKUP(DT$3,'Non-Embedded Emissions'!$A$230:$D$259,2,FALSE)-VLOOKUP(DT$3,'Non-Embedded Emissions'!$A$56:$D$90,3,FALSE)-VLOOKUP(DT$3,'Non-Embedded Emissions'!$A$143:$D$174,3,FALSE)-VLOOKUP(DT$3,'Non-Embedded Emissions'!$A$230:$D$259,3,FALSE)), $C23 = "0", 0), 0)</f>
        <v>0</v>
      </c>
      <c r="DZ23" s="345">
        <f>IFERROR(_xlfn.IFS($C23="1",('Inputs-System'!$C$30*'Coincidence Factors'!$B$5*(1+'Inputs-System'!$C$18)*(1+'Inputs-System'!$C$41)*('Inputs-Proposals'!$F$17*'Inputs-Proposals'!$F$19*(1-'Inputs-Proposals'!$F$20))*(VLOOKUP(DZ$3,Energy!$A$51:$K$83,5,FALSE)-VLOOKUP(DZ$3,Energy!$A$51:$K$83,6,FALSE))), $C23 = "2",('Inputs-System'!$C$30*'Coincidence Factors'!$B$5)*(1+'Inputs-System'!$C$18)*(1+'Inputs-System'!$C$41)*('Inputs-Proposals'!$F$23*'Inputs-Proposals'!$F$25*(1-'Inputs-Proposals'!$F$26))*(VLOOKUP(DZ$3,Energy!$A$51:$K$83,5,FALSE)-VLOOKUP(DZ$3,Energy!$A$51:$K$83,6,FALSE)), $C23= "3", ('Inputs-System'!$C$30*'Coincidence Factors'!$B$5*(1+'Inputs-System'!$C$18)*(1+'Inputs-System'!$C$41)*('Inputs-Proposals'!$F$29*'Inputs-Proposals'!$F$31*(1-'Inputs-Proposals'!$F$32))*(VLOOKUP(DZ$3,Energy!$A$51:$K$83,5,FALSE)-VLOOKUP(DZ$3,Energy!$A$51:$K$83,6,FALSE))), $C23= "0", 0), 0)</f>
        <v>0</v>
      </c>
      <c r="EA23" s="100">
        <f>IFERROR(_xlfn.IFS($C23="1", 'Inputs-System'!$C$30*'Coincidence Factors'!$B$5*(1+'Inputs-System'!$C$18)*(1+'Inputs-System'!$C$41)*'Inputs-Proposals'!$F$17*'Inputs-Proposals'!$F$19*(1-'Inputs-Proposals'!$F$20)*(VLOOKUP(DZ$3,'Embedded Emissions'!$A$47:$B$78,2,FALSE)+VLOOKUP(DZ$3,'Embedded Emissions'!$A$129:$B$158,2,FALSE)), $C23 = "2",'Inputs-System'!$C$30*'Coincidence Factors'!$B$5*(1+'Inputs-System'!$C$18)*(1+'Inputs-System'!$C$41)*'Inputs-Proposals'!$F$23*'Inputs-Proposals'!$F$25*(1-'Inputs-Proposals'!$F$20)*(VLOOKUP(DZ$3,'Embedded Emissions'!$A$47:$B$78,2,FALSE)+VLOOKUP(DZ$3,'Embedded Emissions'!$A$129:$B$158,2,FALSE)), $C23 = "3", 'Inputs-System'!$C$30*'Coincidence Factors'!$B$5*(1+'Inputs-System'!$C$18)*(1+'Inputs-System'!$C$41)*'Inputs-Proposals'!$F$29*'Inputs-Proposals'!$F$31*(1-'Inputs-Proposals'!$F$20)*(VLOOKUP(DZ$3,'Embedded Emissions'!$A$47:$B$78,2,FALSE)+VLOOKUP(DZ$3,'Embedded Emissions'!$A$129:$B$158,2,FALSE)), $C23 = "0", 0), 0)</f>
        <v>0</v>
      </c>
      <c r="EB23" s="100">
        <f>IFERROR(_xlfn.IFS($C23="1",( 'Inputs-System'!$C$30*'Coincidence Factors'!$B$5*(1+'Inputs-System'!$C$18)*(1+'Inputs-System'!$C$41))*('Inputs-Proposals'!$F$17*'Inputs-Proposals'!$F$19*(1-'Inputs-Proposals'!$F$20))*(VLOOKUP(DZ$3,DRIPE!$A$54:$I$82,5,FALSE)-VLOOKUP(DZ$3,DRIPE!$A$54:$I$82,6,FALSE)+VLOOKUP(DZ$3,DRIPE!$A$54:$I$82,9,FALSE))+ ('Inputs-System'!$C$26*'Coincidence Factors'!$B$5*(1+'Inputs-System'!$C$18)*(1+'Inputs-System'!$C$42))*'Inputs-Proposals'!$F$16*VLOOKUP(DZ$3,DRIPE!$A$54:$I$80,8,FALSE), $C23 = "2",( 'Inputs-System'!$C$30*'Coincidence Factors'!$B$5*(1+'Inputs-System'!$C$18)*(1+'Inputs-System'!$C$41))*('Inputs-Proposals'!$F$23*'Inputs-Proposals'!$F$25*(1-'Inputs-Proposals'!$F$26))*(VLOOKUP(DZ$3,DRIPE!$A$54:$I$82,5,FALSE)-VLOOKUP(DZ$3,DRIPE!$A$54:$I$82,6,FALSE)+VLOOKUP(DZ$3,DRIPE!$A$54:$I$82,9,FALSE))+ ('Inputs-System'!$C$26*'Coincidence Factors'!$B$5*(1+'Inputs-System'!$C$18)*(1+'Inputs-System'!$C$41))+ ('Inputs-System'!$C$26*'Coincidence Factors'!$B$5)*'Inputs-Proposals'!$F$22*VLOOKUP(DZ$3,DRIPE!$A$54:$I$80,8,FALSE), $C23= "3", ('Inputs-System'!$C$30*'Coincidence Factors'!$B$5)*('Inputs-Proposals'!$F$29*'Inputs-Proposals'!$F$31*(1-'Inputs-Proposals'!$F$32))*(VLOOKUP(DZ$3,DRIPE!$A$54:$I$80,5,FALSE)-VLOOKUP(DZ$3,DRIPE!$A$54:$I$80,6,FALSE)+VLOOKUP(DZ$3,DRIPE!$A$54:$I$80,9,FALSE))+ ('Inputs-System'!$C$26*'Coincidence Factors'!$B$5*(1+'Inputs-System'!$C$18)*(1+'Inputs-System'!$C$42))*'Inputs-Proposals'!$F$28*VLOOKUP(DZ$3,DRIPE!$A$54:$I$80,8,FALSE), $C23 = "0", 0), 0)</f>
        <v>0</v>
      </c>
      <c r="EC23" s="345">
        <f>IFERROR(_xlfn.IFS($C23="1",('Inputs-System'!$C$26*'Coincidence Factors'!$B$5*(1+'Inputs-System'!$C$18)*(1+'Inputs-System'!$C$42))*'Inputs-Proposals'!$F$16*(VLOOKUP(DZ$3,Capacity!$A$53:$E$85,4,FALSE)*(1+'Inputs-System'!$C$42)+VLOOKUP(DZ$3,Capacity!$A$53:$E$85,5,FALSE)*(1+'Inputs-System'!$C$43)*'Inputs-System'!$C$29), $C23 = "2", ('Inputs-System'!$C$26*'Coincidence Factors'!$B$5*(1+'Inputs-System'!$C$18))*'Inputs-Proposals'!$F$22*(VLOOKUP(DZ$3,Capacity!$A$53:$E$85,4,FALSE)*(1+'Inputs-System'!$C$42)+VLOOKUP(DZ$3,Capacity!$A$53:$E$85,5,FALSE)*'Inputs-System'!$C$29*(1+'Inputs-System'!$C$43)), $C23 = "3", ('Inputs-System'!$C$26*'Coincidence Factors'!$B$5*(1+'Inputs-System'!$C$18))*'Inputs-Proposals'!$F$28*(VLOOKUP(DZ$3,Capacity!$A$53:$E$85,4,FALSE)*(1+'Inputs-System'!$C$42)+VLOOKUP(DZ$3,Capacity!$A$53:$E$85,5,FALSE)*'Inputs-System'!$C$29*(1+'Inputs-System'!$C$43)), $C23 = "0", 0), 0)</f>
        <v>0</v>
      </c>
      <c r="ED23" s="100">
        <v>0</v>
      </c>
      <c r="EE23" s="346">
        <f>IFERROR(_xlfn.IFS($C23="1", 'Inputs-System'!$C$30*'Coincidence Factors'!$B$5*'Inputs-Proposals'!$F$17*'Inputs-Proposals'!$F$19*(VLOOKUP(DZ$3,'Non-Embedded Emissions'!$A$56:$D$90,2,FALSE)+VLOOKUP(DZ$3,'Non-Embedded Emissions'!$A$143:$D$174,2,FALSE)+VLOOKUP(DZ$3,'Non-Embedded Emissions'!$A$230:$D$259,2,FALSE)-VLOOKUP(DZ$3,'Non-Embedded Emissions'!$A$56:$D$90,3,FALSE)-VLOOKUP(DZ$3,'Non-Embedded Emissions'!$A$143:$D$174,3,FALSE)-VLOOKUP(DZ$3,'Non-Embedded Emissions'!$A$230:$D$259,3,FALSE)), $C23 = "2", 'Inputs-System'!$C$30*'Coincidence Factors'!$B$5*'Inputs-Proposals'!$F$23*'Inputs-Proposals'!$F$25*(VLOOKUP(DZ$3,'Non-Embedded Emissions'!$A$56:$D$90,2,FALSE)+VLOOKUP(DZ$3,'Non-Embedded Emissions'!$A$143:$D$174,2,FALSE)+VLOOKUP(DZ$3,'Non-Embedded Emissions'!$A$230:$D$259,2,FALSE)-VLOOKUP(DZ$3,'Non-Embedded Emissions'!$A$56:$D$90,3,FALSE)-VLOOKUP(DZ$3,'Non-Embedded Emissions'!$A$143:$D$174,3,FALSE)-VLOOKUP(DZ$3,'Non-Embedded Emissions'!$A$230:$D$259,3,FALSE)), $C23 = "3", 'Inputs-System'!$C$30*'Coincidence Factors'!$B$5*'Inputs-Proposals'!$F$29*'Inputs-Proposals'!$F$31*(VLOOKUP(DZ$3,'Non-Embedded Emissions'!$A$56:$D$90,2,FALSE)+VLOOKUP(DZ$3,'Non-Embedded Emissions'!$A$143:$D$174,2,FALSE)+VLOOKUP(DZ$3,'Non-Embedded Emissions'!$A$230:$D$259,2,FALSE)-VLOOKUP(DZ$3,'Non-Embedded Emissions'!$A$56:$D$90,3,FALSE)-VLOOKUP(DZ$3,'Non-Embedded Emissions'!$A$143:$D$174,3,FALSE)-VLOOKUP(DZ$3,'Non-Embedded Emissions'!$A$230:$D$259,3,FALSE)), $C23 = "0", 0), 0)</f>
        <v>0</v>
      </c>
    </row>
    <row r="24" spans="1:135" x14ac:dyDescent="0.35">
      <c r="A24" s="708"/>
      <c r="B24" s="3" t="s">
        <v>158</v>
      </c>
      <c r="C24" s="3" t="str">
        <f>IFERROR(_xlfn.IFS('Benefits Calc'!B24='Inputs-Proposals'!$F$15, "1", 'Benefits Calc'!B24='Inputs-Proposals'!$F$21, "2", 'Benefits Calc'!B24='Inputs-Proposals'!$F$27, "3"), "0")</f>
        <v>0</v>
      </c>
      <c r="D24" s="323">
        <f t="shared" si="0"/>
        <v>0</v>
      </c>
      <c r="E24" s="44">
        <f t="shared" si="1"/>
        <v>0</v>
      </c>
      <c r="F24" s="44">
        <f t="shared" si="2"/>
        <v>0</v>
      </c>
      <c r="G24" s="44">
        <f t="shared" si="3"/>
        <v>0</v>
      </c>
      <c r="H24" s="44">
        <f t="shared" si="4"/>
        <v>0</v>
      </c>
      <c r="I24" s="44">
        <f t="shared" si="5"/>
        <v>0</v>
      </c>
      <c r="J24" s="323">
        <f>NPV('Inputs-System'!$C$20,P24+V24+AB24+AH24+AN24+AT24+AZ24+BF24+BL24+BR24+BX24+CD24+CJ24+CP24+CV24+DB24+DH24+DN24+DT24+DZ24)</f>
        <v>0</v>
      </c>
      <c r="K24" s="44">
        <f>NPV('Inputs-System'!$C$20,Q24+W24+AC24+AI24+AO24+AU24+BA24+BG24+BM24+BS24+BY24+CE24+CK24+CQ24+CW24+DC24+DI24+DO24+DU24+EA24)</f>
        <v>0</v>
      </c>
      <c r="L24" s="44">
        <f>NPV('Inputs-System'!$C$20,R24+X24+AD24+AJ24+AP24+AV24+BB24+BH24+BN24+BT24+BZ24+CF24+CL24+CR24+CX24+DD24+DJ24+DP24+DV24+EB24)</f>
        <v>0</v>
      </c>
      <c r="M24" s="44">
        <f>NPV('Inputs-System'!$C$20,S24+Y24+AE24+AK24+AQ24+AW24+BC24+BI24+BO24+BU24+CA24+CG24+CM24+CS24+CY24+DE24+DK24+DQ24+DW24+EC24)</f>
        <v>0</v>
      </c>
      <c r="N24" s="44">
        <f>NPV('Inputs-System'!$C$20,T24+Z24+AF24+AL24+AR24+AX24+BD24+BJ24+BP24+BV24+CB24+CH24+CN24+CT24+CZ24+DF24+DL24+DR24+DX24+ED24)</f>
        <v>0</v>
      </c>
      <c r="O24" s="44">
        <f>NPV('Inputs-System'!$C$20,U24+AA24+AG24+AM24+AS24+AY24+BE24+BK24+BQ24+BW24+CC24+CI24+CO24+CU24+DA24+DG24+DM24+DS24+DY24+EE24)</f>
        <v>0</v>
      </c>
      <c r="P24" s="347">
        <f>IFERROR(_xlfn.IFS($C24="1",('Inputs-System'!$C$30*'Coincidence Factors'!$B$6*(1+'Inputs-System'!$C$18)*(1+'Inputs-System'!$C$41)*('Inputs-Proposals'!$F$17*'Inputs-Proposals'!$F$19*(1-'Inputs-Proposals'!$F$20^(P$3-'Inputs-System'!$C$7+1)))*(VLOOKUP(P$3,Energy!$A$51:$K$83,5,FALSE))), $C24 = "2",('Inputs-System'!$C$30*'Coincidence Factors'!$B$6)*(1+'Inputs-System'!$C$18)*(1+'Inputs-System'!$C$41)*('Inputs-Proposals'!$F$23*'Inputs-Proposals'!$F$25*(1-'Inputs-Proposals'!$F$26^(P$3-'Inputs-System'!$C$7+1)))*(VLOOKUP(P$3,Energy!$A$51:$K$83,5,FALSE)), $C24= "3", ('Inputs-System'!$C$30*'Coincidence Factors'!$B$6*(1+'Inputs-System'!$C$18)*(1+'Inputs-System'!$C$41)*('Inputs-Proposals'!$F$29*'Inputs-Proposals'!$F$31*(1-'Inputs-Proposals'!$F$32^(P$3-'Inputs-System'!$C$7+1)))*(VLOOKUP(P$3,Energy!$A$51:$K$83,5,FALSE))), $C24= "0", 0), 0)</f>
        <v>0</v>
      </c>
      <c r="Q24" s="44">
        <f>IFERROR(_xlfn.IFS($C24="1",('Inputs-System'!$C$30*'Coincidence Factors'!$B$6*(1+'Inputs-System'!$C$18)*(1+'Inputs-System'!$C$41))*'Inputs-Proposals'!$F$17*'Inputs-Proposals'!$F$19*(1-'Inputs-Proposals'!$F$20^(P$3-'Inputs-System'!$C$7+1))*(VLOOKUP(P$3,'Embedded Emissions'!$A$47:$B$78,2,FALSE)+VLOOKUP(P$3,'Embedded Emissions'!$A$129:$B$158,2,FALSE)), $C24 = "2",('Inputs-System'!$C$30*'Coincidence Factors'!$B$6*(1+'Inputs-System'!$C$18)*(1+'Inputs-System'!$C$41))*'Inputs-Proposals'!$F$23*'Inputs-Proposals'!$F$25*(1-'Inputs-Proposals'!$F$20^(P$3-'Inputs-System'!$C$7+1))*(VLOOKUP(P$3,'Embedded Emissions'!$A$47:$B$78,2,FALSE)+VLOOKUP(P$3,'Embedded Emissions'!$A$129:$B$158,2,FALSE)), $C24 = "3", ('Inputs-System'!$C$30*'Coincidence Factors'!$B$6*(1+'Inputs-System'!$C$18)*(1+'Inputs-System'!$C$41))*'Inputs-Proposals'!$F$29*'Inputs-Proposals'!$F$31*(1-'Inputs-Proposals'!$F$20^(P$3-'Inputs-System'!$C$7+1))*(VLOOKUP(P$3,'Embedded Emissions'!$A$47:$B$78,2,FALSE)+VLOOKUP(P$3,'Embedded Emissions'!$A$129:$B$158,2,FALSE)), $C24 = "0", 0), 0)</f>
        <v>0</v>
      </c>
      <c r="R24" s="44">
        <f>IFERROR(_xlfn.IFS($C24="1",( 'Inputs-System'!$C$30*'Coincidence Factors'!$B$6*(1+'Inputs-System'!$C$18)*(1+'Inputs-System'!$C$41))*('Inputs-Proposals'!$F$17*'Inputs-Proposals'!$F$19*(1-'Inputs-Proposals'!$F$20)^(P$3-'Inputs-System'!$C$7))*(VLOOKUP(P$3,DRIPE!$A$54:$I$82,5,FALSE)+VLOOKUP(P$3,DRIPE!$A$54:$I$82,9,FALSE))+ ('Inputs-System'!$C$26*'Coincidence Factors'!$B$6*(1+'Inputs-System'!$C$18)*(1+'Inputs-System'!$C$42))*'Inputs-Proposals'!$F$16*VLOOKUP(P$3,DRIPE!$A$54:$I$82,8,FALSE), $C24 = "2",( 'Inputs-System'!$C$30*'Coincidence Factors'!$B$6*(1+'Inputs-System'!$C$18)*(1+'Inputs-System'!$C$41))*('Inputs-Proposals'!$F$23*'Inputs-Proposals'!$F$25*(1-'Inputs-Proposals'!$F$26)^(P$3-'Inputs-System'!$C$7))*(VLOOKUP(P$3,DRIPE!$A$54:$I$82,5,FALSE)+VLOOKUP(P$3,DRIPE!$A$54:$I$82,9,FALSE))+ ('Inputs-System'!$C$26*'Coincidence Factors'!$B$6*(1+'Inputs-System'!$C$18)*(1+'Inputs-System'!$C$42))*'Inputs-Proposals'!$F$22*VLOOKUP(P$3,DRIPE!$A$54:$I$82,8,FALSE), $C24= "3", ( 'Inputs-System'!$C$30*'Coincidence Factors'!$B$6*(1+'Inputs-System'!$C$18)*(1+'Inputs-System'!$C$41))*('Inputs-Proposals'!$F$29*'Inputs-Proposals'!$F$31*(1-'Inputs-Proposals'!$F$32)^(P$3-'Inputs-System'!$C$7))*(VLOOKUP(P$3,DRIPE!$A$54:$I$82,5,FALSE)+VLOOKUP(P$3,DRIPE!$A$54:$I$82,9,FALSE))+ ('Inputs-System'!$C$26*'Coincidence Factors'!$B$6*(1+'Inputs-System'!$C$18)*(1+'Inputs-System'!$C$42))*'Inputs-Proposals'!$F$28*VLOOKUP(P$3,DRIPE!$A$54:$I$82,8,FALSE), $C24 = "0", 0), 0)</f>
        <v>0</v>
      </c>
      <c r="S24" s="45">
        <f>IFERROR(_xlfn.IFS($C24="1",('Inputs-System'!$C$26*'Coincidence Factors'!$B$6*(1+'Inputs-System'!$C$18))*'Inputs-Proposals'!$F$16*(VLOOKUP(P$3,Capacity!$A$53:$E$85,4,FALSE)*(1+'Inputs-System'!$C$42)+VLOOKUP(P$3,Capacity!$A$53:$E$85,5,FALSE)*'Inputs-System'!$C$29*(1+'Inputs-System'!$C$43)), $C24 = "2", ('Inputs-System'!$C$26*'Coincidence Factors'!$B$6*(1+'Inputs-System'!$C$18))*'Inputs-Proposals'!$F$22*(VLOOKUP(P$3,Capacity!$A$53:$E$85,4,FALSE)*(1+'Inputs-System'!$C$42)+VLOOKUP(P$3,Capacity!$A$53:$E$85,5,FALSE)*'Inputs-System'!$C$29*(1+'Inputs-System'!$C$43)), $C24 = "3",('Inputs-System'!$C$26*'Coincidence Factors'!$B$6*(1+'Inputs-System'!$C$18))*'Inputs-Proposals'!$F$28*(VLOOKUP(P$3,Capacity!$A$53:$E$85,4,FALSE)*(1+'Inputs-System'!$C$42)+VLOOKUP(P$3,Capacity!$A$53:$E$85,5,FALSE)*'Inputs-System'!$C$29*(1+'Inputs-System'!$C$43)), $C24 = "0", 0), 0)</f>
        <v>0</v>
      </c>
      <c r="T24" s="44">
        <v>0</v>
      </c>
      <c r="U24" s="342">
        <f>IFERROR(_xlfn.IFS($C24="1", 'Inputs-System'!$C$30*'Coincidence Factors'!$B$6*'Inputs-Proposals'!$F$17*'Inputs-Proposals'!$F$19*(VLOOKUP(P$3,'Non-Embedded Emissions'!$A$56:$D$90,2,FALSE)+VLOOKUP(P$3,'Non-Embedded Emissions'!$A$143:$D$174,2,FALSE)+VLOOKUP(P$3,'Non-Embedded Emissions'!$A$230:$D$259,2,FALSE)), $C24 = "2", 'Inputs-System'!$C$30*'Coincidence Factors'!$B$6*'Inputs-Proposals'!$F$23*'Inputs-Proposals'!$F$25*(VLOOKUP(P$3,'Non-Embedded Emissions'!$A$56:$D$90,2,FALSE)+VLOOKUP(P$3,'Non-Embedded Emissions'!$A$143:$D$174,2,FALSE)+VLOOKUP(P$3,'Non-Embedded Emissions'!$A$230:$D$259,2,FALSE)), $C24 = "3", 'Inputs-System'!$C$30*'Coincidence Factors'!$B$6*'Inputs-Proposals'!$F$29*'Inputs-Proposals'!$F$31*(VLOOKUP(P$3,'Non-Embedded Emissions'!$A$56:$D$90,2,FALSE)+VLOOKUP(P$3,'Non-Embedded Emissions'!$A$143:$D$174,2,FALSE)+VLOOKUP(P$3,'Non-Embedded Emissions'!$A$230:$D$259,2,FALSE)), $C24 = "0", 0), 0)</f>
        <v>0</v>
      </c>
      <c r="V24" s="45">
        <f>IFERROR(_xlfn.IFS($C24="1",('Inputs-System'!$C$30*'Coincidence Factors'!$B$6*(1+'Inputs-System'!$C$18)*(1+'Inputs-System'!$C$41)*('Inputs-Proposals'!$F$17*'Inputs-Proposals'!$F$19*(1-'Inputs-Proposals'!$F$20^(V$3-'Inputs-System'!$C$7)))*(VLOOKUP(V$3,Energy!$A$51:$K$83,5,FALSE))), $C24 = "2",('Inputs-System'!$C$30*'Coincidence Factors'!$B$6)*(1+'Inputs-System'!$C$18)*(1+'Inputs-System'!$C$41)*('Inputs-Proposals'!$F$23*'Inputs-Proposals'!$F$25*(1-'Inputs-Proposals'!$F$26^(V$3-'Inputs-System'!$C$7)))*(VLOOKUP(V$3,Energy!$A$51:$K$83,5,FALSE)), $C24= "3", ('Inputs-System'!$C$30*'Coincidence Factors'!$B$6*(1+'Inputs-System'!$C$18)*(1+'Inputs-System'!$C$41)*('Inputs-Proposals'!$F$29*'Inputs-Proposals'!$F$31*(1-'Inputs-Proposals'!$F$32^(V$3-'Inputs-System'!$C$7)))*(VLOOKUP(V$3,Energy!$A$51:$K$83,5,FALSE))), $C24= "0", 0), 0)</f>
        <v>0</v>
      </c>
      <c r="W24" s="44">
        <f>IFERROR(_xlfn.IFS($C24="1",('Inputs-System'!$C$30*'Coincidence Factors'!$B$6*(1+'Inputs-System'!$C$18)*(1+'Inputs-System'!$C$41))*'Inputs-Proposals'!$F$17*'Inputs-Proposals'!$F$19*(1-'Inputs-Proposals'!$F$20^(V$3-'Inputs-System'!$C$7))*(VLOOKUP(V$3,'Embedded Emissions'!$A$47:$B$78,2,FALSE)+VLOOKUP(V$3,'Embedded Emissions'!$A$129:$B$158,2,FALSE)), $C24 = "2",('Inputs-System'!$C$30*'Coincidence Factors'!$B$6*(1+'Inputs-System'!$C$18)*(1+'Inputs-System'!$C$41))*'Inputs-Proposals'!$F$23*'Inputs-Proposals'!$F$25*(1-'Inputs-Proposals'!$F$20^(V$3-'Inputs-System'!$C$7))*(VLOOKUP(V$3,'Embedded Emissions'!$A$47:$B$78,2,FALSE)+VLOOKUP(V$3,'Embedded Emissions'!$A$129:$B$158,2,FALSE)), $C24 = "3", ('Inputs-System'!$C$30*'Coincidence Factors'!$B$6*(1+'Inputs-System'!$C$18)*(1+'Inputs-System'!$C$41))*'Inputs-Proposals'!$F$29*'Inputs-Proposals'!$F$31*(1-'Inputs-Proposals'!$F$20^(V$3-'Inputs-System'!$C$7))*(VLOOKUP(V$3,'Embedded Emissions'!$A$47:$B$78,2,FALSE)+VLOOKUP(V$3,'Embedded Emissions'!$A$129:$B$158,2,FALSE)), $C24 = "0", 0), 0)</f>
        <v>0</v>
      </c>
      <c r="X24" s="44">
        <f>IFERROR(_xlfn.IFS($C24="1",( 'Inputs-System'!$C$30*'Coincidence Factors'!$B$6*(1+'Inputs-System'!$C$18)*(1+'Inputs-System'!$C$41))*('Inputs-Proposals'!$F$17*'Inputs-Proposals'!$F$19*(1-'Inputs-Proposals'!$F$20)^(V$3-'Inputs-System'!$C$7))*(VLOOKUP(V$3,DRIPE!$A$54:$I$82,5,FALSE)+VLOOKUP(V$3,DRIPE!$A$54:$I$82,9,FALSE))+ ('Inputs-System'!$C$26*'Coincidence Factors'!$B$6*(1+'Inputs-System'!$C$18)*(1+'Inputs-System'!$C$42))*'Inputs-Proposals'!$F$16*VLOOKUP(V$3,DRIPE!$A$54:$I$82,8,FALSE), $C24 = "2",( 'Inputs-System'!$C$30*'Coincidence Factors'!$B$6*(1+'Inputs-System'!$C$18)*(1+'Inputs-System'!$C$41))*('Inputs-Proposals'!$F$23*'Inputs-Proposals'!$F$25*(1-'Inputs-Proposals'!$F$26)^(V$3-'Inputs-System'!$C$7))*(VLOOKUP(V$3,DRIPE!$A$54:$I$82,5,FALSE)+VLOOKUP(V$3,DRIPE!$A$54:$I$82,9,FALSE))+ ('Inputs-System'!$C$26*'Coincidence Factors'!$B$6*(1+'Inputs-System'!$C$18)*(1+'Inputs-System'!$C$42))*'Inputs-Proposals'!$F$22*VLOOKUP(V$3,DRIPE!$A$54:$I$82,8,FALSE), $C24= "3", ( 'Inputs-System'!$C$30*'Coincidence Factors'!$B$6*(1+'Inputs-System'!$C$18)*(1+'Inputs-System'!$C$41))*('Inputs-Proposals'!$F$29*'Inputs-Proposals'!$F$31*(1-'Inputs-Proposals'!$F$32)^(V$3-'Inputs-System'!$C$7))*(VLOOKUP(V$3,DRIPE!$A$54:$I$82,5,FALSE)+VLOOKUP(V$3,DRIPE!$A$54:$I$82,9,FALSE))+ ('Inputs-System'!$C$26*'Coincidence Factors'!$B$6*(1+'Inputs-System'!$C$18)*(1+'Inputs-System'!$C$42))*'Inputs-Proposals'!$F$28*VLOOKUP(V$3,DRIPE!$A$54:$I$82,8,FALSE), $C24 = "0", 0), 0)</f>
        <v>0</v>
      </c>
      <c r="Y24" s="45">
        <f>IFERROR(_xlfn.IFS($C24="1",('Inputs-System'!$C$26*'Coincidence Factors'!$B$6*(1+'Inputs-System'!$C$18))*'Inputs-Proposals'!$F$16*(VLOOKUP(V$3,Capacity!$A$53:$E$85,4,FALSE)*(1+'Inputs-System'!$C$42)+VLOOKUP(V$3,Capacity!$A$53:$E$85,5,FALSE)*'Inputs-System'!$C$29*(1+'Inputs-System'!$C$43)), $C24 = "2", ('Inputs-System'!$C$26*'Coincidence Factors'!$B$6*(1+'Inputs-System'!$C$18))*'Inputs-Proposals'!$F$22*(VLOOKUP(V$3,Capacity!$A$53:$E$85,4,FALSE)*(1+'Inputs-System'!$C$42)+VLOOKUP(V$3,Capacity!$A$53:$E$85,5,FALSE)*'Inputs-System'!$C$29*(1+'Inputs-System'!$C$43)), $C24 = "3",('Inputs-System'!$C$26*'Coincidence Factors'!$B$6*(1+'Inputs-System'!$C$18))*'Inputs-Proposals'!$F$28*(VLOOKUP(V$3,Capacity!$A$53:$E$85,4,FALSE)*(1+'Inputs-System'!$C$42)+VLOOKUP(V$3,Capacity!$A$53:$E$85,5,FALSE)*'Inputs-System'!$C$29*(1+'Inputs-System'!$C$43)), $C24 = "0", 0), 0)</f>
        <v>0</v>
      </c>
      <c r="Z24" s="44">
        <v>0</v>
      </c>
      <c r="AA24" s="342">
        <f>IFERROR(_xlfn.IFS($C24="1", 'Inputs-System'!$C$30*'Coincidence Factors'!$B$6*'Inputs-Proposals'!$F$17*'Inputs-Proposals'!$F$19*(VLOOKUP(V$3,'Non-Embedded Emissions'!$A$56:$D$90,2,FALSE)+VLOOKUP(V$3,'Non-Embedded Emissions'!$A$143:$D$174,2,FALSE)+VLOOKUP(V$3,'Non-Embedded Emissions'!$A$230:$D$259,2,FALSE)), $C24 = "2", 'Inputs-System'!$C$30*'Coincidence Factors'!$B$6*'Inputs-Proposals'!$F$23*'Inputs-Proposals'!$F$25*(VLOOKUP(V$3,'Non-Embedded Emissions'!$A$56:$D$90,2,FALSE)+VLOOKUP(V$3,'Non-Embedded Emissions'!$A$143:$D$174,2,FALSE)+VLOOKUP(V$3,'Non-Embedded Emissions'!$A$230:$D$259,2,FALSE)), $C24 = "3", 'Inputs-System'!$C$30*'Coincidence Factors'!$B$6*'Inputs-Proposals'!$F$29*'Inputs-Proposals'!$F$31*(VLOOKUP(V$3,'Non-Embedded Emissions'!$A$56:$D$90,2,FALSE)+VLOOKUP(V$3,'Non-Embedded Emissions'!$A$143:$D$174,2,FALSE)+VLOOKUP(V$3,'Non-Embedded Emissions'!$A$230:$D$259,2,FALSE)), $C24 = "0", 0), 0)</f>
        <v>0</v>
      </c>
      <c r="AB24" s="45">
        <f>IFERROR(_xlfn.IFS($C24="1",('Inputs-System'!$C$30*'Coincidence Factors'!$B$6*(1+'Inputs-System'!$C$18)*(1+'Inputs-System'!$C$41)*('Inputs-Proposals'!$F$17*'Inputs-Proposals'!$F$19*(1-'Inputs-Proposals'!$F$20^(AB$3-'Inputs-System'!$C$7)))*(VLOOKUP(AB$3,Energy!$A$51:$K$83,5,FALSE))), $C24 = "2",('Inputs-System'!$C$30*'Coincidence Factors'!$B$6)*(1+'Inputs-System'!$C$18)*(1+'Inputs-System'!$C$41)*('Inputs-Proposals'!$F$23*'Inputs-Proposals'!$F$25*(1-'Inputs-Proposals'!$F$26^(AB$3-'Inputs-System'!$C$7)))*(VLOOKUP(AB$3,Energy!$A$51:$K$83,5,FALSE)), $C24= "3", ('Inputs-System'!$C$30*'Coincidence Factors'!$B$6*(1+'Inputs-System'!$C$18)*(1+'Inputs-System'!$C$41)*('Inputs-Proposals'!$F$29*'Inputs-Proposals'!$F$31*(1-'Inputs-Proposals'!$F$32^(AB$3-'Inputs-System'!$C$7)))*(VLOOKUP(AB$3,Energy!$A$51:$K$83,5,FALSE))), $C24= "0", 0), 0)</f>
        <v>0</v>
      </c>
      <c r="AC24" s="44">
        <f>IFERROR(_xlfn.IFS($C24="1",('Inputs-System'!$C$30*'Coincidence Factors'!$B$6*(1+'Inputs-System'!$C$18)*(1+'Inputs-System'!$C$41))*'Inputs-Proposals'!$F$17*'Inputs-Proposals'!$F$19*(1-'Inputs-Proposals'!$F$20^(AB$3-'Inputs-System'!$C$7))*(VLOOKUP(AB$3,'Embedded Emissions'!$A$47:$B$78,2,FALSE)+VLOOKUP(AB$3,'Embedded Emissions'!$A$129:$B$158,2,FALSE)), $C24 = "2",('Inputs-System'!$C$30*'Coincidence Factors'!$B$6*(1+'Inputs-System'!$C$18)*(1+'Inputs-System'!$C$41))*'Inputs-Proposals'!$F$23*'Inputs-Proposals'!$F$25*(1-'Inputs-Proposals'!$F$20^(AB$3-'Inputs-System'!$C$7))*(VLOOKUP(AB$3,'Embedded Emissions'!$A$47:$B$78,2,FALSE)+VLOOKUP(AB$3,'Embedded Emissions'!$A$129:$B$158,2,FALSE)), $C24 = "3", ('Inputs-System'!$C$30*'Coincidence Factors'!$B$6*(1+'Inputs-System'!$C$18)*(1+'Inputs-System'!$C$41))*'Inputs-Proposals'!$F$29*'Inputs-Proposals'!$F$31*(1-'Inputs-Proposals'!$F$20^(AB$3-'Inputs-System'!$C$7))*(VLOOKUP(AB$3,'Embedded Emissions'!$A$47:$B$78,2,FALSE)+VLOOKUP(AB$3,'Embedded Emissions'!$A$129:$B$158,2,FALSE)), $C24 = "0", 0), 0)</f>
        <v>0</v>
      </c>
      <c r="AD24" s="44">
        <f>IFERROR(_xlfn.IFS($C24="1",( 'Inputs-System'!$C$30*'Coincidence Factors'!$B$6*(1+'Inputs-System'!$C$18)*(1+'Inputs-System'!$C$41))*('Inputs-Proposals'!$F$17*'Inputs-Proposals'!$F$19*(1-'Inputs-Proposals'!$F$20)^(AB$3-'Inputs-System'!$C$7))*(VLOOKUP(AB$3,DRIPE!$A$54:$I$82,5,FALSE)+VLOOKUP(AB$3,DRIPE!$A$54:$I$82,9,FALSE))+ ('Inputs-System'!$C$26*'Coincidence Factors'!$B$6*(1+'Inputs-System'!$C$18)*(1+'Inputs-System'!$C$42))*'Inputs-Proposals'!$F$16*VLOOKUP(AB$3,DRIPE!$A$54:$I$82,8,FALSE), $C24 = "2",( 'Inputs-System'!$C$30*'Coincidence Factors'!$B$6*(1+'Inputs-System'!$C$18)*(1+'Inputs-System'!$C$41))*('Inputs-Proposals'!$F$23*'Inputs-Proposals'!$F$25*(1-'Inputs-Proposals'!$F$26)^(AB$3-'Inputs-System'!$C$7))*(VLOOKUP(AB$3,DRIPE!$A$54:$I$82,5,FALSE)+VLOOKUP(AB$3,DRIPE!$A$54:$I$82,9,FALSE))+ ('Inputs-System'!$C$26*'Coincidence Factors'!$B$6*(1+'Inputs-System'!$C$18)*(1+'Inputs-System'!$C$42))*'Inputs-Proposals'!$F$22*VLOOKUP(AB$3,DRIPE!$A$54:$I$82,8,FALSE), $C24= "3", ( 'Inputs-System'!$C$30*'Coincidence Factors'!$B$6*(1+'Inputs-System'!$C$18)*(1+'Inputs-System'!$C$41))*('Inputs-Proposals'!$F$29*'Inputs-Proposals'!$F$31*(1-'Inputs-Proposals'!$F$32)^(AB$3-'Inputs-System'!$C$7))*(VLOOKUP(AB$3,DRIPE!$A$54:$I$82,5,FALSE)+VLOOKUP(AB$3,DRIPE!$A$54:$I$82,9,FALSE))+ ('Inputs-System'!$C$26*'Coincidence Factors'!$B$6*(1+'Inputs-System'!$C$18)*(1+'Inputs-System'!$C$42))*'Inputs-Proposals'!$F$28*VLOOKUP(AB$3,DRIPE!$A$54:$I$82,8,FALSE), $C24 = "0", 0), 0)</f>
        <v>0</v>
      </c>
      <c r="AE24" s="45">
        <f>IFERROR(_xlfn.IFS($C24="1",('Inputs-System'!$C$26*'Coincidence Factors'!$B$6*(1+'Inputs-System'!$C$18))*'Inputs-Proposals'!$F$16*(VLOOKUP(AB$3,Capacity!$A$53:$E$85,4,FALSE)*(1+'Inputs-System'!$C$42)+VLOOKUP(AB$3,Capacity!$A$53:$E$85,5,FALSE)*'Inputs-System'!$C$29*(1+'Inputs-System'!$C$43)), $C24 = "2", ('Inputs-System'!$C$26*'Coincidence Factors'!$B$6*(1+'Inputs-System'!$C$18))*'Inputs-Proposals'!$F$22*(VLOOKUP(AB$3,Capacity!$A$53:$E$85,4,FALSE)*(1+'Inputs-System'!$C$42)+VLOOKUP(AB$3,Capacity!$A$53:$E$85,5,FALSE)*'Inputs-System'!$C$29*(1+'Inputs-System'!$C$43)), $C24 = "3",('Inputs-System'!$C$26*'Coincidence Factors'!$B$6*(1+'Inputs-System'!$C$18))*'Inputs-Proposals'!$F$28*(VLOOKUP(AB$3,Capacity!$A$53:$E$85,4,FALSE)*(1+'Inputs-System'!$C$42)+VLOOKUP(AB$3,Capacity!$A$53:$E$85,5,FALSE)*'Inputs-System'!$C$29*(1+'Inputs-System'!$C$43)), $C24 = "0", 0), 0)</f>
        <v>0</v>
      </c>
      <c r="AF24" s="44">
        <v>0</v>
      </c>
      <c r="AG24" s="342">
        <f>IFERROR(_xlfn.IFS($C24="1", 'Inputs-System'!$C$30*'Coincidence Factors'!$B$6*'Inputs-Proposals'!$F$17*'Inputs-Proposals'!$F$19*(VLOOKUP(AB$3,'Non-Embedded Emissions'!$A$56:$D$90,2,FALSE)+VLOOKUP(AB$3,'Non-Embedded Emissions'!$A$143:$D$174,2,FALSE)+VLOOKUP(AB$3,'Non-Embedded Emissions'!$A$230:$D$259,2,FALSE)), $C24 = "2", 'Inputs-System'!$C$30*'Coincidence Factors'!$B$6*'Inputs-Proposals'!$F$23*'Inputs-Proposals'!$F$25*(VLOOKUP(AB$3,'Non-Embedded Emissions'!$A$56:$D$90,2,FALSE)+VLOOKUP(AB$3,'Non-Embedded Emissions'!$A$143:$D$174,2,FALSE)+VLOOKUP(AB$3,'Non-Embedded Emissions'!$A$230:$D$259,2,FALSE)), $C24 = "3", 'Inputs-System'!$C$30*'Coincidence Factors'!$B$6*'Inputs-Proposals'!$F$29*'Inputs-Proposals'!$F$31*(VLOOKUP(AB$3,'Non-Embedded Emissions'!$A$56:$D$90,2,FALSE)+VLOOKUP(AB$3,'Non-Embedded Emissions'!$A$143:$D$174,2,FALSE)+VLOOKUP(AB$3,'Non-Embedded Emissions'!$A$230:$D$259,2,FALSE)), $C24 = "0", 0), 0)</f>
        <v>0</v>
      </c>
      <c r="AH24" s="45">
        <f>IFERROR(_xlfn.IFS($C24="1",('Inputs-System'!$C$30*'Coincidence Factors'!$B$6*(1+'Inputs-System'!$C$18)*(1+'Inputs-System'!$C$41)*('Inputs-Proposals'!$F$17*'Inputs-Proposals'!$F$19*(1-'Inputs-Proposals'!$F$20^(AH$3-'Inputs-System'!$C$7)))*(VLOOKUP(AH$3,Energy!$A$51:$K$83,5,FALSE))), $C24 = "2",('Inputs-System'!$C$30*'Coincidence Factors'!$B$6)*(1+'Inputs-System'!$C$18)*(1+'Inputs-System'!$C$41)*('Inputs-Proposals'!$F$23*'Inputs-Proposals'!$F$25*(1-'Inputs-Proposals'!$F$26^(AH$3-'Inputs-System'!$C$7)))*(VLOOKUP(AH$3,Energy!$A$51:$K$83,5,FALSE)), $C24= "3", ('Inputs-System'!$C$30*'Coincidence Factors'!$B$6*(1+'Inputs-System'!$C$18)*(1+'Inputs-System'!$C$41)*('Inputs-Proposals'!$F$29*'Inputs-Proposals'!$F$31*(1-'Inputs-Proposals'!$F$32^(AH$3-'Inputs-System'!$C$7)))*(VLOOKUP(AH$3,Energy!$A$51:$K$83,5,FALSE))), $C24= "0", 0), 0)</f>
        <v>0</v>
      </c>
      <c r="AI24" s="44">
        <f>IFERROR(_xlfn.IFS($C24="1",('Inputs-System'!$C$30*'Coincidence Factors'!$B$6*(1+'Inputs-System'!$C$18)*(1+'Inputs-System'!$C$41))*'Inputs-Proposals'!$F$17*'Inputs-Proposals'!$F$19*(1-'Inputs-Proposals'!$F$20^(AH$3-'Inputs-System'!$C$7))*(VLOOKUP(AH$3,'Embedded Emissions'!$A$47:$B$78,2,FALSE)+VLOOKUP(AH$3,'Embedded Emissions'!$A$129:$B$158,2,FALSE)), $C24 = "2",('Inputs-System'!$C$30*'Coincidence Factors'!$B$6*(1+'Inputs-System'!$C$18)*(1+'Inputs-System'!$C$41))*'Inputs-Proposals'!$F$23*'Inputs-Proposals'!$F$25*(1-'Inputs-Proposals'!$F$20^(AH$3-'Inputs-System'!$C$7))*(VLOOKUP(AH$3,'Embedded Emissions'!$A$47:$B$78,2,FALSE)+VLOOKUP(AH$3,'Embedded Emissions'!$A$129:$B$158,2,FALSE)), $C24 = "3", ('Inputs-System'!$C$30*'Coincidence Factors'!$B$6*(1+'Inputs-System'!$C$18)*(1+'Inputs-System'!$C$41))*'Inputs-Proposals'!$F$29*'Inputs-Proposals'!$F$31*(1-'Inputs-Proposals'!$F$20^(AH$3-'Inputs-System'!$C$7))*(VLOOKUP(AH$3,'Embedded Emissions'!$A$47:$B$78,2,FALSE)+VLOOKUP(AH$3,'Embedded Emissions'!$A$129:$B$158,2,FALSE)), $C24 = "0", 0), 0)</f>
        <v>0</v>
      </c>
      <c r="AJ24" s="44">
        <f>IFERROR(_xlfn.IFS($C24="1",( 'Inputs-System'!$C$30*'Coincidence Factors'!$B$6*(1+'Inputs-System'!$C$18)*(1+'Inputs-System'!$C$41))*('Inputs-Proposals'!$F$17*'Inputs-Proposals'!$F$19*(1-'Inputs-Proposals'!$F$20)^(AH$3-'Inputs-System'!$C$7))*(VLOOKUP(AH$3,DRIPE!$A$54:$I$82,5,FALSE)+VLOOKUP(AH$3,DRIPE!$A$54:$I$82,9,FALSE))+ ('Inputs-System'!$C$26*'Coincidence Factors'!$B$6*(1+'Inputs-System'!$C$18)*(1+'Inputs-System'!$C$42))*'Inputs-Proposals'!$F$16*VLOOKUP(AH$3,DRIPE!$A$54:$I$82,8,FALSE), $C24 = "2",( 'Inputs-System'!$C$30*'Coincidence Factors'!$B$6*(1+'Inputs-System'!$C$18)*(1+'Inputs-System'!$C$41))*('Inputs-Proposals'!$F$23*'Inputs-Proposals'!$F$25*(1-'Inputs-Proposals'!$F$26)^(AH$3-'Inputs-System'!$C$7))*(VLOOKUP(AH$3,DRIPE!$A$54:$I$82,5,FALSE)+VLOOKUP(AH$3,DRIPE!$A$54:$I$82,9,FALSE))+ ('Inputs-System'!$C$26*'Coincidence Factors'!$B$6*(1+'Inputs-System'!$C$18)*(1+'Inputs-System'!$C$42))*'Inputs-Proposals'!$F$22*VLOOKUP(AH$3,DRIPE!$A$54:$I$82,8,FALSE), $C24= "3", ( 'Inputs-System'!$C$30*'Coincidence Factors'!$B$6*(1+'Inputs-System'!$C$18)*(1+'Inputs-System'!$C$41))*('Inputs-Proposals'!$F$29*'Inputs-Proposals'!$F$31*(1-'Inputs-Proposals'!$F$32)^(AH$3-'Inputs-System'!$C$7))*(VLOOKUP(AH$3,DRIPE!$A$54:$I$82,5,FALSE)+VLOOKUP(AH$3,DRIPE!$A$54:$I$82,9,FALSE))+ ('Inputs-System'!$C$26*'Coincidence Factors'!$B$6*(1+'Inputs-System'!$C$18)*(1+'Inputs-System'!$C$42))*'Inputs-Proposals'!$F$28*VLOOKUP(AH$3,DRIPE!$A$54:$I$82,8,FALSE), $C24 = "0", 0), 0)</f>
        <v>0</v>
      </c>
      <c r="AK24" s="45">
        <f>IFERROR(_xlfn.IFS($C24="1",('Inputs-System'!$C$26*'Coincidence Factors'!$B$6*(1+'Inputs-System'!$C$18))*'Inputs-Proposals'!$F$16*(VLOOKUP(AH$3,Capacity!$A$53:$E$85,4,FALSE)*(1+'Inputs-System'!$C$42)+VLOOKUP(AH$3,Capacity!$A$53:$E$85,5,FALSE)*'Inputs-System'!$C$29*(1+'Inputs-System'!$C$43)), $C24 = "2", ('Inputs-System'!$C$26*'Coincidence Factors'!$B$6*(1+'Inputs-System'!$C$18))*'Inputs-Proposals'!$F$22*(VLOOKUP(AH$3,Capacity!$A$53:$E$85,4,FALSE)*(1+'Inputs-System'!$C$42)+VLOOKUP(AH$3,Capacity!$A$53:$E$85,5,FALSE)*'Inputs-System'!$C$29*(1+'Inputs-System'!$C$43)), $C24 = "3",('Inputs-System'!$C$26*'Coincidence Factors'!$B$6*(1+'Inputs-System'!$C$18))*'Inputs-Proposals'!$F$28*(VLOOKUP(AH$3,Capacity!$A$53:$E$85,4,FALSE)*(1+'Inputs-System'!$C$42)+VLOOKUP(AH$3,Capacity!$A$53:$E$85,5,FALSE)*'Inputs-System'!$C$29*(1+'Inputs-System'!$C$43)), $C24 = "0", 0), 0)</f>
        <v>0</v>
      </c>
      <c r="AL24" s="44">
        <v>0</v>
      </c>
      <c r="AM24" s="342">
        <f>IFERROR(_xlfn.IFS($C24="1", 'Inputs-System'!$C$30*'Coincidence Factors'!$B$6*'Inputs-Proposals'!$F$17*'Inputs-Proposals'!$F$19*(VLOOKUP(AH$3,'Non-Embedded Emissions'!$A$56:$D$90,2,FALSE)+VLOOKUP(AH$3,'Non-Embedded Emissions'!$A$143:$D$174,2,FALSE)+VLOOKUP(AH$3,'Non-Embedded Emissions'!$A$230:$D$259,2,FALSE)), $C24 = "2", 'Inputs-System'!$C$30*'Coincidence Factors'!$B$6*'Inputs-Proposals'!$F$23*'Inputs-Proposals'!$F$25*(VLOOKUP(AH$3,'Non-Embedded Emissions'!$A$56:$D$90,2,FALSE)+VLOOKUP(AH$3,'Non-Embedded Emissions'!$A$143:$D$174,2,FALSE)+VLOOKUP(AH$3,'Non-Embedded Emissions'!$A$230:$D$259,2,FALSE)), $C24 = "3", 'Inputs-System'!$C$30*'Coincidence Factors'!$B$6*'Inputs-Proposals'!$F$29*'Inputs-Proposals'!$F$31*(VLOOKUP(AH$3,'Non-Embedded Emissions'!$A$56:$D$90,2,FALSE)+VLOOKUP(AH$3,'Non-Embedded Emissions'!$A$143:$D$174,2,FALSE)+VLOOKUP(AH$3,'Non-Embedded Emissions'!$A$230:$D$259,2,FALSE)), $C24 = "0", 0), 0)</f>
        <v>0</v>
      </c>
      <c r="AN24" s="45">
        <f>IFERROR(_xlfn.IFS($C24="1",('Inputs-System'!$C$30*'Coincidence Factors'!$B$6*(1+'Inputs-System'!$C$18)*(1+'Inputs-System'!$C$41)*('Inputs-Proposals'!$F$17*'Inputs-Proposals'!$F$19*(1-'Inputs-Proposals'!$F$20^(AN$3-'Inputs-System'!$C$7)))*(VLOOKUP(AN$3,Energy!$A$51:$K$83,5,FALSE))), $C24 = "2",('Inputs-System'!$C$30*'Coincidence Factors'!$B$6)*(1+'Inputs-System'!$C$18)*(1+'Inputs-System'!$C$41)*('Inputs-Proposals'!$F$23*'Inputs-Proposals'!$F$25*(1-'Inputs-Proposals'!$F$26^(AN$3-'Inputs-System'!$C$7)))*(VLOOKUP(AN$3,Energy!$A$51:$K$83,5,FALSE)), $C24= "3", ('Inputs-System'!$C$30*'Coincidence Factors'!$B$6*(1+'Inputs-System'!$C$18)*(1+'Inputs-System'!$C$41)*('Inputs-Proposals'!$F$29*'Inputs-Proposals'!$F$31*(1-'Inputs-Proposals'!$F$32^(AN$3-'Inputs-System'!$C$7)))*(VLOOKUP(AN$3,Energy!$A$51:$K$83,5,FALSE))), $C24= "0", 0), 0)</f>
        <v>0</v>
      </c>
      <c r="AO24" s="44">
        <f>IFERROR(_xlfn.IFS($C24="1",('Inputs-System'!$C$30*'Coincidence Factors'!$B$6*(1+'Inputs-System'!$C$18)*(1+'Inputs-System'!$C$41))*'Inputs-Proposals'!$F$17*'Inputs-Proposals'!$F$19*(1-'Inputs-Proposals'!$F$20^(AN$3-'Inputs-System'!$C$7))*(VLOOKUP(AN$3,'Embedded Emissions'!$A$47:$B$78,2,FALSE)+VLOOKUP(AN$3,'Embedded Emissions'!$A$129:$B$158,2,FALSE)), $C24 = "2",('Inputs-System'!$C$30*'Coincidence Factors'!$B$6*(1+'Inputs-System'!$C$18)*(1+'Inputs-System'!$C$41))*'Inputs-Proposals'!$F$23*'Inputs-Proposals'!$F$25*(1-'Inputs-Proposals'!$F$20^(AN$3-'Inputs-System'!$C$7))*(VLOOKUP(AN$3,'Embedded Emissions'!$A$47:$B$78,2,FALSE)+VLOOKUP(AN$3,'Embedded Emissions'!$A$129:$B$158,2,FALSE)), $C24 = "3", ('Inputs-System'!$C$30*'Coincidence Factors'!$B$6*(1+'Inputs-System'!$C$18)*(1+'Inputs-System'!$C$41))*'Inputs-Proposals'!$F$29*'Inputs-Proposals'!$F$31*(1-'Inputs-Proposals'!$F$20^(AN$3-'Inputs-System'!$C$7))*(VLOOKUP(AN$3,'Embedded Emissions'!$A$47:$B$78,2,FALSE)+VLOOKUP(AN$3,'Embedded Emissions'!$A$129:$B$158,2,FALSE)), $C24 = "0", 0), 0)</f>
        <v>0</v>
      </c>
      <c r="AP24" s="44">
        <f>IFERROR(_xlfn.IFS($C24="1",( 'Inputs-System'!$C$30*'Coincidence Factors'!$B$6*(1+'Inputs-System'!$C$18)*(1+'Inputs-System'!$C$41))*('Inputs-Proposals'!$F$17*'Inputs-Proposals'!$F$19*(1-'Inputs-Proposals'!$F$20)^(AN$3-'Inputs-System'!$C$7))*(VLOOKUP(AN$3,DRIPE!$A$54:$I$82,5,FALSE)+VLOOKUP(AN$3,DRIPE!$A$54:$I$82,9,FALSE))+ ('Inputs-System'!$C$26*'Coincidence Factors'!$B$6*(1+'Inputs-System'!$C$18)*(1+'Inputs-System'!$C$42))*'Inputs-Proposals'!$F$16*VLOOKUP(AN$3,DRIPE!$A$54:$I$82,8,FALSE), $C24 = "2",( 'Inputs-System'!$C$30*'Coincidence Factors'!$B$6*(1+'Inputs-System'!$C$18)*(1+'Inputs-System'!$C$41))*('Inputs-Proposals'!$F$23*'Inputs-Proposals'!$F$25*(1-'Inputs-Proposals'!$F$26)^(AN$3-'Inputs-System'!$C$7))*(VLOOKUP(AN$3,DRIPE!$A$54:$I$82,5,FALSE)+VLOOKUP(AN$3,DRIPE!$A$54:$I$82,9,FALSE))+ ('Inputs-System'!$C$26*'Coincidence Factors'!$B$6*(1+'Inputs-System'!$C$18)*(1+'Inputs-System'!$C$42))*'Inputs-Proposals'!$F$22*VLOOKUP(AN$3,DRIPE!$A$54:$I$82,8,FALSE), $C24= "3", ( 'Inputs-System'!$C$30*'Coincidence Factors'!$B$6*(1+'Inputs-System'!$C$18)*(1+'Inputs-System'!$C$41))*('Inputs-Proposals'!$F$29*'Inputs-Proposals'!$F$31*(1-'Inputs-Proposals'!$F$32)^(AN$3-'Inputs-System'!$C$7))*(VLOOKUP(AN$3,DRIPE!$A$54:$I$82,5,FALSE)+VLOOKUP(AN$3,DRIPE!$A$54:$I$82,9,FALSE))+ ('Inputs-System'!$C$26*'Coincidence Factors'!$B$6*(1+'Inputs-System'!$C$18)*(1+'Inputs-System'!$C$42))*'Inputs-Proposals'!$F$28*VLOOKUP(AN$3,DRIPE!$A$54:$I$82,8,FALSE), $C24 = "0", 0), 0)</f>
        <v>0</v>
      </c>
      <c r="AQ24" s="45">
        <f>IFERROR(_xlfn.IFS($C24="1",('Inputs-System'!$C$26*'Coincidence Factors'!$B$6*(1+'Inputs-System'!$C$18))*'Inputs-Proposals'!$F$16*(VLOOKUP(AN$3,Capacity!$A$53:$E$85,4,FALSE)*(1+'Inputs-System'!$C$42)+VLOOKUP(AN$3,Capacity!$A$53:$E$85,5,FALSE)*'Inputs-System'!$C$29*(1+'Inputs-System'!$C$43)), $C24 = "2", ('Inputs-System'!$C$26*'Coincidence Factors'!$B$6*(1+'Inputs-System'!$C$18))*'Inputs-Proposals'!$F$22*(VLOOKUP(AN$3,Capacity!$A$53:$E$85,4,FALSE)*(1+'Inputs-System'!$C$42)+VLOOKUP(AN$3,Capacity!$A$53:$E$85,5,FALSE)*'Inputs-System'!$C$29*(1+'Inputs-System'!$C$43)), $C24 = "3",('Inputs-System'!$C$26*'Coincidence Factors'!$B$6*(1+'Inputs-System'!$C$18))*'Inputs-Proposals'!$F$28*(VLOOKUP(AN$3,Capacity!$A$53:$E$85,4,FALSE)*(1+'Inputs-System'!$C$42)+VLOOKUP(AN$3,Capacity!$A$53:$E$85,5,FALSE)*'Inputs-System'!$C$29*(1+'Inputs-System'!$C$43)), $C24 = "0", 0), 0)</f>
        <v>0</v>
      </c>
      <c r="AR24" s="44">
        <v>0</v>
      </c>
      <c r="AS24" s="342">
        <f>IFERROR(_xlfn.IFS($C24="1", 'Inputs-System'!$C$30*'Coincidence Factors'!$B$6*'Inputs-Proposals'!$F$17*'Inputs-Proposals'!$F$19*(VLOOKUP(AN$3,'Non-Embedded Emissions'!$A$56:$D$90,2,FALSE)+VLOOKUP(AN$3,'Non-Embedded Emissions'!$A$143:$D$174,2,FALSE)+VLOOKUP(AN$3,'Non-Embedded Emissions'!$A$230:$D$259,2,FALSE)), $C24 = "2", 'Inputs-System'!$C$30*'Coincidence Factors'!$B$6*'Inputs-Proposals'!$F$23*'Inputs-Proposals'!$F$25*(VLOOKUP(AN$3,'Non-Embedded Emissions'!$A$56:$D$90,2,FALSE)+VLOOKUP(AN$3,'Non-Embedded Emissions'!$A$143:$D$174,2,FALSE)+VLOOKUP(AN$3,'Non-Embedded Emissions'!$A$230:$D$259,2,FALSE)), $C24 = "3", 'Inputs-System'!$C$30*'Coincidence Factors'!$B$6*'Inputs-Proposals'!$F$29*'Inputs-Proposals'!$F$31*(VLOOKUP(AN$3,'Non-Embedded Emissions'!$A$56:$D$90,2,FALSE)+VLOOKUP(AN$3,'Non-Embedded Emissions'!$A$143:$D$174,2,FALSE)+VLOOKUP(AN$3,'Non-Embedded Emissions'!$A$230:$D$259,2,FALSE)), $C24 = "0", 0), 0)</f>
        <v>0</v>
      </c>
      <c r="AT24" s="45">
        <f>IFERROR(_xlfn.IFS($C24="1",('Inputs-System'!$C$30*'Coincidence Factors'!$B$6*(1+'Inputs-System'!$C$18)*(1+'Inputs-System'!$C$41)*('Inputs-Proposals'!$F$17*'Inputs-Proposals'!$F$19*(1-'Inputs-Proposals'!$F$20^(AT$3-'Inputs-System'!$C$7)))*(VLOOKUP(AT$3,Energy!$A$51:$K$83,5,FALSE))), $C24 = "2",('Inputs-System'!$C$30*'Coincidence Factors'!$B$6)*(1+'Inputs-System'!$C$18)*(1+'Inputs-System'!$C$41)*('Inputs-Proposals'!$F$23*'Inputs-Proposals'!$F$25*(1-'Inputs-Proposals'!$F$26^(AT$3-'Inputs-System'!$C$7)))*(VLOOKUP(AT$3,Energy!$A$51:$K$83,5,FALSE)), $C24= "3", ('Inputs-System'!$C$30*'Coincidence Factors'!$B$6*(1+'Inputs-System'!$C$18)*(1+'Inputs-System'!$C$41)*('Inputs-Proposals'!$F$29*'Inputs-Proposals'!$F$31*(1-'Inputs-Proposals'!$F$32^(AT$3-'Inputs-System'!$C$7)))*(VLOOKUP(AT$3,Energy!$A$51:$K$83,5,FALSE))), $C24= "0", 0), 0)</f>
        <v>0</v>
      </c>
      <c r="AU24" s="44">
        <f>IFERROR(_xlfn.IFS($C24="1",('Inputs-System'!$C$30*'Coincidence Factors'!$B$6*(1+'Inputs-System'!$C$18)*(1+'Inputs-System'!$C$41))*'Inputs-Proposals'!$F$17*'Inputs-Proposals'!$F$19*(1-'Inputs-Proposals'!$F$20^(AT$3-'Inputs-System'!$C$7))*(VLOOKUP(AT$3,'Embedded Emissions'!$A$47:$B$78,2,FALSE)+VLOOKUP(AT$3,'Embedded Emissions'!$A$129:$B$158,2,FALSE)), $C24 = "2",('Inputs-System'!$C$30*'Coincidence Factors'!$B$6*(1+'Inputs-System'!$C$18)*(1+'Inputs-System'!$C$41))*'Inputs-Proposals'!$F$23*'Inputs-Proposals'!$F$25*(1-'Inputs-Proposals'!$F$20^(AT$3-'Inputs-System'!$C$7))*(VLOOKUP(AT$3,'Embedded Emissions'!$A$47:$B$78,2,FALSE)+VLOOKUP(AT$3,'Embedded Emissions'!$A$129:$B$158,2,FALSE)), $C24 = "3", ('Inputs-System'!$C$30*'Coincidence Factors'!$B$6*(1+'Inputs-System'!$C$18)*(1+'Inputs-System'!$C$41))*'Inputs-Proposals'!$F$29*'Inputs-Proposals'!$F$31*(1-'Inputs-Proposals'!$F$20^(AT$3-'Inputs-System'!$C$7))*(VLOOKUP(AT$3,'Embedded Emissions'!$A$47:$B$78,2,FALSE)+VLOOKUP(AT$3,'Embedded Emissions'!$A$129:$B$158,2,FALSE)), $C24 = "0", 0), 0)</f>
        <v>0</v>
      </c>
      <c r="AV24" s="44">
        <f>IFERROR(_xlfn.IFS($C24="1",( 'Inputs-System'!$C$30*'Coincidence Factors'!$B$6*(1+'Inputs-System'!$C$18)*(1+'Inputs-System'!$C$41))*('Inputs-Proposals'!$F$17*'Inputs-Proposals'!$F$19*(1-'Inputs-Proposals'!$F$20)^(AT$3-'Inputs-System'!$C$7))*(VLOOKUP(AT$3,DRIPE!$A$54:$I$82,5,FALSE)+VLOOKUP(AT$3,DRIPE!$A$54:$I$82,9,FALSE))+ ('Inputs-System'!$C$26*'Coincidence Factors'!$B$6*(1+'Inputs-System'!$C$18)*(1+'Inputs-System'!$C$42))*'Inputs-Proposals'!$F$16*VLOOKUP(AT$3,DRIPE!$A$54:$I$82,8,FALSE), $C24 = "2",( 'Inputs-System'!$C$30*'Coincidence Factors'!$B$6*(1+'Inputs-System'!$C$18)*(1+'Inputs-System'!$C$41))*('Inputs-Proposals'!$F$23*'Inputs-Proposals'!$F$25*(1-'Inputs-Proposals'!$F$26)^(AT$3-'Inputs-System'!$C$7))*(VLOOKUP(AT$3,DRIPE!$A$54:$I$82,5,FALSE)+VLOOKUP(AT$3,DRIPE!$A$54:$I$82,9,FALSE))+ ('Inputs-System'!$C$26*'Coincidence Factors'!$B$6*(1+'Inputs-System'!$C$18)*(1+'Inputs-System'!$C$42))*'Inputs-Proposals'!$F$22*VLOOKUP(AT$3,DRIPE!$A$54:$I$82,8,FALSE), $C24= "3", ( 'Inputs-System'!$C$30*'Coincidence Factors'!$B$6*(1+'Inputs-System'!$C$18)*(1+'Inputs-System'!$C$41))*('Inputs-Proposals'!$F$29*'Inputs-Proposals'!$F$31*(1-'Inputs-Proposals'!$F$32)^(AT$3-'Inputs-System'!$C$7))*(VLOOKUP(AT$3,DRIPE!$A$54:$I$82,5,FALSE)+VLOOKUP(AT$3,DRIPE!$A$54:$I$82,9,FALSE))+ ('Inputs-System'!$C$26*'Coincidence Factors'!$B$6*(1+'Inputs-System'!$C$18)*(1+'Inputs-System'!$C$42))*'Inputs-Proposals'!$F$28*VLOOKUP(AT$3,DRIPE!$A$54:$I$82,8,FALSE), $C24 = "0", 0), 0)</f>
        <v>0</v>
      </c>
      <c r="AW24" s="45">
        <f>IFERROR(_xlfn.IFS($C24="1",('Inputs-System'!$C$26*'Coincidence Factors'!$B$6*(1+'Inputs-System'!$C$18))*'Inputs-Proposals'!$F$16*(VLOOKUP(AT$3,Capacity!$A$53:$E$85,4,FALSE)*(1+'Inputs-System'!$C$42)+VLOOKUP(AT$3,Capacity!$A$53:$E$85,5,FALSE)*'Inputs-System'!$C$29*(1+'Inputs-System'!$C$43)), $C24 = "2", ('Inputs-System'!$C$26*'Coincidence Factors'!$B$6*(1+'Inputs-System'!$C$18))*'Inputs-Proposals'!$F$22*(VLOOKUP(AT$3,Capacity!$A$53:$E$85,4,FALSE)*(1+'Inputs-System'!$C$42)+VLOOKUP(AT$3,Capacity!$A$53:$E$85,5,FALSE)*'Inputs-System'!$C$29*(1+'Inputs-System'!$C$43)), $C24 = "3",('Inputs-System'!$C$26*'Coincidence Factors'!$B$6*(1+'Inputs-System'!$C$18))*'Inputs-Proposals'!$F$28*(VLOOKUP(AT$3,Capacity!$A$53:$E$85,4,FALSE)*(1+'Inputs-System'!$C$42)+VLOOKUP(AT$3,Capacity!$A$53:$E$85,5,FALSE)*'Inputs-System'!$C$29*(1+'Inputs-System'!$C$43)), $C24 = "0", 0), 0)</f>
        <v>0</v>
      </c>
      <c r="AX24" s="44">
        <v>0</v>
      </c>
      <c r="AY24" s="342">
        <f>IFERROR(_xlfn.IFS($C24="1", 'Inputs-System'!$C$30*'Coincidence Factors'!$B$6*'Inputs-Proposals'!$F$17*'Inputs-Proposals'!$F$19*(VLOOKUP(AT$3,'Non-Embedded Emissions'!$A$56:$D$90,2,FALSE)+VLOOKUP(AT$3,'Non-Embedded Emissions'!$A$143:$D$174,2,FALSE)+VLOOKUP(AT$3,'Non-Embedded Emissions'!$A$230:$D$259,2,FALSE)), $C24 = "2", 'Inputs-System'!$C$30*'Coincidence Factors'!$B$6*'Inputs-Proposals'!$F$23*'Inputs-Proposals'!$F$25*(VLOOKUP(AT$3,'Non-Embedded Emissions'!$A$56:$D$90,2,FALSE)+VLOOKUP(AT$3,'Non-Embedded Emissions'!$A$143:$D$174,2,FALSE)+VLOOKUP(AT$3,'Non-Embedded Emissions'!$A$230:$D$259,2,FALSE)), $C24 = "3", 'Inputs-System'!$C$30*'Coincidence Factors'!$B$6*'Inputs-Proposals'!$F$29*'Inputs-Proposals'!$F$31*(VLOOKUP(AT$3,'Non-Embedded Emissions'!$A$56:$D$90,2,FALSE)+VLOOKUP(AT$3,'Non-Embedded Emissions'!$A$143:$D$174,2,FALSE)+VLOOKUP(AT$3,'Non-Embedded Emissions'!$A$230:$D$259,2,FALSE)), $C24 = "0", 0), 0)</f>
        <v>0</v>
      </c>
      <c r="AZ24" s="45">
        <f>IFERROR(_xlfn.IFS($C24="1",('Inputs-System'!$C$30*'Coincidence Factors'!$B$6*(1+'Inputs-System'!$C$18)*(1+'Inputs-System'!$C$41)*('Inputs-Proposals'!$F$17*'Inputs-Proposals'!$F$19*(1-'Inputs-Proposals'!$F$20^(AZ$3-'Inputs-System'!$C$7)))*(VLOOKUP(AZ$3,Energy!$A$51:$K$83,5,FALSE))), $C24 = "2",('Inputs-System'!$C$30*'Coincidence Factors'!$B$6)*(1+'Inputs-System'!$C$18)*(1+'Inputs-System'!$C$41)*('Inputs-Proposals'!$F$23*'Inputs-Proposals'!$F$25*(1-'Inputs-Proposals'!$F$26^(AZ$3-'Inputs-System'!$C$7)))*(VLOOKUP(AZ$3,Energy!$A$51:$K$83,5,FALSE)), $C24= "3", ('Inputs-System'!$C$30*'Coincidence Factors'!$B$6*(1+'Inputs-System'!$C$18)*(1+'Inputs-System'!$C$41)*('Inputs-Proposals'!$F$29*'Inputs-Proposals'!$F$31*(1-'Inputs-Proposals'!$F$32^(AZ$3-'Inputs-System'!$C$7)))*(VLOOKUP(AZ$3,Energy!$A$51:$K$83,5,FALSE))), $C24= "0", 0), 0)</f>
        <v>0</v>
      </c>
      <c r="BA24" s="44">
        <f>IFERROR(_xlfn.IFS($C24="1",('Inputs-System'!$C$30*'Coincidence Factors'!$B$6*(1+'Inputs-System'!$C$18)*(1+'Inputs-System'!$C$41))*'Inputs-Proposals'!$F$17*'Inputs-Proposals'!$F$19*(1-'Inputs-Proposals'!$F$20^(AZ$3-'Inputs-System'!$C$7))*(VLOOKUP(AZ$3,'Embedded Emissions'!$A$47:$B$78,2,FALSE)+VLOOKUP(AZ$3,'Embedded Emissions'!$A$129:$B$158,2,FALSE)), $C24 = "2",('Inputs-System'!$C$30*'Coincidence Factors'!$B$6*(1+'Inputs-System'!$C$18)*(1+'Inputs-System'!$C$41))*'Inputs-Proposals'!$F$23*'Inputs-Proposals'!$F$25*(1-'Inputs-Proposals'!$F$20^(AZ$3-'Inputs-System'!$C$7))*(VLOOKUP(AZ$3,'Embedded Emissions'!$A$47:$B$78,2,FALSE)+VLOOKUP(AZ$3,'Embedded Emissions'!$A$129:$B$158,2,FALSE)), $C24 = "3", ('Inputs-System'!$C$30*'Coincidence Factors'!$B$6*(1+'Inputs-System'!$C$18)*(1+'Inputs-System'!$C$41))*'Inputs-Proposals'!$F$29*'Inputs-Proposals'!$F$31*(1-'Inputs-Proposals'!$F$20^(AZ$3-'Inputs-System'!$C$7))*(VLOOKUP(AZ$3,'Embedded Emissions'!$A$47:$B$78,2,FALSE)+VLOOKUP(AZ$3,'Embedded Emissions'!$A$129:$B$158,2,FALSE)), $C24 = "0", 0), 0)</f>
        <v>0</v>
      </c>
      <c r="BB24" s="44">
        <f>IFERROR(_xlfn.IFS($C24="1",( 'Inputs-System'!$C$30*'Coincidence Factors'!$B$6*(1+'Inputs-System'!$C$18)*(1+'Inputs-System'!$C$41))*('Inputs-Proposals'!$F$17*'Inputs-Proposals'!$F$19*(1-'Inputs-Proposals'!$F$20)^(AZ$3-'Inputs-System'!$C$7))*(VLOOKUP(AZ$3,DRIPE!$A$54:$I$82,5,FALSE)+VLOOKUP(AZ$3,DRIPE!$A$54:$I$82,9,FALSE))+ ('Inputs-System'!$C$26*'Coincidence Factors'!$B$6*(1+'Inputs-System'!$C$18)*(1+'Inputs-System'!$C$42))*'Inputs-Proposals'!$F$16*VLOOKUP(AZ$3,DRIPE!$A$54:$I$82,8,FALSE), $C24 = "2",( 'Inputs-System'!$C$30*'Coincidence Factors'!$B$6*(1+'Inputs-System'!$C$18)*(1+'Inputs-System'!$C$41))*('Inputs-Proposals'!$F$23*'Inputs-Proposals'!$F$25*(1-'Inputs-Proposals'!$F$26)^(AZ$3-'Inputs-System'!$C$7))*(VLOOKUP(AZ$3,DRIPE!$A$54:$I$82,5,FALSE)+VLOOKUP(AZ$3,DRIPE!$A$54:$I$82,9,FALSE))+ ('Inputs-System'!$C$26*'Coincidence Factors'!$B$6*(1+'Inputs-System'!$C$18)*(1+'Inputs-System'!$C$42))*'Inputs-Proposals'!$F$22*VLOOKUP(AZ$3,DRIPE!$A$54:$I$82,8,FALSE), $C24= "3", ( 'Inputs-System'!$C$30*'Coincidence Factors'!$B$6*(1+'Inputs-System'!$C$18)*(1+'Inputs-System'!$C$41))*('Inputs-Proposals'!$F$29*'Inputs-Proposals'!$F$31*(1-'Inputs-Proposals'!$F$32)^(AZ$3-'Inputs-System'!$C$7))*(VLOOKUP(AZ$3,DRIPE!$A$54:$I$82,5,FALSE)+VLOOKUP(AZ$3,DRIPE!$A$54:$I$82,9,FALSE))+ ('Inputs-System'!$C$26*'Coincidence Factors'!$B$6*(1+'Inputs-System'!$C$18)*(1+'Inputs-System'!$C$42))*'Inputs-Proposals'!$F$28*VLOOKUP(AZ$3,DRIPE!$A$54:$I$82,8,FALSE), $C24 = "0", 0), 0)</f>
        <v>0</v>
      </c>
      <c r="BC24" s="45">
        <f>IFERROR(_xlfn.IFS($C24="1",('Inputs-System'!$C$26*'Coincidence Factors'!$B$6*(1+'Inputs-System'!$C$18))*'Inputs-Proposals'!$F$16*(VLOOKUP(AZ$3,Capacity!$A$53:$E$85,4,FALSE)*(1+'Inputs-System'!$C$42)+VLOOKUP(AZ$3,Capacity!$A$53:$E$85,5,FALSE)*'Inputs-System'!$C$29*(1+'Inputs-System'!$C$43)), $C24 = "2", ('Inputs-System'!$C$26*'Coincidence Factors'!$B$6*(1+'Inputs-System'!$C$18))*'Inputs-Proposals'!$F$22*(VLOOKUP(AZ$3,Capacity!$A$53:$E$85,4,FALSE)*(1+'Inputs-System'!$C$42)+VLOOKUP(AZ$3,Capacity!$A$53:$E$85,5,FALSE)*'Inputs-System'!$C$29*(1+'Inputs-System'!$C$43)), $C24 = "3",('Inputs-System'!$C$26*'Coincidence Factors'!$B$6*(1+'Inputs-System'!$C$18))*'Inputs-Proposals'!$F$28*(VLOOKUP(AZ$3,Capacity!$A$53:$E$85,4,FALSE)*(1+'Inputs-System'!$C$42)+VLOOKUP(AZ$3,Capacity!$A$53:$E$85,5,FALSE)*'Inputs-System'!$C$29*(1+'Inputs-System'!$C$43)), $C24 = "0", 0), 0)</f>
        <v>0</v>
      </c>
      <c r="BD24" s="44">
        <v>0</v>
      </c>
      <c r="BE24" s="342">
        <f>IFERROR(_xlfn.IFS($C24="1", 'Inputs-System'!$C$30*'Coincidence Factors'!$B$6*'Inputs-Proposals'!$F$17*'Inputs-Proposals'!$F$19*(VLOOKUP(AZ$3,'Non-Embedded Emissions'!$A$56:$D$90,2,FALSE)+VLOOKUP(AZ$3,'Non-Embedded Emissions'!$A$143:$D$174,2,FALSE)+VLOOKUP(AZ$3,'Non-Embedded Emissions'!$A$230:$D$259,2,FALSE)), $C24 = "2", 'Inputs-System'!$C$30*'Coincidence Factors'!$B$6*'Inputs-Proposals'!$F$23*'Inputs-Proposals'!$F$25*(VLOOKUP(AZ$3,'Non-Embedded Emissions'!$A$56:$D$90,2,FALSE)+VLOOKUP(AZ$3,'Non-Embedded Emissions'!$A$143:$D$174,2,FALSE)+VLOOKUP(AZ$3,'Non-Embedded Emissions'!$A$230:$D$259,2,FALSE)), $C24 = "3", 'Inputs-System'!$C$30*'Coincidence Factors'!$B$6*'Inputs-Proposals'!$F$29*'Inputs-Proposals'!$F$31*(VLOOKUP(AZ$3,'Non-Embedded Emissions'!$A$56:$D$90,2,FALSE)+VLOOKUP(AZ$3,'Non-Embedded Emissions'!$A$143:$D$174,2,FALSE)+VLOOKUP(AZ$3,'Non-Embedded Emissions'!$A$230:$D$259,2,FALSE)), $C24 = "0", 0), 0)</f>
        <v>0</v>
      </c>
      <c r="BF24" s="45">
        <f>IFERROR(_xlfn.IFS($C24="1",('Inputs-System'!$C$30*'Coincidence Factors'!$B$6*(1+'Inputs-System'!$C$18)*(1+'Inputs-System'!$C$41)*('Inputs-Proposals'!$F$17*'Inputs-Proposals'!$F$19*(1-'Inputs-Proposals'!$F$20^(BF$3-'Inputs-System'!$C$7)))*(VLOOKUP(BF$3,Energy!$A$51:$K$83,5,FALSE))), $C24 = "2",('Inputs-System'!$C$30*'Coincidence Factors'!$B$6)*(1+'Inputs-System'!$C$18)*(1+'Inputs-System'!$C$41)*('Inputs-Proposals'!$F$23*'Inputs-Proposals'!$F$25*(1-'Inputs-Proposals'!$F$26^(BF$3-'Inputs-System'!$C$7)))*(VLOOKUP(BF$3,Energy!$A$51:$K$83,5,FALSE)), $C24= "3", ('Inputs-System'!$C$30*'Coincidence Factors'!$B$6*(1+'Inputs-System'!$C$18)*(1+'Inputs-System'!$C$41)*('Inputs-Proposals'!$F$29*'Inputs-Proposals'!$F$31*(1-'Inputs-Proposals'!$F$32^(BF$3-'Inputs-System'!$C$7)))*(VLOOKUP(BF$3,Energy!$A$51:$K$83,5,FALSE))), $C24= "0", 0), 0)</f>
        <v>0</v>
      </c>
      <c r="BG24" s="44">
        <f>IFERROR(_xlfn.IFS($C24="1",('Inputs-System'!$C$30*'Coincidence Factors'!$B$6*(1+'Inputs-System'!$C$18)*(1+'Inputs-System'!$C$41))*'Inputs-Proposals'!$F$17*'Inputs-Proposals'!$F$19*(1-'Inputs-Proposals'!$F$20^(BF$3-'Inputs-System'!$C$7))*(VLOOKUP(BF$3,'Embedded Emissions'!$A$47:$B$78,2,FALSE)+VLOOKUP(BF$3,'Embedded Emissions'!$A$129:$B$158,2,FALSE)), $C24 = "2",('Inputs-System'!$C$30*'Coincidence Factors'!$B$6*(1+'Inputs-System'!$C$18)*(1+'Inputs-System'!$C$41))*'Inputs-Proposals'!$F$23*'Inputs-Proposals'!$F$25*(1-'Inputs-Proposals'!$F$20^(BF$3-'Inputs-System'!$C$7))*(VLOOKUP(BF$3,'Embedded Emissions'!$A$47:$B$78,2,FALSE)+VLOOKUP(BF$3,'Embedded Emissions'!$A$129:$B$158,2,FALSE)), $C24 = "3", ('Inputs-System'!$C$30*'Coincidence Factors'!$B$6*(1+'Inputs-System'!$C$18)*(1+'Inputs-System'!$C$41))*'Inputs-Proposals'!$F$29*'Inputs-Proposals'!$F$31*(1-'Inputs-Proposals'!$F$20^(BF$3-'Inputs-System'!$C$7))*(VLOOKUP(BF$3,'Embedded Emissions'!$A$47:$B$78,2,FALSE)+VLOOKUP(BF$3,'Embedded Emissions'!$A$129:$B$158,2,FALSE)), $C24 = "0", 0), 0)</f>
        <v>0</v>
      </c>
      <c r="BH24" s="44">
        <f>IFERROR(_xlfn.IFS($C24="1",( 'Inputs-System'!$C$30*'Coincidence Factors'!$B$6*(1+'Inputs-System'!$C$18)*(1+'Inputs-System'!$C$41))*('Inputs-Proposals'!$F$17*'Inputs-Proposals'!$F$19*(1-'Inputs-Proposals'!$F$20)^(BF$3-'Inputs-System'!$C$7))*(VLOOKUP(BF$3,DRIPE!$A$54:$I$82,5,FALSE)+VLOOKUP(BF$3,DRIPE!$A$54:$I$82,9,FALSE))+ ('Inputs-System'!$C$26*'Coincidence Factors'!$B$6*(1+'Inputs-System'!$C$18)*(1+'Inputs-System'!$C$42))*'Inputs-Proposals'!$F$16*VLOOKUP(BF$3,DRIPE!$A$54:$I$82,8,FALSE), $C24 = "2",( 'Inputs-System'!$C$30*'Coincidence Factors'!$B$6*(1+'Inputs-System'!$C$18)*(1+'Inputs-System'!$C$41))*('Inputs-Proposals'!$F$23*'Inputs-Proposals'!$F$25*(1-'Inputs-Proposals'!$F$26)^(BF$3-'Inputs-System'!$C$7))*(VLOOKUP(BF$3,DRIPE!$A$54:$I$82,5,FALSE)+VLOOKUP(BF$3,DRIPE!$A$54:$I$82,9,FALSE))+ ('Inputs-System'!$C$26*'Coincidence Factors'!$B$6*(1+'Inputs-System'!$C$18)*(1+'Inputs-System'!$C$42))*'Inputs-Proposals'!$F$22*VLOOKUP(BF$3,DRIPE!$A$54:$I$82,8,FALSE), $C24= "3", ( 'Inputs-System'!$C$30*'Coincidence Factors'!$B$6*(1+'Inputs-System'!$C$18)*(1+'Inputs-System'!$C$41))*('Inputs-Proposals'!$F$29*'Inputs-Proposals'!$F$31*(1-'Inputs-Proposals'!$F$32)^(BF$3-'Inputs-System'!$C$7))*(VLOOKUP(BF$3,DRIPE!$A$54:$I$82,5,FALSE)+VLOOKUP(BF$3,DRIPE!$A$54:$I$82,9,FALSE))+ ('Inputs-System'!$C$26*'Coincidence Factors'!$B$6*(1+'Inputs-System'!$C$18)*(1+'Inputs-System'!$C$42))*'Inputs-Proposals'!$F$28*VLOOKUP(BF$3,DRIPE!$A$54:$I$82,8,FALSE), $C24 = "0", 0), 0)</f>
        <v>0</v>
      </c>
      <c r="BI24" s="45">
        <f>IFERROR(_xlfn.IFS($C24="1",('Inputs-System'!$C$26*'Coincidence Factors'!$B$6*(1+'Inputs-System'!$C$18))*'Inputs-Proposals'!$F$16*(VLOOKUP(BF$3,Capacity!$A$53:$E$85,4,FALSE)*(1+'Inputs-System'!$C$42)+VLOOKUP(BF$3,Capacity!$A$53:$E$85,5,FALSE)*'Inputs-System'!$C$29*(1+'Inputs-System'!$C$43)), $C24 = "2", ('Inputs-System'!$C$26*'Coincidence Factors'!$B$6*(1+'Inputs-System'!$C$18))*'Inputs-Proposals'!$F$22*(VLOOKUP(BF$3,Capacity!$A$53:$E$85,4,FALSE)*(1+'Inputs-System'!$C$42)+VLOOKUP(BF$3,Capacity!$A$53:$E$85,5,FALSE)*'Inputs-System'!$C$29*(1+'Inputs-System'!$C$43)), $C24 = "3",('Inputs-System'!$C$26*'Coincidence Factors'!$B$6*(1+'Inputs-System'!$C$18))*'Inputs-Proposals'!$F$28*(VLOOKUP(BF$3,Capacity!$A$53:$E$85,4,FALSE)*(1+'Inputs-System'!$C$42)+VLOOKUP(BF$3,Capacity!$A$53:$E$85,5,FALSE)*'Inputs-System'!$C$29*(1+'Inputs-System'!$C$43)), $C24 = "0", 0), 0)</f>
        <v>0</v>
      </c>
      <c r="BJ24" s="44">
        <v>0</v>
      </c>
      <c r="BK24" s="342">
        <f>IFERROR(_xlfn.IFS($C24="1", 'Inputs-System'!$C$30*'Coincidence Factors'!$B$6*'Inputs-Proposals'!$F$17*'Inputs-Proposals'!$F$19*(VLOOKUP(BF$3,'Non-Embedded Emissions'!$A$56:$D$90,2,FALSE)+VLOOKUP(BF$3,'Non-Embedded Emissions'!$A$143:$D$174,2,FALSE)+VLOOKUP(BF$3,'Non-Embedded Emissions'!$A$230:$D$259,2,FALSE)), $C24 = "2", 'Inputs-System'!$C$30*'Coincidence Factors'!$B$6*'Inputs-Proposals'!$F$23*'Inputs-Proposals'!$F$25*(VLOOKUP(BF$3,'Non-Embedded Emissions'!$A$56:$D$90,2,FALSE)+VLOOKUP(BF$3,'Non-Embedded Emissions'!$A$143:$D$174,2,FALSE)+VLOOKUP(BF$3,'Non-Embedded Emissions'!$A$230:$D$259,2,FALSE)), $C24 = "3", 'Inputs-System'!$C$30*'Coincidence Factors'!$B$6*'Inputs-Proposals'!$F$29*'Inputs-Proposals'!$F$31*(VLOOKUP(BF$3,'Non-Embedded Emissions'!$A$56:$D$90,2,FALSE)+VLOOKUP(BF$3,'Non-Embedded Emissions'!$A$143:$D$174,2,FALSE)+VLOOKUP(BF$3,'Non-Embedded Emissions'!$A$230:$D$259,2,FALSE)), $C24 = "0", 0), 0)</f>
        <v>0</v>
      </c>
      <c r="BL24" s="45">
        <f>IFERROR(_xlfn.IFS($C24="1",('Inputs-System'!$C$30*'Coincidence Factors'!$B$6*(1+'Inputs-System'!$C$18)*(1+'Inputs-System'!$C$41)*('Inputs-Proposals'!$F$17*'Inputs-Proposals'!$F$19*(1-'Inputs-Proposals'!$F$20^(BL$3-'Inputs-System'!$C$7)))*(VLOOKUP(BL$3,Energy!$A$51:$K$83,5,FALSE))), $C24 = "2",('Inputs-System'!$C$30*'Coincidence Factors'!$B$6)*(1+'Inputs-System'!$C$18)*(1+'Inputs-System'!$C$41)*('Inputs-Proposals'!$F$23*'Inputs-Proposals'!$F$25*(1-'Inputs-Proposals'!$F$26^(BL$3-'Inputs-System'!$C$7)))*(VLOOKUP(BL$3,Energy!$A$51:$K$83,5,FALSE)), $C24= "3", ('Inputs-System'!$C$30*'Coincidence Factors'!$B$6*(1+'Inputs-System'!$C$18)*(1+'Inputs-System'!$C$41)*('Inputs-Proposals'!$F$29*'Inputs-Proposals'!$F$31*(1-'Inputs-Proposals'!$F$32^(BL$3-'Inputs-System'!$C$7)))*(VLOOKUP(BL$3,Energy!$A$51:$K$83,5,FALSE))), $C24= "0", 0), 0)</f>
        <v>0</v>
      </c>
      <c r="BM24" s="44">
        <f>IFERROR(_xlfn.IFS($C24="1",('Inputs-System'!$C$30*'Coincidence Factors'!$B$6*(1+'Inputs-System'!$C$18)*(1+'Inputs-System'!$C$41))*'Inputs-Proposals'!$F$17*'Inputs-Proposals'!$F$19*(1-'Inputs-Proposals'!$F$20^(BL$3-'Inputs-System'!$C$7))*(VLOOKUP(BL$3,'Embedded Emissions'!$A$47:$B$78,2,FALSE)+VLOOKUP(BL$3,'Embedded Emissions'!$A$129:$B$158,2,FALSE)), $C24 = "2",('Inputs-System'!$C$30*'Coincidence Factors'!$B$6*(1+'Inputs-System'!$C$18)*(1+'Inputs-System'!$C$41))*'Inputs-Proposals'!$F$23*'Inputs-Proposals'!$F$25*(1-'Inputs-Proposals'!$F$20^(BL$3-'Inputs-System'!$C$7))*(VLOOKUP(BL$3,'Embedded Emissions'!$A$47:$B$78,2,FALSE)+VLOOKUP(BL$3,'Embedded Emissions'!$A$129:$B$158,2,FALSE)), $C24 = "3", ('Inputs-System'!$C$30*'Coincidence Factors'!$B$6*(1+'Inputs-System'!$C$18)*(1+'Inputs-System'!$C$41))*'Inputs-Proposals'!$F$29*'Inputs-Proposals'!$F$31*(1-'Inputs-Proposals'!$F$20^(BL$3-'Inputs-System'!$C$7))*(VLOOKUP(BL$3,'Embedded Emissions'!$A$47:$B$78,2,FALSE)+VLOOKUP(BL$3,'Embedded Emissions'!$A$129:$B$158,2,FALSE)), $C24 = "0", 0), 0)</f>
        <v>0</v>
      </c>
      <c r="BN24" s="44">
        <f>IFERROR(_xlfn.IFS($C24="1",( 'Inputs-System'!$C$30*'Coincidence Factors'!$B$6*(1+'Inputs-System'!$C$18)*(1+'Inputs-System'!$C$41))*('Inputs-Proposals'!$F$17*'Inputs-Proposals'!$F$19*(1-'Inputs-Proposals'!$F$20)^(BL$3-'Inputs-System'!$C$7))*(VLOOKUP(BL$3,DRIPE!$A$54:$I$82,5,FALSE)+VLOOKUP(BL$3,DRIPE!$A$54:$I$82,9,FALSE))+ ('Inputs-System'!$C$26*'Coincidence Factors'!$B$6*(1+'Inputs-System'!$C$18)*(1+'Inputs-System'!$C$42))*'Inputs-Proposals'!$F$16*VLOOKUP(BL$3,DRIPE!$A$54:$I$82,8,FALSE), $C24 = "2",( 'Inputs-System'!$C$30*'Coincidence Factors'!$B$6*(1+'Inputs-System'!$C$18)*(1+'Inputs-System'!$C$41))*('Inputs-Proposals'!$F$23*'Inputs-Proposals'!$F$25*(1-'Inputs-Proposals'!$F$26)^(BL$3-'Inputs-System'!$C$7))*(VLOOKUP(BL$3,DRIPE!$A$54:$I$82,5,FALSE)+VLOOKUP(BL$3,DRIPE!$A$54:$I$82,9,FALSE))+ ('Inputs-System'!$C$26*'Coincidence Factors'!$B$6*(1+'Inputs-System'!$C$18)*(1+'Inputs-System'!$C$42))*'Inputs-Proposals'!$F$22*VLOOKUP(BL$3,DRIPE!$A$54:$I$82,8,FALSE), $C24= "3", ( 'Inputs-System'!$C$30*'Coincidence Factors'!$B$6*(1+'Inputs-System'!$C$18)*(1+'Inputs-System'!$C$41))*('Inputs-Proposals'!$F$29*'Inputs-Proposals'!$F$31*(1-'Inputs-Proposals'!$F$32)^(BL$3-'Inputs-System'!$C$7))*(VLOOKUP(BL$3,DRIPE!$A$54:$I$82,5,FALSE)+VLOOKUP(BL$3,DRIPE!$A$54:$I$82,9,FALSE))+ ('Inputs-System'!$C$26*'Coincidence Factors'!$B$6*(1+'Inputs-System'!$C$18)*(1+'Inputs-System'!$C$42))*'Inputs-Proposals'!$F$28*VLOOKUP(BL$3,DRIPE!$A$54:$I$82,8,FALSE), $C24 = "0", 0), 0)</f>
        <v>0</v>
      </c>
      <c r="BO24" s="45">
        <f>IFERROR(_xlfn.IFS($C24="1",('Inputs-System'!$C$26*'Coincidence Factors'!$B$6*(1+'Inputs-System'!$C$18))*'Inputs-Proposals'!$F$16*(VLOOKUP(BL$3,Capacity!$A$53:$E$85,4,FALSE)*(1+'Inputs-System'!$C$42)+VLOOKUP(BL$3,Capacity!$A$53:$E$85,5,FALSE)*'Inputs-System'!$C$29*(1+'Inputs-System'!$C$43)), $C24 = "2", ('Inputs-System'!$C$26*'Coincidence Factors'!$B$6*(1+'Inputs-System'!$C$18))*'Inputs-Proposals'!$F$22*(VLOOKUP(BL$3,Capacity!$A$53:$E$85,4,FALSE)*(1+'Inputs-System'!$C$42)+VLOOKUP(BL$3,Capacity!$A$53:$E$85,5,FALSE)*'Inputs-System'!$C$29*(1+'Inputs-System'!$C$43)), $C24 = "3",('Inputs-System'!$C$26*'Coincidence Factors'!$B$6*(1+'Inputs-System'!$C$18))*'Inputs-Proposals'!$F$28*(VLOOKUP(BL$3,Capacity!$A$53:$E$85,4,FALSE)*(1+'Inputs-System'!$C$42)+VLOOKUP(BL$3,Capacity!$A$53:$E$85,5,FALSE)*'Inputs-System'!$C$29*(1+'Inputs-System'!$C$43)), $C24 = "0", 0), 0)</f>
        <v>0</v>
      </c>
      <c r="BP24" s="44">
        <v>0</v>
      </c>
      <c r="BQ24" s="342">
        <f>IFERROR(_xlfn.IFS($C24="1", 'Inputs-System'!$C$30*'Coincidence Factors'!$B$6*'Inputs-Proposals'!$F$17*'Inputs-Proposals'!$F$19*(VLOOKUP(BL$3,'Non-Embedded Emissions'!$A$56:$D$90,2,FALSE)+VLOOKUP(BL$3,'Non-Embedded Emissions'!$A$143:$D$174,2,FALSE)+VLOOKUP(BL$3,'Non-Embedded Emissions'!$A$230:$D$259,2,FALSE)), $C24 = "2", 'Inputs-System'!$C$30*'Coincidence Factors'!$B$6*'Inputs-Proposals'!$F$23*'Inputs-Proposals'!$F$25*(VLOOKUP(BL$3,'Non-Embedded Emissions'!$A$56:$D$90,2,FALSE)+VLOOKUP(BL$3,'Non-Embedded Emissions'!$A$143:$D$174,2,FALSE)+VLOOKUP(BL$3,'Non-Embedded Emissions'!$A$230:$D$259,2,FALSE)), $C24 = "3", 'Inputs-System'!$C$30*'Coincidence Factors'!$B$6*'Inputs-Proposals'!$F$29*'Inputs-Proposals'!$F$31*(VLOOKUP(BL$3,'Non-Embedded Emissions'!$A$56:$D$90,2,FALSE)+VLOOKUP(BL$3,'Non-Embedded Emissions'!$A$143:$D$174,2,FALSE)+VLOOKUP(BL$3,'Non-Embedded Emissions'!$A$230:$D$259,2,FALSE)), $C24 = "0", 0), 0)</f>
        <v>0</v>
      </c>
      <c r="BR24" s="45">
        <f>IFERROR(_xlfn.IFS($C24="1",('Inputs-System'!$C$30*'Coincidence Factors'!$B$6*(1+'Inputs-System'!$C$18)*(1+'Inputs-System'!$C$41)*('Inputs-Proposals'!$F$17*'Inputs-Proposals'!$F$19*(1-'Inputs-Proposals'!$F$20^(BR$3-'Inputs-System'!$C$7)))*(VLOOKUP(BR$3,Energy!$A$51:$K$83,5,FALSE))), $C24 = "2",('Inputs-System'!$C$30*'Coincidence Factors'!$B$6)*(1+'Inputs-System'!$C$18)*(1+'Inputs-System'!$C$41)*('Inputs-Proposals'!$F$23*'Inputs-Proposals'!$F$25*(1-'Inputs-Proposals'!$F$26^(BR$3-'Inputs-System'!$C$7)))*(VLOOKUP(BR$3,Energy!$A$51:$K$83,5,FALSE)), $C24= "3", ('Inputs-System'!$C$30*'Coincidence Factors'!$B$6*(1+'Inputs-System'!$C$18)*(1+'Inputs-System'!$C$41)*('Inputs-Proposals'!$F$29*'Inputs-Proposals'!$F$31*(1-'Inputs-Proposals'!$F$32^(BR$3-'Inputs-System'!$C$7)))*(VLOOKUP(BR$3,Energy!$A$51:$K$83,5,FALSE))), $C24= "0", 0), 0)</f>
        <v>0</v>
      </c>
      <c r="BS24" s="44">
        <f>IFERROR(_xlfn.IFS($C24="1",('Inputs-System'!$C$30*'Coincidence Factors'!$B$6*(1+'Inputs-System'!$C$18)*(1+'Inputs-System'!$C$41))*'Inputs-Proposals'!$F$17*'Inputs-Proposals'!$F$19*(1-'Inputs-Proposals'!$F$20^(BR$3-'Inputs-System'!$C$7))*(VLOOKUP(BR$3,'Embedded Emissions'!$A$47:$B$78,2,FALSE)+VLOOKUP(BR$3,'Embedded Emissions'!$A$129:$B$158,2,FALSE)), $C24 = "2",('Inputs-System'!$C$30*'Coincidence Factors'!$B$6*(1+'Inputs-System'!$C$18)*(1+'Inputs-System'!$C$41))*'Inputs-Proposals'!$F$23*'Inputs-Proposals'!$F$25*(1-'Inputs-Proposals'!$F$20^(BR$3-'Inputs-System'!$C$7))*(VLOOKUP(BR$3,'Embedded Emissions'!$A$47:$B$78,2,FALSE)+VLOOKUP(BR$3,'Embedded Emissions'!$A$129:$B$158,2,FALSE)), $C24 = "3", ('Inputs-System'!$C$30*'Coincidence Factors'!$B$6*(1+'Inputs-System'!$C$18)*(1+'Inputs-System'!$C$41))*'Inputs-Proposals'!$F$29*'Inputs-Proposals'!$F$31*(1-'Inputs-Proposals'!$F$20^(BR$3-'Inputs-System'!$C$7))*(VLOOKUP(BR$3,'Embedded Emissions'!$A$47:$B$78,2,FALSE)+VLOOKUP(BR$3,'Embedded Emissions'!$A$129:$B$158,2,FALSE)), $C24 = "0", 0), 0)</f>
        <v>0</v>
      </c>
      <c r="BT24" s="44">
        <f>IFERROR(_xlfn.IFS($C24="1",( 'Inputs-System'!$C$30*'Coincidence Factors'!$B$6*(1+'Inputs-System'!$C$18)*(1+'Inputs-System'!$C$41))*('Inputs-Proposals'!$F$17*'Inputs-Proposals'!$F$19*(1-'Inputs-Proposals'!$F$20)^(BR$3-'Inputs-System'!$C$7))*(VLOOKUP(BR$3,DRIPE!$A$54:$I$82,5,FALSE)+VLOOKUP(BR$3,DRIPE!$A$54:$I$82,9,FALSE))+ ('Inputs-System'!$C$26*'Coincidence Factors'!$B$6*(1+'Inputs-System'!$C$18)*(1+'Inputs-System'!$C$42))*'Inputs-Proposals'!$F$16*VLOOKUP(BR$3,DRIPE!$A$54:$I$82,8,FALSE), $C24 = "2",( 'Inputs-System'!$C$30*'Coincidence Factors'!$B$6*(1+'Inputs-System'!$C$18)*(1+'Inputs-System'!$C$41))*('Inputs-Proposals'!$F$23*'Inputs-Proposals'!$F$25*(1-'Inputs-Proposals'!$F$26)^(BR$3-'Inputs-System'!$C$7))*(VLOOKUP(BR$3,DRIPE!$A$54:$I$82,5,FALSE)+VLOOKUP(BR$3,DRIPE!$A$54:$I$82,9,FALSE))+ ('Inputs-System'!$C$26*'Coincidence Factors'!$B$6*(1+'Inputs-System'!$C$18)*(1+'Inputs-System'!$C$42))*'Inputs-Proposals'!$F$22*VLOOKUP(BR$3,DRIPE!$A$54:$I$82,8,FALSE), $C24= "3", ( 'Inputs-System'!$C$30*'Coincidence Factors'!$B$6*(1+'Inputs-System'!$C$18)*(1+'Inputs-System'!$C$41))*('Inputs-Proposals'!$F$29*'Inputs-Proposals'!$F$31*(1-'Inputs-Proposals'!$F$32)^(BR$3-'Inputs-System'!$C$7))*(VLOOKUP(BR$3,DRIPE!$A$54:$I$82,5,FALSE)+VLOOKUP(BR$3,DRIPE!$A$54:$I$82,9,FALSE))+ ('Inputs-System'!$C$26*'Coincidence Factors'!$B$6*(1+'Inputs-System'!$C$18)*(1+'Inputs-System'!$C$42))*'Inputs-Proposals'!$F$28*VLOOKUP(BR$3,DRIPE!$A$54:$I$82,8,FALSE), $C24 = "0", 0), 0)</f>
        <v>0</v>
      </c>
      <c r="BU24" s="45">
        <f>IFERROR(_xlfn.IFS($C24="1",('Inputs-System'!$C$26*'Coincidence Factors'!$B$6*(1+'Inputs-System'!$C$18))*'Inputs-Proposals'!$F$16*(VLOOKUP(BR$3,Capacity!$A$53:$E$85,4,FALSE)*(1+'Inputs-System'!$C$42)+VLOOKUP(BR$3,Capacity!$A$53:$E$85,5,FALSE)*'Inputs-System'!$C$29*(1+'Inputs-System'!$C$43)), $C24 = "2", ('Inputs-System'!$C$26*'Coincidence Factors'!$B$6*(1+'Inputs-System'!$C$18))*'Inputs-Proposals'!$F$22*(VLOOKUP(BR$3,Capacity!$A$53:$E$85,4,FALSE)*(1+'Inputs-System'!$C$42)+VLOOKUP(BR$3,Capacity!$A$53:$E$85,5,FALSE)*'Inputs-System'!$C$29*(1+'Inputs-System'!$C$43)), $C24 = "3",('Inputs-System'!$C$26*'Coincidence Factors'!$B$6*(1+'Inputs-System'!$C$18))*'Inputs-Proposals'!$F$28*(VLOOKUP(BR$3,Capacity!$A$53:$E$85,4,FALSE)*(1+'Inputs-System'!$C$42)+VLOOKUP(BR$3,Capacity!$A$53:$E$85,5,FALSE)*'Inputs-System'!$C$29*(1+'Inputs-System'!$C$43)), $C24 = "0", 0), 0)</f>
        <v>0</v>
      </c>
      <c r="BV24" s="44">
        <v>0</v>
      </c>
      <c r="BW24" s="342">
        <f>IFERROR(_xlfn.IFS($C24="1", 'Inputs-System'!$C$30*'Coincidence Factors'!$B$6*'Inputs-Proposals'!$F$17*'Inputs-Proposals'!$F$19*(VLOOKUP(BR$3,'Non-Embedded Emissions'!$A$56:$D$90,2,FALSE)+VLOOKUP(BR$3,'Non-Embedded Emissions'!$A$143:$D$174,2,FALSE)+VLOOKUP(BR$3,'Non-Embedded Emissions'!$A$230:$D$259,2,FALSE)), $C24 = "2", 'Inputs-System'!$C$30*'Coincidence Factors'!$B$6*'Inputs-Proposals'!$F$23*'Inputs-Proposals'!$F$25*(VLOOKUP(BR$3,'Non-Embedded Emissions'!$A$56:$D$90,2,FALSE)+VLOOKUP(BR$3,'Non-Embedded Emissions'!$A$143:$D$174,2,FALSE)+VLOOKUP(BR$3,'Non-Embedded Emissions'!$A$230:$D$259,2,FALSE)), $C24 = "3", 'Inputs-System'!$C$30*'Coincidence Factors'!$B$6*'Inputs-Proposals'!$F$29*'Inputs-Proposals'!$F$31*(VLOOKUP(BR$3,'Non-Embedded Emissions'!$A$56:$D$90,2,FALSE)+VLOOKUP(BR$3,'Non-Embedded Emissions'!$A$143:$D$174,2,FALSE)+VLOOKUP(BR$3,'Non-Embedded Emissions'!$A$230:$D$259,2,FALSE)), $C24 = "0", 0), 0)</f>
        <v>0</v>
      </c>
      <c r="BX24" s="45">
        <f>IFERROR(_xlfn.IFS($C24="1",('Inputs-System'!$C$30*'Coincidence Factors'!$B$6*(1+'Inputs-System'!$C$18)*(1+'Inputs-System'!$C$41)*('Inputs-Proposals'!$F$17*'Inputs-Proposals'!$F$19*(1-'Inputs-Proposals'!$F$20^(BX$3-'Inputs-System'!$C$7)))*(VLOOKUP(BX$3,Energy!$A$51:$K$83,5,FALSE))), $C24 = "2",('Inputs-System'!$C$30*'Coincidence Factors'!$B$6)*(1+'Inputs-System'!$C$18)*(1+'Inputs-System'!$C$41)*('Inputs-Proposals'!$F$23*'Inputs-Proposals'!$F$25*(1-'Inputs-Proposals'!$F$26^(BX$3-'Inputs-System'!$C$7)))*(VLOOKUP(BX$3,Energy!$A$51:$K$83,5,FALSE)), $C24= "3", ('Inputs-System'!$C$30*'Coincidence Factors'!$B$6*(1+'Inputs-System'!$C$18)*(1+'Inputs-System'!$C$41)*('Inputs-Proposals'!$F$29*'Inputs-Proposals'!$F$31*(1-'Inputs-Proposals'!$F$32^(BX$3-'Inputs-System'!$C$7)))*(VLOOKUP(BX$3,Energy!$A$51:$K$83,5,FALSE))), $C24= "0", 0), 0)</f>
        <v>0</v>
      </c>
      <c r="BY24" s="44">
        <f>IFERROR(_xlfn.IFS($C24="1",('Inputs-System'!$C$30*'Coincidence Factors'!$B$6*(1+'Inputs-System'!$C$18)*(1+'Inputs-System'!$C$41))*'Inputs-Proposals'!$F$17*'Inputs-Proposals'!$F$19*(1-'Inputs-Proposals'!$F$20^(BX$3-'Inputs-System'!$C$7))*(VLOOKUP(BX$3,'Embedded Emissions'!$A$47:$B$78,2,FALSE)+VLOOKUP(BX$3,'Embedded Emissions'!$A$129:$B$158,2,FALSE)), $C24 = "2",('Inputs-System'!$C$30*'Coincidence Factors'!$B$6*(1+'Inputs-System'!$C$18)*(1+'Inputs-System'!$C$41))*'Inputs-Proposals'!$F$23*'Inputs-Proposals'!$F$25*(1-'Inputs-Proposals'!$F$20^(BX$3-'Inputs-System'!$C$7))*(VLOOKUP(BX$3,'Embedded Emissions'!$A$47:$B$78,2,FALSE)+VLOOKUP(BX$3,'Embedded Emissions'!$A$129:$B$158,2,FALSE)), $C24 = "3", ('Inputs-System'!$C$30*'Coincidence Factors'!$B$6*(1+'Inputs-System'!$C$18)*(1+'Inputs-System'!$C$41))*'Inputs-Proposals'!$F$29*'Inputs-Proposals'!$F$31*(1-'Inputs-Proposals'!$F$20^(BX$3-'Inputs-System'!$C$7))*(VLOOKUP(BX$3,'Embedded Emissions'!$A$47:$B$78,2,FALSE)+VLOOKUP(BX$3,'Embedded Emissions'!$A$129:$B$158,2,FALSE)), $C24 = "0", 0), 0)</f>
        <v>0</v>
      </c>
      <c r="BZ24" s="44">
        <f>IFERROR(_xlfn.IFS($C24="1",( 'Inputs-System'!$C$30*'Coincidence Factors'!$B$6*(1+'Inputs-System'!$C$18)*(1+'Inputs-System'!$C$41))*('Inputs-Proposals'!$F$17*'Inputs-Proposals'!$F$19*(1-'Inputs-Proposals'!$F$20)^(BX$3-'Inputs-System'!$C$7))*(VLOOKUP(BX$3,DRIPE!$A$54:$I$82,5,FALSE)+VLOOKUP(BX$3,DRIPE!$A$54:$I$82,9,FALSE))+ ('Inputs-System'!$C$26*'Coincidence Factors'!$B$6*(1+'Inputs-System'!$C$18)*(1+'Inputs-System'!$C$42))*'Inputs-Proposals'!$F$16*VLOOKUP(BX$3,DRIPE!$A$54:$I$82,8,FALSE), $C24 = "2",( 'Inputs-System'!$C$30*'Coincidence Factors'!$B$6*(1+'Inputs-System'!$C$18)*(1+'Inputs-System'!$C$41))*('Inputs-Proposals'!$F$23*'Inputs-Proposals'!$F$25*(1-'Inputs-Proposals'!$F$26)^(BX$3-'Inputs-System'!$C$7))*(VLOOKUP(BX$3,DRIPE!$A$54:$I$82,5,FALSE)+VLOOKUP(BX$3,DRIPE!$A$54:$I$82,9,FALSE))+ ('Inputs-System'!$C$26*'Coincidence Factors'!$B$6*(1+'Inputs-System'!$C$18)*(1+'Inputs-System'!$C$42))*'Inputs-Proposals'!$F$22*VLOOKUP(BX$3,DRIPE!$A$54:$I$82,8,FALSE), $C24= "3", ( 'Inputs-System'!$C$30*'Coincidence Factors'!$B$6*(1+'Inputs-System'!$C$18)*(1+'Inputs-System'!$C$41))*('Inputs-Proposals'!$F$29*'Inputs-Proposals'!$F$31*(1-'Inputs-Proposals'!$F$32)^(BX$3-'Inputs-System'!$C$7))*(VLOOKUP(BX$3,DRIPE!$A$54:$I$82,5,FALSE)+VLOOKUP(BX$3,DRIPE!$A$54:$I$82,9,FALSE))+ ('Inputs-System'!$C$26*'Coincidence Factors'!$B$6*(1+'Inputs-System'!$C$18)*(1+'Inputs-System'!$C$42))*'Inputs-Proposals'!$F$28*VLOOKUP(BX$3,DRIPE!$A$54:$I$82,8,FALSE), $C24 = "0", 0), 0)</f>
        <v>0</v>
      </c>
      <c r="CA24" s="45">
        <f>IFERROR(_xlfn.IFS($C24="1",('Inputs-System'!$C$26*'Coincidence Factors'!$B$6*(1+'Inputs-System'!$C$18))*'Inputs-Proposals'!$F$16*(VLOOKUP(BX$3,Capacity!$A$53:$E$85,4,FALSE)*(1+'Inputs-System'!$C$42)+VLOOKUP(BX$3,Capacity!$A$53:$E$85,5,FALSE)*'Inputs-System'!$C$29*(1+'Inputs-System'!$C$43)), $C24 = "2", ('Inputs-System'!$C$26*'Coincidence Factors'!$B$6*(1+'Inputs-System'!$C$18))*'Inputs-Proposals'!$F$22*(VLOOKUP(BX$3,Capacity!$A$53:$E$85,4,FALSE)*(1+'Inputs-System'!$C$42)+VLOOKUP(BX$3,Capacity!$A$53:$E$85,5,FALSE)*'Inputs-System'!$C$29*(1+'Inputs-System'!$C$43)), $C24 = "3",('Inputs-System'!$C$26*'Coincidence Factors'!$B$6*(1+'Inputs-System'!$C$18))*'Inputs-Proposals'!$F$28*(VLOOKUP(BX$3,Capacity!$A$53:$E$85,4,FALSE)*(1+'Inputs-System'!$C$42)+VLOOKUP(BX$3,Capacity!$A$53:$E$85,5,FALSE)*'Inputs-System'!$C$29*(1+'Inputs-System'!$C$43)), $C24 = "0", 0), 0)</f>
        <v>0</v>
      </c>
      <c r="CB24" s="44">
        <v>0</v>
      </c>
      <c r="CC24" s="342">
        <f>IFERROR(_xlfn.IFS($C24="1", 'Inputs-System'!$C$30*'Coincidence Factors'!$B$6*'Inputs-Proposals'!$F$17*'Inputs-Proposals'!$F$19*(VLOOKUP(BX$3,'Non-Embedded Emissions'!$A$56:$D$90,2,FALSE)+VLOOKUP(BX$3,'Non-Embedded Emissions'!$A$143:$D$174,2,FALSE)+VLOOKUP(BX$3,'Non-Embedded Emissions'!$A$230:$D$259,2,FALSE)), $C24 = "2", 'Inputs-System'!$C$30*'Coincidence Factors'!$B$6*'Inputs-Proposals'!$F$23*'Inputs-Proposals'!$F$25*(VLOOKUP(BX$3,'Non-Embedded Emissions'!$A$56:$D$90,2,FALSE)+VLOOKUP(BX$3,'Non-Embedded Emissions'!$A$143:$D$174,2,FALSE)+VLOOKUP(BX$3,'Non-Embedded Emissions'!$A$230:$D$259,2,FALSE)), $C24 = "3", 'Inputs-System'!$C$30*'Coincidence Factors'!$B$6*'Inputs-Proposals'!$F$29*'Inputs-Proposals'!$F$31*(VLOOKUP(BX$3,'Non-Embedded Emissions'!$A$56:$D$90,2,FALSE)+VLOOKUP(BX$3,'Non-Embedded Emissions'!$A$143:$D$174,2,FALSE)+VLOOKUP(BX$3,'Non-Embedded Emissions'!$A$230:$D$259,2,FALSE)), $C24 = "0", 0), 0)</f>
        <v>0</v>
      </c>
      <c r="CD24" s="45">
        <f>IFERROR(_xlfn.IFS($C24="1",('Inputs-System'!$C$30*'Coincidence Factors'!$B$6*(1+'Inputs-System'!$C$18)*(1+'Inputs-System'!$C$41)*('Inputs-Proposals'!$F$17*'Inputs-Proposals'!$F$19*(1-'Inputs-Proposals'!$F$20^(CD$3-'Inputs-System'!$C$7)))*(VLOOKUP(CD$3,Energy!$A$51:$K$83,5,FALSE))), $C24 = "2",('Inputs-System'!$C$30*'Coincidence Factors'!$B$6)*(1+'Inputs-System'!$C$18)*(1+'Inputs-System'!$C$41)*('Inputs-Proposals'!$F$23*'Inputs-Proposals'!$F$25*(1-'Inputs-Proposals'!$F$26^(CD$3-'Inputs-System'!$C$7)))*(VLOOKUP(CD$3,Energy!$A$51:$K$83,5,FALSE)), $C24= "3", ('Inputs-System'!$C$30*'Coincidence Factors'!$B$6*(1+'Inputs-System'!$C$18)*(1+'Inputs-System'!$C$41)*('Inputs-Proposals'!$F$29*'Inputs-Proposals'!$F$31*(1-'Inputs-Proposals'!$F$32^(CD$3-'Inputs-System'!$C$7)))*(VLOOKUP(CD$3,Energy!$A$51:$K$83,5,FALSE))), $C24= "0", 0), 0)</f>
        <v>0</v>
      </c>
      <c r="CE24" s="44">
        <f>IFERROR(_xlfn.IFS($C24="1",('Inputs-System'!$C$30*'Coincidence Factors'!$B$6*(1+'Inputs-System'!$C$18)*(1+'Inputs-System'!$C$41))*'Inputs-Proposals'!$F$17*'Inputs-Proposals'!$F$19*(1-'Inputs-Proposals'!$F$20^(CD$3-'Inputs-System'!$C$7))*(VLOOKUP(CD$3,'Embedded Emissions'!$A$47:$B$78,2,FALSE)+VLOOKUP(CD$3,'Embedded Emissions'!$A$129:$B$158,2,FALSE)), $C24 = "2",('Inputs-System'!$C$30*'Coincidence Factors'!$B$6*(1+'Inputs-System'!$C$18)*(1+'Inputs-System'!$C$41))*'Inputs-Proposals'!$F$23*'Inputs-Proposals'!$F$25*(1-'Inputs-Proposals'!$F$20^(CD$3-'Inputs-System'!$C$7))*(VLOOKUP(CD$3,'Embedded Emissions'!$A$47:$B$78,2,FALSE)+VLOOKUP(CD$3,'Embedded Emissions'!$A$129:$B$158,2,FALSE)), $C24 = "3", ('Inputs-System'!$C$30*'Coincidence Factors'!$B$6*(1+'Inputs-System'!$C$18)*(1+'Inputs-System'!$C$41))*'Inputs-Proposals'!$F$29*'Inputs-Proposals'!$F$31*(1-'Inputs-Proposals'!$F$20^(CD$3-'Inputs-System'!$C$7))*(VLOOKUP(CD$3,'Embedded Emissions'!$A$47:$B$78,2,FALSE)+VLOOKUP(CD$3,'Embedded Emissions'!$A$129:$B$158,2,FALSE)), $C24 = "0", 0), 0)</f>
        <v>0</v>
      </c>
      <c r="CF24" s="44">
        <f>IFERROR(_xlfn.IFS($C24="1",( 'Inputs-System'!$C$30*'Coincidence Factors'!$B$6*(1+'Inputs-System'!$C$18)*(1+'Inputs-System'!$C$41))*('Inputs-Proposals'!$F$17*'Inputs-Proposals'!$F$19*(1-'Inputs-Proposals'!$F$20)^(CD$3-'Inputs-System'!$C$7))*(VLOOKUP(CD$3,DRIPE!$A$54:$I$82,5,FALSE)+VLOOKUP(CD$3,DRIPE!$A$54:$I$82,9,FALSE))+ ('Inputs-System'!$C$26*'Coincidence Factors'!$B$6*(1+'Inputs-System'!$C$18)*(1+'Inputs-System'!$C$42))*'Inputs-Proposals'!$F$16*VLOOKUP(CD$3,DRIPE!$A$54:$I$82,8,FALSE), $C24 = "2",( 'Inputs-System'!$C$30*'Coincidence Factors'!$B$6*(1+'Inputs-System'!$C$18)*(1+'Inputs-System'!$C$41))*('Inputs-Proposals'!$F$23*'Inputs-Proposals'!$F$25*(1-'Inputs-Proposals'!$F$26)^(CD$3-'Inputs-System'!$C$7))*(VLOOKUP(CD$3,DRIPE!$A$54:$I$82,5,FALSE)+VLOOKUP(CD$3,DRIPE!$A$54:$I$82,9,FALSE))+ ('Inputs-System'!$C$26*'Coincidence Factors'!$B$6*(1+'Inputs-System'!$C$18)*(1+'Inputs-System'!$C$42))*'Inputs-Proposals'!$F$22*VLOOKUP(CD$3,DRIPE!$A$54:$I$82,8,FALSE), $C24= "3", ( 'Inputs-System'!$C$30*'Coincidence Factors'!$B$6*(1+'Inputs-System'!$C$18)*(1+'Inputs-System'!$C$41))*('Inputs-Proposals'!$F$29*'Inputs-Proposals'!$F$31*(1-'Inputs-Proposals'!$F$32)^(CD$3-'Inputs-System'!$C$7))*(VLOOKUP(CD$3,DRIPE!$A$54:$I$82,5,FALSE)+VLOOKUP(CD$3,DRIPE!$A$54:$I$82,9,FALSE))+ ('Inputs-System'!$C$26*'Coincidence Factors'!$B$6*(1+'Inputs-System'!$C$18)*(1+'Inputs-System'!$C$42))*'Inputs-Proposals'!$F$28*VLOOKUP(CD$3,DRIPE!$A$54:$I$82,8,FALSE), $C24 = "0", 0), 0)</f>
        <v>0</v>
      </c>
      <c r="CG24" s="45">
        <f>IFERROR(_xlfn.IFS($C24="1",('Inputs-System'!$C$26*'Coincidence Factors'!$B$6*(1+'Inputs-System'!$C$18))*'Inputs-Proposals'!$F$16*(VLOOKUP(CD$3,Capacity!$A$53:$E$85,4,FALSE)*(1+'Inputs-System'!$C$42)+VLOOKUP(CD$3,Capacity!$A$53:$E$85,5,FALSE)*'Inputs-System'!$C$29*(1+'Inputs-System'!$C$43)), $C24 = "2", ('Inputs-System'!$C$26*'Coincidence Factors'!$B$6*(1+'Inputs-System'!$C$18))*'Inputs-Proposals'!$F$22*(VLOOKUP(CD$3,Capacity!$A$53:$E$85,4,FALSE)*(1+'Inputs-System'!$C$42)+VLOOKUP(CD$3,Capacity!$A$53:$E$85,5,FALSE)*'Inputs-System'!$C$29*(1+'Inputs-System'!$C$43)), $C24 = "3",('Inputs-System'!$C$26*'Coincidence Factors'!$B$6*(1+'Inputs-System'!$C$18))*'Inputs-Proposals'!$F$28*(VLOOKUP(CD$3,Capacity!$A$53:$E$85,4,FALSE)*(1+'Inputs-System'!$C$42)+VLOOKUP(CD$3,Capacity!$A$53:$E$85,5,FALSE)*'Inputs-System'!$C$29*(1+'Inputs-System'!$C$43)), $C24 = "0", 0), 0)</f>
        <v>0</v>
      </c>
      <c r="CH24" s="44">
        <v>0</v>
      </c>
      <c r="CI24" s="342">
        <f>IFERROR(_xlfn.IFS($C24="1", 'Inputs-System'!$C$30*'Coincidence Factors'!$B$6*'Inputs-Proposals'!$F$17*'Inputs-Proposals'!$F$19*(VLOOKUP(CD$3,'Non-Embedded Emissions'!$A$56:$D$90,2,FALSE)+VLOOKUP(CD$3,'Non-Embedded Emissions'!$A$143:$D$174,2,FALSE)+VLOOKUP(CD$3,'Non-Embedded Emissions'!$A$230:$D$259,2,FALSE)), $C24 = "2", 'Inputs-System'!$C$30*'Coincidence Factors'!$B$6*'Inputs-Proposals'!$F$23*'Inputs-Proposals'!$F$25*(VLOOKUP(CD$3,'Non-Embedded Emissions'!$A$56:$D$90,2,FALSE)+VLOOKUP(CD$3,'Non-Embedded Emissions'!$A$143:$D$174,2,FALSE)+VLOOKUP(CD$3,'Non-Embedded Emissions'!$A$230:$D$259,2,FALSE)), $C24 = "3", 'Inputs-System'!$C$30*'Coincidence Factors'!$B$6*'Inputs-Proposals'!$F$29*'Inputs-Proposals'!$F$31*(VLOOKUP(CD$3,'Non-Embedded Emissions'!$A$56:$D$90,2,FALSE)+VLOOKUP(CD$3,'Non-Embedded Emissions'!$A$143:$D$174,2,FALSE)+VLOOKUP(CD$3,'Non-Embedded Emissions'!$A$230:$D$259,2,FALSE)), $C24 = "0", 0), 0)</f>
        <v>0</v>
      </c>
      <c r="CJ24" s="45">
        <f>IFERROR(_xlfn.IFS($C24="1",('Inputs-System'!$C$30*'Coincidence Factors'!$B$6*(1+'Inputs-System'!$C$18)*(1+'Inputs-System'!$C$41)*('Inputs-Proposals'!$F$17*'Inputs-Proposals'!$F$19*(1-'Inputs-Proposals'!$F$20^(CJ$3-'Inputs-System'!$C$7)))*(VLOOKUP(CJ$3,Energy!$A$51:$K$83,5,FALSE))), $C24 = "2",('Inputs-System'!$C$30*'Coincidence Factors'!$B$6)*(1+'Inputs-System'!$C$18)*(1+'Inputs-System'!$C$41)*('Inputs-Proposals'!$F$23*'Inputs-Proposals'!$F$25*(1-'Inputs-Proposals'!$F$26^(CJ$3-'Inputs-System'!$C$7)))*(VLOOKUP(CJ$3,Energy!$A$51:$K$83,5,FALSE)), $C24= "3", ('Inputs-System'!$C$30*'Coincidence Factors'!$B$6*(1+'Inputs-System'!$C$18)*(1+'Inputs-System'!$C$41)*('Inputs-Proposals'!$F$29*'Inputs-Proposals'!$F$31*(1-'Inputs-Proposals'!$F$32^(CJ$3-'Inputs-System'!$C$7)))*(VLOOKUP(CJ$3,Energy!$A$51:$K$83,5,FALSE))), $C24= "0", 0), 0)</f>
        <v>0</v>
      </c>
      <c r="CK24" s="44">
        <f>IFERROR(_xlfn.IFS($C24="1",('Inputs-System'!$C$30*'Coincidence Factors'!$B$6*(1+'Inputs-System'!$C$18)*(1+'Inputs-System'!$C$41))*'Inputs-Proposals'!$F$17*'Inputs-Proposals'!$F$19*(1-'Inputs-Proposals'!$F$20^(CJ$3-'Inputs-System'!$C$7))*(VLOOKUP(CJ$3,'Embedded Emissions'!$A$47:$B$78,2,FALSE)+VLOOKUP(CJ$3,'Embedded Emissions'!$A$129:$B$158,2,FALSE)), $C24 = "2",('Inputs-System'!$C$30*'Coincidence Factors'!$B$6*(1+'Inputs-System'!$C$18)*(1+'Inputs-System'!$C$41))*'Inputs-Proposals'!$F$23*'Inputs-Proposals'!$F$25*(1-'Inputs-Proposals'!$F$20^(CJ$3-'Inputs-System'!$C$7))*(VLOOKUP(CJ$3,'Embedded Emissions'!$A$47:$B$78,2,FALSE)+VLOOKUP(CJ$3,'Embedded Emissions'!$A$129:$B$158,2,FALSE)), $C24 = "3", ('Inputs-System'!$C$30*'Coincidence Factors'!$B$6*(1+'Inputs-System'!$C$18)*(1+'Inputs-System'!$C$41))*'Inputs-Proposals'!$F$29*'Inputs-Proposals'!$F$31*(1-'Inputs-Proposals'!$F$20^(CJ$3-'Inputs-System'!$C$7))*(VLOOKUP(CJ$3,'Embedded Emissions'!$A$47:$B$78,2,FALSE)+VLOOKUP(CJ$3,'Embedded Emissions'!$A$129:$B$158,2,FALSE)), $C24 = "0", 0), 0)</f>
        <v>0</v>
      </c>
      <c r="CL24" s="44">
        <f>IFERROR(_xlfn.IFS($C24="1",( 'Inputs-System'!$C$30*'Coincidence Factors'!$B$6*(1+'Inputs-System'!$C$18)*(1+'Inputs-System'!$C$41))*('Inputs-Proposals'!$F$17*'Inputs-Proposals'!$F$19*(1-'Inputs-Proposals'!$F$20)^(CJ$3-'Inputs-System'!$C$7))*(VLOOKUP(CJ$3,DRIPE!$A$54:$I$82,5,FALSE)+VLOOKUP(CJ$3,DRIPE!$A$54:$I$82,9,FALSE))+ ('Inputs-System'!$C$26*'Coincidence Factors'!$B$6*(1+'Inputs-System'!$C$18)*(1+'Inputs-System'!$C$42))*'Inputs-Proposals'!$F$16*VLOOKUP(CJ$3,DRIPE!$A$54:$I$82,8,FALSE), $C24 = "2",( 'Inputs-System'!$C$30*'Coincidence Factors'!$B$6*(1+'Inputs-System'!$C$18)*(1+'Inputs-System'!$C$41))*('Inputs-Proposals'!$F$23*'Inputs-Proposals'!$F$25*(1-'Inputs-Proposals'!$F$26)^(CJ$3-'Inputs-System'!$C$7))*(VLOOKUP(CJ$3,DRIPE!$A$54:$I$82,5,FALSE)+VLOOKUP(CJ$3,DRIPE!$A$54:$I$82,9,FALSE))+ ('Inputs-System'!$C$26*'Coincidence Factors'!$B$6*(1+'Inputs-System'!$C$18)*(1+'Inputs-System'!$C$42))*'Inputs-Proposals'!$F$22*VLOOKUP(CJ$3,DRIPE!$A$54:$I$82,8,FALSE), $C24= "3", ( 'Inputs-System'!$C$30*'Coincidence Factors'!$B$6*(1+'Inputs-System'!$C$18)*(1+'Inputs-System'!$C$41))*('Inputs-Proposals'!$F$29*'Inputs-Proposals'!$F$31*(1-'Inputs-Proposals'!$F$32)^(CJ$3-'Inputs-System'!$C$7))*(VLOOKUP(CJ$3,DRIPE!$A$54:$I$82,5,FALSE)+VLOOKUP(CJ$3,DRIPE!$A$54:$I$82,9,FALSE))+ ('Inputs-System'!$C$26*'Coincidence Factors'!$B$6*(1+'Inputs-System'!$C$18)*(1+'Inputs-System'!$C$42))*'Inputs-Proposals'!$F$28*VLOOKUP(CJ$3,DRIPE!$A$54:$I$82,8,FALSE), $C24 = "0", 0), 0)</f>
        <v>0</v>
      </c>
      <c r="CM24" s="45">
        <f>IFERROR(_xlfn.IFS($C24="1",('Inputs-System'!$C$26*'Coincidence Factors'!$B$6*(1+'Inputs-System'!$C$18))*'Inputs-Proposals'!$F$16*(VLOOKUP(CJ$3,Capacity!$A$53:$E$85,4,FALSE)*(1+'Inputs-System'!$C$42)+VLOOKUP(CJ$3,Capacity!$A$53:$E$85,5,FALSE)*'Inputs-System'!$C$29*(1+'Inputs-System'!$C$43)), $C24 = "2", ('Inputs-System'!$C$26*'Coincidence Factors'!$B$6*(1+'Inputs-System'!$C$18))*'Inputs-Proposals'!$F$22*(VLOOKUP(CJ$3,Capacity!$A$53:$E$85,4,FALSE)*(1+'Inputs-System'!$C$42)+VLOOKUP(CJ$3,Capacity!$A$53:$E$85,5,FALSE)*'Inputs-System'!$C$29*(1+'Inputs-System'!$C$43)), $C24 = "3",('Inputs-System'!$C$26*'Coincidence Factors'!$B$6*(1+'Inputs-System'!$C$18))*'Inputs-Proposals'!$F$28*(VLOOKUP(CJ$3,Capacity!$A$53:$E$85,4,FALSE)*(1+'Inputs-System'!$C$42)+VLOOKUP(CJ$3,Capacity!$A$53:$E$85,5,FALSE)*'Inputs-System'!$C$29*(1+'Inputs-System'!$C$43)), $C24 = "0", 0), 0)</f>
        <v>0</v>
      </c>
      <c r="CN24" s="44">
        <v>0</v>
      </c>
      <c r="CO24" s="342">
        <f>IFERROR(_xlfn.IFS($C24="1", 'Inputs-System'!$C$30*'Coincidence Factors'!$B$6*'Inputs-Proposals'!$F$17*'Inputs-Proposals'!$F$19*(VLOOKUP(CJ$3,'Non-Embedded Emissions'!$A$56:$D$90,2,FALSE)+VLOOKUP(CJ$3,'Non-Embedded Emissions'!$A$143:$D$174,2,FALSE)+VLOOKUP(CJ$3,'Non-Embedded Emissions'!$A$230:$D$259,2,FALSE)), $C24 = "2", 'Inputs-System'!$C$30*'Coincidence Factors'!$B$6*'Inputs-Proposals'!$F$23*'Inputs-Proposals'!$F$25*(VLOOKUP(CJ$3,'Non-Embedded Emissions'!$A$56:$D$90,2,FALSE)+VLOOKUP(CJ$3,'Non-Embedded Emissions'!$A$143:$D$174,2,FALSE)+VLOOKUP(CJ$3,'Non-Embedded Emissions'!$A$230:$D$259,2,FALSE)), $C24 = "3", 'Inputs-System'!$C$30*'Coincidence Factors'!$B$6*'Inputs-Proposals'!$F$29*'Inputs-Proposals'!$F$31*(VLOOKUP(CJ$3,'Non-Embedded Emissions'!$A$56:$D$90,2,FALSE)+VLOOKUP(CJ$3,'Non-Embedded Emissions'!$A$143:$D$174,2,FALSE)+VLOOKUP(CJ$3,'Non-Embedded Emissions'!$A$230:$D$259,2,FALSE)), $C24 = "0", 0), 0)</f>
        <v>0</v>
      </c>
      <c r="CP24" s="45">
        <f>IFERROR(_xlfn.IFS($C24="1",('Inputs-System'!$C$30*'Coincidence Factors'!$B$6*(1+'Inputs-System'!$C$18)*(1+'Inputs-System'!$C$41)*('Inputs-Proposals'!$F$17*'Inputs-Proposals'!$F$19*(1-'Inputs-Proposals'!$F$20^(CP$3-'Inputs-System'!$C$7)))*(VLOOKUP(CP$3,Energy!$A$51:$K$83,5,FALSE))), $C24 = "2",('Inputs-System'!$C$30*'Coincidence Factors'!$B$6)*(1+'Inputs-System'!$C$18)*(1+'Inputs-System'!$C$41)*('Inputs-Proposals'!$F$23*'Inputs-Proposals'!$F$25*(1-'Inputs-Proposals'!$F$26^(CP$3-'Inputs-System'!$C$7)))*(VLOOKUP(CP$3,Energy!$A$51:$K$83,5,FALSE)), $C24= "3", ('Inputs-System'!$C$30*'Coincidence Factors'!$B$6*(1+'Inputs-System'!$C$18)*(1+'Inputs-System'!$C$41)*('Inputs-Proposals'!$F$29*'Inputs-Proposals'!$F$31*(1-'Inputs-Proposals'!$F$32^(CP$3-'Inputs-System'!$C$7)))*(VLOOKUP(CP$3,Energy!$A$51:$K$83,5,FALSE))), $C24= "0", 0), 0)</f>
        <v>0</v>
      </c>
      <c r="CQ24" s="44">
        <f>IFERROR(_xlfn.IFS($C24="1",('Inputs-System'!$C$30*'Coincidence Factors'!$B$6*(1+'Inputs-System'!$C$18)*(1+'Inputs-System'!$C$41))*'Inputs-Proposals'!$F$17*'Inputs-Proposals'!$F$19*(1-'Inputs-Proposals'!$F$20^(CP$3-'Inputs-System'!$C$7))*(VLOOKUP(CP$3,'Embedded Emissions'!$A$47:$B$78,2,FALSE)+VLOOKUP(CP$3,'Embedded Emissions'!$A$129:$B$158,2,FALSE)), $C24 = "2",('Inputs-System'!$C$30*'Coincidence Factors'!$B$6*(1+'Inputs-System'!$C$18)*(1+'Inputs-System'!$C$41))*'Inputs-Proposals'!$F$23*'Inputs-Proposals'!$F$25*(1-'Inputs-Proposals'!$F$20^(CP$3-'Inputs-System'!$C$7))*(VLOOKUP(CP$3,'Embedded Emissions'!$A$47:$B$78,2,FALSE)+VLOOKUP(CP$3,'Embedded Emissions'!$A$129:$B$158,2,FALSE)), $C24 = "3", ('Inputs-System'!$C$30*'Coincidence Factors'!$B$6*(1+'Inputs-System'!$C$18)*(1+'Inputs-System'!$C$41))*'Inputs-Proposals'!$F$29*'Inputs-Proposals'!$F$31*(1-'Inputs-Proposals'!$F$20^(CP$3-'Inputs-System'!$C$7))*(VLOOKUP(CP$3,'Embedded Emissions'!$A$47:$B$78,2,FALSE)+VLOOKUP(CP$3,'Embedded Emissions'!$A$129:$B$158,2,FALSE)), $C24 = "0", 0), 0)</f>
        <v>0</v>
      </c>
      <c r="CR24" s="44">
        <f>IFERROR(_xlfn.IFS($C24="1",( 'Inputs-System'!$C$30*'Coincidence Factors'!$B$6*(1+'Inputs-System'!$C$18)*(1+'Inputs-System'!$C$41))*('Inputs-Proposals'!$F$17*'Inputs-Proposals'!$F$19*(1-'Inputs-Proposals'!$F$20)^(CP$3-'Inputs-System'!$C$7))*(VLOOKUP(CP$3,DRIPE!$A$54:$I$82,5,FALSE)+VLOOKUP(CP$3,DRIPE!$A$54:$I$82,9,FALSE))+ ('Inputs-System'!$C$26*'Coincidence Factors'!$B$6*(1+'Inputs-System'!$C$18)*(1+'Inputs-System'!$C$42))*'Inputs-Proposals'!$F$16*VLOOKUP(CP$3,DRIPE!$A$54:$I$82,8,FALSE), $C24 = "2",( 'Inputs-System'!$C$30*'Coincidence Factors'!$B$6*(1+'Inputs-System'!$C$18)*(1+'Inputs-System'!$C$41))*('Inputs-Proposals'!$F$23*'Inputs-Proposals'!$F$25*(1-'Inputs-Proposals'!$F$26)^(CP$3-'Inputs-System'!$C$7))*(VLOOKUP(CP$3,DRIPE!$A$54:$I$82,5,FALSE)+VLOOKUP(CP$3,DRIPE!$A$54:$I$82,9,FALSE))+ ('Inputs-System'!$C$26*'Coincidence Factors'!$B$6*(1+'Inputs-System'!$C$18)*(1+'Inputs-System'!$C$42))*'Inputs-Proposals'!$F$22*VLOOKUP(CP$3,DRIPE!$A$54:$I$82,8,FALSE), $C24= "3", ( 'Inputs-System'!$C$30*'Coincidence Factors'!$B$6*(1+'Inputs-System'!$C$18)*(1+'Inputs-System'!$C$41))*('Inputs-Proposals'!$F$29*'Inputs-Proposals'!$F$31*(1-'Inputs-Proposals'!$F$32)^(CP$3-'Inputs-System'!$C$7))*(VLOOKUP(CP$3,DRIPE!$A$54:$I$82,5,FALSE)+VLOOKUP(CP$3,DRIPE!$A$54:$I$82,9,FALSE))+ ('Inputs-System'!$C$26*'Coincidence Factors'!$B$6*(1+'Inputs-System'!$C$18)*(1+'Inputs-System'!$C$42))*'Inputs-Proposals'!$F$28*VLOOKUP(CP$3,DRIPE!$A$54:$I$82,8,FALSE), $C24 = "0", 0), 0)</f>
        <v>0</v>
      </c>
      <c r="CS24" s="45">
        <f>IFERROR(_xlfn.IFS($C24="1",('Inputs-System'!$C$26*'Coincidence Factors'!$B$6*(1+'Inputs-System'!$C$18))*'Inputs-Proposals'!$F$16*(VLOOKUP(CP$3,Capacity!$A$53:$E$85,4,FALSE)*(1+'Inputs-System'!$C$42)+VLOOKUP(CP$3,Capacity!$A$53:$E$85,5,FALSE)*'Inputs-System'!$C$29*(1+'Inputs-System'!$C$43)), $C24 = "2", ('Inputs-System'!$C$26*'Coincidence Factors'!$B$6*(1+'Inputs-System'!$C$18))*'Inputs-Proposals'!$F$22*(VLOOKUP(CP$3,Capacity!$A$53:$E$85,4,FALSE)*(1+'Inputs-System'!$C$42)+VLOOKUP(CP$3,Capacity!$A$53:$E$85,5,FALSE)*'Inputs-System'!$C$29*(1+'Inputs-System'!$C$43)), $C24 = "3",('Inputs-System'!$C$26*'Coincidence Factors'!$B$6*(1+'Inputs-System'!$C$18))*'Inputs-Proposals'!$F$28*(VLOOKUP(CP$3,Capacity!$A$53:$E$85,4,FALSE)*(1+'Inputs-System'!$C$42)+VLOOKUP(CP$3,Capacity!$A$53:$E$85,5,FALSE)*'Inputs-System'!$C$29*(1+'Inputs-System'!$C$43)), $C24 = "0", 0), 0)</f>
        <v>0</v>
      </c>
      <c r="CT24" s="44">
        <v>0</v>
      </c>
      <c r="CU24" s="342">
        <f>IFERROR(_xlfn.IFS($C24="1", 'Inputs-System'!$C$30*'Coincidence Factors'!$B$6*'Inputs-Proposals'!$F$17*'Inputs-Proposals'!$F$19*(VLOOKUP(CP$3,'Non-Embedded Emissions'!$A$56:$D$90,2,FALSE)+VLOOKUP(CP$3,'Non-Embedded Emissions'!$A$143:$D$174,2,FALSE)+VLOOKUP(CP$3,'Non-Embedded Emissions'!$A$230:$D$259,2,FALSE)), $C24 = "2", 'Inputs-System'!$C$30*'Coincidence Factors'!$B$6*'Inputs-Proposals'!$F$23*'Inputs-Proposals'!$F$25*(VLOOKUP(CP$3,'Non-Embedded Emissions'!$A$56:$D$90,2,FALSE)+VLOOKUP(CP$3,'Non-Embedded Emissions'!$A$143:$D$174,2,FALSE)+VLOOKUP(CP$3,'Non-Embedded Emissions'!$A$230:$D$259,2,FALSE)), $C24 = "3", 'Inputs-System'!$C$30*'Coincidence Factors'!$B$6*'Inputs-Proposals'!$F$29*'Inputs-Proposals'!$F$31*(VLOOKUP(CP$3,'Non-Embedded Emissions'!$A$56:$D$90,2,FALSE)+VLOOKUP(CP$3,'Non-Embedded Emissions'!$A$143:$D$174,2,FALSE)+VLOOKUP(CP$3,'Non-Embedded Emissions'!$A$230:$D$259,2,FALSE)), $C24 = "0", 0), 0)</f>
        <v>0</v>
      </c>
      <c r="CV24" s="45">
        <f>IFERROR(_xlfn.IFS($C24="1",('Inputs-System'!$C$30*'Coincidence Factors'!$B$6*(1+'Inputs-System'!$C$18)*(1+'Inputs-System'!$C$41)*('Inputs-Proposals'!$F$17*'Inputs-Proposals'!$F$19*(1-'Inputs-Proposals'!$F$20^(CV$3-'Inputs-System'!$C$7)))*(VLOOKUP(CV$3,Energy!$A$51:$K$83,5,FALSE))), $C24 = "2",('Inputs-System'!$C$30*'Coincidence Factors'!$B$6)*(1+'Inputs-System'!$C$18)*(1+'Inputs-System'!$C$41)*('Inputs-Proposals'!$F$23*'Inputs-Proposals'!$F$25*(1-'Inputs-Proposals'!$F$26^(CV$3-'Inputs-System'!$C$7)))*(VLOOKUP(CV$3,Energy!$A$51:$K$83,5,FALSE)), $C24= "3", ('Inputs-System'!$C$30*'Coincidence Factors'!$B$6*(1+'Inputs-System'!$C$18)*(1+'Inputs-System'!$C$41)*('Inputs-Proposals'!$F$29*'Inputs-Proposals'!$F$31*(1-'Inputs-Proposals'!$F$32^(CV$3-'Inputs-System'!$C$7)))*(VLOOKUP(CV$3,Energy!$A$51:$K$83,5,FALSE))), $C24= "0", 0), 0)</f>
        <v>0</v>
      </c>
      <c r="CW24" s="44">
        <f>IFERROR(_xlfn.IFS($C24="1",('Inputs-System'!$C$30*'Coincidence Factors'!$B$6*(1+'Inputs-System'!$C$18)*(1+'Inputs-System'!$C$41))*'Inputs-Proposals'!$F$17*'Inputs-Proposals'!$F$19*(1-'Inputs-Proposals'!$F$20^(CV$3-'Inputs-System'!$C$7))*(VLOOKUP(CV$3,'Embedded Emissions'!$A$47:$B$78,2,FALSE)+VLOOKUP(CV$3,'Embedded Emissions'!$A$129:$B$158,2,FALSE)), $C24 = "2",('Inputs-System'!$C$30*'Coincidence Factors'!$B$6*(1+'Inputs-System'!$C$18)*(1+'Inputs-System'!$C$41))*'Inputs-Proposals'!$F$23*'Inputs-Proposals'!$F$25*(1-'Inputs-Proposals'!$F$20^(CV$3-'Inputs-System'!$C$7))*(VLOOKUP(CV$3,'Embedded Emissions'!$A$47:$B$78,2,FALSE)+VLOOKUP(CV$3,'Embedded Emissions'!$A$129:$B$158,2,FALSE)), $C24 = "3", ('Inputs-System'!$C$30*'Coincidence Factors'!$B$6*(1+'Inputs-System'!$C$18)*(1+'Inputs-System'!$C$41))*'Inputs-Proposals'!$F$29*'Inputs-Proposals'!$F$31*(1-'Inputs-Proposals'!$F$20^(CV$3-'Inputs-System'!$C$7))*(VLOOKUP(CV$3,'Embedded Emissions'!$A$47:$B$78,2,FALSE)+VLOOKUP(CV$3,'Embedded Emissions'!$A$129:$B$158,2,FALSE)), $C24 = "0", 0), 0)</f>
        <v>0</v>
      </c>
      <c r="CX24" s="44">
        <f>IFERROR(_xlfn.IFS($C24="1",( 'Inputs-System'!$C$30*'Coincidence Factors'!$B$6*(1+'Inputs-System'!$C$18)*(1+'Inputs-System'!$C$41))*('Inputs-Proposals'!$F$17*'Inputs-Proposals'!$F$19*(1-'Inputs-Proposals'!$F$20)^(CV$3-'Inputs-System'!$C$7))*(VLOOKUP(CV$3,DRIPE!$A$54:$I$82,5,FALSE)+VLOOKUP(CV$3,DRIPE!$A$54:$I$82,9,FALSE))+ ('Inputs-System'!$C$26*'Coincidence Factors'!$B$6*(1+'Inputs-System'!$C$18)*(1+'Inputs-System'!$C$42))*'Inputs-Proposals'!$F$16*VLOOKUP(CV$3,DRIPE!$A$54:$I$82,8,FALSE), $C24 = "2",( 'Inputs-System'!$C$30*'Coincidence Factors'!$B$6*(1+'Inputs-System'!$C$18)*(1+'Inputs-System'!$C$41))*('Inputs-Proposals'!$F$23*'Inputs-Proposals'!$F$25*(1-'Inputs-Proposals'!$F$26)^(CV$3-'Inputs-System'!$C$7))*(VLOOKUP(CV$3,DRIPE!$A$54:$I$82,5,FALSE)+VLOOKUP(CV$3,DRIPE!$A$54:$I$82,9,FALSE))+ ('Inputs-System'!$C$26*'Coincidence Factors'!$B$6*(1+'Inputs-System'!$C$18)*(1+'Inputs-System'!$C$42))*'Inputs-Proposals'!$F$22*VLOOKUP(CV$3,DRIPE!$A$54:$I$82,8,FALSE), $C24= "3", ( 'Inputs-System'!$C$30*'Coincidence Factors'!$B$6*(1+'Inputs-System'!$C$18)*(1+'Inputs-System'!$C$41))*('Inputs-Proposals'!$F$29*'Inputs-Proposals'!$F$31*(1-'Inputs-Proposals'!$F$32)^(CV$3-'Inputs-System'!$C$7))*(VLOOKUP(CV$3,DRIPE!$A$54:$I$82,5,FALSE)+VLOOKUP(CV$3,DRIPE!$A$54:$I$82,9,FALSE))+ ('Inputs-System'!$C$26*'Coincidence Factors'!$B$6*(1+'Inputs-System'!$C$18)*(1+'Inputs-System'!$C$42))*'Inputs-Proposals'!$F$28*VLOOKUP(CV$3,DRIPE!$A$54:$I$82,8,FALSE), $C24 = "0", 0), 0)</f>
        <v>0</v>
      </c>
      <c r="CY24" s="45">
        <f>IFERROR(_xlfn.IFS($C24="1",('Inputs-System'!$C$26*'Coincidence Factors'!$B$6*(1+'Inputs-System'!$C$18))*'Inputs-Proposals'!$F$16*(VLOOKUP(CV$3,Capacity!$A$53:$E$85,4,FALSE)*(1+'Inputs-System'!$C$42)+VLOOKUP(CV$3,Capacity!$A$53:$E$85,5,FALSE)*'Inputs-System'!$C$29*(1+'Inputs-System'!$C$43)), $C24 = "2", ('Inputs-System'!$C$26*'Coincidence Factors'!$B$6*(1+'Inputs-System'!$C$18))*'Inputs-Proposals'!$F$22*(VLOOKUP(CV$3,Capacity!$A$53:$E$85,4,FALSE)*(1+'Inputs-System'!$C$42)+VLOOKUP(CV$3,Capacity!$A$53:$E$85,5,FALSE)*'Inputs-System'!$C$29*(1+'Inputs-System'!$C$43)), $C24 = "3",('Inputs-System'!$C$26*'Coincidence Factors'!$B$6*(1+'Inputs-System'!$C$18))*'Inputs-Proposals'!$F$28*(VLOOKUP(CV$3,Capacity!$A$53:$E$85,4,FALSE)*(1+'Inputs-System'!$C$42)+VLOOKUP(CV$3,Capacity!$A$53:$E$85,5,FALSE)*'Inputs-System'!$C$29*(1+'Inputs-System'!$C$43)), $C24 = "0", 0), 0)</f>
        <v>0</v>
      </c>
      <c r="CZ24" s="44">
        <v>0</v>
      </c>
      <c r="DA24" s="342">
        <f>IFERROR(_xlfn.IFS($C24="1", 'Inputs-System'!$C$30*'Coincidence Factors'!$B$6*'Inputs-Proposals'!$F$17*'Inputs-Proposals'!$F$19*(VLOOKUP(CV$3,'Non-Embedded Emissions'!$A$56:$D$90,2,FALSE)+VLOOKUP(CV$3,'Non-Embedded Emissions'!$A$143:$D$174,2,FALSE)+VLOOKUP(CV$3,'Non-Embedded Emissions'!$A$230:$D$259,2,FALSE)), $C24 = "2", 'Inputs-System'!$C$30*'Coincidence Factors'!$B$6*'Inputs-Proposals'!$F$23*'Inputs-Proposals'!$F$25*(VLOOKUP(CV$3,'Non-Embedded Emissions'!$A$56:$D$90,2,FALSE)+VLOOKUP(CV$3,'Non-Embedded Emissions'!$A$143:$D$174,2,FALSE)+VLOOKUP(CV$3,'Non-Embedded Emissions'!$A$230:$D$259,2,FALSE)), $C24 = "3", 'Inputs-System'!$C$30*'Coincidence Factors'!$B$6*'Inputs-Proposals'!$F$29*'Inputs-Proposals'!$F$31*(VLOOKUP(CV$3,'Non-Embedded Emissions'!$A$56:$D$90,2,FALSE)+VLOOKUP(CV$3,'Non-Embedded Emissions'!$A$143:$D$174,2,FALSE)+VLOOKUP(CV$3,'Non-Embedded Emissions'!$A$230:$D$259,2,FALSE)), $C24 = "0", 0), 0)</f>
        <v>0</v>
      </c>
      <c r="DB24" s="45">
        <f>IFERROR(_xlfn.IFS($C24="1",('Inputs-System'!$C$30*'Coincidence Factors'!$B$6*(1+'Inputs-System'!$C$18)*(1+'Inputs-System'!$C$41)*('Inputs-Proposals'!$F$17*'Inputs-Proposals'!$F$19*(1-'Inputs-Proposals'!$F$20^(DB$3-'Inputs-System'!$C$7)))*(VLOOKUP(DB$3,Energy!$A$51:$K$83,5,FALSE))), $C24 = "2",('Inputs-System'!$C$30*'Coincidence Factors'!$B$6)*(1+'Inputs-System'!$C$18)*(1+'Inputs-System'!$C$41)*('Inputs-Proposals'!$F$23*'Inputs-Proposals'!$F$25*(1-'Inputs-Proposals'!$F$26^(DB$3-'Inputs-System'!$C$7)))*(VLOOKUP(DB$3,Energy!$A$51:$K$83,5,FALSE)), $C24= "3", ('Inputs-System'!$C$30*'Coincidence Factors'!$B$6*(1+'Inputs-System'!$C$18)*(1+'Inputs-System'!$C$41)*('Inputs-Proposals'!$F$29*'Inputs-Proposals'!$F$31*(1-'Inputs-Proposals'!$F$32^(DB$3-'Inputs-System'!$C$7)))*(VLOOKUP(DB$3,Energy!$A$51:$K$83,5,FALSE))), $C24= "0", 0), 0)</f>
        <v>0</v>
      </c>
      <c r="DC24" s="44">
        <f>IFERROR(_xlfn.IFS($C24="1",('Inputs-System'!$C$30*'Coincidence Factors'!$B$6*(1+'Inputs-System'!$C$18)*(1+'Inputs-System'!$C$41))*'Inputs-Proposals'!$F$17*'Inputs-Proposals'!$F$19*(1-'Inputs-Proposals'!$F$20^(DB$3-'Inputs-System'!$C$7))*(VLOOKUP(DB$3,'Embedded Emissions'!$A$47:$B$78,2,FALSE)+VLOOKUP(DB$3,'Embedded Emissions'!$A$129:$B$158,2,FALSE)), $C24 = "2",('Inputs-System'!$C$30*'Coincidence Factors'!$B$6*(1+'Inputs-System'!$C$18)*(1+'Inputs-System'!$C$41))*'Inputs-Proposals'!$F$23*'Inputs-Proposals'!$F$25*(1-'Inputs-Proposals'!$F$20^(DB$3-'Inputs-System'!$C$7))*(VLOOKUP(DB$3,'Embedded Emissions'!$A$47:$B$78,2,FALSE)+VLOOKUP(DB$3,'Embedded Emissions'!$A$129:$B$158,2,FALSE)), $C24 = "3", ('Inputs-System'!$C$30*'Coincidence Factors'!$B$6*(1+'Inputs-System'!$C$18)*(1+'Inputs-System'!$C$41))*'Inputs-Proposals'!$F$29*'Inputs-Proposals'!$F$31*(1-'Inputs-Proposals'!$F$20^(DB$3-'Inputs-System'!$C$7))*(VLOOKUP(DB$3,'Embedded Emissions'!$A$47:$B$78,2,FALSE)+VLOOKUP(DB$3,'Embedded Emissions'!$A$129:$B$158,2,FALSE)), $C24 = "0", 0), 0)</f>
        <v>0</v>
      </c>
      <c r="DD24" s="44">
        <f>IFERROR(_xlfn.IFS($C24="1",( 'Inputs-System'!$C$30*'Coincidence Factors'!$B$6*(1+'Inputs-System'!$C$18)*(1+'Inputs-System'!$C$41))*('Inputs-Proposals'!$F$17*'Inputs-Proposals'!$F$19*(1-'Inputs-Proposals'!$F$20)^(DB$3-'Inputs-System'!$C$7))*(VLOOKUP(DB$3,DRIPE!$A$54:$I$82,5,FALSE)+VLOOKUP(DB$3,DRIPE!$A$54:$I$82,9,FALSE))+ ('Inputs-System'!$C$26*'Coincidence Factors'!$B$6*(1+'Inputs-System'!$C$18)*(1+'Inputs-System'!$C$42))*'Inputs-Proposals'!$F$16*VLOOKUP(DB$3,DRIPE!$A$54:$I$82,8,FALSE), $C24 = "2",( 'Inputs-System'!$C$30*'Coincidence Factors'!$B$6*(1+'Inputs-System'!$C$18)*(1+'Inputs-System'!$C$41))*('Inputs-Proposals'!$F$23*'Inputs-Proposals'!$F$25*(1-'Inputs-Proposals'!$F$26)^(DB$3-'Inputs-System'!$C$7))*(VLOOKUP(DB$3,DRIPE!$A$54:$I$82,5,FALSE)+VLOOKUP(DB$3,DRIPE!$A$54:$I$82,9,FALSE))+ ('Inputs-System'!$C$26*'Coincidence Factors'!$B$6*(1+'Inputs-System'!$C$18)*(1+'Inputs-System'!$C$42))*'Inputs-Proposals'!$F$22*VLOOKUP(DB$3,DRIPE!$A$54:$I$82,8,FALSE), $C24= "3", ( 'Inputs-System'!$C$30*'Coincidence Factors'!$B$6*(1+'Inputs-System'!$C$18)*(1+'Inputs-System'!$C$41))*('Inputs-Proposals'!$F$29*'Inputs-Proposals'!$F$31*(1-'Inputs-Proposals'!$F$32)^(DB$3-'Inputs-System'!$C$7))*(VLOOKUP(DB$3,DRIPE!$A$54:$I$82,5,FALSE)+VLOOKUP(DB$3,DRIPE!$A$54:$I$82,9,FALSE))+ ('Inputs-System'!$C$26*'Coincidence Factors'!$B$6*(1+'Inputs-System'!$C$18)*(1+'Inputs-System'!$C$42))*'Inputs-Proposals'!$F$28*VLOOKUP(DB$3,DRIPE!$A$54:$I$82,8,FALSE), $C24 = "0", 0), 0)</f>
        <v>0</v>
      </c>
      <c r="DE24" s="45">
        <f>IFERROR(_xlfn.IFS($C24="1",('Inputs-System'!$C$26*'Coincidence Factors'!$B$6*(1+'Inputs-System'!$C$18))*'Inputs-Proposals'!$F$16*(VLOOKUP(DB$3,Capacity!$A$53:$E$85,4,FALSE)*(1+'Inputs-System'!$C$42)+VLOOKUP(DB$3,Capacity!$A$53:$E$85,5,FALSE)*'Inputs-System'!$C$29*(1+'Inputs-System'!$C$43)), $C24 = "2", ('Inputs-System'!$C$26*'Coincidence Factors'!$B$6*(1+'Inputs-System'!$C$18))*'Inputs-Proposals'!$F$22*(VLOOKUP(DB$3,Capacity!$A$53:$E$85,4,FALSE)*(1+'Inputs-System'!$C$42)+VLOOKUP(DB$3,Capacity!$A$53:$E$85,5,FALSE)*'Inputs-System'!$C$29*(1+'Inputs-System'!$C$43)), $C24 = "3",('Inputs-System'!$C$26*'Coincidence Factors'!$B$6*(1+'Inputs-System'!$C$18))*'Inputs-Proposals'!$F$28*(VLOOKUP(DB$3,Capacity!$A$53:$E$85,4,FALSE)*(1+'Inputs-System'!$C$42)+VLOOKUP(DB$3,Capacity!$A$53:$E$85,5,FALSE)*'Inputs-System'!$C$29*(1+'Inputs-System'!$C$43)), $C24 = "0", 0), 0)</f>
        <v>0</v>
      </c>
      <c r="DF24" s="44">
        <v>0</v>
      </c>
      <c r="DG24" s="342">
        <f>IFERROR(_xlfn.IFS($C24="1", 'Inputs-System'!$C$30*'Coincidence Factors'!$B$6*'Inputs-Proposals'!$F$17*'Inputs-Proposals'!$F$19*(VLOOKUP(DB$3,'Non-Embedded Emissions'!$A$56:$D$90,2,FALSE)+VLOOKUP(DB$3,'Non-Embedded Emissions'!$A$143:$D$174,2,FALSE)+VLOOKUP(DB$3,'Non-Embedded Emissions'!$A$230:$D$259,2,FALSE)), $C24 = "2", 'Inputs-System'!$C$30*'Coincidence Factors'!$B$6*'Inputs-Proposals'!$F$23*'Inputs-Proposals'!$F$25*(VLOOKUP(DB$3,'Non-Embedded Emissions'!$A$56:$D$90,2,FALSE)+VLOOKUP(DB$3,'Non-Embedded Emissions'!$A$143:$D$174,2,FALSE)+VLOOKUP(DB$3,'Non-Embedded Emissions'!$A$230:$D$259,2,FALSE)), $C24 = "3", 'Inputs-System'!$C$30*'Coincidence Factors'!$B$6*'Inputs-Proposals'!$F$29*'Inputs-Proposals'!$F$31*(VLOOKUP(DB$3,'Non-Embedded Emissions'!$A$56:$D$90,2,FALSE)+VLOOKUP(DB$3,'Non-Embedded Emissions'!$A$143:$D$174,2,FALSE)+VLOOKUP(DB$3,'Non-Embedded Emissions'!$A$230:$D$259,2,FALSE)), $C24 = "0", 0), 0)</f>
        <v>0</v>
      </c>
      <c r="DH24" s="45">
        <f>IFERROR(_xlfn.IFS($C24="1",('Inputs-System'!$C$30*'Coincidence Factors'!$B$6*(1+'Inputs-System'!$C$18)*(1+'Inputs-System'!$C$41)*('Inputs-Proposals'!$F$17*'Inputs-Proposals'!$F$19*(1-'Inputs-Proposals'!$F$20^(DH$3-'Inputs-System'!$C$7)))*(VLOOKUP(DH$3,Energy!$A$51:$K$83,5,FALSE))), $C24 = "2",('Inputs-System'!$C$30*'Coincidence Factors'!$B$6)*(1+'Inputs-System'!$C$18)*(1+'Inputs-System'!$C$41)*('Inputs-Proposals'!$F$23*'Inputs-Proposals'!$F$25*(1-'Inputs-Proposals'!$F$26^(DH$3-'Inputs-System'!$C$7)))*(VLOOKUP(DH$3,Energy!$A$51:$K$83,5,FALSE)), $C24= "3", ('Inputs-System'!$C$30*'Coincidence Factors'!$B$6*(1+'Inputs-System'!$C$18)*(1+'Inputs-System'!$C$41)*('Inputs-Proposals'!$F$29*'Inputs-Proposals'!$F$31*(1-'Inputs-Proposals'!$F$32^(DH$3-'Inputs-System'!$C$7)))*(VLOOKUP(DH$3,Energy!$A$51:$K$83,5,FALSE))), $C24= "0", 0), 0)</f>
        <v>0</v>
      </c>
      <c r="DI24" s="44">
        <f>IFERROR(_xlfn.IFS($C24="1",('Inputs-System'!$C$30*'Coincidence Factors'!$B$6*(1+'Inputs-System'!$C$18)*(1+'Inputs-System'!$C$41))*'Inputs-Proposals'!$F$17*'Inputs-Proposals'!$F$19*(1-'Inputs-Proposals'!$F$20^(DH$3-'Inputs-System'!$C$7))*(VLOOKUP(DH$3,'Embedded Emissions'!$A$47:$B$78,2,FALSE)+VLOOKUP(DH$3,'Embedded Emissions'!$A$129:$B$158,2,FALSE)), $C24 = "2",('Inputs-System'!$C$30*'Coincidence Factors'!$B$6*(1+'Inputs-System'!$C$18)*(1+'Inputs-System'!$C$41))*'Inputs-Proposals'!$F$23*'Inputs-Proposals'!$F$25*(1-'Inputs-Proposals'!$F$20^(DH$3-'Inputs-System'!$C$7))*(VLOOKUP(DH$3,'Embedded Emissions'!$A$47:$B$78,2,FALSE)+VLOOKUP(DH$3,'Embedded Emissions'!$A$129:$B$158,2,FALSE)), $C24 = "3", ('Inputs-System'!$C$30*'Coincidence Factors'!$B$6*(1+'Inputs-System'!$C$18)*(1+'Inputs-System'!$C$41))*'Inputs-Proposals'!$F$29*'Inputs-Proposals'!$F$31*(1-'Inputs-Proposals'!$F$20^(DH$3-'Inputs-System'!$C$7))*(VLOOKUP(DH$3,'Embedded Emissions'!$A$47:$B$78,2,FALSE)+VLOOKUP(DH$3,'Embedded Emissions'!$A$129:$B$158,2,FALSE)), $C24 = "0", 0), 0)</f>
        <v>0</v>
      </c>
      <c r="DJ24" s="44">
        <f>IFERROR(_xlfn.IFS($C24="1",( 'Inputs-System'!$C$30*'Coincidence Factors'!$B$6*(1+'Inputs-System'!$C$18)*(1+'Inputs-System'!$C$41))*('Inputs-Proposals'!$F$17*'Inputs-Proposals'!$F$19*(1-'Inputs-Proposals'!$F$20)^(DH$3-'Inputs-System'!$C$7))*(VLOOKUP(DH$3,DRIPE!$A$54:$I$82,5,FALSE)+VLOOKUP(DH$3,DRIPE!$A$54:$I$82,9,FALSE))+ ('Inputs-System'!$C$26*'Coincidence Factors'!$B$6*(1+'Inputs-System'!$C$18)*(1+'Inputs-System'!$C$42))*'Inputs-Proposals'!$F$16*VLOOKUP(DH$3,DRIPE!$A$54:$I$82,8,FALSE), $C24 = "2",( 'Inputs-System'!$C$30*'Coincidence Factors'!$B$6*(1+'Inputs-System'!$C$18)*(1+'Inputs-System'!$C$41))*('Inputs-Proposals'!$F$23*'Inputs-Proposals'!$F$25*(1-'Inputs-Proposals'!$F$26)^(DH$3-'Inputs-System'!$C$7))*(VLOOKUP(DH$3,DRIPE!$A$54:$I$82,5,FALSE)+VLOOKUP(DH$3,DRIPE!$A$54:$I$82,9,FALSE))+ ('Inputs-System'!$C$26*'Coincidence Factors'!$B$6*(1+'Inputs-System'!$C$18)*(1+'Inputs-System'!$C$42))*'Inputs-Proposals'!$F$22*VLOOKUP(DH$3,DRIPE!$A$54:$I$82,8,FALSE), $C24= "3", ( 'Inputs-System'!$C$30*'Coincidence Factors'!$B$6*(1+'Inputs-System'!$C$18)*(1+'Inputs-System'!$C$41))*('Inputs-Proposals'!$F$29*'Inputs-Proposals'!$F$31*(1-'Inputs-Proposals'!$F$32)^(DH$3-'Inputs-System'!$C$7))*(VLOOKUP(DH$3,DRIPE!$A$54:$I$82,5,FALSE)+VLOOKUP(DH$3,DRIPE!$A$54:$I$82,9,FALSE))+ ('Inputs-System'!$C$26*'Coincidence Factors'!$B$6*(1+'Inputs-System'!$C$18)*(1+'Inputs-System'!$C$42))*'Inputs-Proposals'!$F$28*VLOOKUP(DH$3,DRIPE!$A$54:$I$82,8,FALSE), $C24 = "0", 0), 0)</f>
        <v>0</v>
      </c>
      <c r="DK24" s="45">
        <f>IFERROR(_xlfn.IFS($C24="1",('Inputs-System'!$C$26*'Coincidence Factors'!$B$6*(1+'Inputs-System'!$C$18))*'Inputs-Proposals'!$F$16*(VLOOKUP(DH$3,Capacity!$A$53:$E$85,4,FALSE)*(1+'Inputs-System'!$C$42)+VLOOKUP(DH$3,Capacity!$A$53:$E$85,5,FALSE)*'Inputs-System'!$C$29*(1+'Inputs-System'!$C$43)), $C24 = "2", ('Inputs-System'!$C$26*'Coincidence Factors'!$B$6*(1+'Inputs-System'!$C$18))*'Inputs-Proposals'!$F$22*(VLOOKUP(DH$3,Capacity!$A$53:$E$85,4,FALSE)*(1+'Inputs-System'!$C$42)+VLOOKUP(DH$3,Capacity!$A$53:$E$85,5,FALSE)*'Inputs-System'!$C$29*(1+'Inputs-System'!$C$43)), $C24 = "3",('Inputs-System'!$C$26*'Coincidence Factors'!$B$6*(1+'Inputs-System'!$C$18))*'Inputs-Proposals'!$F$28*(VLOOKUP(DH$3,Capacity!$A$53:$E$85,4,FALSE)*(1+'Inputs-System'!$C$42)+VLOOKUP(DH$3,Capacity!$A$53:$E$85,5,FALSE)*'Inputs-System'!$C$29*(1+'Inputs-System'!$C$43)), $C24 = "0", 0), 0)</f>
        <v>0</v>
      </c>
      <c r="DL24" s="44">
        <v>0</v>
      </c>
      <c r="DM24" s="342">
        <f>IFERROR(_xlfn.IFS($C24="1", 'Inputs-System'!$C$30*'Coincidence Factors'!$B$6*'Inputs-Proposals'!$F$17*'Inputs-Proposals'!$F$19*(VLOOKUP(DH$3,'Non-Embedded Emissions'!$A$56:$D$90,2,FALSE)+VLOOKUP(DH$3,'Non-Embedded Emissions'!$A$143:$D$174,2,FALSE)+VLOOKUP(DH$3,'Non-Embedded Emissions'!$A$230:$D$259,2,FALSE)), $C24 = "2", 'Inputs-System'!$C$30*'Coincidence Factors'!$B$6*'Inputs-Proposals'!$F$23*'Inputs-Proposals'!$F$25*(VLOOKUP(DH$3,'Non-Embedded Emissions'!$A$56:$D$90,2,FALSE)+VLOOKUP(DH$3,'Non-Embedded Emissions'!$A$143:$D$174,2,FALSE)+VLOOKUP(DH$3,'Non-Embedded Emissions'!$A$230:$D$259,2,FALSE)), $C24 = "3", 'Inputs-System'!$C$30*'Coincidence Factors'!$B$6*'Inputs-Proposals'!$F$29*'Inputs-Proposals'!$F$31*(VLOOKUP(DH$3,'Non-Embedded Emissions'!$A$56:$D$90,2,FALSE)+VLOOKUP(DH$3,'Non-Embedded Emissions'!$A$143:$D$174,2,FALSE)+VLOOKUP(DH$3,'Non-Embedded Emissions'!$A$230:$D$259,2,FALSE)), $C24 = "0", 0), 0)</f>
        <v>0</v>
      </c>
      <c r="DN24" s="45">
        <f>IFERROR(_xlfn.IFS($C24="1",('Inputs-System'!$C$30*'Coincidence Factors'!$B$6*(1+'Inputs-System'!$C$18)*(1+'Inputs-System'!$C$41)*('Inputs-Proposals'!$F$17*'Inputs-Proposals'!$F$19*(1-'Inputs-Proposals'!$F$20^(DN$3-'Inputs-System'!$C$7)))*(VLOOKUP(DN$3,Energy!$A$51:$K$83,5,FALSE))), $C24 = "2",('Inputs-System'!$C$30*'Coincidence Factors'!$B$6)*(1+'Inputs-System'!$C$18)*(1+'Inputs-System'!$C$41)*('Inputs-Proposals'!$F$23*'Inputs-Proposals'!$F$25*(1-'Inputs-Proposals'!$F$26^(DN$3-'Inputs-System'!$C$7)))*(VLOOKUP(DN$3,Energy!$A$51:$K$83,5,FALSE)), $C24= "3", ('Inputs-System'!$C$30*'Coincidence Factors'!$B$6*(1+'Inputs-System'!$C$18)*(1+'Inputs-System'!$C$41)*('Inputs-Proposals'!$F$29*'Inputs-Proposals'!$F$31*(1-'Inputs-Proposals'!$F$32^(DN$3-'Inputs-System'!$C$7)))*(VLOOKUP(DN$3,Energy!$A$51:$K$83,5,FALSE))), $C24= "0", 0), 0)</f>
        <v>0</v>
      </c>
      <c r="DO24" s="44">
        <f>IFERROR(_xlfn.IFS($C24="1",('Inputs-System'!$C$30*'Coincidence Factors'!$B$6*(1+'Inputs-System'!$C$18)*(1+'Inputs-System'!$C$41))*'Inputs-Proposals'!$F$17*'Inputs-Proposals'!$F$19*(1-'Inputs-Proposals'!$F$20^(DN$3-'Inputs-System'!$C$7))*(VLOOKUP(DN$3,'Embedded Emissions'!$A$47:$B$78,2,FALSE)+VLOOKUP(DN$3,'Embedded Emissions'!$A$129:$B$158,2,FALSE)), $C24 = "2",('Inputs-System'!$C$30*'Coincidence Factors'!$B$6*(1+'Inputs-System'!$C$18)*(1+'Inputs-System'!$C$41))*'Inputs-Proposals'!$F$23*'Inputs-Proposals'!$F$25*(1-'Inputs-Proposals'!$F$20^(DN$3-'Inputs-System'!$C$7))*(VLOOKUP(DN$3,'Embedded Emissions'!$A$47:$B$78,2,FALSE)+VLOOKUP(DN$3,'Embedded Emissions'!$A$129:$B$158,2,FALSE)), $C24 = "3", ('Inputs-System'!$C$30*'Coincidence Factors'!$B$6*(1+'Inputs-System'!$C$18)*(1+'Inputs-System'!$C$41))*'Inputs-Proposals'!$F$29*'Inputs-Proposals'!$F$31*(1-'Inputs-Proposals'!$F$20^(DN$3-'Inputs-System'!$C$7))*(VLOOKUP(DN$3,'Embedded Emissions'!$A$47:$B$78,2,FALSE)+VLOOKUP(DN$3,'Embedded Emissions'!$A$129:$B$158,2,FALSE)), $C24 = "0", 0), 0)</f>
        <v>0</v>
      </c>
      <c r="DP24" s="44">
        <f>IFERROR(_xlfn.IFS($C24="1",( 'Inputs-System'!$C$30*'Coincidence Factors'!$B$6*(1+'Inputs-System'!$C$18)*(1+'Inputs-System'!$C$41))*('Inputs-Proposals'!$F$17*'Inputs-Proposals'!$F$19*(1-'Inputs-Proposals'!$F$20)^(DN$3-'Inputs-System'!$C$7))*(VLOOKUP(DN$3,DRIPE!$A$54:$I$82,5,FALSE)+VLOOKUP(DN$3,DRIPE!$A$54:$I$82,9,FALSE))+ ('Inputs-System'!$C$26*'Coincidence Factors'!$B$6*(1+'Inputs-System'!$C$18)*(1+'Inputs-System'!$C$42))*'Inputs-Proposals'!$F$16*VLOOKUP(DN$3,DRIPE!$A$54:$I$82,8,FALSE), $C24 = "2",( 'Inputs-System'!$C$30*'Coincidence Factors'!$B$6*(1+'Inputs-System'!$C$18)*(1+'Inputs-System'!$C$41))*('Inputs-Proposals'!$F$23*'Inputs-Proposals'!$F$25*(1-'Inputs-Proposals'!$F$26)^(DN$3-'Inputs-System'!$C$7))*(VLOOKUP(DN$3,DRIPE!$A$54:$I$82,5,FALSE)+VLOOKUP(DN$3,DRIPE!$A$54:$I$82,9,FALSE))+ ('Inputs-System'!$C$26*'Coincidence Factors'!$B$6*(1+'Inputs-System'!$C$18)*(1+'Inputs-System'!$C$42))*'Inputs-Proposals'!$F$22*VLOOKUP(DN$3,DRIPE!$A$54:$I$82,8,FALSE), $C24= "3", ( 'Inputs-System'!$C$30*'Coincidence Factors'!$B$6*(1+'Inputs-System'!$C$18)*(1+'Inputs-System'!$C$41))*('Inputs-Proposals'!$F$29*'Inputs-Proposals'!$F$31*(1-'Inputs-Proposals'!$F$32)^(DN$3-'Inputs-System'!$C$7))*(VLOOKUP(DN$3,DRIPE!$A$54:$I$82,5,FALSE)+VLOOKUP(DN$3,DRIPE!$A$54:$I$82,9,FALSE))+ ('Inputs-System'!$C$26*'Coincidence Factors'!$B$6*(1+'Inputs-System'!$C$18)*(1+'Inputs-System'!$C$42))*'Inputs-Proposals'!$F$28*VLOOKUP(DN$3,DRIPE!$A$54:$I$82,8,FALSE), $C24 = "0", 0), 0)</f>
        <v>0</v>
      </c>
      <c r="DQ24" s="45">
        <f>IFERROR(_xlfn.IFS($C24="1",('Inputs-System'!$C$26*'Coincidence Factors'!$B$6*(1+'Inputs-System'!$C$18))*'Inputs-Proposals'!$F$16*(VLOOKUP(DN$3,Capacity!$A$53:$E$85,4,FALSE)*(1+'Inputs-System'!$C$42)+VLOOKUP(DN$3,Capacity!$A$53:$E$85,5,FALSE)*'Inputs-System'!$C$29*(1+'Inputs-System'!$C$43)), $C24 = "2", ('Inputs-System'!$C$26*'Coincidence Factors'!$B$6*(1+'Inputs-System'!$C$18))*'Inputs-Proposals'!$F$22*(VLOOKUP(DN$3,Capacity!$A$53:$E$85,4,FALSE)*(1+'Inputs-System'!$C$42)+VLOOKUP(DN$3,Capacity!$A$53:$E$85,5,FALSE)*'Inputs-System'!$C$29*(1+'Inputs-System'!$C$43)), $C24 = "3",('Inputs-System'!$C$26*'Coincidence Factors'!$B$6*(1+'Inputs-System'!$C$18))*'Inputs-Proposals'!$F$28*(VLOOKUP(DN$3,Capacity!$A$53:$E$85,4,FALSE)*(1+'Inputs-System'!$C$42)+VLOOKUP(DN$3,Capacity!$A$53:$E$85,5,FALSE)*'Inputs-System'!$C$29*(1+'Inputs-System'!$C$43)), $C24 = "0", 0), 0)</f>
        <v>0</v>
      </c>
      <c r="DR24" s="44">
        <v>0</v>
      </c>
      <c r="DS24" s="342">
        <f>IFERROR(_xlfn.IFS($C24="1", 'Inputs-System'!$C$30*'Coincidence Factors'!$B$6*'Inputs-Proposals'!$F$17*'Inputs-Proposals'!$F$19*(VLOOKUP(DN$3,'Non-Embedded Emissions'!$A$56:$D$90,2,FALSE)+VLOOKUP(DN$3,'Non-Embedded Emissions'!$A$143:$D$174,2,FALSE)+VLOOKUP(DN$3,'Non-Embedded Emissions'!$A$230:$D$259,2,FALSE)), $C24 = "2", 'Inputs-System'!$C$30*'Coincidence Factors'!$B$6*'Inputs-Proposals'!$F$23*'Inputs-Proposals'!$F$25*(VLOOKUP(DN$3,'Non-Embedded Emissions'!$A$56:$D$90,2,FALSE)+VLOOKUP(DN$3,'Non-Embedded Emissions'!$A$143:$D$174,2,FALSE)+VLOOKUP(DN$3,'Non-Embedded Emissions'!$A$230:$D$259,2,FALSE)), $C24 = "3", 'Inputs-System'!$C$30*'Coincidence Factors'!$B$6*'Inputs-Proposals'!$F$29*'Inputs-Proposals'!$F$31*(VLOOKUP(DN$3,'Non-Embedded Emissions'!$A$56:$D$90,2,FALSE)+VLOOKUP(DN$3,'Non-Embedded Emissions'!$A$143:$D$174,2,FALSE)+VLOOKUP(DN$3,'Non-Embedded Emissions'!$A$230:$D$259,2,FALSE)), $C24 = "0", 0), 0)</f>
        <v>0</v>
      </c>
      <c r="DT24" s="45">
        <f>IFERROR(_xlfn.IFS($C24="1",('Inputs-System'!$C$30*'Coincidence Factors'!$B$6*(1+'Inputs-System'!$C$18)*(1+'Inputs-System'!$C$41)*('Inputs-Proposals'!$F$17*'Inputs-Proposals'!$F$19*(1-'Inputs-Proposals'!$F$20^(DT$3-'Inputs-System'!$C$7)))*(VLOOKUP(DT$3,Energy!$A$51:$K$83,5,FALSE))), $C24 = "2",('Inputs-System'!$C$30*'Coincidence Factors'!$B$6)*(1+'Inputs-System'!$C$18)*(1+'Inputs-System'!$C$41)*('Inputs-Proposals'!$F$23*'Inputs-Proposals'!$F$25*(1-'Inputs-Proposals'!$F$26^(DT$3-'Inputs-System'!$C$7)))*(VLOOKUP(DT$3,Energy!$A$51:$K$83,5,FALSE)), $C24= "3", ('Inputs-System'!$C$30*'Coincidence Factors'!$B$6*(1+'Inputs-System'!$C$18)*(1+'Inputs-System'!$C$41)*('Inputs-Proposals'!$F$29*'Inputs-Proposals'!$F$31*(1-'Inputs-Proposals'!$F$32^(DT$3-'Inputs-System'!$C$7)))*(VLOOKUP(DT$3,Energy!$A$51:$K$83,5,FALSE))), $C24= "0", 0), 0)</f>
        <v>0</v>
      </c>
      <c r="DU24" s="44">
        <f>IFERROR(_xlfn.IFS($C24="1",('Inputs-System'!$C$30*'Coincidence Factors'!$B$6*(1+'Inputs-System'!$C$18)*(1+'Inputs-System'!$C$41))*'Inputs-Proposals'!$F$17*'Inputs-Proposals'!$F$19*(1-'Inputs-Proposals'!$F$20^(DT$3-'Inputs-System'!$C$7))*(VLOOKUP(DT$3,'Embedded Emissions'!$A$47:$B$78,2,FALSE)+VLOOKUP(DT$3,'Embedded Emissions'!$A$129:$B$158,2,FALSE)), $C24 = "2",('Inputs-System'!$C$30*'Coincidence Factors'!$B$6*(1+'Inputs-System'!$C$18)*(1+'Inputs-System'!$C$41))*'Inputs-Proposals'!$F$23*'Inputs-Proposals'!$F$25*(1-'Inputs-Proposals'!$F$20^(DT$3-'Inputs-System'!$C$7))*(VLOOKUP(DT$3,'Embedded Emissions'!$A$47:$B$78,2,FALSE)+VLOOKUP(DT$3,'Embedded Emissions'!$A$129:$B$158,2,FALSE)), $C24 = "3", ('Inputs-System'!$C$30*'Coincidence Factors'!$B$6*(1+'Inputs-System'!$C$18)*(1+'Inputs-System'!$C$41))*'Inputs-Proposals'!$F$29*'Inputs-Proposals'!$F$31*(1-'Inputs-Proposals'!$F$20^(DT$3-'Inputs-System'!$C$7))*(VLOOKUP(DT$3,'Embedded Emissions'!$A$47:$B$78,2,FALSE)+VLOOKUP(DT$3,'Embedded Emissions'!$A$129:$B$158,2,FALSE)), $C24 = "0", 0), 0)</f>
        <v>0</v>
      </c>
      <c r="DV24" s="44">
        <f>IFERROR(_xlfn.IFS($C24="1",( 'Inputs-System'!$C$30*'Coincidence Factors'!$B$6*(1+'Inputs-System'!$C$18)*(1+'Inputs-System'!$C$41))*('Inputs-Proposals'!$F$17*'Inputs-Proposals'!$F$19*(1-'Inputs-Proposals'!$F$20)^(DT$3-'Inputs-System'!$C$7))*(VLOOKUP(DT$3,DRIPE!$A$54:$I$82,5,FALSE)+VLOOKUP(DT$3,DRIPE!$A$54:$I$82,9,FALSE))+ ('Inputs-System'!$C$26*'Coincidence Factors'!$B$6*(1+'Inputs-System'!$C$18)*(1+'Inputs-System'!$C$42))*'Inputs-Proposals'!$F$16*VLOOKUP(DT$3,DRIPE!$A$54:$I$82,8,FALSE), $C24 = "2",( 'Inputs-System'!$C$30*'Coincidence Factors'!$B$6*(1+'Inputs-System'!$C$18)*(1+'Inputs-System'!$C$41))*('Inputs-Proposals'!$F$23*'Inputs-Proposals'!$F$25*(1-'Inputs-Proposals'!$F$26)^(DT$3-'Inputs-System'!$C$7))*(VLOOKUP(DT$3,DRIPE!$A$54:$I$82,5,FALSE)+VLOOKUP(DT$3,DRIPE!$A$54:$I$82,9,FALSE))+ ('Inputs-System'!$C$26*'Coincidence Factors'!$B$6*(1+'Inputs-System'!$C$18)*(1+'Inputs-System'!$C$42))*'Inputs-Proposals'!$F$22*VLOOKUP(DT$3,DRIPE!$A$54:$I$82,8,FALSE), $C24= "3", ( 'Inputs-System'!$C$30*'Coincidence Factors'!$B$6*(1+'Inputs-System'!$C$18)*(1+'Inputs-System'!$C$41))*('Inputs-Proposals'!$F$29*'Inputs-Proposals'!$F$31*(1-'Inputs-Proposals'!$F$32)^(DT$3-'Inputs-System'!$C$7))*(VLOOKUP(DT$3,DRIPE!$A$54:$I$82,5,FALSE)+VLOOKUP(DT$3,DRIPE!$A$54:$I$82,9,FALSE))+ ('Inputs-System'!$C$26*'Coincidence Factors'!$B$6*(1+'Inputs-System'!$C$18)*(1+'Inputs-System'!$C$42))*'Inputs-Proposals'!$F$28*VLOOKUP(DT$3,DRIPE!$A$54:$I$82,8,FALSE), $C24 = "0", 0), 0)</f>
        <v>0</v>
      </c>
      <c r="DW24" s="45">
        <f>IFERROR(_xlfn.IFS($C24="1",('Inputs-System'!$C$26*'Coincidence Factors'!$B$6*(1+'Inputs-System'!$C$18))*'Inputs-Proposals'!$F$16*(VLOOKUP(DT$3,Capacity!$A$53:$E$85,4,FALSE)*(1+'Inputs-System'!$C$42)+VLOOKUP(DT$3,Capacity!$A$53:$E$85,5,FALSE)*'Inputs-System'!$C$29*(1+'Inputs-System'!$C$43)), $C24 = "2", ('Inputs-System'!$C$26*'Coincidence Factors'!$B$6*(1+'Inputs-System'!$C$18))*'Inputs-Proposals'!$F$22*(VLOOKUP(DT$3,Capacity!$A$53:$E$85,4,FALSE)*(1+'Inputs-System'!$C$42)+VLOOKUP(DT$3,Capacity!$A$53:$E$85,5,FALSE)*'Inputs-System'!$C$29*(1+'Inputs-System'!$C$43)), $C24 = "3",('Inputs-System'!$C$26*'Coincidence Factors'!$B$6*(1+'Inputs-System'!$C$18))*'Inputs-Proposals'!$F$28*(VLOOKUP(DT$3,Capacity!$A$53:$E$85,4,FALSE)*(1+'Inputs-System'!$C$42)+VLOOKUP(DT$3,Capacity!$A$53:$E$85,5,FALSE)*'Inputs-System'!$C$29*(1+'Inputs-System'!$C$43)), $C24 = "0", 0), 0)</f>
        <v>0</v>
      </c>
      <c r="DX24" s="44">
        <v>0</v>
      </c>
      <c r="DY24" s="342">
        <f>IFERROR(_xlfn.IFS($C24="1", 'Inputs-System'!$C$30*'Coincidence Factors'!$B$6*'Inputs-Proposals'!$F$17*'Inputs-Proposals'!$F$19*(VLOOKUP(DT$3,'Non-Embedded Emissions'!$A$56:$D$90,2,FALSE)+VLOOKUP(DT$3,'Non-Embedded Emissions'!$A$143:$D$174,2,FALSE)+VLOOKUP(DT$3,'Non-Embedded Emissions'!$A$230:$D$259,2,FALSE)), $C24 = "2", 'Inputs-System'!$C$30*'Coincidence Factors'!$B$6*'Inputs-Proposals'!$F$23*'Inputs-Proposals'!$F$25*(VLOOKUP(DT$3,'Non-Embedded Emissions'!$A$56:$D$90,2,FALSE)+VLOOKUP(DT$3,'Non-Embedded Emissions'!$A$143:$D$174,2,FALSE)+VLOOKUP(DT$3,'Non-Embedded Emissions'!$A$230:$D$259,2,FALSE)), $C24 = "3", 'Inputs-System'!$C$30*'Coincidence Factors'!$B$6*'Inputs-Proposals'!$F$29*'Inputs-Proposals'!$F$31*(VLOOKUP(DT$3,'Non-Embedded Emissions'!$A$56:$D$90,2,FALSE)+VLOOKUP(DT$3,'Non-Embedded Emissions'!$A$143:$D$174,2,FALSE)+VLOOKUP(DT$3,'Non-Embedded Emissions'!$A$230:$D$259,2,FALSE)), $C24 = "0", 0), 0)</f>
        <v>0</v>
      </c>
      <c r="DZ24" s="45">
        <f>IFERROR(_xlfn.IFS($C24="1",('Inputs-System'!$C$30*'Coincidence Factors'!$B$6*(1+'Inputs-System'!$C$18)*(1+'Inputs-System'!$C$41)*('Inputs-Proposals'!$F$17*'Inputs-Proposals'!$F$19*(1-'Inputs-Proposals'!$F$20^(DZ$3-'Inputs-System'!$C$7)))*(VLOOKUP(DZ$3,Energy!$A$51:$K$83,5,FALSE))), $C24 = "2",('Inputs-System'!$C$30*'Coincidence Factors'!$B$6)*(1+'Inputs-System'!$C$18)*(1+'Inputs-System'!$C$41)*('Inputs-Proposals'!$F$23*'Inputs-Proposals'!$F$25*(1-'Inputs-Proposals'!$F$26^(DZ$3-'Inputs-System'!$C$7)))*(VLOOKUP(DZ$3,Energy!$A$51:$K$83,5,FALSE)), $C24= "3", ('Inputs-System'!$C$30*'Coincidence Factors'!$B$6*(1+'Inputs-System'!$C$18)*(1+'Inputs-System'!$C$41)*('Inputs-Proposals'!$F$29*'Inputs-Proposals'!$F$31*(1-'Inputs-Proposals'!$F$32^(DZ$3-'Inputs-System'!$C$7)))*(VLOOKUP(DZ$3,Energy!$A$51:$K$83,5,FALSE))), $C24= "0", 0), 0)</f>
        <v>0</v>
      </c>
      <c r="EA24" s="44">
        <f>IFERROR(_xlfn.IFS($C24="1",('Inputs-System'!$C$30*'Coincidence Factors'!$B$6*(1+'Inputs-System'!$C$18)*(1+'Inputs-System'!$C$41))*'Inputs-Proposals'!$F$17*'Inputs-Proposals'!$F$19*(1-'Inputs-Proposals'!$F$20^(DZ$3-'Inputs-System'!$C$7))*(VLOOKUP(DZ$3,'Embedded Emissions'!$A$47:$B$78,2,FALSE)+VLOOKUP(DZ$3,'Embedded Emissions'!$A$129:$B$158,2,FALSE)), $C24 = "2",('Inputs-System'!$C$30*'Coincidence Factors'!$B$6*(1+'Inputs-System'!$C$18)*(1+'Inputs-System'!$C$41))*'Inputs-Proposals'!$F$23*'Inputs-Proposals'!$F$25*(1-'Inputs-Proposals'!$F$20^(DZ$3-'Inputs-System'!$C$7))*(VLOOKUP(DZ$3,'Embedded Emissions'!$A$47:$B$78,2,FALSE)+VLOOKUP(DZ$3,'Embedded Emissions'!$A$129:$B$158,2,FALSE)), $C24 = "3", ('Inputs-System'!$C$30*'Coincidence Factors'!$B$6*(1+'Inputs-System'!$C$18)*(1+'Inputs-System'!$C$41))*'Inputs-Proposals'!$F$29*'Inputs-Proposals'!$F$31*(1-'Inputs-Proposals'!$F$20^(DZ$3-'Inputs-System'!$C$7))*(VLOOKUP(DZ$3,'Embedded Emissions'!$A$47:$B$78,2,FALSE)+VLOOKUP(DZ$3,'Embedded Emissions'!$A$129:$B$158,2,FALSE)), $C24 = "0", 0), 0)</f>
        <v>0</v>
      </c>
      <c r="EB24" s="44">
        <f>IFERROR(_xlfn.IFS($C24="1",( 'Inputs-System'!$C$30*'Coincidence Factors'!$B$6*(1+'Inputs-System'!$C$18)*(1+'Inputs-System'!$C$41))*('Inputs-Proposals'!$F$17*'Inputs-Proposals'!$F$19*(1-'Inputs-Proposals'!$F$20)^(DZ$3-'Inputs-System'!$C$7))*(VLOOKUP(DZ$3,DRIPE!$A$54:$I$82,5,FALSE)+VLOOKUP(DZ$3,DRIPE!$A$54:$I$82,9,FALSE))+ ('Inputs-System'!$C$26*'Coincidence Factors'!$B$6*(1+'Inputs-System'!$C$18)*(1+'Inputs-System'!$C$42))*'Inputs-Proposals'!$F$16*VLOOKUP(DZ$3,DRIPE!$A$54:$I$82,8,FALSE), $C24 = "2",( 'Inputs-System'!$C$30*'Coincidence Factors'!$B$6*(1+'Inputs-System'!$C$18)*(1+'Inputs-System'!$C$41))*('Inputs-Proposals'!$F$23*'Inputs-Proposals'!$F$25*(1-'Inputs-Proposals'!$F$26)^(DZ$3-'Inputs-System'!$C$7))*(VLOOKUP(DZ$3,DRIPE!$A$54:$I$82,5,FALSE)+VLOOKUP(DZ$3,DRIPE!$A$54:$I$82,9,FALSE))+ ('Inputs-System'!$C$26*'Coincidence Factors'!$B$6*(1+'Inputs-System'!$C$18)*(1+'Inputs-System'!$C$42))*'Inputs-Proposals'!$F$22*VLOOKUP(DZ$3,DRIPE!$A$54:$I$82,8,FALSE), $C24= "3", ( 'Inputs-System'!$C$30*'Coincidence Factors'!$B$6*(1+'Inputs-System'!$C$18)*(1+'Inputs-System'!$C$41))*('Inputs-Proposals'!$F$29*'Inputs-Proposals'!$F$31*(1-'Inputs-Proposals'!$F$32)^(DZ$3-'Inputs-System'!$C$7))*(VLOOKUP(DZ$3,DRIPE!$A$54:$I$82,5,FALSE)+VLOOKUP(DZ$3,DRIPE!$A$54:$I$82,9,FALSE))+ ('Inputs-System'!$C$26*'Coincidence Factors'!$B$6*(1+'Inputs-System'!$C$18)*(1+'Inputs-System'!$C$42))*'Inputs-Proposals'!$F$28*VLOOKUP(DZ$3,DRIPE!$A$54:$I$82,8,FALSE), $C24 = "0", 0), 0)</f>
        <v>0</v>
      </c>
      <c r="EC24" s="45">
        <f>IFERROR(_xlfn.IFS($C24="1",('Inputs-System'!$C$26*'Coincidence Factors'!$B$6*(1+'Inputs-System'!$C$18))*'Inputs-Proposals'!$F$16*(VLOOKUP(DZ$3,Capacity!$A$53:$E$85,4,FALSE)*(1+'Inputs-System'!$C$42)+VLOOKUP(DZ$3,Capacity!$A$53:$E$85,5,FALSE)*'Inputs-System'!$C$29*(1+'Inputs-System'!$C$43)), $C24 = "2", ('Inputs-System'!$C$26*'Coincidence Factors'!$B$6*(1+'Inputs-System'!$C$18))*'Inputs-Proposals'!$F$22*(VLOOKUP(DZ$3,Capacity!$A$53:$E$85,4,FALSE)*(1+'Inputs-System'!$C$42)+VLOOKUP(DZ$3,Capacity!$A$53:$E$85,5,FALSE)*'Inputs-System'!$C$29*(1+'Inputs-System'!$C$43)), $C24 = "3",('Inputs-System'!$C$26*'Coincidence Factors'!$B$6*(1+'Inputs-System'!$C$18))*'Inputs-Proposals'!$F$28*(VLOOKUP(DZ$3,Capacity!$A$53:$E$85,4,FALSE)*(1+'Inputs-System'!$C$42)+VLOOKUP(DZ$3,Capacity!$A$53:$E$85,5,FALSE)*'Inputs-System'!$C$29*(1+'Inputs-System'!$C$43)), $C24 = "0", 0), 0)</f>
        <v>0</v>
      </c>
      <c r="ED24" s="44">
        <v>0</v>
      </c>
      <c r="EE24" s="342">
        <f>IFERROR(_xlfn.IFS($C24="1", 'Inputs-System'!$C$30*'Coincidence Factors'!$B$6*'Inputs-Proposals'!$F$17*'Inputs-Proposals'!$F$19*(VLOOKUP(DZ$3,'Non-Embedded Emissions'!$A$56:$D$90,2,FALSE)+VLOOKUP(DZ$3,'Non-Embedded Emissions'!$A$143:$D$174,2,FALSE)+VLOOKUP(DZ$3,'Non-Embedded Emissions'!$A$230:$D$259,2,FALSE)), $C24 = "2", 'Inputs-System'!$C$30*'Coincidence Factors'!$B$6*'Inputs-Proposals'!$F$23*'Inputs-Proposals'!$F$25*(VLOOKUP(DZ$3,'Non-Embedded Emissions'!$A$56:$D$90,2,FALSE)+VLOOKUP(DZ$3,'Non-Embedded Emissions'!$A$143:$D$174,2,FALSE)+VLOOKUP(DZ$3,'Non-Embedded Emissions'!$A$230:$D$259,2,FALSE)), $C24 = "3", 'Inputs-System'!$C$30*'Coincidence Factors'!$B$6*'Inputs-Proposals'!$F$29*'Inputs-Proposals'!$F$31*(VLOOKUP(DZ$3,'Non-Embedded Emissions'!$A$56:$D$90,2,FALSE)+VLOOKUP(DZ$3,'Non-Embedded Emissions'!$A$143:$D$174,2,FALSE)+VLOOKUP(DZ$3,'Non-Embedded Emissions'!$A$230:$D$259,2,FALSE)), $C24 = "0", 0), 0)</f>
        <v>0</v>
      </c>
    </row>
    <row r="25" spans="1:135" x14ac:dyDescent="0.35">
      <c r="A25" s="708"/>
      <c r="B25" s="3" t="s">
        <v>159</v>
      </c>
      <c r="C25" s="3" t="str">
        <f>IFERROR(_xlfn.IFS('Benefits Calc'!B25='Inputs-Proposals'!$F$15, "1", 'Benefits Calc'!B25='Inputs-Proposals'!$F$21, "2", 'Benefits Calc'!B25='Inputs-Proposals'!$F$27, "3"), "0")</f>
        <v>0</v>
      </c>
      <c r="D25" s="323">
        <f t="shared" si="0"/>
        <v>0</v>
      </c>
      <c r="E25" s="44">
        <f t="shared" si="1"/>
        <v>0</v>
      </c>
      <c r="F25" s="44">
        <f t="shared" si="2"/>
        <v>0</v>
      </c>
      <c r="G25" s="44">
        <f t="shared" si="3"/>
        <v>0</v>
      </c>
      <c r="H25" s="44">
        <f t="shared" si="4"/>
        <v>0</v>
      </c>
      <c r="I25" s="44">
        <f t="shared" si="5"/>
        <v>0</v>
      </c>
      <c r="J25" s="323">
        <f>NPV('Inputs-System'!$C$20,P25+V25+AB25+AH25+AN25+AT25+AZ25+BF25+BL25+BR25+BX25+CD25+CJ25+CP25+CV25+DB25+DH25+DN25+DT25+DZ25)</f>
        <v>0</v>
      </c>
      <c r="K25" s="44">
        <f>NPV('Inputs-System'!$C$20,Q25+W25+AC25+AI25+AO25+AU25+BA25+BG25+BM25+BS25+BY25+CE25+CK25+CQ25+CW25+DC25+DI25+DO25+DU25+EA25)</f>
        <v>0</v>
      </c>
      <c r="L25" s="44">
        <f>NPV('Inputs-System'!$C$20,R25+X25+AD25+AJ25+AP25+AV25+BB25+BH25+BN25+BT25+BZ25+CF25+CL25+CR25+CX25+DD25+DJ25+DP25+DV25+EB25)</f>
        <v>0</v>
      </c>
      <c r="M25" s="44">
        <f>NPV('Inputs-System'!$C$20,S25+Y25+AE25+AK25+AQ25+AW25+BC25+BI25+BO25+BU25+CA25+CG25+CM25+CS25+CY25+DE25+DK25+DQ25+DW25+EC25)</f>
        <v>0</v>
      </c>
      <c r="N25" s="44">
        <f>NPV('Inputs-System'!$C$20,T25+Z25+AF25+AL25+AR25+AX25+BD25+BJ25+BP25+BV25+CB25+CH25+CN25+CT25+CZ25+DF25+DL25+DR25+DX25+ED25)</f>
        <v>0</v>
      </c>
      <c r="O25" s="44">
        <f>NPV('Inputs-System'!$C$20,U25+AA25+AG25+AM25+AS25+AY25+BE25+BK25+BQ25+BW25+CC25+CI25+CO25+CU25+DA25+DG25+DM25+DS25+DY25+EE25)</f>
        <v>0</v>
      </c>
      <c r="P25" s="347">
        <f>IFERROR(_xlfn.IFS($C25="1",('Inputs-System'!$C$30*'Coincidence Factors'!$B$7*(1+'Inputs-System'!$C$18)*(1+'Inputs-System'!$C$41)*('Inputs-Proposals'!$F$17*'Inputs-Proposals'!$F$19*('Inputs-Proposals'!$F$20))*(VLOOKUP(P$3,Energy!$A$51:$K$83,5,FALSE))), $C25 = "2",('Inputs-System'!$C$30*'Coincidence Factors'!$B$7)*(1+'Inputs-System'!$C$18)*(1+'Inputs-System'!$C$41)*('Inputs-Proposals'!$F$23*'Inputs-Proposals'!$F$25*('Inputs-Proposals'!$F$26))*(VLOOKUP(P$3,Energy!$A$51:$K$83,5,FALSE)), $C25= "3", ('Inputs-System'!$C$30*'Coincidence Factors'!$B$7*(1+'Inputs-System'!$C$18)*(1+'Inputs-System'!$C$41)*('Inputs-Proposals'!$F$29*'Inputs-Proposals'!$F$31*('Inputs-Proposals'!$F$32))*(VLOOKUP(P$3,Energy!$A$51:$K$83,5,FALSE))), $C25= "0", 0), 0)</f>
        <v>0</v>
      </c>
      <c r="Q25" s="44">
        <f>IFERROR(_xlfn.IFS($C25="1",'Inputs-System'!$C$30*'Coincidence Factors'!$B$7*(1+'Inputs-System'!$C$18)*(1+'Inputs-System'!$C$41)*'Inputs-Proposals'!$F$17*'Inputs-Proposals'!$F$19*('Inputs-Proposals'!$F$20)*(VLOOKUP(P$3,'Embedded Emissions'!$A$47:$B$78,2,FALSE)+VLOOKUP(P$3,'Embedded Emissions'!$A$129:$B$158,2,FALSE)), $C25 = "2",'Inputs-System'!$C$30*'Coincidence Factors'!$B$7*(1+'Inputs-System'!$C$18)*(1+'Inputs-System'!$C$41)*'Inputs-Proposals'!$F$23*'Inputs-Proposals'!$F$25*('Inputs-Proposals'!$F$20)*(VLOOKUP(P$3,'Embedded Emissions'!$A$47:$B$78,2,FALSE)+VLOOKUP(P$3,'Embedded Emissions'!$A$129:$B$158,2,FALSE)), $C25 = "3", 'Inputs-System'!$C$30*'Coincidence Factors'!$B$7*(1+'Inputs-System'!$C$18)*(1+'Inputs-System'!$C$41)*'Inputs-Proposals'!$F$29*'Inputs-Proposals'!$F$31*('Inputs-Proposals'!$F$20)*(VLOOKUP(P$3,'Embedded Emissions'!$A$47:$B$78,2,FALSE)+VLOOKUP(P$3,'Embedded Emissions'!$A$129:$B$158,2,FALSE)), $C25 = "0", 0), 0)</f>
        <v>0</v>
      </c>
      <c r="R25" s="44">
        <f>IFERROR(_xlfn.IFS($C25="1",( 'Inputs-System'!$C$30*'Coincidence Factors'!$B$7*(1+'Inputs-System'!$C$18)*(1+'Inputs-System'!$C$41))*('Inputs-Proposals'!$F$17*'Inputs-Proposals'!$F$19*('Inputs-Proposals'!$F$20))*(VLOOKUP(P$3,DRIPE!$A$54:$I$82,5,FALSE)+VLOOKUP(P$3,DRIPE!$A$54:$I$82,9,FALSE))+ ('Inputs-System'!$C$26*'Coincidence Factors'!$B$7*(1+'Inputs-System'!$C$18)*(1+'Inputs-System'!$C$42))*'Inputs-Proposals'!$F$16*VLOOKUP(P$3,DRIPE!$A$54:$I$82,8,FALSE), $C25 = "2",( 'Inputs-System'!$C$30*'Coincidence Factors'!$B$7*(1+'Inputs-System'!$C$18)*(1+'Inputs-System'!$C$41))*('Inputs-Proposals'!$F$23*'Inputs-Proposals'!$F$25*('Inputs-Proposals'!$F$26))*(VLOOKUP(P$3,DRIPE!$A$54:$I$82,5,FALSE)+VLOOKUP(P$3,DRIPE!$A$54:$I$82,12,FALSE))+ ('Inputs-System'!$C$26*'Coincidence Factors'!$B$7*(1+'Inputs-System'!$C$18)*(1+'Inputs-System'!$C$42))*'Inputs-Proposals'!$F$22*VLOOKUP(P$3,DRIPE!$A$54:$I$82,8,FALSE), $C25= "3", ( 'Inputs-System'!$C$30*'Coincidence Factors'!$B$7*(1+'Inputs-System'!$C$18)*(1+'Inputs-System'!$C$41))*('Inputs-Proposals'!$F$29*'Inputs-Proposals'!$F$31*('Inputs-Proposals'!$F$32))*(VLOOKUP(P$3,DRIPE!$A$54:$I$82,5,FALSE)+VLOOKUP(P$3,DRIPE!$A$54:$I$82,12,FALSE))+ ('Inputs-System'!$C$26*'Coincidence Factors'!$B$7*(1+'Inputs-System'!$C$18)*(1+'Inputs-System'!$C$42))*'Inputs-Proposals'!$F$28*VLOOKUP(P$3,DRIPE!$A$54:$I$82,8,FALSE), $C25 = "0", 0), 0)</f>
        <v>0</v>
      </c>
      <c r="S25" s="45">
        <f>IFERROR(_xlfn.IFS($C25="1",('Inputs-System'!$C$26*'Coincidence Factors'!$B$7*(1+'Inputs-System'!$C$18))*'Inputs-Proposals'!$F$16*(VLOOKUP(P$3,Capacity!$A$53:$E$85,4,FALSE)*(1+'Inputs-System'!$C$42)+VLOOKUP(P$3,Capacity!$A$53:$E$85,5,FALSE)*'Inputs-System'!$C$29*(1+'Inputs-System'!$C$43)), $C25 = "2", ('Inputs-System'!$C$26*'Coincidence Factors'!$B$7*(1+'Inputs-System'!$C$18))*'Inputs-Proposals'!$F$22*(VLOOKUP(P$3,Capacity!$A$53:$E$85,4,FALSE)*(1+'Inputs-System'!$C$42)+VLOOKUP(P$3,Capacity!$A$53:$E$85,5,FALSE)*'Inputs-System'!$C$29*(1+'Inputs-System'!$C$43)), $C25 = "3",('Inputs-System'!$C$26*'Coincidence Factors'!$B$7*(1+'Inputs-System'!$C$18))*'Inputs-Proposals'!$F$28*(VLOOKUP(P$3,Capacity!$A$53:$E$85,4,FALSE)*(1+'Inputs-System'!$C$42)+VLOOKUP(P$3,Capacity!$A$53:$E$85,5,FALSE)*'Inputs-System'!$C$29*(1+'Inputs-System'!$C$43)), $C25 = "0", 0), 0)</f>
        <v>0</v>
      </c>
      <c r="T25" s="44">
        <v>0</v>
      </c>
      <c r="U25" s="342">
        <f>IFERROR(_xlfn.IFS($C25="1", 'Inputs-System'!$C$30*'Coincidence Factors'!$B$7*'Inputs-Proposals'!$F$17*'Inputs-Proposals'!$F$19*(VLOOKUP(P$3,'Non-Embedded Emissions'!$A$56:$D$90,2,FALSE)+VLOOKUP(P$3,'Non-Embedded Emissions'!$A$143:$D$174,2,FALSE)+VLOOKUP(P$3,'Non-Embedded Emissions'!$A$230:$D$259,2,FALSE)), $C25 = "2", 'Inputs-System'!$C$30*'Coincidence Factors'!$B$7*'Inputs-Proposals'!$F$23*'Inputs-Proposals'!$F$25*(VLOOKUP(P$3,'Non-Embedded Emissions'!$A$56:$D$90,2,FALSE)+VLOOKUP(P$3,'Non-Embedded Emissions'!$A$143:$D$174,2,FALSE)+VLOOKUP(P$3,'Non-Embedded Emissions'!$A$230:$D$259,2,FALSE)), $C25 = "3", 'Inputs-System'!$C$30*'Coincidence Factors'!$B$7*'Inputs-Proposals'!$F$29*'Inputs-Proposals'!$F$31*(VLOOKUP(P$3,'Non-Embedded Emissions'!$A$56:$D$90,2,FALSE)+VLOOKUP(P$3,'Non-Embedded Emissions'!$A$143:$D$174,2,FALSE)+VLOOKUP(P$3,'Non-Embedded Emissions'!$A$230:$D$259,2,FALSE)), $C25 = "0", 0), 0)</f>
        <v>0</v>
      </c>
      <c r="V25" s="45">
        <f>IFERROR(_xlfn.IFS($C25="1",('Inputs-System'!$C$30*'Coincidence Factors'!$B$7*(1+'Inputs-System'!$C$18)*(1+'Inputs-System'!$C$41)*('Inputs-Proposals'!$F$17*'Inputs-Proposals'!$F$19*('Inputs-Proposals'!$F$20))*(VLOOKUP(V$3,Energy!$A$51:$K$83,5,FALSE))), $C25 = "2",('Inputs-System'!$C$30*'Coincidence Factors'!$B$7)*(1+'Inputs-System'!$C$18)*(1+'Inputs-System'!$C$41)*('Inputs-Proposals'!$F$23*'Inputs-Proposals'!$F$25*('Inputs-Proposals'!$F$26))*(VLOOKUP(V$3,Energy!$A$51:$K$83,5,FALSE)), $C25= "3", ('Inputs-System'!$C$30*'Coincidence Factors'!$B$7*(1+'Inputs-System'!$C$18)*(1+'Inputs-System'!$C$41)*('Inputs-Proposals'!$F$29*'Inputs-Proposals'!$F$31*('Inputs-Proposals'!$F$32))*(VLOOKUP(V$3,Energy!$A$51:$K$83,5,FALSE))), $C25= "0", 0), 0)</f>
        <v>0</v>
      </c>
      <c r="W25" s="44">
        <f>IFERROR(_xlfn.IFS($C25="1",'Inputs-System'!$C$30*'Coincidence Factors'!$B$7*(1+'Inputs-System'!$C$18)*(1+'Inputs-System'!$C$41)*'Inputs-Proposals'!$F$17*'Inputs-Proposals'!$F$19*('Inputs-Proposals'!$F$20)*(VLOOKUP(V$3,'Embedded Emissions'!$A$47:$B$78,2,FALSE)+VLOOKUP(V$3,'Embedded Emissions'!$A$129:$B$158,2,FALSE)), $C25 = "2",'Inputs-System'!$C$30*'Coincidence Factors'!$B$7*(1+'Inputs-System'!$C$18)*(1+'Inputs-System'!$C$41)*'Inputs-Proposals'!$F$23*'Inputs-Proposals'!$F$25*('Inputs-Proposals'!$F$20)*(VLOOKUP(V$3,'Embedded Emissions'!$A$47:$B$78,2,FALSE)+VLOOKUP(V$3,'Embedded Emissions'!$A$129:$B$158,2,FALSE)), $C25 = "3", 'Inputs-System'!$C$30*'Coincidence Factors'!$B$7*(1+'Inputs-System'!$C$18)*(1+'Inputs-System'!$C$41)*'Inputs-Proposals'!$F$29*'Inputs-Proposals'!$F$31*('Inputs-Proposals'!$F$20)*(VLOOKUP(V$3,'Embedded Emissions'!$A$47:$B$78,2,FALSE)+VLOOKUP(V$3,'Embedded Emissions'!$A$129:$B$158,2,FALSE)), $C25 = "0", 0), 0)</f>
        <v>0</v>
      </c>
      <c r="X25" s="44">
        <f>IFERROR(_xlfn.IFS($C25="1",( 'Inputs-System'!$C$30*'Coincidence Factors'!$B$7*(1+'Inputs-System'!$C$18)*(1+'Inputs-System'!$C$41))*('Inputs-Proposals'!$F$17*'Inputs-Proposals'!$F$19*('Inputs-Proposals'!$F$20))*(VLOOKUP(V$3,DRIPE!$A$54:$I$82,5,FALSE)+VLOOKUP(V$3,DRIPE!$A$54:$I$82,9,FALSE))+ ('Inputs-System'!$C$26*'Coincidence Factors'!$B$7*(1+'Inputs-System'!$C$18)*(1+'Inputs-System'!$C$42))*'Inputs-Proposals'!$F$16*VLOOKUP(V$3,DRIPE!$A$54:$I$82,8,FALSE), $C25 = "2",( 'Inputs-System'!$C$30*'Coincidence Factors'!$B$7*(1+'Inputs-System'!$C$18)*(1+'Inputs-System'!$C$41))*('Inputs-Proposals'!$F$23*'Inputs-Proposals'!$F$25*('Inputs-Proposals'!$F$26))*(VLOOKUP(V$3,DRIPE!$A$54:$I$82,5,FALSE)+VLOOKUP(V$3,DRIPE!$A$54:$I$82,12,FALSE))+ ('Inputs-System'!$C$26*'Coincidence Factors'!$B$7*(1+'Inputs-System'!$C$18)*(1+'Inputs-System'!$C$42))*'Inputs-Proposals'!$F$22*VLOOKUP(V$3,DRIPE!$A$54:$I$82,8,FALSE), $C25= "3", ( 'Inputs-System'!$C$30*'Coincidence Factors'!$B$7*(1+'Inputs-System'!$C$18)*(1+'Inputs-System'!$C$41))*('Inputs-Proposals'!$F$29*'Inputs-Proposals'!$F$31*('Inputs-Proposals'!$F$32))*(VLOOKUP(V$3,DRIPE!$A$54:$I$82,5,FALSE)+VLOOKUP(V$3,DRIPE!$A$54:$I$82,12,FALSE))+ ('Inputs-System'!$C$26*'Coincidence Factors'!$B$7*(1+'Inputs-System'!$C$18)*(1+'Inputs-System'!$C$42))*'Inputs-Proposals'!$F$28*VLOOKUP(V$3,DRIPE!$A$54:$I$82,8,FALSE), $C25 = "0", 0), 0)</f>
        <v>0</v>
      </c>
      <c r="Y25" s="45">
        <f>IFERROR(_xlfn.IFS($C25="1",('Inputs-System'!$C$26*'Coincidence Factors'!$B$7*(1+'Inputs-System'!$C$18))*'Inputs-Proposals'!$F$16*(VLOOKUP(V$3,Capacity!$A$53:$E$85,4,FALSE)*(1+'Inputs-System'!$C$42)+VLOOKUP(V$3,Capacity!$A$53:$E$85,5,FALSE)*'Inputs-System'!$C$29*(1+'Inputs-System'!$C$43)), $C25 = "2", ('Inputs-System'!$C$26*'Coincidence Factors'!$B$7*(1+'Inputs-System'!$C$18))*'Inputs-Proposals'!$F$22*(VLOOKUP(V$3,Capacity!$A$53:$E$85,4,FALSE)*(1+'Inputs-System'!$C$42)+VLOOKUP(V$3,Capacity!$A$53:$E$85,5,FALSE)*'Inputs-System'!$C$29*(1+'Inputs-System'!$C$43)), $C25 = "3",('Inputs-System'!$C$26*'Coincidence Factors'!$B$7*(1+'Inputs-System'!$C$18))*'Inputs-Proposals'!$F$28*(VLOOKUP(V$3,Capacity!$A$53:$E$85,4,FALSE)*(1+'Inputs-System'!$C$42)+VLOOKUP(V$3,Capacity!$A$53:$E$85,5,FALSE)*'Inputs-System'!$C$29*(1+'Inputs-System'!$C$43)), $C25 = "0", 0), 0)</f>
        <v>0</v>
      </c>
      <c r="Z25" s="44">
        <v>0</v>
      </c>
      <c r="AA25" s="342">
        <f>IFERROR(_xlfn.IFS($C25="1", 'Inputs-System'!$C$30*'Coincidence Factors'!$B$7*'Inputs-Proposals'!$F$17*'Inputs-Proposals'!$F$19*(VLOOKUP(V$3,'Non-Embedded Emissions'!$A$56:$D$90,2,FALSE)+VLOOKUP(V$3,'Non-Embedded Emissions'!$A$143:$D$174,2,FALSE)+VLOOKUP(V$3,'Non-Embedded Emissions'!$A$230:$D$259,2,FALSE)), $C25 = "2", 'Inputs-System'!$C$30*'Coincidence Factors'!$B$7*'Inputs-Proposals'!$F$23*'Inputs-Proposals'!$F$25*(VLOOKUP(V$3,'Non-Embedded Emissions'!$A$56:$D$90,2,FALSE)+VLOOKUP(V$3,'Non-Embedded Emissions'!$A$143:$D$174,2,FALSE)+VLOOKUP(V$3,'Non-Embedded Emissions'!$A$230:$D$259,2,FALSE)), $C25 = "3", 'Inputs-System'!$C$30*'Coincidence Factors'!$B$7*'Inputs-Proposals'!$F$29*'Inputs-Proposals'!$F$31*(VLOOKUP(V$3,'Non-Embedded Emissions'!$A$56:$D$90,2,FALSE)+VLOOKUP(V$3,'Non-Embedded Emissions'!$A$143:$D$174,2,FALSE)+VLOOKUP(V$3,'Non-Embedded Emissions'!$A$230:$D$259,2,FALSE)), $C25 = "0", 0), 0)</f>
        <v>0</v>
      </c>
      <c r="AB25" s="45">
        <f>IFERROR(_xlfn.IFS($C25="1",('Inputs-System'!$C$30*'Coincidence Factors'!$B$7*(1+'Inputs-System'!$C$18)*(1+'Inputs-System'!$C$41)*('Inputs-Proposals'!$F$17*'Inputs-Proposals'!$F$19*('Inputs-Proposals'!$F$20))*(VLOOKUP(AB$3,Energy!$A$51:$K$83,5,FALSE))), $C25 = "2",('Inputs-System'!$C$30*'Coincidence Factors'!$B$7)*(1+'Inputs-System'!$C$18)*(1+'Inputs-System'!$C$41)*('Inputs-Proposals'!$F$23*'Inputs-Proposals'!$F$25*('Inputs-Proposals'!$F$26))*(VLOOKUP(AB$3,Energy!$A$51:$K$83,5,FALSE)), $C25= "3", ('Inputs-System'!$C$30*'Coincidence Factors'!$B$7*(1+'Inputs-System'!$C$18)*(1+'Inputs-System'!$C$41)*('Inputs-Proposals'!$F$29*'Inputs-Proposals'!$F$31*('Inputs-Proposals'!$F$32))*(VLOOKUP(AB$3,Energy!$A$51:$K$83,5,FALSE))), $C25= "0", 0), 0)</f>
        <v>0</v>
      </c>
      <c r="AC25" s="44">
        <f>IFERROR(_xlfn.IFS($C25="1",'Inputs-System'!$C$30*'Coincidence Factors'!$B$7*(1+'Inputs-System'!$C$18)*(1+'Inputs-System'!$C$41)*'Inputs-Proposals'!$F$17*'Inputs-Proposals'!$F$19*('Inputs-Proposals'!$F$20)*(VLOOKUP(AB$3,'Embedded Emissions'!$A$47:$B$78,2,FALSE)+VLOOKUP(AB$3,'Embedded Emissions'!$A$129:$B$158,2,FALSE)), $C25 = "2",'Inputs-System'!$C$30*'Coincidence Factors'!$B$7*(1+'Inputs-System'!$C$18)*(1+'Inputs-System'!$C$41)*'Inputs-Proposals'!$F$23*'Inputs-Proposals'!$F$25*('Inputs-Proposals'!$F$20)*(VLOOKUP(AB$3,'Embedded Emissions'!$A$47:$B$78,2,FALSE)+VLOOKUP(AB$3,'Embedded Emissions'!$A$129:$B$158,2,FALSE)), $C25 = "3", 'Inputs-System'!$C$30*'Coincidence Factors'!$B$7*(1+'Inputs-System'!$C$18)*(1+'Inputs-System'!$C$41)*'Inputs-Proposals'!$F$29*'Inputs-Proposals'!$F$31*('Inputs-Proposals'!$F$20)*(VLOOKUP(AB$3,'Embedded Emissions'!$A$47:$B$78,2,FALSE)+VLOOKUP(AB$3,'Embedded Emissions'!$A$129:$B$158,2,FALSE)), $C25 = "0", 0), 0)</f>
        <v>0</v>
      </c>
      <c r="AD25" s="44">
        <f>IFERROR(_xlfn.IFS($C25="1",( 'Inputs-System'!$C$30*'Coincidence Factors'!$B$7*(1+'Inputs-System'!$C$18)*(1+'Inputs-System'!$C$41))*('Inputs-Proposals'!$F$17*'Inputs-Proposals'!$F$19*('Inputs-Proposals'!$F$20))*(VLOOKUP(AB$3,DRIPE!$A$54:$I$82,5,FALSE)+VLOOKUP(AB$3,DRIPE!$A$54:$I$82,9,FALSE))+ ('Inputs-System'!$C$26*'Coincidence Factors'!$B$7*(1+'Inputs-System'!$C$18)*(1+'Inputs-System'!$C$42))*'Inputs-Proposals'!$F$16*VLOOKUP(AB$3,DRIPE!$A$54:$I$82,8,FALSE), $C25 = "2",( 'Inputs-System'!$C$30*'Coincidence Factors'!$B$7*(1+'Inputs-System'!$C$18)*(1+'Inputs-System'!$C$41))*('Inputs-Proposals'!$F$23*'Inputs-Proposals'!$F$25*('Inputs-Proposals'!$F$26))*(VLOOKUP(AB$3,DRIPE!$A$54:$I$82,5,FALSE)+VLOOKUP(AB$3,DRIPE!$A$54:$I$82,12,FALSE))+ ('Inputs-System'!$C$26*'Coincidence Factors'!$B$7*(1+'Inputs-System'!$C$18)*(1+'Inputs-System'!$C$42))*'Inputs-Proposals'!$F$22*VLOOKUP(AB$3,DRIPE!$A$54:$I$82,8,FALSE), $C25= "3", ( 'Inputs-System'!$C$30*'Coincidence Factors'!$B$7*(1+'Inputs-System'!$C$18)*(1+'Inputs-System'!$C$41))*('Inputs-Proposals'!$F$29*'Inputs-Proposals'!$F$31*('Inputs-Proposals'!$F$32))*(VLOOKUP(AB$3,DRIPE!$A$54:$I$82,5,FALSE)+VLOOKUP(AB$3,DRIPE!$A$54:$I$82,12,FALSE))+ ('Inputs-System'!$C$26*'Coincidence Factors'!$B$7*(1+'Inputs-System'!$C$18)*(1+'Inputs-System'!$C$42))*'Inputs-Proposals'!$F$28*VLOOKUP(AB$3,DRIPE!$A$54:$I$82,8,FALSE), $C25 = "0", 0), 0)</f>
        <v>0</v>
      </c>
      <c r="AE25" s="45">
        <f>IFERROR(_xlfn.IFS($C25="1",('Inputs-System'!$C$26*'Coincidence Factors'!$B$7*(1+'Inputs-System'!$C$18))*'Inputs-Proposals'!$F$16*(VLOOKUP(AB$3,Capacity!$A$53:$E$85,4,FALSE)*(1+'Inputs-System'!$C$42)+VLOOKUP(AB$3,Capacity!$A$53:$E$85,5,FALSE)*'Inputs-System'!$C$29*(1+'Inputs-System'!$C$43)), $C25 = "2", ('Inputs-System'!$C$26*'Coincidence Factors'!$B$7*(1+'Inputs-System'!$C$18))*'Inputs-Proposals'!$F$22*(VLOOKUP(AB$3,Capacity!$A$53:$E$85,4,FALSE)*(1+'Inputs-System'!$C$42)+VLOOKUP(AB$3,Capacity!$A$53:$E$85,5,FALSE)*'Inputs-System'!$C$29*(1+'Inputs-System'!$C$43)), $C25 = "3",('Inputs-System'!$C$26*'Coincidence Factors'!$B$7*(1+'Inputs-System'!$C$18))*'Inputs-Proposals'!$F$28*(VLOOKUP(AB$3,Capacity!$A$53:$E$85,4,FALSE)*(1+'Inputs-System'!$C$42)+VLOOKUP(AB$3,Capacity!$A$53:$E$85,5,FALSE)*'Inputs-System'!$C$29*(1+'Inputs-System'!$C$43)), $C25 = "0", 0), 0)</f>
        <v>0</v>
      </c>
      <c r="AF25" s="44">
        <v>0</v>
      </c>
      <c r="AG25" s="342">
        <f>IFERROR(_xlfn.IFS($C25="1", 'Inputs-System'!$C$30*'Coincidence Factors'!$B$7*'Inputs-Proposals'!$F$17*'Inputs-Proposals'!$F$19*(VLOOKUP(AB$3,'Non-Embedded Emissions'!$A$56:$D$90,2,FALSE)+VLOOKUP(AB$3,'Non-Embedded Emissions'!$A$143:$D$174,2,FALSE)+VLOOKUP(AB$3,'Non-Embedded Emissions'!$A$230:$D$259,2,FALSE)), $C25 = "2", 'Inputs-System'!$C$30*'Coincidence Factors'!$B$7*'Inputs-Proposals'!$F$23*'Inputs-Proposals'!$F$25*(VLOOKUP(AB$3,'Non-Embedded Emissions'!$A$56:$D$90,2,FALSE)+VLOOKUP(AB$3,'Non-Embedded Emissions'!$A$143:$D$174,2,FALSE)+VLOOKUP(AB$3,'Non-Embedded Emissions'!$A$230:$D$259,2,FALSE)), $C25 = "3", 'Inputs-System'!$C$30*'Coincidence Factors'!$B$7*'Inputs-Proposals'!$F$29*'Inputs-Proposals'!$F$31*(VLOOKUP(AB$3,'Non-Embedded Emissions'!$A$56:$D$90,2,FALSE)+VLOOKUP(AB$3,'Non-Embedded Emissions'!$A$143:$D$174,2,FALSE)+VLOOKUP(AB$3,'Non-Embedded Emissions'!$A$230:$D$259,2,FALSE)), $C25 = "0", 0), 0)</f>
        <v>0</v>
      </c>
      <c r="AH25" s="45">
        <f>IFERROR(_xlfn.IFS($C25="1",('Inputs-System'!$C$30*'Coincidence Factors'!$B$7*(1+'Inputs-System'!$C$18)*(1+'Inputs-System'!$C$41)*('Inputs-Proposals'!$F$17*'Inputs-Proposals'!$F$19*('Inputs-Proposals'!$F$20))*(VLOOKUP(AH$3,Energy!$A$51:$K$83,5,FALSE))), $C25 = "2",('Inputs-System'!$C$30*'Coincidence Factors'!$B$7)*(1+'Inputs-System'!$C$18)*(1+'Inputs-System'!$C$41)*('Inputs-Proposals'!$F$23*'Inputs-Proposals'!$F$25*('Inputs-Proposals'!$F$26))*(VLOOKUP(AH$3,Energy!$A$51:$K$83,5,FALSE)), $C25= "3", ('Inputs-System'!$C$30*'Coincidence Factors'!$B$7*(1+'Inputs-System'!$C$18)*(1+'Inputs-System'!$C$41)*('Inputs-Proposals'!$F$29*'Inputs-Proposals'!$F$31*('Inputs-Proposals'!$F$32))*(VLOOKUP(AH$3,Energy!$A$51:$K$83,5,FALSE))), $C25= "0", 0), 0)</f>
        <v>0</v>
      </c>
      <c r="AI25" s="44">
        <f>IFERROR(_xlfn.IFS($C25="1",'Inputs-System'!$C$30*'Coincidence Factors'!$B$7*(1+'Inputs-System'!$C$18)*(1+'Inputs-System'!$C$41)*'Inputs-Proposals'!$F$17*'Inputs-Proposals'!$F$19*('Inputs-Proposals'!$F$20)*(VLOOKUP(AH$3,'Embedded Emissions'!$A$47:$B$78,2,FALSE)+VLOOKUP(AH$3,'Embedded Emissions'!$A$129:$B$158,2,FALSE)), $C25 = "2",'Inputs-System'!$C$30*'Coincidence Factors'!$B$7*(1+'Inputs-System'!$C$18)*(1+'Inputs-System'!$C$41)*'Inputs-Proposals'!$F$23*'Inputs-Proposals'!$F$25*('Inputs-Proposals'!$F$20)*(VLOOKUP(AH$3,'Embedded Emissions'!$A$47:$B$78,2,FALSE)+VLOOKUP(AH$3,'Embedded Emissions'!$A$129:$B$158,2,FALSE)), $C25 = "3", 'Inputs-System'!$C$30*'Coincidence Factors'!$B$7*(1+'Inputs-System'!$C$18)*(1+'Inputs-System'!$C$41)*'Inputs-Proposals'!$F$29*'Inputs-Proposals'!$F$31*('Inputs-Proposals'!$F$20)*(VLOOKUP(AH$3,'Embedded Emissions'!$A$47:$B$78,2,FALSE)+VLOOKUP(AH$3,'Embedded Emissions'!$A$129:$B$158,2,FALSE)), $C25 = "0", 0), 0)</f>
        <v>0</v>
      </c>
      <c r="AJ25" s="44">
        <f>IFERROR(_xlfn.IFS($C25="1",( 'Inputs-System'!$C$30*'Coincidence Factors'!$B$7*(1+'Inputs-System'!$C$18)*(1+'Inputs-System'!$C$41))*('Inputs-Proposals'!$F$17*'Inputs-Proposals'!$F$19*('Inputs-Proposals'!$F$20))*(VLOOKUP(AH$3,DRIPE!$A$54:$I$82,5,FALSE)+VLOOKUP(AH$3,DRIPE!$A$54:$I$82,9,FALSE))+ ('Inputs-System'!$C$26*'Coincidence Factors'!$B$7*(1+'Inputs-System'!$C$18)*(1+'Inputs-System'!$C$42))*'Inputs-Proposals'!$F$16*VLOOKUP(AH$3,DRIPE!$A$54:$I$82,8,FALSE), $C25 = "2",( 'Inputs-System'!$C$30*'Coincidence Factors'!$B$7*(1+'Inputs-System'!$C$18)*(1+'Inputs-System'!$C$41))*('Inputs-Proposals'!$F$23*'Inputs-Proposals'!$F$25*('Inputs-Proposals'!$F$26))*(VLOOKUP(AH$3,DRIPE!$A$54:$I$82,5,FALSE)+VLOOKUP(AH$3,DRIPE!$A$54:$I$82,12,FALSE))+ ('Inputs-System'!$C$26*'Coincidence Factors'!$B$7*(1+'Inputs-System'!$C$18)*(1+'Inputs-System'!$C$42))*'Inputs-Proposals'!$F$22*VLOOKUP(AH$3,DRIPE!$A$54:$I$82,8,FALSE), $C25= "3", ( 'Inputs-System'!$C$30*'Coincidence Factors'!$B$7*(1+'Inputs-System'!$C$18)*(1+'Inputs-System'!$C$41))*('Inputs-Proposals'!$F$29*'Inputs-Proposals'!$F$31*('Inputs-Proposals'!$F$32))*(VLOOKUP(AH$3,DRIPE!$A$54:$I$82,5,FALSE)+VLOOKUP(AH$3,DRIPE!$A$54:$I$82,12,FALSE))+ ('Inputs-System'!$C$26*'Coincidence Factors'!$B$7*(1+'Inputs-System'!$C$18)*(1+'Inputs-System'!$C$42))*'Inputs-Proposals'!$F$28*VLOOKUP(AH$3,DRIPE!$A$54:$I$82,8,FALSE), $C25 = "0", 0), 0)</f>
        <v>0</v>
      </c>
      <c r="AK25" s="45">
        <f>IFERROR(_xlfn.IFS($C25="1",('Inputs-System'!$C$26*'Coincidence Factors'!$B$7*(1+'Inputs-System'!$C$18))*'Inputs-Proposals'!$F$16*(VLOOKUP(AH$3,Capacity!$A$53:$E$85,4,FALSE)*(1+'Inputs-System'!$C$42)+VLOOKUP(AH$3,Capacity!$A$53:$E$85,5,FALSE)*'Inputs-System'!$C$29*(1+'Inputs-System'!$C$43)), $C25 = "2", ('Inputs-System'!$C$26*'Coincidence Factors'!$B$7*(1+'Inputs-System'!$C$18))*'Inputs-Proposals'!$F$22*(VLOOKUP(AH$3,Capacity!$A$53:$E$85,4,FALSE)*(1+'Inputs-System'!$C$42)+VLOOKUP(AH$3,Capacity!$A$53:$E$85,5,FALSE)*'Inputs-System'!$C$29*(1+'Inputs-System'!$C$43)), $C25 = "3",('Inputs-System'!$C$26*'Coincidence Factors'!$B$7*(1+'Inputs-System'!$C$18))*'Inputs-Proposals'!$F$28*(VLOOKUP(AH$3,Capacity!$A$53:$E$85,4,FALSE)*(1+'Inputs-System'!$C$42)+VLOOKUP(AH$3,Capacity!$A$53:$E$85,5,FALSE)*'Inputs-System'!$C$29*(1+'Inputs-System'!$C$43)), $C25 = "0", 0), 0)</f>
        <v>0</v>
      </c>
      <c r="AL25" s="44">
        <v>0</v>
      </c>
      <c r="AM25" s="342">
        <f>IFERROR(_xlfn.IFS($C25="1", 'Inputs-System'!$C$30*'Coincidence Factors'!$B$7*'Inputs-Proposals'!$F$17*'Inputs-Proposals'!$F$19*(VLOOKUP(AH$3,'Non-Embedded Emissions'!$A$56:$D$90,2,FALSE)+VLOOKUP(AH$3,'Non-Embedded Emissions'!$A$143:$D$174,2,FALSE)+VLOOKUP(AH$3,'Non-Embedded Emissions'!$A$230:$D$259,2,FALSE)), $C25 = "2", 'Inputs-System'!$C$30*'Coincidence Factors'!$B$7*'Inputs-Proposals'!$F$23*'Inputs-Proposals'!$F$25*(VLOOKUP(AH$3,'Non-Embedded Emissions'!$A$56:$D$90,2,FALSE)+VLOOKUP(AH$3,'Non-Embedded Emissions'!$A$143:$D$174,2,FALSE)+VLOOKUP(AH$3,'Non-Embedded Emissions'!$A$230:$D$259,2,FALSE)), $C25 = "3", 'Inputs-System'!$C$30*'Coincidence Factors'!$B$7*'Inputs-Proposals'!$F$29*'Inputs-Proposals'!$F$31*(VLOOKUP(AH$3,'Non-Embedded Emissions'!$A$56:$D$90,2,FALSE)+VLOOKUP(AH$3,'Non-Embedded Emissions'!$A$143:$D$174,2,FALSE)+VLOOKUP(AH$3,'Non-Embedded Emissions'!$A$230:$D$259,2,FALSE)), $C25 = "0", 0), 0)</f>
        <v>0</v>
      </c>
      <c r="AN25" s="45">
        <f>IFERROR(_xlfn.IFS($C25="1",('Inputs-System'!$C$30*'Coincidence Factors'!$B$7*(1+'Inputs-System'!$C$18)*(1+'Inputs-System'!$C$41)*('Inputs-Proposals'!$F$17*'Inputs-Proposals'!$F$19*('Inputs-Proposals'!$F$20))*(VLOOKUP(AN$3,Energy!$A$51:$K$83,5,FALSE))), $C25 = "2",('Inputs-System'!$C$30*'Coincidence Factors'!$B$7)*(1+'Inputs-System'!$C$18)*(1+'Inputs-System'!$C$41)*('Inputs-Proposals'!$F$23*'Inputs-Proposals'!$F$25*('Inputs-Proposals'!$F$26))*(VLOOKUP(AN$3,Energy!$A$51:$K$83,5,FALSE)), $C25= "3", ('Inputs-System'!$C$30*'Coincidence Factors'!$B$7*(1+'Inputs-System'!$C$18)*(1+'Inputs-System'!$C$41)*('Inputs-Proposals'!$F$29*'Inputs-Proposals'!$F$31*('Inputs-Proposals'!$F$32))*(VLOOKUP(AN$3,Energy!$A$51:$K$83,5,FALSE))), $C25= "0", 0), 0)</f>
        <v>0</v>
      </c>
      <c r="AO25" s="44">
        <f>IFERROR(_xlfn.IFS($C25="1",'Inputs-System'!$C$30*'Coincidence Factors'!$B$7*(1+'Inputs-System'!$C$18)*(1+'Inputs-System'!$C$41)*'Inputs-Proposals'!$F$17*'Inputs-Proposals'!$F$19*('Inputs-Proposals'!$F$20)*(VLOOKUP(AN$3,'Embedded Emissions'!$A$47:$B$78,2,FALSE)+VLOOKUP(AN$3,'Embedded Emissions'!$A$129:$B$158,2,FALSE)), $C25 = "2",'Inputs-System'!$C$30*'Coincidence Factors'!$B$7*(1+'Inputs-System'!$C$18)*(1+'Inputs-System'!$C$41)*'Inputs-Proposals'!$F$23*'Inputs-Proposals'!$F$25*('Inputs-Proposals'!$F$20)*(VLOOKUP(AN$3,'Embedded Emissions'!$A$47:$B$78,2,FALSE)+VLOOKUP(AN$3,'Embedded Emissions'!$A$129:$B$158,2,FALSE)), $C25 = "3", 'Inputs-System'!$C$30*'Coincidence Factors'!$B$7*(1+'Inputs-System'!$C$18)*(1+'Inputs-System'!$C$41)*'Inputs-Proposals'!$F$29*'Inputs-Proposals'!$F$31*('Inputs-Proposals'!$F$20)*(VLOOKUP(AN$3,'Embedded Emissions'!$A$47:$B$78,2,FALSE)+VLOOKUP(AN$3,'Embedded Emissions'!$A$129:$B$158,2,FALSE)), $C25 = "0", 0), 0)</f>
        <v>0</v>
      </c>
      <c r="AP25" s="44">
        <f>IFERROR(_xlfn.IFS($C25="1",( 'Inputs-System'!$C$30*'Coincidence Factors'!$B$7*(1+'Inputs-System'!$C$18)*(1+'Inputs-System'!$C$41))*('Inputs-Proposals'!$F$17*'Inputs-Proposals'!$F$19*('Inputs-Proposals'!$F$20))*(VLOOKUP(AN$3,DRIPE!$A$54:$I$82,5,FALSE)+VLOOKUP(AN$3,DRIPE!$A$54:$I$82,9,FALSE))+ ('Inputs-System'!$C$26*'Coincidence Factors'!$B$7*(1+'Inputs-System'!$C$18)*(1+'Inputs-System'!$C$42))*'Inputs-Proposals'!$F$16*VLOOKUP(AN$3,DRIPE!$A$54:$I$82,8,FALSE), $C25 = "2",( 'Inputs-System'!$C$30*'Coincidence Factors'!$B$7*(1+'Inputs-System'!$C$18)*(1+'Inputs-System'!$C$41))*('Inputs-Proposals'!$F$23*'Inputs-Proposals'!$F$25*('Inputs-Proposals'!$F$26))*(VLOOKUP(AN$3,DRIPE!$A$54:$I$82,5,FALSE)+VLOOKUP(AN$3,DRIPE!$A$54:$I$82,12,FALSE))+ ('Inputs-System'!$C$26*'Coincidence Factors'!$B$7*(1+'Inputs-System'!$C$18)*(1+'Inputs-System'!$C$42))*'Inputs-Proposals'!$F$22*VLOOKUP(AN$3,DRIPE!$A$54:$I$82,8,FALSE), $C25= "3", ( 'Inputs-System'!$C$30*'Coincidence Factors'!$B$7*(1+'Inputs-System'!$C$18)*(1+'Inputs-System'!$C$41))*('Inputs-Proposals'!$F$29*'Inputs-Proposals'!$F$31*('Inputs-Proposals'!$F$32))*(VLOOKUP(AN$3,DRIPE!$A$54:$I$82,5,FALSE)+VLOOKUP(AN$3,DRIPE!$A$54:$I$82,12,FALSE))+ ('Inputs-System'!$C$26*'Coincidence Factors'!$B$7*(1+'Inputs-System'!$C$18)*(1+'Inputs-System'!$C$42))*'Inputs-Proposals'!$F$28*VLOOKUP(AN$3,DRIPE!$A$54:$I$82,8,FALSE), $C25 = "0", 0), 0)</f>
        <v>0</v>
      </c>
      <c r="AQ25" s="45">
        <f>IFERROR(_xlfn.IFS($C25="1",('Inputs-System'!$C$26*'Coincidence Factors'!$B$7*(1+'Inputs-System'!$C$18))*'Inputs-Proposals'!$F$16*(VLOOKUP(AN$3,Capacity!$A$53:$E$85,4,FALSE)*(1+'Inputs-System'!$C$42)+VLOOKUP(AN$3,Capacity!$A$53:$E$85,5,FALSE)*'Inputs-System'!$C$29*(1+'Inputs-System'!$C$43)), $C25 = "2", ('Inputs-System'!$C$26*'Coincidence Factors'!$B$7*(1+'Inputs-System'!$C$18))*'Inputs-Proposals'!$F$22*(VLOOKUP(AN$3,Capacity!$A$53:$E$85,4,FALSE)*(1+'Inputs-System'!$C$42)+VLOOKUP(AN$3,Capacity!$A$53:$E$85,5,FALSE)*'Inputs-System'!$C$29*(1+'Inputs-System'!$C$43)), $C25 = "3",('Inputs-System'!$C$26*'Coincidence Factors'!$B$7*(1+'Inputs-System'!$C$18))*'Inputs-Proposals'!$F$28*(VLOOKUP(AN$3,Capacity!$A$53:$E$85,4,FALSE)*(1+'Inputs-System'!$C$42)+VLOOKUP(AN$3,Capacity!$A$53:$E$85,5,FALSE)*'Inputs-System'!$C$29*(1+'Inputs-System'!$C$43)), $C25 = "0", 0), 0)</f>
        <v>0</v>
      </c>
      <c r="AR25" s="44">
        <v>0</v>
      </c>
      <c r="AS25" s="342">
        <f>IFERROR(_xlfn.IFS($C25="1", 'Inputs-System'!$C$30*'Coincidence Factors'!$B$7*'Inputs-Proposals'!$F$17*'Inputs-Proposals'!$F$19*(VLOOKUP(AN$3,'Non-Embedded Emissions'!$A$56:$D$90,2,FALSE)+VLOOKUP(AN$3,'Non-Embedded Emissions'!$A$143:$D$174,2,FALSE)+VLOOKUP(AN$3,'Non-Embedded Emissions'!$A$230:$D$259,2,FALSE)), $C25 = "2", 'Inputs-System'!$C$30*'Coincidence Factors'!$B$7*'Inputs-Proposals'!$F$23*'Inputs-Proposals'!$F$25*(VLOOKUP(AN$3,'Non-Embedded Emissions'!$A$56:$D$90,2,FALSE)+VLOOKUP(AN$3,'Non-Embedded Emissions'!$A$143:$D$174,2,FALSE)+VLOOKUP(AN$3,'Non-Embedded Emissions'!$A$230:$D$259,2,FALSE)), $C25 = "3", 'Inputs-System'!$C$30*'Coincidence Factors'!$B$7*'Inputs-Proposals'!$F$29*'Inputs-Proposals'!$F$31*(VLOOKUP(AN$3,'Non-Embedded Emissions'!$A$56:$D$90,2,FALSE)+VLOOKUP(AN$3,'Non-Embedded Emissions'!$A$143:$D$174,2,FALSE)+VLOOKUP(AN$3,'Non-Embedded Emissions'!$A$230:$D$259,2,FALSE)), $C25 = "0", 0), 0)</f>
        <v>0</v>
      </c>
      <c r="AT25" s="45">
        <f>IFERROR(_xlfn.IFS($C25="1",('Inputs-System'!$C$30*'Coincidence Factors'!$B$7*(1+'Inputs-System'!$C$18)*(1+'Inputs-System'!$C$41)*('Inputs-Proposals'!$F$17*'Inputs-Proposals'!$F$19*('Inputs-Proposals'!$F$20))*(VLOOKUP(AT$3,Energy!$A$51:$K$83,5,FALSE))), $C25 = "2",('Inputs-System'!$C$30*'Coincidence Factors'!$B$7)*(1+'Inputs-System'!$C$18)*(1+'Inputs-System'!$C$41)*('Inputs-Proposals'!$F$23*'Inputs-Proposals'!$F$25*('Inputs-Proposals'!$F$26))*(VLOOKUP(AT$3,Energy!$A$51:$K$83,5,FALSE)), $C25= "3", ('Inputs-System'!$C$30*'Coincidence Factors'!$B$7*(1+'Inputs-System'!$C$18)*(1+'Inputs-System'!$C$41)*('Inputs-Proposals'!$F$29*'Inputs-Proposals'!$F$31*('Inputs-Proposals'!$F$32))*(VLOOKUP(AT$3,Energy!$A$51:$K$83,5,FALSE))), $C25= "0", 0), 0)</f>
        <v>0</v>
      </c>
      <c r="AU25" s="44">
        <f>IFERROR(_xlfn.IFS($C25="1",'Inputs-System'!$C$30*'Coincidence Factors'!$B$7*(1+'Inputs-System'!$C$18)*(1+'Inputs-System'!$C$41)*'Inputs-Proposals'!$F$17*'Inputs-Proposals'!$F$19*('Inputs-Proposals'!$F$20)*(VLOOKUP(AT$3,'Embedded Emissions'!$A$47:$B$78,2,FALSE)+VLOOKUP(AT$3,'Embedded Emissions'!$A$129:$B$158,2,FALSE)), $C25 = "2",'Inputs-System'!$C$30*'Coincidence Factors'!$B$7*(1+'Inputs-System'!$C$18)*(1+'Inputs-System'!$C$41)*'Inputs-Proposals'!$F$23*'Inputs-Proposals'!$F$25*('Inputs-Proposals'!$F$20)*(VLOOKUP(AT$3,'Embedded Emissions'!$A$47:$B$78,2,FALSE)+VLOOKUP(AT$3,'Embedded Emissions'!$A$129:$B$158,2,FALSE)), $C25 = "3", 'Inputs-System'!$C$30*'Coincidence Factors'!$B$7*(1+'Inputs-System'!$C$18)*(1+'Inputs-System'!$C$41)*'Inputs-Proposals'!$F$29*'Inputs-Proposals'!$F$31*('Inputs-Proposals'!$F$20)*(VLOOKUP(AT$3,'Embedded Emissions'!$A$47:$B$78,2,FALSE)+VLOOKUP(AT$3,'Embedded Emissions'!$A$129:$B$158,2,FALSE)), $C25 = "0", 0), 0)</f>
        <v>0</v>
      </c>
      <c r="AV25" s="44">
        <f>IFERROR(_xlfn.IFS($C25="1",( 'Inputs-System'!$C$30*'Coincidence Factors'!$B$7*(1+'Inputs-System'!$C$18)*(1+'Inputs-System'!$C$41))*('Inputs-Proposals'!$F$17*'Inputs-Proposals'!$F$19*('Inputs-Proposals'!$F$20))*(VLOOKUP(AT$3,DRIPE!$A$54:$I$82,5,FALSE)+VLOOKUP(AT$3,DRIPE!$A$54:$I$82,9,FALSE))+ ('Inputs-System'!$C$26*'Coincidence Factors'!$B$7*(1+'Inputs-System'!$C$18)*(1+'Inputs-System'!$C$42))*'Inputs-Proposals'!$F$16*VLOOKUP(AT$3,DRIPE!$A$54:$I$82,8,FALSE), $C25 = "2",( 'Inputs-System'!$C$30*'Coincidence Factors'!$B$7*(1+'Inputs-System'!$C$18)*(1+'Inputs-System'!$C$41))*('Inputs-Proposals'!$F$23*'Inputs-Proposals'!$F$25*('Inputs-Proposals'!$F$26))*(VLOOKUP(AT$3,DRIPE!$A$54:$I$82,5,FALSE)+VLOOKUP(AT$3,DRIPE!$A$54:$I$82,12,FALSE))+ ('Inputs-System'!$C$26*'Coincidence Factors'!$B$7*(1+'Inputs-System'!$C$18)*(1+'Inputs-System'!$C$42))*'Inputs-Proposals'!$F$22*VLOOKUP(AT$3,DRIPE!$A$54:$I$82,8,FALSE), $C25= "3", ( 'Inputs-System'!$C$30*'Coincidence Factors'!$B$7*(1+'Inputs-System'!$C$18)*(1+'Inputs-System'!$C$41))*('Inputs-Proposals'!$F$29*'Inputs-Proposals'!$F$31*('Inputs-Proposals'!$F$32))*(VLOOKUP(AT$3,DRIPE!$A$54:$I$82,5,FALSE)+VLOOKUP(AT$3,DRIPE!$A$54:$I$82,12,FALSE))+ ('Inputs-System'!$C$26*'Coincidence Factors'!$B$7*(1+'Inputs-System'!$C$18)*(1+'Inputs-System'!$C$42))*'Inputs-Proposals'!$F$28*VLOOKUP(AT$3,DRIPE!$A$54:$I$82,8,FALSE), $C25 = "0", 0), 0)</f>
        <v>0</v>
      </c>
      <c r="AW25" s="45">
        <f>IFERROR(_xlfn.IFS($C25="1",('Inputs-System'!$C$26*'Coincidence Factors'!$B$7*(1+'Inputs-System'!$C$18))*'Inputs-Proposals'!$F$16*(VLOOKUP(AT$3,Capacity!$A$53:$E$85,4,FALSE)*(1+'Inputs-System'!$C$42)+VLOOKUP(AT$3,Capacity!$A$53:$E$85,5,FALSE)*'Inputs-System'!$C$29*(1+'Inputs-System'!$C$43)), $C25 = "2", ('Inputs-System'!$C$26*'Coincidence Factors'!$B$7*(1+'Inputs-System'!$C$18))*'Inputs-Proposals'!$F$22*(VLOOKUP(AT$3,Capacity!$A$53:$E$85,4,FALSE)*(1+'Inputs-System'!$C$42)+VLOOKUP(AT$3,Capacity!$A$53:$E$85,5,FALSE)*'Inputs-System'!$C$29*(1+'Inputs-System'!$C$43)), $C25 = "3",('Inputs-System'!$C$26*'Coincidence Factors'!$B$7*(1+'Inputs-System'!$C$18))*'Inputs-Proposals'!$F$28*(VLOOKUP(AT$3,Capacity!$A$53:$E$85,4,FALSE)*(1+'Inputs-System'!$C$42)+VLOOKUP(AT$3,Capacity!$A$53:$E$85,5,FALSE)*'Inputs-System'!$C$29*(1+'Inputs-System'!$C$43)), $C25 = "0", 0), 0)</f>
        <v>0</v>
      </c>
      <c r="AX25" s="44">
        <v>0</v>
      </c>
      <c r="AY25" s="342">
        <f>IFERROR(_xlfn.IFS($C25="1", 'Inputs-System'!$C$30*'Coincidence Factors'!$B$7*'Inputs-Proposals'!$F$17*'Inputs-Proposals'!$F$19*(VLOOKUP(AT$3,'Non-Embedded Emissions'!$A$56:$D$90,2,FALSE)+VLOOKUP(AT$3,'Non-Embedded Emissions'!$A$143:$D$174,2,FALSE)+VLOOKUP(AT$3,'Non-Embedded Emissions'!$A$230:$D$259,2,FALSE)), $C25 = "2", 'Inputs-System'!$C$30*'Coincidence Factors'!$B$7*'Inputs-Proposals'!$F$23*'Inputs-Proposals'!$F$25*(VLOOKUP(AT$3,'Non-Embedded Emissions'!$A$56:$D$90,2,FALSE)+VLOOKUP(AT$3,'Non-Embedded Emissions'!$A$143:$D$174,2,FALSE)+VLOOKUP(AT$3,'Non-Embedded Emissions'!$A$230:$D$259,2,FALSE)), $C25 = "3", 'Inputs-System'!$C$30*'Coincidence Factors'!$B$7*'Inputs-Proposals'!$F$29*'Inputs-Proposals'!$F$31*(VLOOKUP(AT$3,'Non-Embedded Emissions'!$A$56:$D$90,2,FALSE)+VLOOKUP(AT$3,'Non-Embedded Emissions'!$A$143:$D$174,2,FALSE)+VLOOKUP(AT$3,'Non-Embedded Emissions'!$A$230:$D$259,2,FALSE)), $C25 = "0", 0), 0)</f>
        <v>0</v>
      </c>
      <c r="AZ25" s="45">
        <f>IFERROR(_xlfn.IFS($C25="1",('Inputs-System'!$C$30*'Coincidence Factors'!$B$7*(1+'Inputs-System'!$C$18)*(1+'Inputs-System'!$C$41)*('Inputs-Proposals'!$F$17*'Inputs-Proposals'!$F$19*('Inputs-Proposals'!$F$20))*(VLOOKUP(AZ$3,Energy!$A$51:$K$83,5,FALSE))), $C25 = "2",('Inputs-System'!$C$30*'Coincidence Factors'!$B$7)*(1+'Inputs-System'!$C$18)*(1+'Inputs-System'!$C$41)*('Inputs-Proposals'!$F$23*'Inputs-Proposals'!$F$25*('Inputs-Proposals'!$F$26))*(VLOOKUP(AZ$3,Energy!$A$51:$K$83,5,FALSE)), $C25= "3", ('Inputs-System'!$C$30*'Coincidence Factors'!$B$7*(1+'Inputs-System'!$C$18)*(1+'Inputs-System'!$C$41)*('Inputs-Proposals'!$F$29*'Inputs-Proposals'!$F$31*('Inputs-Proposals'!$F$32))*(VLOOKUP(AZ$3,Energy!$A$51:$K$83,5,FALSE))), $C25= "0", 0), 0)</f>
        <v>0</v>
      </c>
      <c r="BA25" s="44">
        <f>IFERROR(_xlfn.IFS($C25="1",'Inputs-System'!$C$30*'Coincidence Factors'!$B$7*(1+'Inputs-System'!$C$18)*(1+'Inputs-System'!$C$41)*'Inputs-Proposals'!$F$17*'Inputs-Proposals'!$F$19*('Inputs-Proposals'!$F$20)*(VLOOKUP(AZ$3,'Embedded Emissions'!$A$47:$B$78,2,FALSE)+VLOOKUP(AZ$3,'Embedded Emissions'!$A$129:$B$158,2,FALSE)), $C25 = "2",'Inputs-System'!$C$30*'Coincidence Factors'!$B$7*(1+'Inputs-System'!$C$18)*(1+'Inputs-System'!$C$41)*'Inputs-Proposals'!$F$23*'Inputs-Proposals'!$F$25*('Inputs-Proposals'!$F$20)*(VLOOKUP(AZ$3,'Embedded Emissions'!$A$47:$B$78,2,FALSE)+VLOOKUP(AZ$3,'Embedded Emissions'!$A$129:$B$158,2,FALSE)), $C25 = "3", 'Inputs-System'!$C$30*'Coincidence Factors'!$B$7*(1+'Inputs-System'!$C$18)*(1+'Inputs-System'!$C$41)*'Inputs-Proposals'!$F$29*'Inputs-Proposals'!$F$31*('Inputs-Proposals'!$F$20)*(VLOOKUP(AZ$3,'Embedded Emissions'!$A$47:$B$78,2,FALSE)+VLOOKUP(AZ$3,'Embedded Emissions'!$A$129:$B$158,2,FALSE)), $C25 = "0", 0), 0)</f>
        <v>0</v>
      </c>
      <c r="BB25" s="44">
        <f>IFERROR(_xlfn.IFS($C25="1",( 'Inputs-System'!$C$30*'Coincidence Factors'!$B$7*(1+'Inputs-System'!$C$18)*(1+'Inputs-System'!$C$41))*('Inputs-Proposals'!$F$17*'Inputs-Proposals'!$F$19*('Inputs-Proposals'!$F$20))*(VLOOKUP(AZ$3,DRIPE!$A$54:$I$82,5,FALSE)+VLOOKUP(AZ$3,DRIPE!$A$54:$I$82,9,FALSE))+ ('Inputs-System'!$C$26*'Coincidence Factors'!$B$7*(1+'Inputs-System'!$C$18)*(1+'Inputs-System'!$C$42))*'Inputs-Proposals'!$F$16*VLOOKUP(AZ$3,DRIPE!$A$54:$I$82,8,FALSE), $C25 = "2",( 'Inputs-System'!$C$30*'Coincidence Factors'!$B$7*(1+'Inputs-System'!$C$18)*(1+'Inputs-System'!$C$41))*('Inputs-Proposals'!$F$23*'Inputs-Proposals'!$F$25*('Inputs-Proposals'!$F$26))*(VLOOKUP(AZ$3,DRIPE!$A$54:$I$82,5,FALSE)+VLOOKUP(AZ$3,DRIPE!$A$54:$I$82,12,FALSE))+ ('Inputs-System'!$C$26*'Coincidence Factors'!$B$7*(1+'Inputs-System'!$C$18)*(1+'Inputs-System'!$C$42))*'Inputs-Proposals'!$F$22*VLOOKUP(AZ$3,DRIPE!$A$54:$I$82,8,FALSE), $C25= "3", ( 'Inputs-System'!$C$30*'Coincidence Factors'!$B$7*(1+'Inputs-System'!$C$18)*(1+'Inputs-System'!$C$41))*('Inputs-Proposals'!$F$29*'Inputs-Proposals'!$F$31*('Inputs-Proposals'!$F$32))*(VLOOKUP(AZ$3,DRIPE!$A$54:$I$82,5,FALSE)+VLOOKUP(AZ$3,DRIPE!$A$54:$I$82,12,FALSE))+ ('Inputs-System'!$C$26*'Coincidence Factors'!$B$7*(1+'Inputs-System'!$C$18)*(1+'Inputs-System'!$C$42))*'Inputs-Proposals'!$F$28*VLOOKUP(AZ$3,DRIPE!$A$54:$I$82,8,FALSE), $C25 = "0", 0), 0)</f>
        <v>0</v>
      </c>
      <c r="BC25" s="45">
        <f>IFERROR(_xlfn.IFS($C25="1",('Inputs-System'!$C$26*'Coincidence Factors'!$B$7*(1+'Inputs-System'!$C$18))*'Inputs-Proposals'!$F$16*(VLOOKUP(AZ$3,Capacity!$A$53:$E$85,4,FALSE)*(1+'Inputs-System'!$C$42)+VLOOKUP(AZ$3,Capacity!$A$53:$E$85,5,FALSE)*'Inputs-System'!$C$29*(1+'Inputs-System'!$C$43)), $C25 = "2", ('Inputs-System'!$C$26*'Coincidence Factors'!$B$7*(1+'Inputs-System'!$C$18))*'Inputs-Proposals'!$F$22*(VLOOKUP(AZ$3,Capacity!$A$53:$E$85,4,FALSE)*(1+'Inputs-System'!$C$42)+VLOOKUP(AZ$3,Capacity!$A$53:$E$85,5,FALSE)*'Inputs-System'!$C$29*(1+'Inputs-System'!$C$43)), $C25 = "3",('Inputs-System'!$C$26*'Coincidence Factors'!$B$7*(1+'Inputs-System'!$C$18))*'Inputs-Proposals'!$F$28*(VLOOKUP(AZ$3,Capacity!$A$53:$E$85,4,FALSE)*(1+'Inputs-System'!$C$42)+VLOOKUP(AZ$3,Capacity!$A$53:$E$85,5,FALSE)*'Inputs-System'!$C$29*(1+'Inputs-System'!$C$43)), $C25 = "0", 0), 0)</f>
        <v>0</v>
      </c>
      <c r="BD25" s="44">
        <v>0</v>
      </c>
      <c r="BE25" s="342">
        <f>IFERROR(_xlfn.IFS($C25="1", 'Inputs-System'!$C$30*'Coincidence Factors'!$B$7*'Inputs-Proposals'!$F$17*'Inputs-Proposals'!$F$19*(VLOOKUP(AZ$3,'Non-Embedded Emissions'!$A$56:$D$90,2,FALSE)+VLOOKUP(AZ$3,'Non-Embedded Emissions'!$A$143:$D$174,2,FALSE)+VLOOKUP(AZ$3,'Non-Embedded Emissions'!$A$230:$D$259,2,FALSE)), $C25 = "2", 'Inputs-System'!$C$30*'Coincidence Factors'!$B$7*'Inputs-Proposals'!$F$23*'Inputs-Proposals'!$F$25*(VLOOKUP(AZ$3,'Non-Embedded Emissions'!$A$56:$D$90,2,FALSE)+VLOOKUP(AZ$3,'Non-Embedded Emissions'!$A$143:$D$174,2,FALSE)+VLOOKUP(AZ$3,'Non-Embedded Emissions'!$A$230:$D$259,2,FALSE)), $C25 = "3", 'Inputs-System'!$C$30*'Coincidence Factors'!$B$7*'Inputs-Proposals'!$F$29*'Inputs-Proposals'!$F$31*(VLOOKUP(AZ$3,'Non-Embedded Emissions'!$A$56:$D$90,2,FALSE)+VLOOKUP(AZ$3,'Non-Embedded Emissions'!$A$143:$D$174,2,FALSE)+VLOOKUP(AZ$3,'Non-Embedded Emissions'!$A$230:$D$259,2,FALSE)), $C25 = "0", 0), 0)</f>
        <v>0</v>
      </c>
      <c r="BF25" s="45">
        <f>IFERROR(_xlfn.IFS($C25="1",('Inputs-System'!$C$30*'Coincidence Factors'!$B$7*(1+'Inputs-System'!$C$18)*(1+'Inputs-System'!$C$41)*('Inputs-Proposals'!$F$17*'Inputs-Proposals'!$F$19*('Inputs-Proposals'!$F$20))*(VLOOKUP(BF$3,Energy!$A$51:$K$83,5,FALSE))), $C25 = "2",('Inputs-System'!$C$30*'Coincidence Factors'!$B$7)*(1+'Inputs-System'!$C$18)*(1+'Inputs-System'!$C$41)*('Inputs-Proposals'!$F$23*'Inputs-Proposals'!$F$25*('Inputs-Proposals'!$F$26))*(VLOOKUP(BF$3,Energy!$A$51:$K$83,5,FALSE)), $C25= "3", ('Inputs-System'!$C$30*'Coincidence Factors'!$B$7*(1+'Inputs-System'!$C$18)*(1+'Inputs-System'!$C$41)*('Inputs-Proposals'!$F$29*'Inputs-Proposals'!$F$31*('Inputs-Proposals'!$F$32))*(VLOOKUP(BF$3,Energy!$A$51:$K$83,5,FALSE))), $C25= "0", 0), 0)</f>
        <v>0</v>
      </c>
      <c r="BG25" s="44">
        <f>IFERROR(_xlfn.IFS($C25="1",'Inputs-System'!$C$30*'Coincidence Factors'!$B$7*(1+'Inputs-System'!$C$18)*(1+'Inputs-System'!$C$41)*'Inputs-Proposals'!$F$17*'Inputs-Proposals'!$F$19*('Inputs-Proposals'!$F$20)*(VLOOKUP(BF$3,'Embedded Emissions'!$A$47:$B$78,2,FALSE)+VLOOKUP(BF$3,'Embedded Emissions'!$A$129:$B$158,2,FALSE)), $C25 = "2",'Inputs-System'!$C$30*'Coincidence Factors'!$B$7*(1+'Inputs-System'!$C$18)*(1+'Inputs-System'!$C$41)*'Inputs-Proposals'!$F$23*'Inputs-Proposals'!$F$25*('Inputs-Proposals'!$F$20)*(VLOOKUP(BF$3,'Embedded Emissions'!$A$47:$B$78,2,FALSE)+VLOOKUP(BF$3,'Embedded Emissions'!$A$129:$B$158,2,FALSE)), $C25 = "3", 'Inputs-System'!$C$30*'Coincidence Factors'!$B$7*(1+'Inputs-System'!$C$18)*(1+'Inputs-System'!$C$41)*'Inputs-Proposals'!$F$29*'Inputs-Proposals'!$F$31*('Inputs-Proposals'!$F$20)*(VLOOKUP(BF$3,'Embedded Emissions'!$A$47:$B$78,2,FALSE)+VLOOKUP(BF$3,'Embedded Emissions'!$A$129:$B$158,2,FALSE)), $C25 = "0", 0), 0)</f>
        <v>0</v>
      </c>
      <c r="BH25" s="44">
        <f>IFERROR(_xlfn.IFS($C25="1",( 'Inputs-System'!$C$30*'Coincidence Factors'!$B$7*(1+'Inputs-System'!$C$18)*(1+'Inputs-System'!$C$41))*('Inputs-Proposals'!$F$17*'Inputs-Proposals'!$F$19*('Inputs-Proposals'!$F$20))*(VLOOKUP(BF$3,DRIPE!$A$54:$I$82,5,FALSE)+VLOOKUP(BF$3,DRIPE!$A$54:$I$82,9,FALSE))+ ('Inputs-System'!$C$26*'Coincidence Factors'!$B$7*(1+'Inputs-System'!$C$18)*(1+'Inputs-System'!$C$42))*'Inputs-Proposals'!$F$16*VLOOKUP(BF$3,DRIPE!$A$54:$I$82,8,FALSE), $C25 = "2",( 'Inputs-System'!$C$30*'Coincidence Factors'!$B$7*(1+'Inputs-System'!$C$18)*(1+'Inputs-System'!$C$41))*('Inputs-Proposals'!$F$23*'Inputs-Proposals'!$F$25*('Inputs-Proposals'!$F$26))*(VLOOKUP(BF$3,DRIPE!$A$54:$I$82,5,FALSE)+VLOOKUP(BF$3,DRIPE!$A$54:$I$82,12,FALSE))+ ('Inputs-System'!$C$26*'Coincidence Factors'!$B$7*(1+'Inputs-System'!$C$18)*(1+'Inputs-System'!$C$42))*'Inputs-Proposals'!$F$22*VLOOKUP(BF$3,DRIPE!$A$54:$I$82,8,FALSE), $C25= "3", ( 'Inputs-System'!$C$30*'Coincidence Factors'!$B$7*(1+'Inputs-System'!$C$18)*(1+'Inputs-System'!$C$41))*('Inputs-Proposals'!$F$29*'Inputs-Proposals'!$F$31*('Inputs-Proposals'!$F$32))*(VLOOKUP(BF$3,DRIPE!$A$54:$I$82,5,FALSE)+VLOOKUP(BF$3,DRIPE!$A$54:$I$82,12,FALSE))+ ('Inputs-System'!$C$26*'Coincidence Factors'!$B$7*(1+'Inputs-System'!$C$18)*(1+'Inputs-System'!$C$42))*'Inputs-Proposals'!$F$28*VLOOKUP(BF$3,DRIPE!$A$54:$I$82,8,FALSE), $C25 = "0", 0), 0)</f>
        <v>0</v>
      </c>
      <c r="BI25" s="45">
        <f>IFERROR(_xlfn.IFS($C25="1",('Inputs-System'!$C$26*'Coincidence Factors'!$B$7*(1+'Inputs-System'!$C$18))*'Inputs-Proposals'!$F$16*(VLOOKUP(BF$3,Capacity!$A$53:$E$85,4,FALSE)*(1+'Inputs-System'!$C$42)+VLOOKUP(BF$3,Capacity!$A$53:$E$85,5,FALSE)*'Inputs-System'!$C$29*(1+'Inputs-System'!$C$43)), $C25 = "2", ('Inputs-System'!$C$26*'Coincidence Factors'!$B$7*(1+'Inputs-System'!$C$18))*'Inputs-Proposals'!$F$22*(VLOOKUP(BF$3,Capacity!$A$53:$E$85,4,FALSE)*(1+'Inputs-System'!$C$42)+VLOOKUP(BF$3,Capacity!$A$53:$E$85,5,FALSE)*'Inputs-System'!$C$29*(1+'Inputs-System'!$C$43)), $C25 = "3",('Inputs-System'!$C$26*'Coincidence Factors'!$B$7*(1+'Inputs-System'!$C$18))*'Inputs-Proposals'!$F$28*(VLOOKUP(BF$3,Capacity!$A$53:$E$85,4,FALSE)*(1+'Inputs-System'!$C$42)+VLOOKUP(BF$3,Capacity!$A$53:$E$85,5,FALSE)*'Inputs-System'!$C$29*(1+'Inputs-System'!$C$43)), $C25 = "0", 0), 0)</f>
        <v>0</v>
      </c>
      <c r="BJ25" s="44">
        <v>0</v>
      </c>
      <c r="BK25" s="342">
        <f>IFERROR(_xlfn.IFS($C25="1", 'Inputs-System'!$C$30*'Coincidence Factors'!$B$7*'Inputs-Proposals'!$F$17*'Inputs-Proposals'!$F$19*(VLOOKUP(BF$3,'Non-Embedded Emissions'!$A$56:$D$90,2,FALSE)+VLOOKUP(BF$3,'Non-Embedded Emissions'!$A$143:$D$174,2,FALSE)+VLOOKUP(BF$3,'Non-Embedded Emissions'!$A$230:$D$259,2,FALSE)), $C25 = "2", 'Inputs-System'!$C$30*'Coincidence Factors'!$B$7*'Inputs-Proposals'!$F$23*'Inputs-Proposals'!$F$25*(VLOOKUP(BF$3,'Non-Embedded Emissions'!$A$56:$D$90,2,FALSE)+VLOOKUP(BF$3,'Non-Embedded Emissions'!$A$143:$D$174,2,FALSE)+VLOOKUP(BF$3,'Non-Embedded Emissions'!$A$230:$D$259,2,FALSE)), $C25 = "3", 'Inputs-System'!$C$30*'Coincidence Factors'!$B$7*'Inputs-Proposals'!$F$29*'Inputs-Proposals'!$F$31*(VLOOKUP(BF$3,'Non-Embedded Emissions'!$A$56:$D$90,2,FALSE)+VLOOKUP(BF$3,'Non-Embedded Emissions'!$A$143:$D$174,2,FALSE)+VLOOKUP(BF$3,'Non-Embedded Emissions'!$A$230:$D$259,2,FALSE)), $C25 = "0", 0), 0)</f>
        <v>0</v>
      </c>
      <c r="BL25" s="45">
        <f>IFERROR(_xlfn.IFS($C25="1",('Inputs-System'!$C$30*'Coincidence Factors'!$B$7*(1+'Inputs-System'!$C$18)*(1+'Inputs-System'!$C$41)*('Inputs-Proposals'!$F$17*'Inputs-Proposals'!$F$19*('Inputs-Proposals'!$F$20))*(VLOOKUP(BL$3,Energy!$A$51:$K$83,5,FALSE))), $C25 = "2",('Inputs-System'!$C$30*'Coincidence Factors'!$B$7)*(1+'Inputs-System'!$C$18)*(1+'Inputs-System'!$C$41)*('Inputs-Proposals'!$F$23*'Inputs-Proposals'!$F$25*('Inputs-Proposals'!$F$26))*(VLOOKUP(BL$3,Energy!$A$51:$K$83,5,FALSE)), $C25= "3", ('Inputs-System'!$C$30*'Coincidence Factors'!$B$7*(1+'Inputs-System'!$C$18)*(1+'Inputs-System'!$C$41)*('Inputs-Proposals'!$F$29*'Inputs-Proposals'!$F$31*('Inputs-Proposals'!$F$32))*(VLOOKUP(BL$3,Energy!$A$51:$K$83,5,FALSE))), $C25= "0", 0), 0)</f>
        <v>0</v>
      </c>
      <c r="BM25" s="44">
        <f>IFERROR(_xlfn.IFS($C25="1",'Inputs-System'!$C$30*'Coincidence Factors'!$B$7*(1+'Inputs-System'!$C$18)*(1+'Inputs-System'!$C$41)*'Inputs-Proposals'!$F$17*'Inputs-Proposals'!$F$19*('Inputs-Proposals'!$F$20)*(VLOOKUP(BL$3,'Embedded Emissions'!$A$47:$B$78,2,FALSE)+VLOOKUP(BL$3,'Embedded Emissions'!$A$129:$B$158,2,FALSE)), $C25 = "2",'Inputs-System'!$C$30*'Coincidence Factors'!$B$7*(1+'Inputs-System'!$C$18)*(1+'Inputs-System'!$C$41)*'Inputs-Proposals'!$F$23*'Inputs-Proposals'!$F$25*('Inputs-Proposals'!$F$20)*(VLOOKUP(BL$3,'Embedded Emissions'!$A$47:$B$78,2,FALSE)+VLOOKUP(BL$3,'Embedded Emissions'!$A$129:$B$158,2,FALSE)), $C25 = "3", 'Inputs-System'!$C$30*'Coincidence Factors'!$B$7*(1+'Inputs-System'!$C$18)*(1+'Inputs-System'!$C$41)*'Inputs-Proposals'!$F$29*'Inputs-Proposals'!$F$31*('Inputs-Proposals'!$F$20)*(VLOOKUP(BL$3,'Embedded Emissions'!$A$47:$B$78,2,FALSE)+VLOOKUP(BL$3,'Embedded Emissions'!$A$129:$B$158,2,FALSE)), $C25 = "0", 0), 0)</f>
        <v>0</v>
      </c>
      <c r="BN25" s="44">
        <f>IFERROR(_xlfn.IFS($C25="1",( 'Inputs-System'!$C$30*'Coincidence Factors'!$B$7*(1+'Inputs-System'!$C$18)*(1+'Inputs-System'!$C$41))*('Inputs-Proposals'!$F$17*'Inputs-Proposals'!$F$19*('Inputs-Proposals'!$F$20))*(VLOOKUP(BL$3,DRIPE!$A$54:$I$82,5,FALSE)+VLOOKUP(BL$3,DRIPE!$A$54:$I$82,9,FALSE))+ ('Inputs-System'!$C$26*'Coincidence Factors'!$B$7*(1+'Inputs-System'!$C$18)*(1+'Inputs-System'!$C$42))*'Inputs-Proposals'!$F$16*VLOOKUP(BL$3,DRIPE!$A$54:$I$82,8,FALSE), $C25 = "2",( 'Inputs-System'!$C$30*'Coincidence Factors'!$B$7*(1+'Inputs-System'!$C$18)*(1+'Inputs-System'!$C$41))*('Inputs-Proposals'!$F$23*'Inputs-Proposals'!$F$25*('Inputs-Proposals'!$F$26))*(VLOOKUP(BL$3,DRIPE!$A$54:$I$82,5,FALSE)+VLOOKUP(BL$3,DRIPE!$A$54:$I$82,12,FALSE))+ ('Inputs-System'!$C$26*'Coincidence Factors'!$B$7*(1+'Inputs-System'!$C$18)*(1+'Inputs-System'!$C$42))*'Inputs-Proposals'!$F$22*VLOOKUP(BL$3,DRIPE!$A$54:$I$82,8,FALSE), $C25= "3", ( 'Inputs-System'!$C$30*'Coincidence Factors'!$B$7*(1+'Inputs-System'!$C$18)*(1+'Inputs-System'!$C$41))*('Inputs-Proposals'!$F$29*'Inputs-Proposals'!$F$31*('Inputs-Proposals'!$F$32))*(VLOOKUP(BL$3,DRIPE!$A$54:$I$82,5,FALSE)+VLOOKUP(BL$3,DRIPE!$A$54:$I$82,12,FALSE))+ ('Inputs-System'!$C$26*'Coincidence Factors'!$B$7*(1+'Inputs-System'!$C$18)*(1+'Inputs-System'!$C$42))*'Inputs-Proposals'!$F$28*VLOOKUP(BL$3,DRIPE!$A$54:$I$82,8,FALSE), $C25 = "0", 0), 0)</f>
        <v>0</v>
      </c>
      <c r="BO25" s="45">
        <f>IFERROR(_xlfn.IFS($C25="1",('Inputs-System'!$C$26*'Coincidence Factors'!$B$7*(1+'Inputs-System'!$C$18))*'Inputs-Proposals'!$F$16*(VLOOKUP(BL$3,Capacity!$A$53:$E$85,4,FALSE)*(1+'Inputs-System'!$C$42)+VLOOKUP(BL$3,Capacity!$A$53:$E$85,5,FALSE)*'Inputs-System'!$C$29*(1+'Inputs-System'!$C$43)), $C25 = "2", ('Inputs-System'!$C$26*'Coincidence Factors'!$B$7*(1+'Inputs-System'!$C$18))*'Inputs-Proposals'!$F$22*(VLOOKUP(BL$3,Capacity!$A$53:$E$85,4,FALSE)*(1+'Inputs-System'!$C$42)+VLOOKUP(BL$3,Capacity!$A$53:$E$85,5,FALSE)*'Inputs-System'!$C$29*(1+'Inputs-System'!$C$43)), $C25 = "3",('Inputs-System'!$C$26*'Coincidence Factors'!$B$7*(1+'Inputs-System'!$C$18))*'Inputs-Proposals'!$F$28*(VLOOKUP(BL$3,Capacity!$A$53:$E$85,4,FALSE)*(1+'Inputs-System'!$C$42)+VLOOKUP(BL$3,Capacity!$A$53:$E$85,5,FALSE)*'Inputs-System'!$C$29*(1+'Inputs-System'!$C$43)), $C25 = "0", 0), 0)</f>
        <v>0</v>
      </c>
      <c r="BP25" s="44">
        <v>0</v>
      </c>
      <c r="BQ25" s="342">
        <f>IFERROR(_xlfn.IFS($C25="1", 'Inputs-System'!$C$30*'Coincidence Factors'!$B$7*'Inputs-Proposals'!$F$17*'Inputs-Proposals'!$F$19*(VLOOKUP(BL$3,'Non-Embedded Emissions'!$A$56:$D$90,2,FALSE)+VLOOKUP(BL$3,'Non-Embedded Emissions'!$A$143:$D$174,2,FALSE)+VLOOKUP(BL$3,'Non-Embedded Emissions'!$A$230:$D$259,2,FALSE)), $C25 = "2", 'Inputs-System'!$C$30*'Coincidence Factors'!$B$7*'Inputs-Proposals'!$F$23*'Inputs-Proposals'!$F$25*(VLOOKUP(BL$3,'Non-Embedded Emissions'!$A$56:$D$90,2,FALSE)+VLOOKUP(BL$3,'Non-Embedded Emissions'!$A$143:$D$174,2,FALSE)+VLOOKUP(BL$3,'Non-Embedded Emissions'!$A$230:$D$259,2,FALSE)), $C25 = "3", 'Inputs-System'!$C$30*'Coincidence Factors'!$B$7*'Inputs-Proposals'!$F$29*'Inputs-Proposals'!$F$31*(VLOOKUP(BL$3,'Non-Embedded Emissions'!$A$56:$D$90,2,FALSE)+VLOOKUP(BL$3,'Non-Embedded Emissions'!$A$143:$D$174,2,FALSE)+VLOOKUP(BL$3,'Non-Embedded Emissions'!$A$230:$D$259,2,FALSE)), $C25 = "0", 0), 0)</f>
        <v>0</v>
      </c>
      <c r="BR25" s="45">
        <f>IFERROR(_xlfn.IFS($C25="1",('Inputs-System'!$C$30*'Coincidence Factors'!$B$7*(1+'Inputs-System'!$C$18)*(1+'Inputs-System'!$C$41)*('Inputs-Proposals'!$F$17*'Inputs-Proposals'!$F$19*('Inputs-Proposals'!$F$20))*(VLOOKUP(BR$3,Energy!$A$51:$K$83,5,FALSE))), $C25 = "2",('Inputs-System'!$C$30*'Coincidence Factors'!$B$7)*(1+'Inputs-System'!$C$18)*(1+'Inputs-System'!$C$41)*('Inputs-Proposals'!$F$23*'Inputs-Proposals'!$F$25*('Inputs-Proposals'!$F$26))*(VLOOKUP(BR$3,Energy!$A$51:$K$83,5,FALSE)), $C25= "3", ('Inputs-System'!$C$30*'Coincidence Factors'!$B$7*(1+'Inputs-System'!$C$18)*(1+'Inputs-System'!$C$41)*('Inputs-Proposals'!$F$29*'Inputs-Proposals'!$F$31*('Inputs-Proposals'!$F$32))*(VLOOKUP(BR$3,Energy!$A$51:$K$83,5,FALSE))), $C25= "0", 0), 0)</f>
        <v>0</v>
      </c>
      <c r="BS25" s="44">
        <f>IFERROR(_xlfn.IFS($C25="1",'Inputs-System'!$C$30*'Coincidence Factors'!$B$7*(1+'Inputs-System'!$C$18)*(1+'Inputs-System'!$C$41)*'Inputs-Proposals'!$F$17*'Inputs-Proposals'!$F$19*('Inputs-Proposals'!$F$20)*(VLOOKUP(BR$3,'Embedded Emissions'!$A$47:$B$78,2,FALSE)+VLOOKUP(BR$3,'Embedded Emissions'!$A$129:$B$158,2,FALSE)), $C25 = "2",'Inputs-System'!$C$30*'Coincidence Factors'!$B$7*(1+'Inputs-System'!$C$18)*(1+'Inputs-System'!$C$41)*'Inputs-Proposals'!$F$23*'Inputs-Proposals'!$F$25*('Inputs-Proposals'!$F$20)*(VLOOKUP(BR$3,'Embedded Emissions'!$A$47:$B$78,2,FALSE)+VLOOKUP(BR$3,'Embedded Emissions'!$A$129:$B$158,2,FALSE)), $C25 = "3", 'Inputs-System'!$C$30*'Coincidence Factors'!$B$7*(1+'Inputs-System'!$C$18)*(1+'Inputs-System'!$C$41)*'Inputs-Proposals'!$F$29*'Inputs-Proposals'!$F$31*('Inputs-Proposals'!$F$20)*(VLOOKUP(BR$3,'Embedded Emissions'!$A$47:$B$78,2,FALSE)+VLOOKUP(BR$3,'Embedded Emissions'!$A$129:$B$158,2,FALSE)), $C25 = "0", 0), 0)</f>
        <v>0</v>
      </c>
      <c r="BT25" s="44">
        <f>IFERROR(_xlfn.IFS($C25="1",( 'Inputs-System'!$C$30*'Coincidence Factors'!$B$7*(1+'Inputs-System'!$C$18)*(1+'Inputs-System'!$C$41))*('Inputs-Proposals'!$F$17*'Inputs-Proposals'!$F$19*('Inputs-Proposals'!$F$20))*(VLOOKUP(BR$3,DRIPE!$A$54:$I$82,5,FALSE)+VLOOKUP(BR$3,DRIPE!$A$54:$I$82,9,FALSE))+ ('Inputs-System'!$C$26*'Coincidence Factors'!$B$7*(1+'Inputs-System'!$C$18)*(1+'Inputs-System'!$C$42))*'Inputs-Proposals'!$F$16*VLOOKUP(BR$3,DRIPE!$A$54:$I$82,8,FALSE), $C25 = "2",( 'Inputs-System'!$C$30*'Coincidence Factors'!$B$7*(1+'Inputs-System'!$C$18)*(1+'Inputs-System'!$C$41))*('Inputs-Proposals'!$F$23*'Inputs-Proposals'!$F$25*('Inputs-Proposals'!$F$26))*(VLOOKUP(BR$3,DRIPE!$A$54:$I$82,5,FALSE)+VLOOKUP(BR$3,DRIPE!$A$54:$I$82,12,FALSE))+ ('Inputs-System'!$C$26*'Coincidence Factors'!$B$7*(1+'Inputs-System'!$C$18)*(1+'Inputs-System'!$C$42))*'Inputs-Proposals'!$F$22*VLOOKUP(BR$3,DRIPE!$A$54:$I$82,8,FALSE), $C25= "3", ( 'Inputs-System'!$C$30*'Coincidence Factors'!$B$7*(1+'Inputs-System'!$C$18)*(1+'Inputs-System'!$C$41))*('Inputs-Proposals'!$F$29*'Inputs-Proposals'!$F$31*('Inputs-Proposals'!$F$32))*(VLOOKUP(BR$3,DRIPE!$A$54:$I$82,5,FALSE)+VLOOKUP(BR$3,DRIPE!$A$54:$I$82,12,FALSE))+ ('Inputs-System'!$C$26*'Coincidence Factors'!$B$7*(1+'Inputs-System'!$C$18)*(1+'Inputs-System'!$C$42))*'Inputs-Proposals'!$F$28*VLOOKUP(BR$3,DRIPE!$A$54:$I$82,8,FALSE), $C25 = "0", 0), 0)</f>
        <v>0</v>
      </c>
      <c r="BU25" s="45">
        <f>IFERROR(_xlfn.IFS($C25="1",('Inputs-System'!$C$26*'Coincidence Factors'!$B$7*(1+'Inputs-System'!$C$18))*'Inputs-Proposals'!$F$16*(VLOOKUP(BR$3,Capacity!$A$53:$E$85,4,FALSE)*(1+'Inputs-System'!$C$42)+VLOOKUP(BR$3,Capacity!$A$53:$E$85,5,FALSE)*'Inputs-System'!$C$29*(1+'Inputs-System'!$C$43)), $C25 = "2", ('Inputs-System'!$C$26*'Coincidence Factors'!$B$7*(1+'Inputs-System'!$C$18))*'Inputs-Proposals'!$F$22*(VLOOKUP(BR$3,Capacity!$A$53:$E$85,4,FALSE)*(1+'Inputs-System'!$C$42)+VLOOKUP(BR$3,Capacity!$A$53:$E$85,5,FALSE)*'Inputs-System'!$C$29*(1+'Inputs-System'!$C$43)), $C25 = "3",('Inputs-System'!$C$26*'Coincidence Factors'!$B$7*(1+'Inputs-System'!$C$18))*'Inputs-Proposals'!$F$28*(VLOOKUP(BR$3,Capacity!$A$53:$E$85,4,FALSE)*(1+'Inputs-System'!$C$42)+VLOOKUP(BR$3,Capacity!$A$53:$E$85,5,FALSE)*'Inputs-System'!$C$29*(1+'Inputs-System'!$C$43)), $C25 = "0", 0), 0)</f>
        <v>0</v>
      </c>
      <c r="BV25" s="44">
        <v>0</v>
      </c>
      <c r="BW25" s="342">
        <f>IFERROR(_xlfn.IFS($C25="1", 'Inputs-System'!$C$30*'Coincidence Factors'!$B$7*'Inputs-Proposals'!$F$17*'Inputs-Proposals'!$F$19*(VLOOKUP(BR$3,'Non-Embedded Emissions'!$A$56:$D$90,2,FALSE)+VLOOKUP(BR$3,'Non-Embedded Emissions'!$A$143:$D$174,2,FALSE)+VLOOKUP(BR$3,'Non-Embedded Emissions'!$A$230:$D$259,2,FALSE)), $C25 = "2", 'Inputs-System'!$C$30*'Coincidence Factors'!$B$7*'Inputs-Proposals'!$F$23*'Inputs-Proposals'!$F$25*(VLOOKUP(BR$3,'Non-Embedded Emissions'!$A$56:$D$90,2,FALSE)+VLOOKUP(BR$3,'Non-Embedded Emissions'!$A$143:$D$174,2,FALSE)+VLOOKUP(BR$3,'Non-Embedded Emissions'!$A$230:$D$259,2,FALSE)), $C25 = "3", 'Inputs-System'!$C$30*'Coincidence Factors'!$B$7*'Inputs-Proposals'!$F$29*'Inputs-Proposals'!$F$31*(VLOOKUP(BR$3,'Non-Embedded Emissions'!$A$56:$D$90,2,FALSE)+VLOOKUP(BR$3,'Non-Embedded Emissions'!$A$143:$D$174,2,FALSE)+VLOOKUP(BR$3,'Non-Embedded Emissions'!$A$230:$D$259,2,FALSE)), $C25 = "0", 0), 0)</f>
        <v>0</v>
      </c>
      <c r="BX25" s="45">
        <f>IFERROR(_xlfn.IFS($C25="1",('Inputs-System'!$C$30*'Coincidence Factors'!$B$7*(1+'Inputs-System'!$C$18)*(1+'Inputs-System'!$C$41)*('Inputs-Proposals'!$F$17*'Inputs-Proposals'!$F$19*('Inputs-Proposals'!$F$20))*(VLOOKUP(BX$3,Energy!$A$51:$K$83,5,FALSE))), $C25 = "2",('Inputs-System'!$C$30*'Coincidence Factors'!$B$7)*(1+'Inputs-System'!$C$18)*(1+'Inputs-System'!$C$41)*('Inputs-Proposals'!$F$23*'Inputs-Proposals'!$F$25*('Inputs-Proposals'!$F$26))*(VLOOKUP(BX$3,Energy!$A$51:$K$83,5,FALSE)), $C25= "3", ('Inputs-System'!$C$30*'Coincidence Factors'!$B$7*(1+'Inputs-System'!$C$18)*(1+'Inputs-System'!$C$41)*('Inputs-Proposals'!$F$29*'Inputs-Proposals'!$F$31*('Inputs-Proposals'!$F$32))*(VLOOKUP(BX$3,Energy!$A$51:$K$83,5,FALSE))), $C25= "0", 0), 0)</f>
        <v>0</v>
      </c>
      <c r="BY25" s="44">
        <f>IFERROR(_xlfn.IFS($C25="1",'Inputs-System'!$C$30*'Coincidence Factors'!$B$7*(1+'Inputs-System'!$C$18)*(1+'Inputs-System'!$C$41)*'Inputs-Proposals'!$F$17*'Inputs-Proposals'!$F$19*('Inputs-Proposals'!$F$20)*(VLOOKUP(BX$3,'Embedded Emissions'!$A$47:$B$78,2,FALSE)+VLOOKUP(BX$3,'Embedded Emissions'!$A$129:$B$158,2,FALSE)), $C25 = "2",'Inputs-System'!$C$30*'Coincidence Factors'!$B$7*(1+'Inputs-System'!$C$18)*(1+'Inputs-System'!$C$41)*'Inputs-Proposals'!$F$23*'Inputs-Proposals'!$F$25*('Inputs-Proposals'!$F$20)*(VLOOKUP(BX$3,'Embedded Emissions'!$A$47:$B$78,2,FALSE)+VLOOKUP(BX$3,'Embedded Emissions'!$A$129:$B$158,2,FALSE)), $C25 = "3", 'Inputs-System'!$C$30*'Coincidence Factors'!$B$7*(1+'Inputs-System'!$C$18)*(1+'Inputs-System'!$C$41)*'Inputs-Proposals'!$F$29*'Inputs-Proposals'!$F$31*('Inputs-Proposals'!$F$20)*(VLOOKUP(BX$3,'Embedded Emissions'!$A$47:$B$78,2,FALSE)+VLOOKUP(BX$3,'Embedded Emissions'!$A$129:$B$158,2,FALSE)), $C25 = "0", 0), 0)</f>
        <v>0</v>
      </c>
      <c r="BZ25" s="44">
        <f>IFERROR(_xlfn.IFS($C25="1",( 'Inputs-System'!$C$30*'Coincidence Factors'!$B$7*(1+'Inputs-System'!$C$18)*(1+'Inputs-System'!$C$41))*('Inputs-Proposals'!$F$17*'Inputs-Proposals'!$F$19*('Inputs-Proposals'!$F$20))*(VLOOKUP(BX$3,DRIPE!$A$54:$I$82,5,FALSE)+VLOOKUP(BX$3,DRIPE!$A$54:$I$82,9,FALSE))+ ('Inputs-System'!$C$26*'Coincidence Factors'!$B$7*(1+'Inputs-System'!$C$18)*(1+'Inputs-System'!$C$42))*'Inputs-Proposals'!$F$16*VLOOKUP(BX$3,DRIPE!$A$54:$I$82,8,FALSE), $C25 = "2",( 'Inputs-System'!$C$30*'Coincidence Factors'!$B$7*(1+'Inputs-System'!$C$18)*(1+'Inputs-System'!$C$41))*('Inputs-Proposals'!$F$23*'Inputs-Proposals'!$F$25*('Inputs-Proposals'!$F$26))*(VLOOKUP(BX$3,DRIPE!$A$54:$I$82,5,FALSE)+VLOOKUP(BX$3,DRIPE!$A$54:$I$82,12,FALSE))+ ('Inputs-System'!$C$26*'Coincidence Factors'!$B$7*(1+'Inputs-System'!$C$18)*(1+'Inputs-System'!$C$42))*'Inputs-Proposals'!$F$22*VLOOKUP(BX$3,DRIPE!$A$54:$I$82,8,FALSE), $C25= "3", ( 'Inputs-System'!$C$30*'Coincidence Factors'!$B$7*(1+'Inputs-System'!$C$18)*(1+'Inputs-System'!$C$41))*('Inputs-Proposals'!$F$29*'Inputs-Proposals'!$F$31*('Inputs-Proposals'!$F$32))*(VLOOKUP(BX$3,DRIPE!$A$54:$I$82,5,FALSE)+VLOOKUP(BX$3,DRIPE!$A$54:$I$82,12,FALSE))+ ('Inputs-System'!$C$26*'Coincidence Factors'!$B$7*(1+'Inputs-System'!$C$18)*(1+'Inputs-System'!$C$42))*'Inputs-Proposals'!$F$28*VLOOKUP(BX$3,DRIPE!$A$54:$I$82,8,FALSE), $C25 = "0", 0), 0)</f>
        <v>0</v>
      </c>
      <c r="CA25" s="45">
        <f>IFERROR(_xlfn.IFS($C25="1",('Inputs-System'!$C$26*'Coincidence Factors'!$B$7*(1+'Inputs-System'!$C$18))*'Inputs-Proposals'!$F$16*(VLOOKUP(BX$3,Capacity!$A$53:$E$85,4,FALSE)*(1+'Inputs-System'!$C$42)+VLOOKUP(BX$3,Capacity!$A$53:$E$85,5,FALSE)*'Inputs-System'!$C$29*(1+'Inputs-System'!$C$43)), $C25 = "2", ('Inputs-System'!$C$26*'Coincidence Factors'!$B$7*(1+'Inputs-System'!$C$18))*'Inputs-Proposals'!$F$22*(VLOOKUP(BX$3,Capacity!$A$53:$E$85,4,FALSE)*(1+'Inputs-System'!$C$42)+VLOOKUP(BX$3,Capacity!$A$53:$E$85,5,FALSE)*'Inputs-System'!$C$29*(1+'Inputs-System'!$C$43)), $C25 = "3",('Inputs-System'!$C$26*'Coincidence Factors'!$B$7*(1+'Inputs-System'!$C$18))*'Inputs-Proposals'!$F$28*(VLOOKUP(BX$3,Capacity!$A$53:$E$85,4,FALSE)*(1+'Inputs-System'!$C$42)+VLOOKUP(BX$3,Capacity!$A$53:$E$85,5,FALSE)*'Inputs-System'!$C$29*(1+'Inputs-System'!$C$43)), $C25 = "0", 0), 0)</f>
        <v>0</v>
      </c>
      <c r="CB25" s="44">
        <v>0</v>
      </c>
      <c r="CC25" s="342">
        <f>IFERROR(_xlfn.IFS($C25="1", 'Inputs-System'!$C$30*'Coincidence Factors'!$B$7*'Inputs-Proposals'!$F$17*'Inputs-Proposals'!$F$19*(VLOOKUP(BX$3,'Non-Embedded Emissions'!$A$56:$D$90,2,FALSE)+VLOOKUP(BX$3,'Non-Embedded Emissions'!$A$143:$D$174,2,FALSE)+VLOOKUP(BX$3,'Non-Embedded Emissions'!$A$230:$D$259,2,FALSE)), $C25 = "2", 'Inputs-System'!$C$30*'Coincidence Factors'!$B$7*'Inputs-Proposals'!$F$23*'Inputs-Proposals'!$F$25*(VLOOKUP(BX$3,'Non-Embedded Emissions'!$A$56:$D$90,2,FALSE)+VLOOKUP(BX$3,'Non-Embedded Emissions'!$A$143:$D$174,2,FALSE)+VLOOKUP(BX$3,'Non-Embedded Emissions'!$A$230:$D$259,2,FALSE)), $C25 = "3", 'Inputs-System'!$C$30*'Coincidence Factors'!$B$7*'Inputs-Proposals'!$F$29*'Inputs-Proposals'!$F$31*(VLOOKUP(BX$3,'Non-Embedded Emissions'!$A$56:$D$90,2,FALSE)+VLOOKUP(BX$3,'Non-Embedded Emissions'!$A$143:$D$174,2,FALSE)+VLOOKUP(BX$3,'Non-Embedded Emissions'!$A$230:$D$259,2,FALSE)), $C25 = "0", 0), 0)</f>
        <v>0</v>
      </c>
      <c r="CD25" s="45">
        <f>IFERROR(_xlfn.IFS($C25="1",('Inputs-System'!$C$30*'Coincidence Factors'!$B$7*(1+'Inputs-System'!$C$18)*(1+'Inputs-System'!$C$41)*('Inputs-Proposals'!$F$17*'Inputs-Proposals'!$F$19*('Inputs-Proposals'!$F$20))*(VLOOKUP(CD$3,Energy!$A$51:$K$83,5,FALSE))), $C25 = "2",('Inputs-System'!$C$30*'Coincidence Factors'!$B$7)*(1+'Inputs-System'!$C$18)*(1+'Inputs-System'!$C$41)*('Inputs-Proposals'!$F$23*'Inputs-Proposals'!$F$25*('Inputs-Proposals'!$F$26))*(VLOOKUP(CD$3,Energy!$A$51:$K$83,5,FALSE)), $C25= "3", ('Inputs-System'!$C$30*'Coincidence Factors'!$B$7*(1+'Inputs-System'!$C$18)*(1+'Inputs-System'!$C$41)*('Inputs-Proposals'!$F$29*'Inputs-Proposals'!$F$31*('Inputs-Proposals'!$F$32))*(VLOOKUP(CD$3,Energy!$A$51:$K$83,5,FALSE))), $C25= "0", 0), 0)</f>
        <v>0</v>
      </c>
      <c r="CE25" s="44">
        <f>IFERROR(_xlfn.IFS($C25="1",'Inputs-System'!$C$30*'Coincidence Factors'!$B$7*(1+'Inputs-System'!$C$18)*(1+'Inputs-System'!$C$41)*'Inputs-Proposals'!$F$17*'Inputs-Proposals'!$F$19*('Inputs-Proposals'!$F$20)*(VLOOKUP(CD$3,'Embedded Emissions'!$A$47:$B$78,2,FALSE)+VLOOKUP(CD$3,'Embedded Emissions'!$A$129:$B$158,2,FALSE)), $C25 = "2",'Inputs-System'!$C$30*'Coincidence Factors'!$B$7*(1+'Inputs-System'!$C$18)*(1+'Inputs-System'!$C$41)*'Inputs-Proposals'!$F$23*'Inputs-Proposals'!$F$25*('Inputs-Proposals'!$F$20)*(VLOOKUP(CD$3,'Embedded Emissions'!$A$47:$B$78,2,FALSE)+VLOOKUP(CD$3,'Embedded Emissions'!$A$129:$B$158,2,FALSE)), $C25 = "3", 'Inputs-System'!$C$30*'Coincidence Factors'!$B$7*(1+'Inputs-System'!$C$18)*(1+'Inputs-System'!$C$41)*'Inputs-Proposals'!$F$29*'Inputs-Proposals'!$F$31*('Inputs-Proposals'!$F$20)*(VLOOKUP(CD$3,'Embedded Emissions'!$A$47:$B$78,2,FALSE)+VLOOKUP(CD$3,'Embedded Emissions'!$A$129:$B$158,2,FALSE)), $C25 = "0", 0), 0)</f>
        <v>0</v>
      </c>
      <c r="CF25" s="44">
        <f>IFERROR(_xlfn.IFS($C25="1",( 'Inputs-System'!$C$30*'Coincidence Factors'!$B$7*(1+'Inputs-System'!$C$18)*(1+'Inputs-System'!$C$41))*('Inputs-Proposals'!$F$17*'Inputs-Proposals'!$F$19*('Inputs-Proposals'!$F$20))*(VLOOKUP(CD$3,DRIPE!$A$54:$I$82,5,FALSE)+VLOOKUP(CD$3,DRIPE!$A$54:$I$82,9,FALSE))+ ('Inputs-System'!$C$26*'Coincidence Factors'!$B$7*(1+'Inputs-System'!$C$18)*(1+'Inputs-System'!$C$42))*'Inputs-Proposals'!$F$16*VLOOKUP(CD$3,DRIPE!$A$54:$I$82,8,FALSE), $C25 = "2",( 'Inputs-System'!$C$30*'Coincidence Factors'!$B$7*(1+'Inputs-System'!$C$18)*(1+'Inputs-System'!$C$41))*('Inputs-Proposals'!$F$23*'Inputs-Proposals'!$F$25*('Inputs-Proposals'!$F$26))*(VLOOKUP(CD$3,DRIPE!$A$54:$I$82,5,FALSE)+VLOOKUP(CD$3,DRIPE!$A$54:$I$82,12,FALSE))+ ('Inputs-System'!$C$26*'Coincidence Factors'!$B$7*(1+'Inputs-System'!$C$18)*(1+'Inputs-System'!$C$42))*'Inputs-Proposals'!$F$22*VLOOKUP(CD$3,DRIPE!$A$54:$I$82,8,FALSE), $C25= "3", ( 'Inputs-System'!$C$30*'Coincidence Factors'!$B$7*(1+'Inputs-System'!$C$18)*(1+'Inputs-System'!$C$41))*('Inputs-Proposals'!$F$29*'Inputs-Proposals'!$F$31*('Inputs-Proposals'!$F$32))*(VLOOKUP(CD$3,DRIPE!$A$54:$I$82,5,FALSE)+VLOOKUP(CD$3,DRIPE!$A$54:$I$82,12,FALSE))+ ('Inputs-System'!$C$26*'Coincidence Factors'!$B$7*(1+'Inputs-System'!$C$18)*(1+'Inputs-System'!$C$42))*'Inputs-Proposals'!$F$28*VLOOKUP(CD$3,DRIPE!$A$54:$I$82,8,FALSE), $C25 = "0", 0), 0)</f>
        <v>0</v>
      </c>
      <c r="CG25" s="45">
        <f>IFERROR(_xlfn.IFS($C25="1",('Inputs-System'!$C$26*'Coincidence Factors'!$B$7*(1+'Inputs-System'!$C$18))*'Inputs-Proposals'!$F$16*(VLOOKUP(CD$3,Capacity!$A$53:$E$85,4,FALSE)*(1+'Inputs-System'!$C$42)+VLOOKUP(CD$3,Capacity!$A$53:$E$85,5,FALSE)*'Inputs-System'!$C$29*(1+'Inputs-System'!$C$43)), $C25 = "2", ('Inputs-System'!$C$26*'Coincidence Factors'!$B$7*(1+'Inputs-System'!$C$18))*'Inputs-Proposals'!$F$22*(VLOOKUP(CD$3,Capacity!$A$53:$E$85,4,FALSE)*(1+'Inputs-System'!$C$42)+VLOOKUP(CD$3,Capacity!$A$53:$E$85,5,FALSE)*'Inputs-System'!$C$29*(1+'Inputs-System'!$C$43)), $C25 = "3",('Inputs-System'!$C$26*'Coincidence Factors'!$B$7*(1+'Inputs-System'!$C$18))*'Inputs-Proposals'!$F$28*(VLOOKUP(CD$3,Capacity!$A$53:$E$85,4,FALSE)*(1+'Inputs-System'!$C$42)+VLOOKUP(CD$3,Capacity!$A$53:$E$85,5,FALSE)*'Inputs-System'!$C$29*(1+'Inputs-System'!$C$43)), $C25 = "0", 0), 0)</f>
        <v>0</v>
      </c>
      <c r="CH25" s="44">
        <v>0</v>
      </c>
      <c r="CI25" s="342">
        <f>IFERROR(_xlfn.IFS($C25="1", 'Inputs-System'!$C$30*'Coincidence Factors'!$B$7*'Inputs-Proposals'!$F$17*'Inputs-Proposals'!$F$19*(VLOOKUP(CD$3,'Non-Embedded Emissions'!$A$56:$D$90,2,FALSE)+VLOOKUP(CD$3,'Non-Embedded Emissions'!$A$143:$D$174,2,FALSE)+VLOOKUP(CD$3,'Non-Embedded Emissions'!$A$230:$D$259,2,FALSE)), $C25 = "2", 'Inputs-System'!$C$30*'Coincidence Factors'!$B$7*'Inputs-Proposals'!$F$23*'Inputs-Proposals'!$F$25*(VLOOKUP(CD$3,'Non-Embedded Emissions'!$A$56:$D$90,2,FALSE)+VLOOKUP(CD$3,'Non-Embedded Emissions'!$A$143:$D$174,2,FALSE)+VLOOKUP(CD$3,'Non-Embedded Emissions'!$A$230:$D$259,2,FALSE)), $C25 = "3", 'Inputs-System'!$C$30*'Coincidence Factors'!$B$7*'Inputs-Proposals'!$F$29*'Inputs-Proposals'!$F$31*(VLOOKUP(CD$3,'Non-Embedded Emissions'!$A$56:$D$90,2,FALSE)+VLOOKUP(CD$3,'Non-Embedded Emissions'!$A$143:$D$174,2,FALSE)+VLOOKUP(CD$3,'Non-Embedded Emissions'!$A$230:$D$259,2,FALSE)), $C25 = "0", 0), 0)</f>
        <v>0</v>
      </c>
      <c r="CJ25" s="45">
        <f>IFERROR(_xlfn.IFS($C25="1",('Inputs-System'!$C$30*'Coincidence Factors'!$B$7*(1+'Inputs-System'!$C$18)*(1+'Inputs-System'!$C$41)*('Inputs-Proposals'!$F$17*'Inputs-Proposals'!$F$19*('Inputs-Proposals'!$F$20))*(VLOOKUP(CJ$3,Energy!$A$51:$K$83,5,FALSE))), $C25 = "2",('Inputs-System'!$C$30*'Coincidence Factors'!$B$7)*(1+'Inputs-System'!$C$18)*(1+'Inputs-System'!$C$41)*('Inputs-Proposals'!$F$23*'Inputs-Proposals'!$F$25*('Inputs-Proposals'!$F$26))*(VLOOKUP(CJ$3,Energy!$A$51:$K$83,5,FALSE)), $C25= "3", ('Inputs-System'!$C$30*'Coincidence Factors'!$B$7*(1+'Inputs-System'!$C$18)*(1+'Inputs-System'!$C$41)*('Inputs-Proposals'!$F$29*'Inputs-Proposals'!$F$31*('Inputs-Proposals'!$F$32))*(VLOOKUP(CJ$3,Energy!$A$51:$K$83,5,FALSE))), $C25= "0", 0), 0)</f>
        <v>0</v>
      </c>
      <c r="CK25" s="44">
        <f>IFERROR(_xlfn.IFS($C25="1",'Inputs-System'!$C$30*'Coincidence Factors'!$B$7*(1+'Inputs-System'!$C$18)*(1+'Inputs-System'!$C$41)*'Inputs-Proposals'!$F$17*'Inputs-Proposals'!$F$19*('Inputs-Proposals'!$F$20)*(VLOOKUP(CJ$3,'Embedded Emissions'!$A$47:$B$78,2,FALSE)+VLOOKUP(CJ$3,'Embedded Emissions'!$A$129:$B$158,2,FALSE)), $C25 = "2",'Inputs-System'!$C$30*'Coincidence Factors'!$B$7*(1+'Inputs-System'!$C$18)*(1+'Inputs-System'!$C$41)*'Inputs-Proposals'!$F$23*'Inputs-Proposals'!$F$25*('Inputs-Proposals'!$F$20)*(VLOOKUP(CJ$3,'Embedded Emissions'!$A$47:$B$78,2,FALSE)+VLOOKUP(CJ$3,'Embedded Emissions'!$A$129:$B$158,2,FALSE)), $C25 = "3", 'Inputs-System'!$C$30*'Coincidence Factors'!$B$7*(1+'Inputs-System'!$C$18)*(1+'Inputs-System'!$C$41)*'Inputs-Proposals'!$F$29*'Inputs-Proposals'!$F$31*('Inputs-Proposals'!$F$20)*(VLOOKUP(CJ$3,'Embedded Emissions'!$A$47:$B$78,2,FALSE)+VLOOKUP(CJ$3,'Embedded Emissions'!$A$129:$B$158,2,FALSE)), $C25 = "0", 0), 0)</f>
        <v>0</v>
      </c>
      <c r="CL25" s="44">
        <f>IFERROR(_xlfn.IFS($C25="1",( 'Inputs-System'!$C$30*'Coincidence Factors'!$B$7*(1+'Inputs-System'!$C$18)*(1+'Inputs-System'!$C$41))*('Inputs-Proposals'!$F$17*'Inputs-Proposals'!$F$19*('Inputs-Proposals'!$F$20))*(VLOOKUP(CJ$3,DRIPE!$A$54:$I$82,5,FALSE)+VLOOKUP(CJ$3,DRIPE!$A$54:$I$82,9,FALSE))+ ('Inputs-System'!$C$26*'Coincidence Factors'!$B$7*(1+'Inputs-System'!$C$18)*(1+'Inputs-System'!$C$42))*'Inputs-Proposals'!$F$16*VLOOKUP(CJ$3,DRIPE!$A$54:$I$82,8,FALSE), $C25 = "2",( 'Inputs-System'!$C$30*'Coincidence Factors'!$B$7*(1+'Inputs-System'!$C$18)*(1+'Inputs-System'!$C$41))*('Inputs-Proposals'!$F$23*'Inputs-Proposals'!$F$25*('Inputs-Proposals'!$F$26))*(VLOOKUP(CJ$3,DRIPE!$A$54:$I$82,5,FALSE)+VLOOKUP(CJ$3,DRIPE!$A$54:$I$82,12,FALSE))+ ('Inputs-System'!$C$26*'Coincidence Factors'!$B$7*(1+'Inputs-System'!$C$18)*(1+'Inputs-System'!$C$42))*'Inputs-Proposals'!$F$22*VLOOKUP(CJ$3,DRIPE!$A$54:$I$82,8,FALSE), $C25= "3", ( 'Inputs-System'!$C$30*'Coincidence Factors'!$B$7*(1+'Inputs-System'!$C$18)*(1+'Inputs-System'!$C$41))*('Inputs-Proposals'!$F$29*'Inputs-Proposals'!$F$31*('Inputs-Proposals'!$F$32))*(VLOOKUP(CJ$3,DRIPE!$A$54:$I$82,5,FALSE)+VLOOKUP(CJ$3,DRIPE!$A$54:$I$82,12,FALSE))+ ('Inputs-System'!$C$26*'Coincidence Factors'!$B$7*(1+'Inputs-System'!$C$18)*(1+'Inputs-System'!$C$42))*'Inputs-Proposals'!$F$28*VLOOKUP(CJ$3,DRIPE!$A$54:$I$82,8,FALSE), $C25 = "0", 0), 0)</f>
        <v>0</v>
      </c>
      <c r="CM25" s="45">
        <f>IFERROR(_xlfn.IFS($C25="1",('Inputs-System'!$C$26*'Coincidence Factors'!$B$7*(1+'Inputs-System'!$C$18))*'Inputs-Proposals'!$F$16*(VLOOKUP(CJ$3,Capacity!$A$53:$E$85,4,FALSE)*(1+'Inputs-System'!$C$42)+VLOOKUP(CJ$3,Capacity!$A$53:$E$85,5,FALSE)*'Inputs-System'!$C$29*(1+'Inputs-System'!$C$43)), $C25 = "2", ('Inputs-System'!$C$26*'Coincidence Factors'!$B$7*(1+'Inputs-System'!$C$18))*'Inputs-Proposals'!$F$22*(VLOOKUP(CJ$3,Capacity!$A$53:$E$85,4,FALSE)*(1+'Inputs-System'!$C$42)+VLOOKUP(CJ$3,Capacity!$A$53:$E$85,5,FALSE)*'Inputs-System'!$C$29*(1+'Inputs-System'!$C$43)), $C25 = "3",('Inputs-System'!$C$26*'Coincidence Factors'!$B$7*(1+'Inputs-System'!$C$18))*'Inputs-Proposals'!$F$28*(VLOOKUP(CJ$3,Capacity!$A$53:$E$85,4,FALSE)*(1+'Inputs-System'!$C$42)+VLOOKUP(CJ$3,Capacity!$A$53:$E$85,5,FALSE)*'Inputs-System'!$C$29*(1+'Inputs-System'!$C$43)), $C25 = "0", 0), 0)</f>
        <v>0</v>
      </c>
      <c r="CN25" s="44">
        <v>0</v>
      </c>
      <c r="CO25" s="342">
        <f>IFERROR(_xlfn.IFS($C25="1", 'Inputs-System'!$C$30*'Coincidence Factors'!$B$7*'Inputs-Proposals'!$F$17*'Inputs-Proposals'!$F$19*(VLOOKUP(CJ$3,'Non-Embedded Emissions'!$A$56:$D$90,2,FALSE)+VLOOKUP(CJ$3,'Non-Embedded Emissions'!$A$143:$D$174,2,FALSE)+VLOOKUP(CJ$3,'Non-Embedded Emissions'!$A$230:$D$259,2,FALSE)), $C25 = "2", 'Inputs-System'!$C$30*'Coincidence Factors'!$B$7*'Inputs-Proposals'!$F$23*'Inputs-Proposals'!$F$25*(VLOOKUP(CJ$3,'Non-Embedded Emissions'!$A$56:$D$90,2,FALSE)+VLOOKUP(CJ$3,'Non-Embedded Emissions'!$A$143:$D$174,2,FALSE)+VLOOKUP(CJ$3,'Non-Embedded Emissions'!$A$230:$D$259,2,FALSE)), $C25 = "3", 'Inputs-System'!$C$30*'Coincidence Factors'!$B$7*'Inputs-Proposals'!$F$29*'Inputs-Proposals'!$F$31*(VLOOKUP(CJ$3,'Non-Embedded Emissions'!$A$56:$D$90,2,FALSE)+VLOOKUP(CJ$3,'Non-Embedded Emissions'!$A$143:$D$174,2,FALSE)+VLOOKUP(CJ$3,'Non-Embedded Emissions'!$A$230:$D$259,2,FALSE)), $C25 = "0", 0), 0)</f>
        <v>0</v>
      </c>
      <c r="CP25" s="45">
        <f>IFERROR(_xlfn.IFS($C25="1",('Inputs-System'!$C$30*'Coincidence Factors'!$B$7*(1+'Inputs-System'!$C$18)*(1+'Inputs-System'!$C$41)*('Inputs-Proposals'!$F$17*'Inputs-Proposals'!$F$19*('Inputs-Proposals'!$F$20))*(VLOOKUP(CP$3,Energy!$A$51:$K$83,5,FALSE))), $C25 = "2",('Inputs-System'!$C$30*'Coincidence Factors'!$B$7)*(1+'Inputs-System'!$C$18)*(1+'Inputs-System'!$C$41)*('Inputs-Proposals'!$F$23*'Inputs-Proposals'!$F$25*('Inputs-Proposals'!$F$26))*(VLOOKUP(CP$3,Energy!$A$51:$K$83,5,FALSE)), $C25= "3", ('Inputs-System'!$C$30*'Coincidence Factors'!$B$7*(1+'Inputs-System'!$C$18)*(1+'Inputs-System'!$C$41)*('Inputs-Proposals'!$F$29*'Inputs-Proposals'!$F$31*('Inputs-Proposals'!$F$32))*(VLOOKUP(CP$3,Energy!$A$51:$K$83,5,FALSE))), $C25= "0", 0), 0)</f>
        <v>0</v>
      </c>
      <c r="CQ25" s="44">
        <f>IFERROR(_xlfn.IFS($C25="1",'Inputs-System'!$C$30*'Coincidence Factors'!$B$7*(1+'Inputs-System'!$C$18)*(1+'Inputs-System'!$C$41)*'Inputs-Proposals'!$F$17*'Inputs-Proposals'!$F$19*('Inputs-Proposals'!$F$20)*(VLOOKUP(CP$3,'Embedded Emissions'!$A$47:$B$78,2,FALSE)+VLOOKUP(CP$3,'Embedded Emissions'!$A$129:$B$158,2,FALSE)), $C25 = "2",'Inputs-System'!$C$30*'Coincidence Factors'!$B$7*(1+'Inputs-System'!$C$18)*(1+'Inputs-System'!$C$41)*'Inputs-Proposals'!$F$23*'Inputs-Proposals'!$F$25*('Inputs-Proposals'!$F$20)*(VLOOKUP(CP$3,'Embedded Emissions'!$A$47:$B$78,2,FALSE)+VLOOKUP(CP$3,'Embedded Emissions'!$A$129:$B$158,2,FALSE)), $C25 = "3", 'Inputs-System'!$C$30*'Coincidence Factors'!$B$7*(1+'Inputs-System'!$C$18)*(1+'Inputs-System'!$C$41)*'Inputs-Proposals'!$F$29*'Inputs-Proposals'!$F$31*('Inputs-Proposals'!$F$20)*(VLOOKUP(CP$3,'Embedded Emissions'!$A$47:$B$78,2,FALSE)+VLOOKUP(CP$3,'Embedded Emissions'!$A$129:$B$158,2,FALSE)), $C25 = "0", 0), 0)</f>
        <v>0</v>
      </c>
      <c r="CR25" s="44">
        <f>IFERROR(_xlfn.IFS($C25="1",( 'Inputs-System'!$C$30*'Coincidence Factors'!$B$7*(1+'Inputs-System'!$C$18)*(1+'Inputs-System'!$C$41))*('Inputs-Proposals'!$F$17*'Inputs-Proposals'!$F$19*('Inputs-Proposals'!$F$20))*(VLOOKUP(CP$3,DRIPE!$A$54:$I$82,5,FALSE)+VLOOKUP(CP$3,DRIPE!$A$54:$I$82,9,FALSE))+ ('Inputs-System'!$C$26*'Coincidence Factors'!$B$7*(1+'Inputs-System'!$C$18)*(1+'Inputs-System'!$C$42))*'Inputs-Proposals'!$F$16*VLOOKUP(CP$3,DRIPE!$A$54:$I$82,8,FALSE), $C25 = "2",( 'Inputs-System'!$C$30*'Coincidence Factors'!$B$7*(1+'Inputs-System'!$C$18)*(1+'Inputs-System'!$C$41))*('Inputs-Proposals'!$F$23*'Inputs-Proposals'!$F$25*('Inputs-Proposals'!$F$26))*(VLOOKUP(CP$3,DRIPE!$A$54:$I$82,5,FALSE)+VLOOKUP(CP$3,DRIPE!$A$54:$I$82,12,FALSE))+ ('Inputs-System'!$C$26*'Coincidence Factors'!$B$7*(1+'Inputs-System'!$C$18)*(1+'Inputs-System'!$C$42))*'Inputs-Proposals'!$F$22*VLOOKUP(CP$3,DRIPE!$A$54:$I$82,8,FALSE), $C25= "3", ( 'Inputs-System'!$C$30*'Coincidence Factors'!$B$7*(1+'Inputs-System'!$C$18)*(1+'Inputs-System'!$C$41))*('Inputs-Proposals'!$F$29*'Inputs-Proposals'!$F$31*('Inputs-Proposals'!$F$32))*(VLOOKUP(CP$3,DRIPE!$A$54:$I$82,5,FALSE)+VLOOKUP(CP$3,DRIPE!$A$54:$I$82,12,FALSE))+ ('Inputs-System'!$C$26*'Coincidence Factors'!$B$7*(1+'Inputs-System'!$C$18)*(1+'Inputs-System'!$C$42))*'Inputs-Proposals'!$F$28*VLOOKUP(CP$3,DRIPE!$A$54:$I$82,8,FALSE), $C25 = "0", 0), 0)</f>
        <v>0</v>
      </c>
      <c r="CS25" s="45">
        <f>IFERROR(_xlfn.IFS($C25="1",('Inputs-System'!$C$26*'Coincidence Factors'!$B$7*(1+'Inputs-System'!$C$18))*'Inputs-Proposals'!$F$16*(VLOOKUP(CP$3,Capacity!$A$53:$E$85,4,FALSE)*(1+'Inputs-System'!$C$42)+VLOOKUP(CP$3,Capacity!$A$53:$E$85,5,FALSE)*'Inputs-System'!$C$29*(1+'Inputs-System'!$C$43)), $C25 = "2", ('Inputs-System'!$C$26*'Coincidence Factors'!$B$7*(1+'Inputs-System'!$C$18))*'Inputs-Proposals'!$F$22*(VLOOKUP(CP$3,Capacity!$A$53:$E$85,4,FALSE)*(1+'Inputs-System'!$C$42)+VLOOKUP(CP$3,Capacity!$A$53:$E$85,5,FALSE)*'Inputs-System'!$C$29*(1+'Inputs-System'!$C$43)), $C25 = "3",('Inputs-System'!$C$26*'Coincidence Factors'!$B$7*(1+'Inputs-System'!$C$18))*'Inputs-Proposals'!$F$28*(VLOOKUP(CP$3,Capacity!$A$53:$E$85,4,FALSE)*(1+'Inputs-System'!$C$42)+VLOOKUP(CP$3,Capacity!$A$53:$E$85,5,FALSE)*'Inputs-System'!$C$29*(1+'Inputs-System'!$C$43)), $C25 = "0", 0), 0)</f>
        <v>0</v>
      </c>
      <c r="CT25" s="44">
        <v>0</v>
      </c>
      <c r="CU25" s="342">
        <f>IFERROR(_xlfn.IFS($C25="1", 'Inputs-System'!$C$30*'Coincidence Factors'!$B$7*'Inputs-Proposals'!$F$17*'Inputs-Proposals'!$F$19*(VLOOKUP(CP$3,'Non-Embedded Emissions'!$A$56:$D$90,2,FALSE)+VLOOKUP(CP$3,'Non-Embedded Emissions'!$A$143:$D$174,2,FALSE)+VLOOKUP(CP$3,'Non-Embedded Emissions'!$A$230:$D$259,2,FALSE)), $C25 = "2", 'Inputs-System'!$C$30*'Coincidence Factors'!$B$7*'Inputs-Proposals'!$F$23*'Inputs-Proposals'!$F$25*(VLOOKUP(CP$3,'Non-Embedded Emissions'!$A$56:$D$90,2,FALSE)+VLOOKUP(CP$3,'Non-Embedded Emissions'!$A$143:$D$174,2,FALSE)+VLOOKUP(CP$3,'Non-Embedded Emissions'!$A$230:$D$259,2,FALSE)), $C25 = "3", 'Inputs-System'!$C$30*'Coincidence Factors'!$B$7*'Inputs-Proposals'!$F$29*'Inputs-Proposals'!$F$31*(VLOOKUP(CP$3,'Non-Embedded Emissions'!$A$56:$D$90,2,FALSE)+VLOOKUP(CP$3,'Non-Embedded Emissions'!$A$143:$D$174,2,FALSE)+VLOOKUP(CP$3,'Non-Embedded Emissions'!$A$230:$D$259,2,FALSE)), $C25 = "0", 0), 0)</f>
        <v>0</v>
      </c>
      <c r="CV25" s="45">
        <f>IFERROR(_xlfn.IFS($C25="1",('Inputs-System'!$C$30*'Coincidence Factors'!$B$7*(1+'Inputs-System'!$C$18)*(1+'Inputs-System'!$C$41)*('Inputs-Proposals'!$F$17*'Inputs-Proposals'!$F$19*('Inputs-Proposals'!$F$20))*(VLOOKUP(CV$3,Energy!$A$51:$K$83,5,FALSE))), $C25 = "2",('Inputs-System'!$C$30*'Coincidence Factors'!$B$7)*(1+'Inputs-System'!$C$18)*(1+'Inputs-System'!$C$41)*('Inputs-Proposals'!$F$23*'Inputs-Proposals'!$F$25*('Inputs-Proposals'!$F$26))*(VLOOKUP(CV$3,Energy!$A$51:$K$83,5,FALSE)), $C25= "3", ('Inputs-System'!$C$30*'Coincidence Factors'!$B$7*(1+'Inputs-System'!$C$18)*(1+'Inputs-System'!$C$41)*('Inputs-Proposals'!$F$29*'Inputs-Proposals'!$F$31*('Inputs-Proposals'!$F$32))*(VLOOKUP(CV$3,Energy!$A$51:$K$83,5,FALSE))), $C25= "0", 0), 0)</f>
        <v>0</v>
      </c>
      <c r="CW25" s="44">
        <f>IFERROR(_xlfn.IFS($C25="1",'Inputs-System'!$C$30*'Coincidence Factors'!$B$7*(1+'Inputs-System'!$C$18)*(1+'Inputs-System'!$C$41)*'Inputs-Proposals'!$F$17*'Inputs-Proposals'!$F$19*('Inputs-Proposals'!$F$20)*(VLOOKUP(CV$3,'Embedded Emissions'!$A$47:$B$78,2,FALSE)+VLOOKUP(CV$3,'Embedded Emissions'!$A$129:$B$158,2,FALSE)), $C25 = "2",'Inputs-System'!$C$30*'Coincidence Factors'!$B$7*(1+'Inputs-System'!$C$18)*(1+'Inputs-System'!$C$41)*'Inputs-Proposals'!$F$23*'Inputs-Proposals'!$F$25*('Inputs-Proposals'!$F$20)*(VLOOKUP(CV$3,'Embedded Emissions'!$A$47:$B$78,2,FALSE)+VLOOKUP(CV$3,'Embedded Emissions'!$A$129:$B$158,2,FALSE)), $C25 = "3", 'Inputs-System'!$C$30*'Coincidence Factors'!$B$7*(1+'Inputs-System'!$C$18)*(1+'Inputs-System'!$C$41)*'Inputs-Proposals'!$F$29*'Inputs-Proposals'!$F$31*('Inputs-Proposals'!$F$20)*(VLOOKUP(CV$3,'Embedded Emissions'!$A$47:$B$78,2,FALSE)+VLOOKUP(CV$3,'Embedded Emissions'!$A$129:$B$158,2,FALSE)), $C25 = "0", 0), 0)</f>
        <v>0</v>
      </c>
      <c r="CX25" s="44">
        <f>IFERROR(_xlfn.IFS($C25="1",( 'Inputs-System'!$C$30*'Coincidence Factors'!$B$7*(1+'Inputs-System'!$C$18)*(1+'Inputs-System'!$C$41))*('Inputs-Proposals'!$F$17*'Inputs-Proposals'!$F$19*('Inputs-Proposals'!$F$20))*(VLOOKUP(CV$3,DRIPE!$A$54:$I$82,5,FALSE)+VLOOKUP(CV$3,DRIPE!$A$54:$I$82,9,FALSE))+ ('Inputs-System'!$C$26*'Coincidence Factors'!$B$7*(1+'Inputs-System'!$C$18)*(1+'Inputs-System'!$C$42))*'Inputs-Proposals'!$F$16*VLOOKUP(CV$3,DRIPE!$A$54:$I$82,8,FALSE), $C25 = "2",( 'Inputs-System'!$C$30*'Coincidence Factors'!$B$7*(1+'Inputs-System'!$C$18)*(1+'Inputs-System'!$C$41))*('Inputs-Proposals'!$F$23*'Inputs-Proposals'!$F$25*('Inputs-Proposals'!$F$26))*(VLOOKUP(CV$3,DRIPE!$A$54:$I$82,5,FALSE)+VLOOKUP(CV$3,DRIPE!$A$54:$I$82,12,FALSE))+ ('Inputs-System'!$C$26*'Coincidence Factors'!$B$7*(1+'Inputs-System'!$C$18)*(1+'Inputs-System'!$C$42))*'Inputs-Proposals'!$F$22*VLOOKUP(CV$3,DRIPE!$A$54:$I$82,8,FALSE), $C25= "3", ( 'Inputs-System'!$C$30*'Coincidence Factors'!$B$7*(1+'Inputs-System'!$C$18)*(1+'Inputs-System'!$C$41))*('Inputs-Proposals'!$F$29*'Inputs-Proposals'!$F$31*('Inputs-Proposals'!$F$32))*(VLOOKUP(CV$3,DRIPE!$A$54:$I$82,5,FALSE)+VLOOKUP(CV$3,DRIPE!$A$54:$I$82,12,FALSE))+ ('Inputs-System'!$C$26*'Coincidence Factors'!$B$7*(1+'Inputs-System'!$C$18)*(1+'Inputs-System'!$C$42))*'Inputs-Proposals'!$F$28*VLOOKUP(CV$3,DRIPE!$A$54:$I$82,8,FALSE), $C25 = "0", 0), 0)</f>
        <v>0</v>
      </c>
      <c r="CY25" s="45">
        <f>IFERROR(_xlfn.IFS($C25="1",('Inputs-System'!$C$26*'Coincidence Factors'!$B$7*(1+'Inputs-System'!$C$18))*'Inputs-Proposals'!$F$16*(VLOOKUP(CV$3,Capacity!$A$53:$E$85,4,FALSE)*(1+'Inputs-System'!$C$42)+VLOOKUP(CV$3,Capacity!$A$53:$E$85,5,FALSE)*'Inputs-System'!$C$29*(1+'Inputs-System'!$C$43)), $C25 = "2", ('Inputs-System'!$C$26*'Coincidence Factors'!$B$7*(1+'Inputs-System'!$C$18))*'Inputs-Proposals'!$F$22*(VLOOKUP(CV$3,Capacity!$A$53:$E$85,4,FALSE)*(1+'Inputs-System'!$C$42)+VLOOKUP(CV$3,Capacity!$A$53:$E$85,5,FALSE)*'Inputs-System'!$C$29*(1+'Inputs-System'!$C$43)), $C25 = "3",('Inputs-System'!$C$26*'Coincidence Factors'!$B$7*(1+'Inputs-System'!$C$18))*'Inputs-Proposals'!$F$28*(VLOOKUP(CV$3,Capacity!$A$53:$E$85,4,FALSE)*(1+'Inputs-System'!$C$42)+VLOOKUP(CV$3,Capacity!$A$53:$E$85,5,FALSE)*'Inputs-System'!$C$29*(1+'Inputs-System'!$C$43)), $C25 = "0", 0), 0)</f>
        <v>0</v>
      </c>
      <c r="CZ25" s="44">
        <v>0</v>
      </c>
      <c r="DA25" s="342">
        <f>IFERROR(_xlfn.IFS($C25="1", 'Inputs-System'!$C$30*'Coincidence Factors'!$B$7*'Inputs-Proposals'!$F$17*'Inputs-Proposals'!$F$19*(VLOOKUP(CV$3,'Non-Embedded Emissions'!$A$56:$D$90,2,FALSE)+VLOOKUP(CV$3,'Non-Embedded Emissions'!$A$143:$D$174,2,FALSE)+VLOOKUP(CV$3,'Non-Embedded Emissions'!$A$230:$D$259,2,FALSE)), $C25 = "2", 'Inputs-System'!$C$30*'Coincidence Factors'!$B$7*'Inputs-Proposals'!$F$23*'Inputs-Proposals'!$F$25*(VLOOKUP(CV$3,'Non-Embedded Emissions'!$A$56:$D$90,2,FALSE)+VLOOKUP(CV$3,'Non-Embedded Emissions'!$A$143:$D$174,2,FALSE)+VLOOKUP(CV$3,'Non-Embedded Emissions'!$A$230:$D$259,2,FALSE)), $C25 = "3", 'Inputs-System'!$C$30*'Coincidence Factors'!$B$7*'Inputs-Proposals'!$F$29*'Inputs-Proposals'!$F$31*(VLOOKUP(CV$3,'Non-Embedded Emissions'!$A$56:$D$90,2,FALSE)+VLOOKUP(CV$3,'Non-Embedded Emissions'!$A$143:$D$174,2,FALSE)+VLOOKUP(CV$3,'Non-Embedded Emissions'!$A$230:$D$259,2,FALSE)), $C25 = "0", 0), 0)</f>
        <v>0</v>
      </c>
      <c r="DB25" s="45">
        <f>IFERROR(_xlfn.IFS($C25="1",('Inputs-System'!$C$30*'Coincidence Factors'!$B$7*(1+'Inputs-System'!$C$18)*(1+'Inputs-System'!$C$41)*('Inputs-Proposals'!$F$17*'Inputs-Proposals'!$F$19*('Inputs-Proposals'!$F$20))*(VLOOKUP(DB$3,Energy!$A$51:$K$83,5,FALSE))), $C25 = "2",('Inputs-System'!$C$30*'Coincidence Factors'!$B$7)*(1+'Inputs-System'!$C$18)*(1+'Inputs-System'!$C$41)*('Inputs-Proposals'!$F$23*'Inputs-Proposals'!$F$25*('Inputs-Proposals'!$F$26))*(VLOOKUP(DB$3,Energy!$A$51:$K$83,5,FALSE)), $C25= "3", ('Inputs-System'!$C$30*'Coincidence Factors'!$B$7*(1+'Inputs-System'!$C$18)*(1+'Inputs-System'!$C$41)*('Inputs-Proposals'!$F$29*'Inputs-Proposals'!$F$31*('Inputs-Proposals'!$F$32))*(VLOOKUP(DB$3,Energy!$A$51:$K$83,5,FALSE))), $C25= "0", 0), 0)</f>
        <v>0</v>
      </c>
      <c r="DC25" s="44">
        <f>IFERROR(_xlfn.IFS($C25="1",'Inputs-System'!$C$30*'Coincidence Factors'!$B$7*(1+'Inputs-System'!$C$18)*(1+'Inputs-System'!$C$41)*'Inputs-Proposals'!$F$17*'Inputs-Proposals'!$F$19*('Inputs-Proposals'!$F$20)*(VLOOKUP(DB$3,'Embedded Emissions'!$A$47:$B$78,2,FALSE)+VLOOKUP(DB$3,'Embedded Emissions'!$A$129:$B$158,2,FALSE)), $C25 = "2",'Inputs-System'!$C$30*'Coincidence Factors'!$B$7*(1+'Inputs-System'!$C$18)*(1+'Inputs-System'!$C$41)*'Inputs-Proposals'!$F$23*'Inputs-Proposals'!$F$25*('Inputs-Proposals'!$F$20)*(VLOOKUP(DB$3,'Embedded Emissions'!$A$47:$B$78,2,FALSE)+VLOOKUP(DB$3,'Embedded Emissions'!$A$129:$B$158,2,FALSE)), $C25 = "3", 'Inputs-System'!$C$30*'Coincidence Factors'!$B$7*(1+'Inputs-System'!$C$18)*(1+'Inputs-System'!$C$41)*'Inputs-Proposals'!$F$29*'Inputs-Proposals'!$F$31*('Inputs-Proposals'!$F$20)*(VLOOKUP(DB$3,'Embedded Emissions'!$A$47:$B$78,2,FALSE)+VLOOKUP(DB$3,'Embedded Emissions'!$A$129:$B$158,2,FALSE)), $C25 = "0", 0), 0)</f>
        <v>0</v>
      </c>
      <c r="DD25" s="44">
        <f>IFERROR(_xlfn.IFS($C25="1",( 'Inputs-System'!$C$30*'Coincidence Factors'!$B$7*(1+'Inputs-System'!$C$18)*(1+'Inputs-System'!$C$41))*('Inputs-Proposals'!$F$17*'Inputs-Proposals'!$F$19*('Inputs-Proposals'!$F$20))*(VLOOKUP(DB$3,DRIPE!$A$54:$I$82,5,FALSE)+VLOOKUP(DB$3,DRIPE!$A$54:$I$82,9,FALSE))+ ('Inputs-System'!$C$26*'Coincidence Factors'!$B$7*(1+'Inputs-System'!$C$18)*(1+'Inputs-System'!$C$42))*'Inputs-Proposals'!$F$16*VLOOKUP(DB$3,DRIPE!$A$54:$I$82,8,FALSE), $C25 = "2",( 'Inputs-System'!$C$30*'Coincidence Factors'!$B$7*(1+'Inputs-System'!$C$18)*(1+'Inputs-System'!$C$41))*('Inputs-Proposals'!$F$23*'Inputs-Proposals'!$F$25*('Inputs-Proposals'!$F$26))*(VLOOKUP(DB$3,DRIPE!$A$54:$I$82,5,FALSE)+VLOOKUP(DB$3,DRIPE!$A$54:$I$82,12,FALSE))+ ('Inputs-System'!$C$26*'Coincidence Factors'!$B$7*(1+'Inputs-System'!$C$18)*(1+'Inputs-System'!$C$42))*'Inputs-Proposals'!$F$22*VLOOKUP(DB$3,DRIPE!$A$54:$I$82,8,FALSE), $C25= "3", ( 'Inputs-System'!$C$30*'Coincidence Factors'!$B$7*(1+'Inputs-System'!$C$18)*(1+'Inputs-System'!$C$41))*('Inputs-Proposals'!$F$29*'Inputs-Proposals'!$F$31*('Inputs-Proposals'!$F$32))*(VLOOKUP(DB$3,DRIPE!$A$54:$I$82,5,FALSE)+VLOOKUP(DB$3,DRIPE!$A$54:$I$82,12,FALSE))+ ('Inputs-System'!$C$26*'Coincidence Factors'!$B$7*(1+'Inputs-System'!$C$18)*(1+'Inputs-System'!$C$42))*'Inputs-Proposals'!$F$28*VLOOKUP(DB$3,DRIPE!$A$54:$I$82,8,FALSE), $C25 = "0", 0), 0)</f>
        <v>0</v>
      </c>
      <c r="DE25" s="45">
        <f>IFERROR(_xlfn.IFS($C25="1",('Inputs-System'!$C$26*'Coincidence Factors'!$B$7*(1+'Inputs-System'!$C$18))*'Inputs-Proposals'!$F$16*(VLOOKUP(DB$3,Capacity!$A$53:$E$85,4,FALSE)*(1+'Inputs-System'!$C$42)+VLOOKUP(DB$3,Capacity!$A$53:$E$85,5,FALSE)*'Inputs-System'!$C$29*(1+'Inputs-System'!$C$43)), $C25 = "2", ('Inputs-System'!$C$26*'Coincidence Factors'!$B$7*(1+'Inputs-System'!$C$18))*'Inputs-Proposals'!$F$22*(VLOOKUP(DB$3,Capacity!$A$53:$E$85,4,FALSE)*(1+'Inputs-System'!$C$42)+VLOOKUP(DB$3,Capacity!$A$53:$E$85,5,FALSE)*'Inputs-System'!$C$29*(1+'Inputs-System'!$C$43)), $C25 = "3",('Inputs-System'!$C$26*'Coincidence Factors'!$B$7*(1+'Inputs-System'!$C$18))*'Inputs-Proposals'!$F$28*(VLOOKUP(DB$3,Capacity!$A$53:$E$85,4,FALSE)*(1+'Inputs-System'!$C$42)+VLOOKUP(DB$3,Capacity!$A$53:$E$85,5,FALSE)*'Inputs-System'!$C$29*(1+'Inputs-System'!$C$43)), $C25 = "0", 0), 0)</f>
        <v>0</v>
      </c>
      <c r="DF25" s="44">
        <v>0</v>
      </c>
      <c r="DG25" s="342">
        <f>IFERROR(_xlfn.IFS($C25="1", 'Inputs-System'!$C$30*'Coincidence Factors'!$B$7*'Inputs-Proposals'!$F$17*'Inputs-Proposals'!$F$19*(VLOOKUP(DB$3,'Non-Embedded Emissions'!$A$56:$D$90,2,FALSE)+VLOOKUP(DB$3,'Non-Embedded Emissions'!$A$143:$D$174,2,FALSE)+VLOOKUP(DB$3,'Non-Embedded Emissions'!$A$230:$D$259,2,FALSE)), $C25 = "2", 'Inputs-System'!$C$30*'Coincidence Factors'!$B$7*'Inputs-Proposals'!$F$23*'Inputs-Proposals'!$F$25*(VLOOKUP(DB$3,'Non-Embedded Emissions'!$A$56:$D$90,2,FALSE)+VLOOKUP(DB$3,'Non-Embedded Emissions'!$A$143:$D$174,2,FALSE)+VLOOKUP(DB$3,'Non-Embedded Emissions'!$A$230:$D$259,2,FALSE)), $C25 = "3", 'Inputs-System'!$C$30*'Coincidence Factors'!$B$7*'Inputs-Proposals'!$F$29*'Inputs-Proposals'!$F$31*(VLOOKUP(DB$3,'Non-Embedded Emissions'!$A$56:$D$90,2,FALSE)+VLOOKUP(DB$3,'Non-Embedded Emissions'!$A$143:$D$174,2,FALSE)+VLOOKUP(DB$3,'Non-Embedded Emissions'!$A$230:$D$259,2,FALSE)), $C25 = "0", 0), 0)</f>
        <v>0</v>
      </c>
      <c r="DH25" s="45">
        <f>IFERROR(_xlfn.IFS($C25="1",('Inputs-System'!$C$30*'Coincidence Factors'!$B$7*(1+'Inputs-System'!$C$18)*(1+'Inputs-System'!$C$41)*('Inputs-Proposals'!$F$17*'Inputs-Proposals'!$F$19*('Inputs-Proposals'!$F$20))*(VLOOKUP(DH$3,Energy!$A$51:$K$83,5,FALSE))), $C25 = "2",('Inputs-System'!$C$30*'Coincidence Factors'!$B$7)*(1+'Inputs-System'!$C$18)*(1+'Inputs-System'!$C$41)*('Inputs-Proposals'!$F$23*'Inputs-Proposals'!$F$25*('Inputs-Proposals'!$F$26))*(VLOOKUP(DH$3,Energy!$A$51:$K$83,5,FALSE)), $C25= "3", ('Inputs-System'!$C$30*'Coincidence Factors'!$B$7*(1+'Inputs-System'!$C$18)*(1+'Inputs-System'!$C$41)*('Inputs-Proposals'!$F$29*'Inputs-Proposals'!$F$31*('Inputs-Proposals'!$F$32))*(VLOOKUP(DH$3,Energy!$A$51:$K$83,5,FALSE))), $C25= "0", 0), 0)</f>
        <v>0</v>
      </c>
      <c r="DI25" s="44">
        <f>IFERROR(_xlfn.IFS($C25="1",'Inputs-System'!$C$30*'Coincidence Factors'!$B$7*(1+'Inputs-System'!$C$18)*(1+'Inputs-System'!$C$41)*'Inputs-Proposals'!$F$17*'Inputs-Proposals'!$F$19*('Inputs-Proposals'!$F$20)*(VLOOKUP(DH$3,'Embedded Emissions'!$A$47:$B$78,2,FALSE)+VLOOKUP(DH$3,'Embedded Emissions'!$A$129:$B$158,2,FALSE)), $C25 = "2",'Inputs-System'!$C$30*'Coincidence Factors'!$B$7*(1+'Inputs-System'!$C$18)*(1+'Inputs-System'!$C$41)*'Inputs-Proposals'!$F$23*'Inputs-Proposals'!$F$25*('Inputs-Proposals'!$F$20)*(VLOOKUP(DH$3,'Embedded Emissions'!$A$47:$B$78,2,FALSE)+VLOOKUP(DH$3,'Embedded Emissions'!$A$129:$B$158,2,FALSE)), $C25 = "3", 'Inputs-System'!$C$30*'Coincidence Factors'!$B$7*(1+'Inputs-System'!$C$18)*(1+'Inputs-System'!$C$41)*'Inputs-Proposals'!$F$29*'Inputs-Proposals'!$F$31*('Inputs-Proposals'!$F$20)*(VLOOKUP(DH$3,'Embedded Emissions'!$A$47:$B$78,2,FALSE)+VLOOKUP(DH$3,'Embedded Emissions'!$A$129:$B$158,2,FALSE)), $C25 = "0", 0), 0)</f>
        <v>0</v>
      </c>
      <c r="DJ25" s="44">
        <f>IFERROR(_xlfn.IFS($C25="1",( 'Inputs-System'!$C$30*'Coincidence Factors'!$B$7*(1+'Inputs-System'!$C$18)*(1+'Inputs-System'!$C$41))*('Inputs-Proposals'!$F$17*'Inputs-Proposals'!$F$19*('Inputs-Proposals'!$F$20))*(VLOOKUP(DH$3,DRIPE!$A$54:$I$82,5,FALSE)+VLOOKUP(DH$3,DRIPE!$A$54:$I$82,9,FALSE))+ ('Inputs-System'!$C$26*'Coincidence Factors'!$B$7*(1+'Inputs-System'!$C$18)*(1+'Inputs-System'!$C$42))*'Inputs-Proposals'!$F$16*VLOOKUP(DH$3,DRIPE!$A$54:$I$82,8,FALSE), $C25 = "2",( 'Inputs-System'!$C$30*'Coincidence Factors'!$B$7*(1+'Inputs-System'!$C$18)*(1+'Inputs-System'!$C$41))*('Inputs-Proposals'!$F$23*'Inputs-Proposals'!$F$25*('Inputs-Proposals'!$F$26))*(VLOOKUP(DH$3,DRIPE!$A$54:$I$82,5,FALSE)+VLOOKUP(DH$3,DRIPE!$A$54:$I$82,12,FALSE))+ ('Inputs-System'!$C$26*'Coincidence Factors'!$B$7*(1+'Inputs-System'!$C$18)*(1+'Inputs-System'!$C$42))*'Inputs-Proposals'!$F$22*VLOOKUP(DH$3,DRIPE!$A$54:$I$82,8,FALSE), $C25= "3", ( 'Inputs-System'!$C$30*'Coincidence Factors'!$B$7*(1+'Inputs-System'!$C$18)*(1+'Inputs-System'!$C$41))*('Inputs-Proposals'!$F$29*'Inputs-Proposals'!$F$31*('Inputs-Proposals'!$F$32))*(VLOOKUP(DH$3,DRIPE!$A$54:$I$82,5,FALSE)+VLOOKUP(DH$3,DRIPE!$A$54:$I$82,12,FALSE))+ ('Inputs-System'!$C$26*'Coincidence Factors'!$B$7*(1+'Inputs-System'!$C$18)*(1+'Inputs-System'!$C$42))*'Inputs-Proposals'!$F$28*VLOOKUP(DH$3,DRIPE!$A$54:$I$82,8,FALSE), $C25 = "0", 0), 0)</f>
        <v>0</v>
      </c>
      <c r="DK25" s="45">
        <f>IFERROR(_xlfn.IFS($C25="1",('Inputs-System'!$C$26*'Coincidence Factors'!$B$7*(1+'Inputs-System'!$C$18))*'Inputs-Proposals'!$F$16*(VLOOKUP(DH$3,Capacity!$A$53:$E$85,4,FALSE)*(1+'Inputs-System'!$C$42)+VLOOKUP(DH$3,Capacity!$A$53:$E$85,5,FALSE)*'Inputs-System'!$C$29*(1+'Inputs-System'!$C$43)), $C25 = "2", ('Inputs-System'!$C$26*'Coincidence Factors'!$B$7*(1+'Inputs-System'!$C$18))*'Inputs-Proposals'!$F$22*(VLOOKUP(DH$3,Capacity!$A$53:$E$85,4,FALSE)*(1+'Inputs-System'!$C$42)+VLOOKUP(DH$3,Capacity!$A$53:$E$85,5,FALSE)*'Inputs-System'!$C$29*(1+'Inputs-System'!$C$43)), $C25 = "3",('Inputs-System'!$C$26*'Coincidence Factors'!$B$7*(1+'Inputs-System'!$C$18))*'Inputs-Proposals'!$F$28*(VLOOKUP(DH$3,Capacity!$A$53:$E$85,4,FALSE)*(1+'Inputs-System'!$C$42)+VLOOKUP(DH$3,Capacity!$A$53:$E$85,5,FALSE)*'Inputs-System'!$C$29*(1+'Inputs-System'!$C$43)), $C25 = "0", 0), 0)</f>
        <v>0</v>
      </c>
      <c r="DL25" s="44">
        <v>0</v>
      </c>
      <c r="DM25" s="342">
        <f>IFERROR(_xlfn.IFS($C25="1", 'Inputs-System'!$C$30*'Coincidence Factors'!$B$7*'Inputs-Proposals'!$F$17*'Inputs-Proposals'!$F$19*(VLOOKUP(DH$3,'Non-Embedded Emissions'!$A$56:$D$90,2,FALSE)+VLOOKUP(DH$3,'Non-Embedded Emissions'!$A$143:$D$174,2,FALSE)+VLOOKUP(DH$3,'Non-Embedded Emissions'!$A$230:$D$259,2,FALSE)), $C25 = "2", 'Inputs-System'!$C$30*'Coincidence Factors'!$B$7*'Inputs-Proposals'!$F$23*'Inputs-Proposals'!$F$25*(VLOOKUP(DH$3,'Non-Embedded Emissions'!$A$56:$D$90,2,FALSE)+VLOOKUP(DH$3,'Non-Embedded Emissions'!$A$143:$D$174,2,FALSE)+VLOOKUP(DH$3,'Non-Embedded Emissions'!$A$230:$D$259,2,FALSE)), $C25 = "3", 'Inputs-System'!$C$30*'Coincidence Factors'!$B$7*'Inputs-Proposals'!$F$29*'Inputs-Proposals'!$F$31*(VLOOKUP(DH$3,'Non-Embedded Emissions'!$A$56:$D$90,2,FALSE)+VLOOKUP(DH$3,'Non-Embedded Emissions'!$A$143:$D$174,2,FALSE)+VLOOKUP(DH$3,'Non-Embedded Emissions'!$A$230:$D$259,2,FALSE)), $C25 = "0", 0), 0)</f>
        <v>0</v>
      </c>
      <c r="DN25" s="45">
        <f>IFERROR(_xlfn.IFS($C25="1",('Inputs-System'!$C$30*'Coincidence Factors'!$B$7*(1+'Inputs-System'!$C$18)*(1+'Inputs-System'!$C$41)*('Inputs-Proposals'!$F$17*'Inputs-Proposals'!$F$19*('Inputs-Proposals'!$F$20))*(VLOOKUP(DN$3,Energy!$A$51:$K$83,5,FALSE))), $C25 = "2",('Inputs-System'!$C$30*'Coincidence Factors'!$B$7)*(1+'Inputs-System'!$C$18)*(1+'Inputs-System'!$C$41)*('Inputs-Proposals'!$F$23*'Inputs-Proposals'!$F$25*('Inputs-Proposals'!$F$26))*(VLOOKUP(DN$3,Energy!$A$51:$K$83,5,FALSE)), $C25= "3", ('Inputs-System'!$C$30*'Coincidence Factors'!$B$7*(1+'Inputs-System'!$C$18)*(1+'Inputs-System'!$C$41)*('Inputs-Proposals'!$F$29*'Inputs-Proposals'!$F$31*('Inputs-Proposals'!$F$32))*(VLOOKUP(DN$3,Energy!$A$51:$K$83,5,FALSE))), $C25= "0", 0), 0)</f>
        <v>0</v>
      </c>
      <c r="DO25" s="44">
        <f>IFERROR(_xlfn.IFS($C25="1",'Inputs-System'!$C$30*'Coincidence Factors'!$B$7*(1+'Inputs-System'!$C$18)*(1+'Inputs-System'!$C$41)*'Inputs-Proposals'!$F$17*'Inputs-Proposals'!$F$19*('Inputs-Proposals'!$F$20)*(VLOOKUP(DN$3,'Embedded Emissions'!$A$47:$B$78,2,FALSE)+VLOOKUP(DN$3,'Embedded Emissions'!$A$129:$B$158,2,FALSE)), $C25 = "2",'Inputs-System'!$C$30*'Coincidence Factors'!$B$7*(1+'Inputs-System'!$C$18)*(1+'Inputs-System'!$C$41)*'Inputs-Proposals'!$F$23*'Inputs-Proposals'!$F$25*('Inputs-Proposals'!$F$20)*(VLOOKUP(DN$3,'Embedded Emissions'!$A$47:$B$78,2,FALSE)+VLOOKUP(DN$3,'Embedded Emissions'!$A$129:$B$158,2,FALSE)), $C25 = "3", 'Inputs-System'!$C$30*'Coincidence Factors'!$B$7*(1+'Inputs-System'!$C$18)*(1+'Inputs-System'!$C$41)*'Inputs-Proposals'!$F$29*'Inputs-Proposals'!$F$31*('Inputs-Proposals'!$F$20)*(VLOOKUP(DN$3,'Embedded Emissions'!$A$47:$B$78,2,FALSE)+VLOOKUP(DN$3,'Embedded Emissions'!$A$129:$B$158,2,FALSE)), $C25 = "0", 0), 0)</f>
        <v>0</v>
      </c>
      <c r="DP25" s="44">
        <f>IFERROR(_xlfn.IFS($C25="1",( 'Inputs-System'!$C$30*'Coincidence Factors'!$B$7*(1+'Inputs-System'!$C$18)*(1+'Inputs-System'!$C$41))*('Inputs-Proposals'!$F$17*'Inputs-Proposals'!$F$19*('Inputs-Proposals'!$F$20))*(VLOOKUP(DN$3,DRIPE!$A$54:$I$82,5,FALSE)+VLOOKUP(DN$3,DRIPE!$A$54:$I$82,9,FALSE))+ ('Inputs-System'!$C$26*'Coincidence Factors'!$B$7*(1+'Inputs-System'!$C$18)*(1+'Inputs-System'!$C$42))*'Inputs-Proposals'!$F$16*VLOOKUP(DN$3,DRIPE!$A$54:$I$82,8,FALSE), $C25 = "2",( 'Inputs-System'!$C$30*'Coincidence Factors'!$B$7*(1+'Inputs-System'!$C$18)*(1+'Inputs-System'!$C$41))*('Inputs-Proposals'!$F$23*'Inputs-Proposals'!$F$25*('Inputs-Proposals'!$F$26))*(VLOOKUP(DN$3,DRIPE!$A$54:$I$82,5,FALSE)+VLOOKUP(DN$3,DRIPE!$A$54:$I$82,12,FALSE))+ ('Inputs-System'!$C$26*'Coincidence Factors'!$B$7*(1+'Inputs-System'!$C$18)*(1+'Inputs-System'!$C$42))*'Inputs-Proposals'!$F$22*VLOOKUP(DN$3,DRIPE!$A$54:$I$82,8,FALSE), $C25= "3", ( 'Inputs-System'!$C$30*'Coincidence Factors'!$B$7*(1+'Inputs-System'!$C$18)*(1+'Inputs-System'!$C$41))*('Inputs-Proposals'!$F$29*'Inputs-Proposals'!$F$31*('Inputs-Proposals'!$F$32))*(VLOOKUP(DN$3,DRIPE!$A$54:$I$82,5,FALSE)+VLOOKUP(DN$3,DRIPE!$A$54:$I$82,12,FALSE))+ ('Inputs-System'!$C$26*'Coincidence Factors'!$B$7*(1+'Inputs-System'!$C$18)*(1+'Inputs-System'!$C$42))*'Inputs-Proposals'!$F$28*VLOOKUP(DN$3,DRIPE!$A$54:$I$82,8,FALSE), $C25 = "0", 0), 0)</f>
        <v>0</v>
      </c>
      <c r="DQ25" s="45">
        <f>IFERROR(_xlfn.IFS($C25="1",('Inputs-System'!$C$26*'Coincidence Factors'!$B$7*(1+'Inputs-System'!$C$18))*'Inputs-Proposals'!$F$16*(VLOOKUP(DN$3,Capacity!$A$53:$E$85,4,FALSE)*(1+'Inputs-System'!$C$42)+VLOOKUP(DN$3,Capacity!$A$53:$E$85,5,FALSE)*'Inputs-System'!$C$29*(1+'Inputs-System'!$C$43)), $C25 = "2", ('Inputs-System'!$C$26*'Coincidence Factors'!$B$7*(1+'Inputs-System'!$C$18))*'Inputs-Proposals'!$F$22*(VLOOKUP(DN$3,Capacity!$A$53:$E$85,4,FALSE)*(1+'Inputs-System'!$C$42)+VLOOKUP(DN$3,Capacity!$A$53:$E$85,5,FALSE)*'Inputs-System'!$C$29*(1+'Inputs-System'!$C$43)), $C25 = "3",('Inputs-System'!$C$26*'Coincidence Factors'!$B$7*(1+'Inputs-System'!$C$18))*'Inputs-Proposals'!$F$28*(VLOOKUP(DN$3,Capacity!$A$53:$E$85,4,FALSE)*(1+'Inputs-System'!$C$42)+VLOOKUP(DN$3,Capacity!$A$53:$E$85,5,FALSE)*'Inputs-System'!$C$29*(1+'Inputs-System'!$C$43)), $C25 = "0", 0), 0)</f>
        <v>0</v>
      </c>
      <c r="DR25" s="44">
        <v>0</v>
      </c>
      <c r="DS25" s="342">
        <f>IFERROR(_xlfn.IFS($C25="1", 'Inputs-System'!$C$30*'Coincidence Factors'!$B$7*'Inputs-Proposals'!$F$17*'Inputs-Proposals'!$F$19*(VLOOKUP(DN$3,'Non-Embedded Emissions'!$A$56:$D$90,2,FALSE)+VLOOKUP(DN$3,'Non-Embedded Emissions'!$A$143:$D$174,2,FALSE)+VLOOKUP(DN$3,'Non-Embedded Emissions'!$A$230:$D$259,2,FALSE)), $C25 = "2", 'Inputs-System'!$C$30*'Coincidence Factors'!$B$7*'Inputs-Proposals'!$F$23*'Inputs-Proposals'!$F$25*(VLOOKUP(DN$3,'Non-Embedded Emissions'!$A$56:$D$90,2,FALSE)+VLOOKUP(DN$3,'Non-Embedded Emissions'!$A$143:$D$174,2,FALSE)+VLOOKUP(DN$3,'Non-Embedded Emissions'!$A$230:$D$259,2,FALSE)), $C25 = "3", 'Inputs-System'!$C$30*'Coincidence Factors'!$B$7*'Inputs-Proposals'!$F$29*'Inputs-Proposals'!$F$31*(VLOOKUP(DN$3,'Non-Embedded Emissions'!$A$56:$D$90,2,FALSE)+VLOOKUP(DN$3,'Non-Embedded Emissions'!$A$143:$D$174,2,FALSE)+VLOOKUP(DN$3,'Non-Embedded Emissions'!$A$230:$D$259,2,FALSE)), $C25 = "0", 0), 0)</f>
        <v>0</v>
      </c>
      <c r="DT25" s="45">
        <f>IFERROR(_xlfn.IFS($C25="1",('Inputs-System'!$C$30*'Coincidence Factors'!$B$7*(1+'Inputs-System'!$C$18)*(1+'Inputs-System'!$C$41)*('Inputs-Proposals'!$F$17*'Inputs-Proposals'!$F$19*('Inputs-Proposals'!$F$20))*(VLOOKUP(DT$3,Energy!$A$51:$K$83,5,FALSE))), $C25 = "2",('Inputs-System'!$C$30*'Coincidence Factors'!$B$7)*(1+'Inputs-System'!$C$18)*(1+'Inputs-System'!$C$41)*('Inputs-Proposals'!$F$23*'Inputs-Proposals'!$F$25*('Inputs-Proposals'!$F$26))*(VLOOKUP(DT$3,Energy!$A$51:$K$83,5,FALSE)), $C25= "3", ('Inputs-System'!$C$30*'Coincidence Factors'!$B$7*(1+'Inputs-System'!$C$18)*(1+'Inputs-System'!$C$41)*('Inputs-Proposals'!$F$29*'Inputs-Proposals'!$F$31*('Inputs-Proposals'!$F$32))*(VLOOKUP(DT$3,Energy!$A$51:$K$83,5,FALSE))), $C25= "0", 0), 0)</f>
        <v>0</v>
      </c>
      <c r="DU25" s="44">
        <f>IFERROR(_xlfn.IFS($C25="1",'Inputs-System'!$C$30*'Coincidence Factors'!$B$7*(1+'Inputs-System'!$C$18)*(1+'Inputs-System'!$C$41)*'Inputs-Proposals'!$F$17*'Inputs-Proposals'!$F$19*('Inputs-Proposals'!$F$20)*(VLOOKUP(DT$3,'Embedded Emissions'!$A$47:$B$78,2,FALSE)+VLOOKUP(DT$3,'Embedded Emissions'!$A$129:$B$158,2,FALSE)), $C25 = "2",'Inputs-System'!$C$30*'Coincidence Factors'!$B$7*(1+'Inputs-System'!$C$18)*(1+'Inputs-System'!$C$41)*'Inputs-Proposals'!$F$23*'Inputs-Proposals'!$F$25*('Inputs-Proposals'!$F$20)*(VLOOKUP(DT$3,'Embedded Emissions'!$A$47:$B$78,2,FALSE)+VLOOKUP(DT$3,'Embedded Emissions'!$A$129:$B$158,2,FALSE)), $C25 = "3", 'Inputs-System'!$C$30*'Coincidence Factors'!$B$7*(1+'Inputs-System'!$C$18)*(1+'Inputs-System'!$C$41)*'Inputs-Proposals'!$F$29*'Inputs-Proposals'!$F$31*('Inputs-Proposals'!$F$20)*(VLOOKUP(DT$3,'Embedded Emissions'!$A$47:$B$78,2,FALSE)+VLOOKUP(DT$3,'Embedded Emissions'!$A$129:$B$158,2,FALSE)), $C25 = "0", 0), 0)</f>
        <v>0</v>
      </c>
      <c r="DV25" s="44">
        <f>IFERROR(_xlfn.IFS($C25="1",( 'Inputs-System'!$C$30*'Coincidence Factors'!$B$7*(1+'Inputs-System'!$C$18)*(1+'Inputs-System'!$C$41))*('Inputs-Proposals'!$F$17*'Inputs-Proposals'!$F$19*('Inputs-Proposals'!$F$20))*(VLOOKUP(DT$3,DRIPE!$A$54:$I$82,5,FALSE)+VLOOKUP(DT$3,DRIPE!$A$54:$I$82,9,FALSE))+ ('Inputs-System'!$C$26*'Coincidence Factors'!$B$7*(1+'Inputs-System'!$C$18)*(1+'Inputs-System'!$C$42))*'Inputs-Proposals'!$F$16*VLOOKUP(DT$3,DRIPE!$A$54:$I$82,8,FALSE), $C25 = "2",( 'Inputs-System'!$C$30*'Coincidence Factors'!$B$7*(1+'Inputs-System'!$C$18)*(1+'Inputs-System'!$C$41))*('Inputs-Proposals'!$F$23*'Inputs-Proposals'!$F$25*('Inputs-Proposals'!$F$26))*(VLOOKUP(DT$3,DRIPE!$A$54:$I$82,5,FALSE)+VLOOKUP(DT$3,DRIPE!$A$54:$I$82,12,FALSE))+ ('Inputs-System'!$C$26*'Coincidence Factors'!$B$7*(1+'Inputs-System'!$C$18)*(1+'Inputs-System'!$C$42))*'Inputs-Proposals'!$F$22*VLOOKUP(DT$3,DRIPE!$A$54:$I$82,8,FALSE), $C25= "3", ( 'Inputs-System'!$C$30*'Coincidence Factors'!$B$7*(1+'Inputs-System'!$C$18)*(1+'Inputs-System'!$C$41))*('Inputs-Proposals'!$F$29*'Inputs-Proposals'!$F$31*('Inputs-Proposals'!$F$32))*(VLOOKUP(DT$3,DRIPE!$A$54:$I$82,5,FALSE)+VLOOKUP(DT$3,DRIPE!$A$54:$I$82,12,FALSE))+ ('Inputs-System'!$C$26*'Coincidence Factors'!$B$7*(1+'Inputs-System'!$C$18)*(1+'Inputs-System'!$C$42))*'Inputs-Proposals'!$F$28*VLOOKUP(DT$3,DRIPE!$A$54:$I$82,8,FALSE), $C25 = "0", 0), 0)</f>
        <v>0</v>
      </c>
      <c r="DW25" s="45">
        <f>IFERROR(_xlfn.IFS($C25="1",('Inputs-System'!$C$26*'Coincidence Factors'!$B$7*(1+'Inputs-System'!$C$18))*'Inputs-Proposals'!$F$16*(VLOOKUP(DT$3,Capacity!$A$53:$E$85,4,FALSE)*(1+'Inputs-System'!$C$42)+VLOOKUP(DT$3,Capacity!$A$53:$E$85,5,FALSE)*'Inputs-System'!$C$29*(1+'Inputs-System'!$C$43)), $C25 = "2", ('Inputs-System'!$C$26*'Coincidence Factors'!$B$7*(1+'Inputs-System'!$C$18))*'Inputs-Proposals'!$F$22*(VLOOKUP(DT$3,Capacity!$A$53:$E$85,4,FALSE)*(1+'Inputs-System'!$C$42)+VLOOKUP(DT$3,Capacity!$A$53:$E$85,5,FALSE)*'Inputs-System'!$C$29*(1+'Inputs-System'!$C$43)), $C25 = "3",('Inputs-System'!$C$26*'Coincidence Factors'!$B$7*(1+'Inputs-System'!$C$18))*'Inputs-Proposals'!$F$28*(VLOOKUP(DT$3,Capacity!$A$53:$E$85,4,FALSE)*(1+'Inputs-System'!$C$42)+VLOOKUP(DT$3,Capacity!$A$53:$E$85,5,FALSE)*'Inputs-System'!$C$29*(1+'Inputs-System'!$C$43)), $C25 = "0", 0), 0)</f>
        <v>0</v>
      </c>
      <c r="DX25" s="44">
        <v>0</v>
      </c>
      <c r="DY25" s="342">
        <f>IFERROR(_xlfn.IFS($C25="1", 'Inputs-System'!$C$30*'Coincidence Factors'!$B$7*'Inputs-Proposals'!$F$17*'Inputs-Proposals'!$F$19*(VLOOKUP(DT$3,'Non-Embedded Emissions'!$A$56:$D$90,2,FALSE)+VLOOKUP(DT$3,'Non-Embedded Emissions'!$A$143:$D$174,2,FALSE)+VLOOKUP(DT$3,'Non-Embedded Emissions'!$A$230:$D$259,2,FALSE)), $C25 = "2", 'Inputs-System'!$C$30*'Coincidence Factors'!$B$7*'Inputs-Proposals'!$F$23*'Inputs-Proposals'!$F$25*(VLOOKUP(DT$3,'Non-Embedded Emissions'!$A$56:$D$90,2,FALSE)+VLOOKUP(DT$3,'Non-Embedded Emissions'!$A$143:$D$174,2,FALSE)+VLOOKUP(DT$3,'Non-Embedded Emissions'!$A$230:$D$259,2,FALSE)), $C25 = "3", 'Inputs-System'!$C$30*'Coincidence Factors'!$B$7*'Inputs-Proposals'!$F$29*'Inputs-Proposals'!$F$31*(VLOOKUP(DT$3,'Non-Embedded Emissions'!$A$56:$D$90,2,FALSE)+VLOOKUP(DT$3,'Non-Embedded Emissions'!$A$143:$D$174,2,FALSE)+VLOOKUP(DT$3,'Non-Embedded Emissions'!$A$230:$D$259,2,FALSE)), $C25 = "0", 0), 0)</f>
        <v>0</v>
      </c>
      <c r="DZ25" s="45">
        <f>IFERROR(_xlfn.IFS($C25="1",('Inputs-System'!$C$30*'Coincidence Factors'!$B$7*(1+'Inputs-System'!$C$18)*(1+'Inputs-System'!$C$41)*('Inputs-Proposals'!$F$17*'Inputs-Proposals'!$F$19*('Inputs-Proposals'!$F$20))*(VLOOKUP(DZ$3,Energy!$A$51:$K$83,5,FALSE))), $C25 = "2",('Inputs-System'!$C$30*'Coincidence Factors'!$B$7)*(1+'Inputs-System'!$C$18)*(1+'Inputs-System'!$C$41)*('Inputs-Proposals'!$F$23*'Inputs-Proposals'!$F$25*('Inputs-Proposals'!$F$26))*(VLOOKUP(DZ$3,Energy!$A$51:$K$83,5,FALSE)), $C25= "3", ('Inputs-System'!$C$30*'Coincidence Factors'!$B$7*(1+'Inputs-System'!$C$18)*(1+'Inputs-System'!$C$41)*('Inputs-Proposals'!$F$29*'Inputs-Proposals'!$F$31*('Inputs-Proposals'!$F$32))*(VLOOKUP(DZ$3,Energy!$A$51:$K$83,5,FALSE))), $C25= "0", 0), 0)</f>
        <v>0</v>
      </c>
      <c r="EA25" s="44">
        <f>IFERROR(_xlfn.IFS($C25="1",'Inputs-System'!$C$30*'Coincidence Factors'!$B$7*(1+'Inputs-System'!$C$18)*(1+'Inputs-System'!$C$41)*'Inputs-Proposals'!$F$17*'Inputs-Proposals'!$F$19*('Inputs-Proposals'!$F$20)*(VLOOKUP(DZ$3,'Embedded Emissions'!$A$47:$B$78,2,FALSE)+VLOOKUP(DZ$3,'Embedded Emissions'!$A$129:$B$158,2,FALSE)), $C25 = "2",'Inputs-System'!$C$30*'Coincidence Factors'!$B$7*(1+'Inputs-System'!$C$18)*(1+'Inputs-System'!$C$41)*'Inputs-Proposals'!$F$23*'Inputs-Proposals'!$F$25*('Inputs-Proposals'!$F$20)*(VLOOKUP(DZ$3,'Embedded Emissions'!$A$47:$B$78,2,FALSE)+VLOOKUP(DZ$3,'Embedded Emissions'!$A$129:$B$158,2,FALSE)), $C25 = "3", 'Inputs-System'!$C$30*'Coincidence Factors'!$B$7*(1+'Inputs-System'!$C$18)*(1+'Inputs-System'!$C$41)*'Inputs-Proposals'!$F$29*'Inputs-Proposals'!$F$31*('Inputs-Proposals'!$F$20)*(VLOOKUP(DZ$3,'Embedded Emissions'!$A$47:$B$78,2,FALSE)+VLOOKUP(DZ$3,'Embedded Emissions'!$A$129:$B$158,2,FALSE)), $C25 = "0", 0), 0)</f>
        <v>0</v>
      </c>
      <c r="EB25" s="44">
        <f>IFERROR(_xlfn.IFS($C25="1",( 'Inputs-System'!$C$30*'Coincidence Factors'!$B$7*(1+'Inputs-System'!$C$18)*(1+'Inputs-System'!$C$41))*('Inputs-Proposals'!$F$17*'Inputs-Proposals'!$F$19*('Inputs-Proposals'!$F$20))*(VLOOKUP(DZ$3,DRIPE!$A$54:$I$82,5,FALSE)+VLOOKUP(DZ$3,DRIPE!$A$54:$I$82,9,FALSE))+ ('Inputs-System'!$C$26*'Coincidence Factors'!$B$7*(1+'Inputs-System'!$C$18)*(1+'Inputs-System'!$C$42))*'Inputs-Proposals'!$F$16*VLOOKUP(DZ$3,DRIPE!$A$54:$I$82,8,FALSE), $C25 = "2",( 'Inputs-System'!$C$30*'Coincidence Factors'!$B$7*(1+'Inputs-System'!$C$18)*(1+'Inputs-System'!$C$41))*('Inputs-Proposals'!$F$23*'Inputs-Proposals'!$F$25*('Inputs-Proposals'!$F$26))*(VLOOKUP(DZ$3,DRIPE!$A$54:$I$82,5,FALSE)+VLOOKUP(DZ$3,DRIPE!$A$54:$I$82,12,FALSE))+ ('Inputs-System'!$C$26*'Coincidence Factors'!$B$7*(1+'Inputs-System'!$C$18)*(1+'Inputs-System'!$C$42))*'Inputs-Proposals'!$F$22*VLOOKUP(DZ$3,DRIPE!$A$54:$I$82,8,FALSE), $C25= "3", ( 'Inputs-System'!$C$30*'Coincidence Factors'!$B$7*(1+'Inputs-System'!$C$18)*(1+'Inputs-System'!$C$41))*('Inputs-Proposals'!$F$29*'Inputs-Proposals'!$F$31*('Inputs-Proposals'!$F$32))*(VLOOKUP(DZ$3,DRIPE!$A$54:$I$82,5,FALSE)+VLOOKUP(DZ$3,DRIPE!$A$54:$I$82,12,FALSE))+ ('Inputs-System'!$C$26*'Coincidence Factors'!$B$7*(1+'Inputs-System'!$C$18)*(1+'Inputs-System'!$C$42))*'Inputs-Proposals'!$F$28*VLOOKUP(DZ$3,DRIPE!$A$54:$I$82,8,FALSE), $C25 = "0", 0), 0)</f>
        <v>0</v>
      </c>
      <c r="EC25" s="45">
        <f>IFERROR(_xlfn.IFS($C25="1",('Inputs-System'!$C$26*'Coincidence Factors'!$B$7*(1+'Inputs-System'!$C$18))*'Inputs-Proposals'!$F$16*(VLOOKUP(DZ$3,Capacity!$A$53:$E$85,4,FALSE)*(1+'Inputs-System'!$C$42)+VLOOKUP(DZ$3,Capacity!$A$53:$E$85,5,FALSE)*'Inputs-System'!$C$29*(1+'Inputs-System'!$C$43)), $C25 = "2", ('Inputs-System'!$C$26*'Coincidence Factors'!$B$7*(1+'Inputs-System'!$C$18))*'Inputs-Proposals'!$F$22*(VLOOKUP(DZ$3,Capacity!$A$53:$E$85,4,FALSE)*(1+'Inputs-System'!$C$42)+VLOOKUP(DZ$3,Capacity!$A$53:$E$85,5,FALSE)*'Inputs-System'!$C$29*(1+'Inputs-System'!$C$43)), $C25 = "3",('Inputs-System'!$C$26*'Coincidence Factors'!$B$7*(1+'Inputs-System'!$C$18))*'Inputs-Proposals'!$F$28*(VLOOKUP(DZ$3,Capacity!$A$53:$E$85,4,FALSE)*(1+'Inputs-System'!$C$42)+VLOOKUP(DZ$3,Capacity!$A$53:$E$85,5,FALSE)*'Inputs-System'!$C$29*(1+'Inputs-System'!$C$43)), $C25 = "0", 0), 0)</f>
        <v>0</v>
      </c>
      <c r="ED25" s="44">
        <v>0</v>
      </c>
      <c r="EE25" s="342">
        <f>IFERROR(_xlfn.IFS($C25="1", 'Inputs-System'!$C$30*'Coincidence Factors'!$B$7*'Inputs-Proposals'!$F$17*'Inputs-Proposals'!$F$19*(VLOOKUP(DZ$3,'Non-Embedded Emissions'!$A$56:$D$90,2,FALSE)+VLOOKUP(DZ$3,'Non-Embedded Emissions'!$A$143:$D$174,2,FALSE)+VLOOKUP(DZ$3,'Non-Embedded Emissions'!$A$230:$D$259,2,FALSE)), $C25 = "2", 'Inputs-System'!$C$30*'Coincidence Factors'!$B$7*'Inputs-Proposals'!$F$23*'Inputs-Proposals'!$F$25*(VLOOKUP(DZ$3,'Non-Embedded Emissions'!$A$56:$D$90,2,FALSE)+VLOOKUP(DZ$3,'Non-Embedded Emissions'!$A$143:$D$174,2,FALSE)+VLOOKUP(DZ$3,'Non-Embedded Emissions'!$A$230:$D$259,2,FALSE)), $C25 = "3", 'Inputs-System'!$C$30*'Coincidence Factors'!$B$7*'Inputs-Proposals'!$F$29*'Inputs-Proposals'!$F$31*(VLOOKUP(DZ$3,'Non-Embedded Emissions'!$A$56:$D$90,2,FALSE)+VLOOKUP(DZ$3,'Non-Embedded Emissions'!$A$143:$D$174,2,FALSE)+VLOOKUP(DZ$3,'Non-Embedded Emissions'!$A$230:$D$259,2,FALSE)), $C25 = "0", 0), 0)</f>
        <v>0</v>
      </c>
    </row>
    <row r="26" spans="1:135" x14ac:dyDescent="0.35">
      <c r="A26" s="708"/>
      <c r="B26" s="3" t="s">
        <v>160</v>
      </c>
      <c r="C26" s="3" t="str">
        <f>IFERROR(_xlfn.IFS('Benefits Calc'!B26='Inputs-Proposals'!$F$15, "1", 'Benefits Calc'!B26='Inputs-Proposals'!$F$21, "2", 'Benefits Calc'!B26='Inputs-Proposals'!$F$27, "3"), "0")</f>
        <v>0</v>
      </c>
      <c r="D26" s="323">
        <f t="shared" si="0"/>
        <v>0</v>
      </c>
      <c r="E26" s="44">
        <f t="shared" si="1"/>
        <v>0</v>
      </c>
      <c r="F26" s="44">
        <f t="shared" si="2"/>
        <v>0</v>
      </c>
      <c r="G26" s="44">
        <f t="shared" si="3"/>
        <v>0</v>
      </c>
      <c r="H26" s="44">
        <f t="shared" si="4"/>
        <v>0</v>
      </c>
      <c r="I26" s="44">
        <f t="shared" si="5"/>
        <v>0</v>
      </c>
      <c r="J26" s="323">
        <f>NPV('Inputs-System'!$C$20,P26+V26+AB26+AH26+AN26+AT26+AZ26+BF26+BL26+BR26+BX26+CD26+CJ26+CP26+CV26+DB26+DH26+DN26+DT26+DZ26)</f>
        <v>0</v>
      </c>
      <c r="K26" s="44">
        <f>NPV('Inputs-System'!$C$20,Q26+W26+AC26+AI26+AO26+AU26+BA26+BG26+BM26+BS26+BY26+CE26+CK26+CQ26+CW26+DC26+DI26+DO26+DU26+EA26)</f>
        <v>0</v>
      </c>
      <c r="L26" s="44">
        <f>NPV('Inputs-System'!$C$20,R26+X26+AD26+AJ26+AP26+AV26+BB26+BH26+BN26+BT26+BZ26+CF26+CL26+CR26+CX26+DD26+DJ26+DP26+DV26+EB26)</f>
        <v>0</v>
      </c>
      <c r="M26" s="44">
        <f>NPV('Inputs-System'!$C$20,S26+Y26+AE26+AK26+AQ26+AW26+BC26+BI26+BO26+BU26+CA26+CG26+CM26+CS26+CY26+DE26+DK26+DQ26+DW26+EC26)</f>
        <v>0</v>
      </c>
      <c r="N26" s="44">
        <f>NPV('Inputs-System'!$C$20,T26+Z26+AF26+AL26+AR26+AX26+BD26+BJ26+BP26+BV26+CB26+CH26+CN26+CT26+CZ26+DF26+DL26+DR26+DX26+ED26)</f>
        <v>0</v>
      </c>
      <c r="O26" s="44">
        <f>NPV('Inputs-System'!$C$20,U26+AA26+AG26+AM26+AS26+AY26+BE26+BK26+BQ26+BW26+CC26+CI26+CO26+CU26+DA26+DG26+DM26+DS26+DY26+EE26)</f>
        <v>0</v>
      </c>
      <c r="P26" s="347">
        <f>IFERROR(_xlfn.IFS($C26="1",('Inputs-System'!$C$30*'Coincidence Factors'!$B$8*(1+'Inputs-System'!$C$18)*(1+'Inputs-System'!$C$41)*('Inputs-Proposals'!$F$17*'Inputs-Proposals'!$F$19*('Inputs-Proposals'!$F$20))*(VLOOKUP(P$3,Energy!$A$51:$K$83,5,FALSE))), $C26 = "2",('Inputs-System'!$C$30*'Coincidence Factors'!$B$8)*(1+'Inputs-System'!$C$18)*(1+'Inputs-System'!$C$41)*('Inputs-Proposals'!$F$23*'Inputs-Proposals'!$F$25*('Inputs-Proposals'!$F$26))*(VLOOKUP(P$3,Energy!$A$51:$K$83,5,FALSE)), $C26= "3", ('Inputs-System'!$C$30*'Coincidence Factors'!$B$8*(1+'Inputs-System'!$C$18)*(1+'Inputs-System'!$C$41)*('Inputs-Proposals'!$F$29*'Inputs-Proposals'!$F$31*('Inputs-Proposals'!$F$32))*(VLOOKUP(P$3,Energy!$A$51:$K$83,5,FALSE))), $C26= "0", 0), 0)</f>
        <v>0</v>
      </c>
      <c r="Q26" s="44">
        <f>IFERROR(_xlfn.IFS($C26="1",'Inputs-System'!$C$30*'Coincidence Factors'!$B$8*(1+'Inputs-System'!$C$18)*(1+'Inputs-System'!$C$41)*'Inputs-Proposals'!$F$17*'Inputs-Proposals'!$F$19*('Inputs-Proposals'!$F$20)*(VLOOKUP(P$3,'Embedded Emissions'!$A$47:$B$78,2,FALSE)+VLOOKUP(P$3,'Embedded Emissions'!$A$129:$B$158,2,FALSE)), $C26 = "2", 'Inputs-System'!$C$30*'Coincidence Factors'!$B$8*(1+'Inputs-System'!$C$18)*(1+'Inputs-System'!$C$41)*'Inputs-Proposals'!$F$23*'Inputs-Proposals'!$F$25*('Inputs-Proposals'!$F$20)*(VLOOKUP(P$3,'Embedded Emissions'!$A$47:$B$78,2,FALSE)+VLOOKUP(P$3,'Embedded Emissions'!$A$129:$B$158,2,FALSE)), $C26 = "3",'Inputs-System'!$C$30*'Coincidence Factors'!$B$8*(1+'Inputs-System'!$C$18)*(1+'Inputs-System'!$C$41)*'Inputs-Proposals'!$F$29*'Inputs-Proposals'!$F$31*('Inputs-Proposals'!$F$20)*(VLOOKUP(P$3,'Embedded Emissions'!$A$47:$B$78,2,FALSE)+VLOOKUP(P$3,'Embedded Emissions'!$A$129:$B$158,2,FALSE)), $C26 = "0", 0), 0)</f>
        <v>0</v>
      </c>
      <c r="R26" s="44">
        <f>IFERROR(_xlfn.IFS($C26="1",( 'Inputs-System'!$C$30*'Coincidence Factors'!$B$8*(1+'Inputs-System'!$C$18)*(1+'Inputs-System'!$C$41))*('Inputs-Proposals'!$F$17*'Inputs-Proposals'!$F$19*('Inputs-Proposals'!$F$20))*(VLOOKUP(P$3,DRIPE!$A$54:$I$82,5,FALSE)+VLOOKUP(P$3,DRIPE!$A$54:$I$82,9,FALSE))+ ('Inputs-System'!$C$26*'Coincidence Factors'!$B$8*(1+'Inputs-System'!$C$18)*(1+'Inputs-System'!$C$42))*'Inputs-Proposals'!$F$16*VLOOKUP(P$3,DRIPE!$A$54:$I$82,8,FALSE), $C26 = "2",( 'Inputs-System'!$C$30*'Coincidence Factors'!$B$8*(1+'Inputs-System'!$C$18)*(1+'Inputs-System'!$C$41))*('Inputs-Proposals'!$F$23*'Inputs-Proposals'!$F$25*('Inputs-Proposals'!$F$26))*(VLOOKUP(P$3,DRIPE!$A$54:$I$82,5,FALSE)+VLOOKUP(P$3,DRIPE!$A$54:$I$82,9,FALSE))+  ('Inputs-System'!$C$26*'Coincidence Factors'!$B$8*(1+'Inputs-System'!$C$18)*(1+'Inputs-System'!$C$42))*'Inputs-Proposals'!$F$22*VLOOKUP(P$3,DRIPE!$A$54:$I$82,8,FALSE), $C26= "3", ( 'Inputs-System'!$C$30*'Coincidence Factors'!$B$8*(1+'Inputs-System'!$C$18)*(1+'Inputs-System'!$C$41))*('Inputs-Proposals'!$F$29*'Inputs-Proposals'!$F$31*('Inputs-Proposals'!$F$32))*(VLOOKUP(P$3,DRIPE!$A$54:$I$82,5,FALSE)+VLOOKUP(P$3,DRIPE!$A$54:$I$82,9,FALSE))+  ('Inputs-System'!$C$26*'Coincidence Factors'!$B$8*(1+'Inputs-System'!$C$18)*(1+'Inputs-System'!$C$42))*'Inputs-Proposals'!$F$28*VLOOKUP(P$3,DRIPE!$A$54:$I$82,8,FALSE), $C26 = "0", 0), 0)</f>
        <v>0</v>
      </c>
      <c r="S26" s="45">
        <f>IFERROR(_xlfn.IFS($C26="1",('Inputs-System'!$C$30*'Coincidence Factors'!$B$8*(1+'Inputs-System'!$C$18))*'Inputs-Proposals'!$F$16*(VLOOKUP(P$3,Capacity!$A$53:$E$85,4,FALSE)*(1+'Inputs-System'!$C$42)+VLOOKUP(P$3,Capacity!$A$53:$E$85,5,FALSE)*'Inputs-System'!$C$29*(1+'Inputs-System'!$C$43)), $C26 = "2", ('Inputs-System'!$C$30*'Coincidence Factors'!$B$8*(1+'Inputs-System'!$C$18))*'Inputs-Proposals'!$F$22*(VLOOKUP(P$3,Capacity!$A$53:$E$85,4,FALSE)*(1+'Inputs-System'!$C$42)+VLOOKUP(P$3,Capacity!$A$53:$E$85,5,FALSE)*'Inputs-System'!$C$29*(1+'Inputs-System'!$C$43)), $C26 = "3",('Inputs-System'!$C$30*'Coincidence Factors'!$B$8*(1+'Inputs-System'!$C$18))*'Inputs-Proposals'!$F$28*(VLOOKUP(P$3,Capacity!$A$53:$E$85,4,FALSE)*(1+'Inputs-System'!$C$42)+VLOOKUP(P$3,Capacity!$A$53:$E$85,5,FALSE)*'Inputs-System'!$C$29*(1+'Inputs-System'!$C$43)), $C26 = "0", 0), 0)</f>
        <v>0</v>
      </c>
      <c r="T26" s="44">
        <v>0</v>
      </c>
      <c r="U26" s="342">
        <f>IFERROR(_xlfn.IFS($C26="1", 'Inputs-System'!$C$30*'Coincidence Factors'!$B$8*'Inputs-Proposals'!$F$17*'Inputs-Proposals'!$F$19*(VLOOKUP(P$3,'Non-Embedded Emissions'!$A$56:$D$90,2,FALSE)+VLOOKUP(P$3,'Non-Embedded Emissions'!$A$143:$D$174,2,FALSE)+VLOOKUP(P$3,'Non-Embedded Emissions'!$A$230:$D$259,2,FALSE)), $C26 = "2", 'Inputs-System'!$C$30*'Coincidence Factors'!$B$8*'Inputs-Proposals'!$F$23*'Inputs-Proposals'!$F$25*(VLOOKUP(P$3,'Non-Embedded Emissions'!$A$56:$D$90,2,FALSE)+VLOOKUP(P$3,'Non-Embedded Emissions'!$A$143:$D$174,2,FALSE)+VLOOKUP(P$3,'Non-Embedded Emissions'!$A$230:$D$259,2,FALSE)), $C26 = "3", 'Inputs-System'!$C$30*'Coincidence Factors'!$B$8*'Inputs-Proposals'!$F$29*'Inputs-Proposals'!$F$31*(VLOOKUP(P$3,'Non-Embedded Emissions'!$A$56:$D$90,2,FALSE)+VLOOKUP(P$3,'Non-Embedded Emissions'!$A$143:$D$174,2,FALSE)+VLOOKUP(P$3,'Non-Embedded Emissions'!$A$230:$D$259,2,FALSE)), $C26 = "0", 0), 0)</f>
        <v>0</v>
      </c>
      <c r="V26" s="45">
        <f>IFERROR(_xlfn.IFS($C26="1",('Inputs-System'!$C$30*'Coincidence Factors'!$B$8*(1+'Inputs-System'!$C$18)*(1+'Inputs-System'!$C$41)*('Inputs-Proposals'!$F$17*'Inputs-Proposals'!$F$19*('Inputs-Proposals'!$F$20))*(VLOOKUP(V$3,Energy!$A$51:$K$83,5,FALSE))), $C26 = "2",('Inputs-System'!$C$30*'Coincidence Factors'!$B$8)*(1+'Inputs-System'!$C$18)*(1+'Inputs-System'!$C$41)*('Inputs-Proposals'!$F$23*'Inputs-Proposals'!$F$25*('Inputs-Proposals'!$F$26))*(VLOOKUP(V$3,Energy!$A$51:$K$83,5,FALSE)), $C26= "3", ('Inputs-System'!$C$30*'Coincidence Factors'!$B$8*(1+'Inputs-System'!$C$18)*(1+'Inputs-System'!$C$41)*('Inputs-Proposals'!$F$29*'Inputs-Proposals'!$F$31*('Inputs-Proposals'!$F$32))*(VLOOKUP(V$3,Energy!$A$51:$K$83,5,FALSE))), $C26= "0", 0), 0)</f>
        <v>0</v>
      </c>
      <c r="W26" s="44">
        <f>IFERROR(_xlfn.IFS($C26="1",'Inputs-System'!$C$30*'Coincidence Factors'!$B$8*(1+'Inputs-System'!$C$18)*(1+'Inputs-System'!$C$41)*'Inputs-Proposals'!$F$17*'Inputs-Proposals'!$F$19*('Inputs-Proposals'!$F$20)*(VLOOKUP(V$3,'Embedded Emissions'!$A$47:$B$78,2,FALSE)+VLOOKUP(V$3,'Embedded Emissions'!$A$129:$B$158,2,FALSE)), $C26 = "2", 'Inputs-System'!$C$30*'Coincidence Factors'!$B$8*(1+'Inputs-System'!$C$18)*(1+'Inputs-System'!$C$41)*'Inputs-Proposals'!$F$23*'Inputs-Proposals'!$F$25*('Inputs-Proposals'!$F$20)*(VLOOKUP(V$3,'Embedded Emissions'!$A$47:$B$78,2,FALSE)+VLOOKUP(V$3,'Embedded Emissions'!$A$129:$B$158,2,FALSE)), $C26 = "3",'Inputs-System'!$C$30*'Coincidence Factors'!$B$8*(1+'Inputs-System'!$C$18)*(1+'Inputs-System'!$C$41)*'Inputs-Proposals'!$F$29*'Inputs-Proposals'!$F$31*('Inputs-Proposals'!$F$20)*(VLOOKUP(V$3,'Embedded Emissions'!$A$47:$B$78,2,FALSE)+VLOOKUP(V$3,'Embedded Emissions'!$A$129:$B$158,2,FALSE)), $C26 = "0", 0), 0)</f>
        <v>0</v>
      </c>
      <c r="X26" s="44">
        <f>IFERROR(_xlfn.IFS($C26="1",( 'Inputs-System'!$C$30*'Coincidence Factors'!$B$8*(1+'Inputs-System'!$C$18)*(1+'Inputs-System'!$C$41))*('Inputs-Proposals'!$F$17*'Inputs-Proposals'!$F$19*('Inputs-Proposals'!$F$20))*(VLOOKUP(V$3,DRIPE!$A$54:$I$82,5,FALSE)+VLOOKUP(V$3,DRIPE!$A$54:$I$82,9,FALSE))+ ('Inputs-System'!$C$26*'Coincidence Factors'!$B$8*(1+'Inputs-System'!$C$18)*(1+'Inputs-System'!$C$42))*'Inputs-Proposals'!$F$16*VLOOKUP(V$3,DRIPE!$A$54:$I$82,8,FALSE), $C26 = "2",( 'Inputs-System'!$C$30*'Coincidence Factors'!$B$8*(1+'Inputs-System'!$C$18)*(1+'Inputs-System'!$C$41))*('Inputs-Proposals'!$F$23*'Inputs-Proposals'!$F$25*('Inputs-Proposals'!$F$26))*(VLOOKUP(V$3,DRIPE!$A$54:$I$82,5,FALSE)+VLOOKUP(V$3,DRIPE!$A$54:$I$82,9,FALSE))+  ('Inputs-System'!$C$26*'Coincidence Factors'!$B$8*(1+'Inputs-System'!$C$18)*(1+'Inputs-System'!$C$42))*'Inputs-Proposals'!$F$22*VLOOKUP(V$3,DRIPE!$A$54:$I$82,8,FALSE), $C26= "3", ( 'Inputs-System'!$C$30*'Coincidence Factors'!$B$8*(1+'Inputs-System'!$C$18)*(1+'Inputs-System'!$C$41))*('Inputs-Proposals'!$F$29*'Inputs-Proposals'!$F$31*('Inputs-Proposals'!$F$32))*(VLOOKUP(V$3,DRIPE!$A$54:$I$82,5,FALSE)+VLOOKUP(V$3,DRIPE!$A$54:$I$82,9,FALSE))+  ('Inputs-System'!$C$26*'Coincidence Factors'!$B$8*(1+'Inputs-System'!$C$18)*(1+'Inputs-System'!$C$42))*'Inputs-Proposals'!$F$28*VLOOKUP(V$3,DRIPE!$A$54:$I$82,8,FALSE), $C26 = "0", 0), 0)</f>
        <v>0</v>
      </c>
      <c r="Y26" s="45">
        <f>IFERROR(_xlfn.IFS($C26="1",('Inputs-System'!$C$30*'Coincidence Factors'!$B$8*(1+'Inputs-System'!$C$18))*'Inputs-Proposals'!$F$16*(VLOOKUP(V$3,Capacity!$A$53:$E$85,4,FALSE)*(1+'Inputs-System'!$C$42)+VLOOKUP(V$3,Capacity!$A$53:$E$85,5,FALSE)*'Inputs-System'!$C$29*(1+'Inputs-System'!$C$43)), $C26 = "2", ('Inputs-System'!$C$30*'Coincidence Factors'!$B$8*(1+'Inputs-System'!$C$18))*'Inputs-Proposals'!$F$22*(VLOOKUP(V$3,Capacity!$A$53:$E$85,4,FALSE)*(1+'Inputs-System'!$C$42)+VLOOKUP(V$3,Capacity!$A$53:$E$85,5,FALSE)*'Inputs-System'!$C$29*(1+'Inputs-System'!$C$43)), $C26 = "3",('Inputs-System'!$C$30*'Coincidence Factors'!$B$8*(1+'Inputs-System'!$C$18))*'Inputs-Proposals'!$F$28*(VLOOKUP(V$3,Capacity!$A$53:$E$85,4,FALSE)*(1+'Inputs-System'!$C$42)+VLOOKUP(V$3,Capacity!$A$53:$E$85,5,FALSE)*'Inputs-System'!$C$29*(1+'Inputs-System'!$C$43)), $C26 = "0", 0), 0)</f>
        <v>0</v>
      </c>
      <c r="Z26" s="44">
        <v>0</v>
      </c>
      <c r="AA26" s="342">
        <f>IFERROR(_xlfn.IFS($C26="1", 'Inputs-System'!$C$30*'Coincidence Factors'!$B$8*'Inputs-Proposals'!$F$17*'Inputs-Proposals'!$F$19*(VLOOKUP(V$3,'Non-Embedded Emissions'!$A$56:$D$90,2,FALSE)+VLOOKUP(V$3,'Non-Embedded Emissions'!$A$143:$D$174,2,FALSE)+VLOOKUP(V$3,'Non-Embedded Emissions'!$A$230:$D$259,2,FALSE)), $C26 = "2", 'Inputs-System'!$C$30*'Coincidence Factors'!$B$8*'Inputs-Proposals'!$F$23*'Inputs-Proposals'!$F$25*(VLOOKUP(V$3,'Non-Embedded Emissions'!$A$56:$D$90,2,FALSE)+VLOOKUP(V$3,'Non-Embedded Emissions'!$A$143:$D$174,2,FALSE)+VLOOKUP(V$3,'Non-Embedded Emissions'!$A$230:$D$259,2,FALSE)), $C26 = "3", 'Inputs-System'!$C$30*'Coincidence Factors'!$B$8*'Inputs-Proposals'!$F$29*'Inputs-Proposals'!$F$31*(VLOOKUP(V$3,'Non-Embedded Emissions'!$A$56:$D$90,2,FALSE)+VLOOKUP(V$3,'Non-Embedded Emissions'!$A$143:$D$174,2,FALSE)+VLOOKUP(V$3,'Non-Embedded Emissions'!$A$230:$D$259,2,FALSE)), $C26 = "0", 0), 0)</f>
        <v>0</v>
      </c>
      <c r="AB26" s="45">
        <f>IFERROR(_xlfn.IFS($C26="1",('Inputs-System'!$C$30*'Coincidence Factors'!$B$8*(1+'Inputs-System'!$C$18)*(1+'Inputs-System'!$C$41)*('Inputs-Proposals'!$F$17*'Inputs-Proposals'!$F$19*('Inputs-Proposals'!$F$20))*(VLOOKUP(AB$3,Energy!$A$51:$K$83,5,FALSE))), $C26 = "2",('Inputs-System'!$C$30*'Coincidence Factors'!$B$8)*(1+'Inputs-System'!$C$18)*(1+'Inputs-System'!$C$41)*('Inputs-Proposals'!$F$23*'Inputs-Proposals'!$F$25*('Inputs-Proposals'!$F$26))*(VLOOKUP(AB$3,Energy!$A$51:$K$83,5,FALSE)), $C26= "3", ('Inputs-System'!$C$30*'Coincidence Factors'!$B$8*(1+'Inputs-System'!$C$18)*(1+'Inputs-System'!$C$41)*('Inputs-Proposals'!$F$29*'Inputs-Proposals'!$F$31*('Inputs-Proposals'!$F$32))*(VLOOKUP(AB$3,Energy!$A$51:$K$83,5,FALSE))), $C26= "0", 0), 0)</f>
        <v>0</v>
      </c>
      <c r="AC26" s="44">
        <f>IFERROR(_xlfn.IFS($C26="1",'Inputs-System'!$C$30*'Coincidence Factors'!$B$8*(1+'Inputs-System'!$C$18)*(1+'Inputs-System'!$C$41)*'Inputs-Proposals'!$F$17*'Inputs-Proposals'!$F$19*('Inputs-Proposals'!$F$20)*(VLOOKUP(AB$3,'Embedded Emissions'!$A$47:$B$78,2,FALSE)+VLOOKUP(AB$3,'Embedded Emissions'!$A$129:$B$158,2,FALSE)), $C26 = "2", 'Inputs-System'!$C$30*'Coincidence Factors'!$B$8*(1+'Inputs-System'!$C$18)*(1+'Inputs-System'!$C$41)*'Inputs-Proposals'!$F$23*'Inputs-Proposals'!$F$25*('Inputs-Proposals'!$F$20)*(VLOOKUP(AB$3,'Embedded Emissions'!$A$47:$B$78,2,FALSE)+VLOOKUP(AB$3,'Embedded Emissions'!$A$129:$B$158,2,FALSE)), $C26 = "3",'Inputs-System'!$C$30*'Coincidence Factors'!$B$8*(1+'Inputs-System'!$C$18)*(1+'Inputs-System'!$C$41)*'Inputs-Proposals'!$F$29*'Inputs-Proposals'!$F$31*('Inputs-Proposals'!$F$20)*(VLOOKUP(AB$3,'Embedded Emissions'!$A$47:$B$78,2,FALSE)+VLOOKUP(AB$3,'Embedded Emissions'!$A$129:$B$158,2,FALSE)), $C26 = "0", 0), 0)</f>
        <v>0</v>
      </c>
      <c r="AD26" s="44">
        <f>IFERROR(_xlfn.IFS($C26="1",( 'Inputs-System'!$C$30*'Coincidence Factors'!$B$8*(1+'Inputs-System'!$C$18)*(1+'Inputs-System'!$C$41))*('Inputs-Proposals'!$F$17*'Inputs-Proposals'!$F$19*('Inputs-Proposals'!$F$20))*(VLOOKUP(AB$3,DRIPE!$A$54:$I$82,5,FALSE)+VLOOKUP(AB$3,DRIPE!$A$54:$I$82,9,FALSE))+ ('Inputs-System'!$C$26*'Coincidence Factors'!$B$8*(1+'Inputs-System'!$C$18)*(1+'Inputs-System'!$C$42))*'Inputs-Proposals'!$F$16*VLOOKUP(AB$3,DRIPE!$A$54:$I$82,8,FALSE), $C26 = "2",( 'Inputs-System'!$C$30*'Coincidence Factors'!$B$8*(1+'Inputs-System'!$C$18)*(1+'Inputs-System'!$C$41))*('Inputs-Proposals'!$F$23*'Inputs-Proposals'!$F$25*('Inputs-Proposals'!$F$26))*(VLOOKUP(AB$3,DRIPE!$A$54:$I$82,5,FALSE)+VLOOKUP(AB$3,DRIPE!$A$54:$I$82,9,FALSE))+  ('Inputs-System'!$C$26*'Coincidence Factors'!$B$8*(1+'Inputs-System'!$C$18)*(1+'Inputs-System'!$C$42))*'Inputs-Proposals'!$F$22*VLOOKUP(AB$3,DRIPE!$A$54:$I$82,8,FALSE), $C26= "3", ( 'Inputs-System'!$C$30*'Coincidence Factors'!$B$8*(1+'Inputs-System'!$C$18)*(1+'Inputs-System'!$C$41))*('Inputs-Proposals'!$F$29*'Inputs-Proposals'!$F$31*('Inputs-Proposals'!$F$32))*(VLOOKUP(AB$3,DRIPE!$A$54:$I$82,5,FALSE)+VLOOKUP(AB$3,DRIPE!$A$54:$I$82,9,FALSE))+  ('Inputs-System'!$C$26*'Coincidence Factors'!$B$8*(1+'Inputs-System'!$C$18)*(1+'Inputs-System'!$C$42))*'Inputs-Proposals'!$F$28*VLOOKUP(AB$3,DRIPE!$A$54:$I$82,8,FALSE), $C26 = "0", 0), 0)</f>
        <v>0</v>
      </c>
      <c r="AE26" s="45">
        <f>IFERROR(_xlfn.IFS($C26="1",('Inputs-System'!$C$30*'Coincidence Factors'!$B$8*(1+'Inputs-System'!$C$18))*'Inputs-Proposals'!$F$16*(VLOOKUP(AB$3,Capacity!$A$53:$E$85,4,FALSE)*(1+'Inputs-System'!$C$42)+VLOOKUP(AB$3,Capacity!$A$53:$E$85,5,FALSE)*'Inputs-System'!$C$29*(1+'Inputs-System'!$C$43)), $C26 = "2", ('Inputs-System'!$C$30*'Coincidence Factors'!$B$8*(1+'Inputs-System'!$C$18))*'Inputs-Proposals'!$F$22*(VLOOKUP(AB$3,Capacity!$A$53:$E$85,4,FALSE)*(1+'Inputs-System'!$C$42)+VLOOKUP(AB$3,Capacity!$A$53:$E$85,5,FALSE)*'Inputs-System'!$C$29*(1+'Inputs-System'!$C$43)), $C26 = "3",('Inputs-System'!$C$30*'Coincidence Factors'!$B$8*(1+'Inputs-System'!$C$18))*'Inputs-Proposals'!$F$28*(VLOOKUP(AB$3,Capacity!$A$53:$E$85,4,FALSE)*(1+'Inputs-System'!$C$42)+VLOOKUP(AB$3,Capacity!$A$53:$E$85,5,FALSE)*'Inputs-System'!$C$29*(1+'Inputs-System'!$C$43)), $C26 = "0", 0), 0)</f>
        <v>0</v>
      </c>
      <c r="AF26" s="44">
        <v>0</v>
      </c>
      <c r="AG26" s="342">
        <f>IFERROR(_xlfn.IFS($C26="1", 'Inputs-System'!$C$30*'Coincidence Factors'!$B$8*'Inputs-Proposals'!$F$17*'Inputs-Proposals'!$F$19*(VLOOKUP(AB$3,'Non-Embedded Emissions'!$A$56:$D$90,2,FALSE)+VLOOKUP(AB$3,'Non-Embedded Emissions'!$A$143:$D$174,2,FALSE)+VLOOKUP(AB$3,'Non-Embedded Emissions'!$A$230:$D$259,2,FALSE)), $C26 = "2", 'Inputs-System'!$C$30*'Coincidence Factors'!$B$8*'Inputs-Proposals'!$F$23*'Inputs-Proposals'!$F$25*(VLOOKUP(AB$3,'Non-Embedded Emissions'!$A$56:$D$90,2,FALSE)+VLOOKUP(AB$3,'Non-Embedded Emissions'!$A$143:$D$174,2,FALSE)+VLOOKUP(AB$3,'Non-Embedded Emissions'!$A$230:$D$259,2,FALSE)), $C26 = "3", 'Inputs-System'!$C$30*'Coincidence Factors'!$B$8*'Inputs-Proposals'!$F$29*'Inputs-Proposals'!$F$31*(VLOOKUP(AB$3,'Non-Embedded Emissions'!$A$56:$D$90,2,FALSE)+VLOOKUP(AB$3,'Non-Embedded Emissions'!$A$143:$D$174,2,FALSE)+VLOOKUP(AB$3,'Non-Embedded Emissions'!$A$230:$D$259,2,FALSE)), $C26 = "0", 0), 0)</f>
        <v>0</v>
      </c>
      <c r="AH26" s="45">
        <f>IFERROR(_xlfn.IFS($C26="1",('Inputs-System'!$C$30*'Coincidence Factors'!$B$8*(1+'Inputs-System'!$C$18)*(1+'Inputs-System'!$C$41)*('Inputs-Proposals'!$F$17*'Inputs-Proposals'!$F$19*('Inputs-Proposals'!$F$20))*(VLOOKUP(AH$3,Energy!$A$51:$K$83,5,FALSE))), $C26 = "2",('Inputs-System'!$C$30*'Coincidence Factors'!$B$8)*(1+'Inputs-System'!$C$18)*(1+'Inputs-System'!$C$41)*('Inputs-Proposals'!$F$23*'Inputs-Proposals'!$F$25*('Inputs-Proposals'!$F$26))*(VLOOKUP(AH$3,Energy!$A$51:$K$83,5,FALSE)), $C26= "3", ('Inputs-System'!$C$30*'Coincidence Factors'!$B$8*(1+'Inputs-System'!$C$18)*(1+'Inputs-System'!$C$41)*('Inputs-Proposals'!$F$29*'Inputs-Proposals'!$F$31*('Inputs-Proposals'!$F$32))*(VLOOKUP(AH$3,Energy!$A$51:$K$83,5,FALSE))), $C26= "0", 0), 0)</f>
        <v>0</v>
      </c>
      <c r="AI26" s="44">
        <f>IFERROR(_xlfn.IFS($C26="1",'Inputs-System'!$C$30*'Coincidence Factors'!$B$8*(1+'Inputs-System'!$C$18)*(1+'Inputs-System'!$C$41)*'Inputs-Proposals'!$F$17*'Inputs-Proposals'!$F$19*('Inputs-Proposals'!$F$20)*(VLOOKUP(AH$3,'Embedded Emissions'!$A$47:$B$78,2,FALSE)+VLOOKUP(AH$3,'Embedded Emissions'!$A$129:$B$158,2,FALSE)), $C26 = "2", 'Inputs-System'!$C$30*'Coincidence Factors'!$B$8*(1+'Inputs-System'!$C$18)*(1+'Inputs-System'!$C$41)*'Inputs-Proposals'!$F$23*'Inputs-Proposals'!$F$25*('Inputs-Proposals'!$F$20)*(VLOOKUP(AH$3,'Embedded Emissions'!$A$47:$B$78,2,FALSE)+VLOOKUP(AH$3,'Embedded Emissions'!$A$129:$B$158,2,FALSE)), $C26 = "3",'Inputs-System'!$C$30*'Coincidence Factors'!$B$8*(1+'Inputs-System'!$C$18)*(1+'Inputs-System'!$C$41)*'Inputs-Proposals'!$F$29*'Inputs-Proposals'!$F$31*('Inputs-Proposals'!$F$20)*(VLOOKUP(AH$3,'Embedded Emissions'!$A$47:$B$78,2,FALSE)+VLOOKUP(AH$3,'Embedded Emissions'!$A$129:$B$158,2,FALSE)), $C26 = "0", 0), 0)</f>
        <v>0</v>
      </c>
      <c r="AJ26" s="44">
        <f>IFERROR(_xlfn.IFS($C26="1",( 'Inputs-System'!$C$30*'Coincidence Factors'!$B$8*(1+'Inputs-System'!$C$18)*(1+'Inputs-System'!$C$41))*('Inputs-Proposals'!$F$17*'Inputs-Proposals'!$F$19*('Inputs-Proposals'!$F$20))*(VLOOKUP(AH$3,DRIPE!$A$54:$I$82,5,FALSE)+VLOOKUP(AH$3,DRIPE!$A$54:$I$82,9,FALSE))+ ('Inputs-System'!$C$26*'Coincidence Factors'!$B$8*(1+'Inputs-System'!$C$18)*(1+'Inputs-System'!$C$42))*'Inputs-Proposals'!$F$16*VLOOKUP(AH$3,DRIPE!$A$54:$I$82,8,FALSE), $C26 = "2",( 'Inputs-System'!$C$30*'Coincidence Factors'!$B$8*(1+'Inputs-System'!$C$18)*(1+'Inputs-System'!$C$41))*('Inputs-Proposals'!$F$23*'Inputs-Proposals'!$F$25*('Inputs-Proposals'!$F$26))*(VLOOKUP(AH$3,DRIPE!$A$54:$I$82,5,FALSE)+VLOOKUP(AH$3,DRIPE!$A$54:$I$82,9,FALSE))+  ('Inputs-System'!$C$26*'Coincidence Factors'!$B$8*(1+'Inputs-System'!$C$18)*(1+'Inputs-System'!$C$42))*'Inputs-Proposals'!$F$22*VLOOKUP(AH$3,DRIPE!$A$54:$I$82,8,FALSE), $C26= "3", ( 'Inputs-System'!$C$30*'Coincidence Factors'!$B$8*(1+'Inputs-System'!$C$18)*(1+'Inputs-System'!$C$41))*('Inputs-Proposals'!$F$29*'Inputs-Proposals'!$F$31*('Inputs-Proposals'!$F$32))*(VLOOKUP(AH$3,DRIPE!$A$54:$I$82,5,FALSE)+VLOOKUP(AH$3,DRIPE!$A$54:$I$82,9,FALSE))+  ('Inputs-System'!$C$26*'Coincidence Factors'!$B$8*(1+'Inputs-System'!$C$18)*(1+'Inputs-System'!$C$42))*'Inputs-Proposals'!$F$28*VLOOKUP(AH$3,DRIPE!$A$54:$I$82,8,FALSE), $C26 = "0", 0), 0)</f>
        <v>0</v>
      </c>
      <c r="AK26" s="45">
        <f>IFERROR(_xlfn.IFS($C26="1",('Inputs-System'!$C$30*'Coincidence Factors'!$B$8*(1+'Inputs-System'!$C$18))*'Inputs-Proposals'!$F$16*(VLOOKUP(AH$3,Capacity!$A$53:$E$85,4,FALSE)*(1+'Inputs-System'!$C$42)+VLOOKUP(AH$3,Capacity!$A$53:$E$85,5,FALSE)*'Inputs-System'!$C$29*(1+'Inputs-System'!$C$43)), $C26 = "2", ('Inputs-System'!$C$30*'Coincidence Factors'!$B$8*(1+'Inputs-System'!$C$18))*'Inputs-Proposals'!$F$22*(VLOOKUP(AH$3,Capacity!$A$53:$E$85,4,FALSE)*(1+'Inputs-System'!$C$42)+VLOOKUP(AH$3,Capacity!$A$53:$E$85,5,FALSE)*'Inputs-System'!$C$29*(1+'Inputs-System'!$C$43)), $C26 = "3",('Inputs-System'!$C$30*'Coincidence Factors'!$B$8*(1+'Inputs-System'!$C$18))*'Inputs-Proposals'!$F$28*(VLOOKUP(AH$3,Capacity!$A$53:$E$85,4,FALSE)*(1+'Inputs-System'!$C$42)+VLOOKUP(AH$3,Capacity!$A$53:$E$85,5,FALSE)*'Inputs-System'!$C$29*(1+'Inputs-System'!$C$43)), $C26 = "0", 0), 0)</f>
        <v>0</v>
      </c>
      <c r="AL26" s="44">
        <v>0</v>
      </c>
      <c r="AM26" s="342">
        <f>IFERROR(_xlfn.IFS($C26="1", 'Inputs-System'!$C$30*'Coincidence Factors'!$B$8*'Inputs-Proposals'!$F$17*'Inputs-Proposals'!$F$19*(VLOOKUP(AH$3,'Non-Embedded Emissions'!$A$56:$D$90,2,FALSE)+VLOOKUP(AH$3,'Non-Embedded Emissions'!$A$143:$D$174,2,FALSE)+VLOOKUP(AH$3,'Non-Embedded Emissions'!$A$230:$D$259,2,FALSE)), $C26 = "2", 'Inputs-System'!$C$30*'Coincidence Factors'!$B$8*'Inputs-Proposals'!$F$23*'Inputs-Proposals'!$F$25*(VLOOKUP(AH$3,'Non-Embedded Emissions'!$A$56:$D$90,2,FALSE)+VLOOKUP(AH$3,'Non-Embedded Emissions'!$A$143:$D$174,2,FALSE)+VLOOKUP(AH$3,'Non-Embedded Emissions'!$A$230:$D$259,2,FALSE)), $C26 = "3", 'Inputs-System'!$C$30*'Coincidence Factors'!$B$8*'Inputs-Proposals'!$F$29*'Inputs-Proposals'!$F$31*(VLOOKUP(AH$3,'Non-Embedded Emissions'!$A$56:$D$90,2,FALSE)+VLOOKUP(AH$3,'Non-Embedded Emissions'!$A$143:$D$174,2,FALSE)+VLOOKUP(AH$3,'Non-Embedded Emissions'!$A$230:$D$259,2,FALSE)), $C26 = "0", 0), 0)</f>
        <v>0</v>
      </c>
      <c r="AN26" s="45">
        <f>IFERROR(_xlfn.IFS($C26="1",('Inputs-System'!$C$30*'Coincidence Factors'!$B$8*(1+'Inputs-System'!$C$18)*(1+'Inputs-System'!$C$41)*('Inputs-Proposals'!$F$17*'Inputs-Proposals'!$F$19*('Inputs-Proposals'!$F$20))*(VLOOKUP(AN$3,Energy!$A$51:$K$83,5,FALSE))), $C26 = "2",('Inputs-System'!$C$30*'Coincidence Factors'!$B$8)*(1+'Inputs-System'!$C$18)*(1+'Inputs-System'!$C$41)*('Inputs-Proposals'!$F$23*'Inputs-Proposals'!$F$25*('Inputs-Proposals'!$F$26))*(VLOOKUP(AN$3,Energy!$A$51:$K$83,5,FALSE)), $C26= "3", ('Inputs-System'!$C$30*'Coincidence Factors'!$B$8*(1+'Inputs-System'!$C$18)*(1+'Inputs-System'!$C$41)*('Inputs-Proposals'!$F$29*'Inputs-Proposals'!$F$31*('Inputs-Proposals'!$F$32))*(VLOOKUP(AN$3,Energy!$A$51:$K$83,5,FALSE))), $C26= "0", 0), 0)</f>
        <v>0</v>
      </c>
      <c r="AO26" s="44">
        <f>IFERROR(_xlfn.IFS($C26="1",'Inputs-System'!$C$30*'Coincidence Factors'!$B$8*(1+'Inputs-System'!$C$18)*(1+'Inputs-System'!$C$41)*'Inputs-Proposals'!$F$17*'Inputs-Proposals'!$F$19*('Inputs-Proposals'!$F$20)*(VLOOKUP(AN$3,'Embedded Emissions'!$A$47:$B$78,2,FALSE)+VLOOKUP(AN$3,'Embedded Emissions'!$A$129:$B$158,2,FALSE)), $C26 = "2", 'Inputs-System'!$C$30*'Coincidence Factors'!$B$8*(1+'Inputs-System'!$C$18)*(1+'Inputs-System'!$C$41)*'Inputs-Proposals'!$F$23*'Inputs-Proposals'!$F$25*('Inputs-Proposals'!$F$20)*(VLOOKUP(AN$3,'Embedded Emissions'!$A$47:$B$78,2,FALSE)+VLOOKUP(AN$3,'Embedded Emissions'!$A$129:$B$158,2,FALSE)), $C26 = "3",'Inputs-System'!$C$30*'Coincidence Factors'!$B$8*(1+'Inputs-System'!$C$18)*(1+'Inputs-System'!$C$41)*'Inputs-Proposals'!$F$29*'Inputs-Proposals'!$F$31*('Inputs-Proposals'!$F$20)*(VLOOKUP(AN$3,'Embedded Emissions'!$A$47:$B$78,2,FALSE)+VLOOKUP(AN$3,'Embedded Emissions'!$A$129:$B$158,2,FALSE)), $C26 = "0", 0), 0)</f>
        <v>0</v>
      </c>
      <c r="AP26" s="44">
        <f>IFERROR(_xlfn.IFS($C26="1",( 'Inputs-System'!$C$30*'Coincidence Factors'!$B$8*(1+'Inputs-System'!$C$18)*(1+'Inputs-System'!$C$41))*('Inputs-Proposals'!$F$17*'Inputs-Proposals'!$F$19*('Inputs-Proposals'!$F$20))*(VLOOKUP(AN$3,DRIPE!$A$54:$I$82,5,FALSE)+VLOOKUP(AN$3,DRIPE!$A$54:$I$82,9,FALSE))+ ('Inputs-System'!$C$26*'Coincidence Factors'!$B$8*(1+'Inputs-System'!$C$18)*(1+'Inputs-System'!$C$42))*'Inputs-Proposals'!$F$16*VLOOKUP(AN$3,DRIPE!$A$54:$I$82,8,FALSE), $C26 = "2",( 'Inputs-System'!$C$30*'Coincidence Factors'!$B$8*(1+'Inputs-System'!$C$18)*(1+'Inputs-System'!$C$41))*('Inputs-Proposals'!$F$23*'Inputs-Proposals'!$F$25*('Inputs-Proposals'!$F$26))*(VLOOKUP(AN$3,DRIPE!$A$54:$I$82,5,FALSE)+VLOOKUP(AN$3,DRIPE!$A$54:$I$82,9,FALSE))+  ('Inputs-System'!$C$26*'Coincidence Factors'!$B$8*(1+'Inputs-System'!$C$18)*(1+'Inputs-System'!$C$42))*'Inputs-Proposals'!$F$22*VLOOKUP(AN$3,DRIPE!$A$54:$I$82,8,FALSE), $C26= "3", ( 'Inputs-System'!$C$30*'Coincidence Factors'!$B$8*(1+'Inputs-System'!$C$18)*(1+'Inputs-System'!$C$41))*('Inputs-Proposals'!$F$29*'Inputs-Proposals'!$F$31*('Inputs-Proposals'!$F$32))*(VLOOKUP(AN$3,DRIPE!$A$54:$I$82,5,FALSE)+VLOOKUP(AN$3,DRIPE!$A$54:$I$82,9,FALSE))+  ('Inputs-System'!$C$26*'Coincidence Factors'!$B$8*(1+'Inputs-System'!$C$18)*(1+'Inputs-System'!$C$42))*'Inputs-Proposals'!$F$28*VLOOKUP(AN$3,DRIPE!$A$54:$I$82,8,FALSE), $C26 = "0", 0), 0)</f>
        <v>0</v>
      </c>
      <c r="AQ26" s="45">
        <f>IFERROR(_xlfn.IFS($C26="1",('Inputs-System'!$C$30*'Coincidence Factors'!$B$8*(1+'Inputs-System'!$C$18))*'Inputs-Proposals'!$F$16*(VLOOKUP(AN$3,Capacity!$A$53:$E$85,4,FALSE)*(1+'Inputs-System'!$C$42)+VLOOKUP(AN$3,Capacity!$A$53:$E$85,5,FALSE)*'Inputs-System'!$C$29*(1+'Inputs-System'!$C$43)), $C26 = "2", ('Inputs-System'!$C$30*'Coincidence Factors'!$B$8*(1+'Inputs-System'!$C$18))*'Inputs-Proposals'!$F$22*(VLOOKUP(AN$3,Capacity!$A$53:$E$85,4,FALSE)*(1+'Inputs-System'!$C$42)+VLOOKUP(AN$3,Capacity!$A$53:$E$85,5,FALSE)*'Inputs-System'!$C$29*(1+'Inputs-System'!$C$43)), $C26 = "3",('Inputs-System'!$C$30*'Coincidence Factors'!$B$8*(1+'Inputs-System'!$C$18))*'Inputs-Proposals'!$F$28*(VLOOKUP(AN$3,Capacity!$A$53:$E$85,4,FALSE)*(1+'Inputs-System'!$C$42)+VLOOKUP(AN$3,Capacity!$A$53:$E$85,5,FALSE)*'Inputs-System'!$C$29*(1+'Inputs-System'!$C$43)), $C26 = "0", 0), 0)</f>
        <v>0</v>
      </c>
      <c r="AR26" s="44">
        <v>0</v>
      </c>
      <c r="AS26" s="342">
        <f>IFERROR(_xlfn.IFS($C26="1", 'Inputs-System'!$C$30*'Coincidence Factors'!$B$8*'Inputs-Proposals'!$F$17*'Inputs-Proposals'!$F$19*(VLOOKUP(AN$3,'Non-Embedded Emissions'!$A$56:$D$90,2,FALSE)+VLOOKUP(AN$3,'Non-Embedded Emissions'!$A$143:$D$174,2,FALSE)+VLOOKUP(AN$3,'Non-Embedded Emissions'!$A$230:$D$259,2,FALSE)), $C26 = "2", 'Inputs-System'!$C$30*'Coincidence Factors'!$B$8*'Inputs-Proposals'!$F$23*'Inputs-Proposals'!$F$25*(VLOOKUP(AN$3,'Non-Embedded Emissions'!$A$56:$D$90,2,FALSE)+VLOOKUP(AN$3,'Non-Embedded Emissions'!$A$143:$D$174,2,FALSE)+VLOOKUP(AN$3,'Non-Embedded Emissions'!$A$230:$D$259,2,FALSE)), $C26 = "3", 'Inputs-System'!$C$30*'Coincidence Factors'!$B$8*'Inputs-Proposals'!$F$29*'Inputs-Proposals'!$F$31*(VLOOKUP(AN$3,'Non-Embedded Emissions'!$A$56:$D$90,2,FALSE)+VLOOKUP(AN$3,'Non-Embedded Emissions'!$A$143:$D$174,2,FALSE)+VLOOKUP(AN$3,'Non-Embedded Emissions'!$A$230:$D$259,2,FALSE)), $C26 = "0", 0), 0)</f>
        <v>0</v>
      </c>
      <c r="AT26" s="45">
        <f>IFERROR(_xlfn.IFS($C26="1",('Inputs-System'!$C$30*'Coincidence Factors'!$B$8*(1+'Inputs-System'!$C$18)*(1+'Inputs-System'!$C$41)*('Inputs-Proposals'!$F$17*'Inputs-Proposals'!$F$19*('Inputs-Proposals'!$F$20))*(VLOOKUP(AT$3,Energy!$A$51:$K$83,5,FALSE))), $C26 = "2",('Inputs-System'!$C$30*'Coincidence Factors'!$B$8)*(1+'Inputs-System'!$C$18)*(1+'Inputs-System'!$C$41)*('Inputs-Proposals'!$F$23*'Inputs-Proposals'!$F$25*('Inputs-Proposals'!$F$26))*(VLOOKUP(AT$3,Energy!$A$51:$K$83,5,FALSE)), $C26= "3", ('Inputs-System'!$C$30*'Coincidence Factors'!$B$8*(1+'Inputs-System'!$C$18)*(1+'Inputs-System'!$C$41)*('Inputs-Proposals'!$F$29*'Inputs-Proposals'!$F$31*('Inputs-Proposals'!$F$32))*(VLOOKUP(AT$3,Energy!$A$51:$K$83,5,FALSE))), $C26= "0", 0), 0)</f>
        <v>0</v>
      </c>
      <c r="AU26" s="44">
        <f>IFERROR(_xlfn.IFS($C26="1",'Inputs-System'!$C$30*'Coincidence Factors'!$B$8*(1+'Inputs-System'!$C$18)*(1+'Inputs-System'!$C$41)*'Inputs-Proposals'!$F$17*'Inputs-Proposals'!$F$19*('Inputs-Proposals'!$F$20)*(VLOOKUP(AT$3,'Embedded Emissions'!$A$47:$B$78,2,FALSE)+VLOOKUP(AT$3,'Embedded Emissions'!$A$129:$B$158,2,FALSE)), $C26 = "2", 'Inputs-System'!$C$30*'Coincidence Factors'!$B$8*(1+'Inputs-System'!$C$18)*(1+'Inputs-System'!$C$41)*'Inputs-Proposals'!$F$23*'Inputs-Proposals'!$F$25*('Inputs-Proposals'!$F$20)*(VLOOKUP(AT$3,'Embedded Emissions'!$A$47:$B$78,2,FALSE)+VLOOKUP(AT$3,'Embedded Emissions'!$A$129:$B$158,2,FALSE)), $C26 = "3",'Inputs-System'!$C$30*'Coincidence Factors'!$B$8*(1+'Inputs-System'!$C$18)*(1+'Inputs-System'!$C$41)*'Inputs-Proposals'!$F$29*'Inputs-Proposals'!$F$31*('Inputs-Proposals'!$F$20)*(VLOOKUP(AT$3,'Embedded Emissions'!$A$47:$B$78,2,FALSE)+VLOOKUP(AT$3,'Embedded Emissions'!$A$129:$B$158,2,FALSE)), $C26 = "0", 0), 0)</f>
        <v>0</v>
      </c>
      <c r="AV26" s="44">
        <f>IFERROR(_xlfn.IFS($C26="1",( 'Inputs-System'!$C$30*'Coincidence Factors'!$B$8*(1+'Inputs-System'!$C$18)*(1+'Inputs-System'!$C$41))*('Inputs-Proposals'!$F$17*'Inputs-Proposals'!$F$19*('Inputs-Proposals'!$F$20))*(VLOOKUP(AT$3,DRIPE!$A$54:$I$82,5,FALSE)+VLOOKUP(AT$3,DRIPE!$A$54:$I$82,9,FALSE))+ ('Inputs-System'!$C$26*'Coincidence Factors'!$B$8*(1+'Inputs-System'!$C$18)*(1+'Inputs-System'!$C$42))*'Inputs-Proposals'!$F$16*VLOOKUP(AT$3,DRIPE!$A$54:$I$82,8,FALSE), $C26 = "2",( 'Inputs-System'!$C$30*'Coincidence Factors'!$B$8*(1+'Inputs-System'!$C$18)*(1+'Inputs-System'!$C$41))*('Inputs-Proposals'!$F$23*'Inputs-Proposals'!$F$25*('Inputs-Proposals'!$F$26))*(VLOOKUP(AT$3,DRIPE!$A$54:$I$82,5,FALSE)+VLOOKUP(AT$3,DRIPE!$A$54:$I$82,9,FALSE))+  ('Inputs-System'!$C$26*'Coincidence Factors'!$B$8*(1+'Inputs-System'!$C$18)*(1+'Inputs-System'!$C$42))*'Inputs-Proposals'!$F$22*VLOOKUP(AT$3,DRIPE!$A$54:$I$82,8,FALSE), $C26= "3", ( 'Inputs-System'!$C$30*'Coincidence Factors'!$B$8*(1+'Inputs-System'!$C$18)*(1+'Inputs-System'!$C$41))*('Inputs-Proposals'!$F$29*'Inputs-Proposals'!$F$31*('Inputs-Proposals'!$F$32))*(VLOOKUP(AT$3,DRIPE!$A$54:$I$82,5,FALSE)+VLOOKUP(AT$3,DRIPE!$A$54:$I$82,9,FALSE))+  ('Inputs-System'!$C$26*'Coincidence Factors'!$B$8*(1+'Inputs-System'!$C$18)*(1+'Inputs-System'!$C$42))*'Inputs-Proposals'!$F$28*VLOOKUP(AT$3,DRIPE!$A$54:$I$82,8,FALSE), $C26 = "0", 0), 0)</f>
        <v>0</v>
      </c>
      <c r="AW26" s="45">
        <f>IFERROR(_xlfn.IFS($C26="1",('Inputs-System'!$C$30*'Coincidence Factors'!$B$8*(1+'Inputs-System'!$C$18))*'Inputs-Proposals'!$F$16*(VLOOKUP(AT$3,Capacity!$A$53:$E$85,4,FALSE)*(1+'Inputs-System'!$C$42)+VLOOKUP(AT$3,Capacity!$A$53:$E$85,5,FALSE)*'Inputs-System'!$C$29*(1+'Inputs-System'!$C$43)), $C26 = "2", ('Inputs-System'!$C$30*'Coincidence Factors'!$B$8*(1+'Inputs-System'!$C$18))*'Inputs-Proposals'!$F$22*(VLOOKUP(AT$3,Capacity!$A$53:$E$85,4,FALSE)*(1+'Inputs-System'!$C$42)+VLOOKUP(AT$3,Capacity!$A$53:$E$85,5,FALSE)*'Inputs-System'!$C$29*(1+'Inputs-System'!$C$43)), $C26 = "3",('Inputs-System'!$C$30*'Coincidence Factors'!$B$8*(1+'Inputs-System'!$C$18))*'Inputs-Proposals'!$F$28*(VLOOKUP(AT$3,Capacity!$A$53:$E$85,4,FALSE)*(1+'Inputs-System'!$C$42)+VLOOKUP(AT$3,Capacity!$A$53:$E$85,5,FALSE)*'Inputs-System'!$C$29*(1+'Inputs-System'!$C$43)), $C26 = "0", 0), 0)</f>
        <v>0</v>
      </c>
      <c r="AX26" s="44">
        <v>0</v>
      </c>
      <c r="AY26" s="342">
        <f>IFERROR(_xlfn.IFS($C26="1", 'Inputs-System'!$C$30*'Coincidence Factors'!$B$8*'Inputs-Proposals'!$F$17*'Inputs-Proposals'!$F$19*(VLOOKUP(AT$3,'Non-Embedded Emissions'!$A$56:$D$90,2,FALSE)+VLOOKUP(AT$3,'Non-Embedded Emissions'!$A$143:$D$174,2,FALSE)+VLOOKUP(AT$3,'Non-Embedded Emissions'!$A$230:$D$259,2,FALSE)), $C26 = "2", 'Inputs-System'!$C$30*'Coincidence Factors'!$B$8*'Inputs-Proposals'!$F$23*'Inputs-Proposals'!$F$25*(VLOOKUP(AT$3,'Non-Embedded Emissions'!$A$56:$D$90,2,FALSE)+VLOOKUP(AT$3,'Non-Embedded Emissions'!$A$143:$D$174,2,FALSE)+VLOOKUP(AT$3,'Non-Embedded Emissions'!$A$230:$D$259,2,FALSE)), $C26 = "3", 'Inputs-System'!$C$30*'Coincidence Factors'!$B$8*'Inputs-Proposals'!$F$29*'Inputs-Proposals'!$F$31*(VLOOKUP(AT$3,'Non-Embedded Emissions'!$A$56:$D$90,2,FALSE)+VLOOKUP(AT$3,'Non-Embedded Emissions'!$A$143:$D$174,2,FALSE)+VLOOKUP(AT$3,'Non-Embedded Emissions'!$A$230:$D$259,2,FALSE)), $C26 = "0", 0), 0)</f>
        <v>0</v>
      </c>
      <c r="AZ26" s="45">
        <f>IFERROR(_xlfn.IFS($C26="1",('Inputs-System'!$C$30*'Coincidence Factors'!$B$8*(1+'Inputs-System'!$C$18)*(1+'Inputs-System'!$C$41)*('Inputs-Proposals'!$F$17*'Inputs-Proposals'!$F$19*('Inputs-Proposals'!$F$20))*(VLOOKUP(AZ$3,Energy!$A$51:$K$83,5,FALSE))), $C26 = "2",('Inputs-System'!$C$30*'Coincidence Factors'!$B$8)*(1+'Inputs-System'!$C$18)*(1+'Inputs-System'!$C$41)*('Inputs-Proposals'!$F$23*'Inputs-Proposals'!$F$25*('Inputs-Proposals'!$F$26))*(VLOOKUP(AZ$3,Energy!$A$51:$K$83,5,FALSE)), $C26= "3", ('Inputs-System'!$C$30*'Coincidence Factors'!$B$8*(1+'Inputs-System'!$C$18)*(1+'Inputs-System'!$C$41)*('Inputs-Proposals'!$F$29*'Inputs-Proposals'!$F$31*('Inputs-Proposals'!$F$32))*(VLOOKUP(AZ$3,Energy!$A$51:$K$83,5,FALSE))), $C26= "0", 0), 0)</f>
        <v>0</v>
      </c>
      <c r="BA26" s="44">
        <f>IFERROR(_xlfn.IFS($C26="1",'Inputs-System'!$C$30*'Coincidence Factors'!$B$8*(1+'Inputs-System'!$C$18)*(1+'Inputs-System'!$C$41)*'Inputs-Proposals'!$F$17*'Inputs-Proposals'!$F$19*('Inputs-Proposals'!$F$20)*(VLOOKUP(AZ$3,'Embedded Emissions'!$A$47:$B$78,2,FALSE)+VLOOKUP(AZ$3,'Embedded Emissions'!$A$129:$B$158,2,FALSE)), $C26 = "2", 'Inputs-System'!$C$30*'Coincidence Factors'!$B$8*(1+'Inputs-System'!$C$18)*(1+'Inputs-System'!$C$41)*'Inputs-Proposals'!$F$23*'Inputs-Proposals'!$F$25*('Inputs-Proposals'!$F$20)*(VLOOKUP(AZ$3,'Embedded Emissions'!$A$47:$B$78,2,FALSE)+VLOOKUP(AZ$3,'Embedded Emissions'!$A$129:$B$158,2,FALSE)), $C26 = "3",'Inputs-System'!$C$30*'Coincidence Factors'!$B$8*(1+'Inputs-System'!$C$18)*(1+'Inputs-System'!$C$41)*'Inputs-Proposals'!$F$29*'Inputs-Proposals'!$F$31*('Inputs-Proposals'!$F$20)*(VLOOKUP(AZ$3,'Embedded Emissions'!$A$47:$B$78,2,FALSE)+VLOOKUP(AZ$3,'Embedded Emissions'!$A$129:$B$158,2,FALSE)), $C26 = "0", 0), 0)</f>
        <v>0</v>
      </c>
      <c r="BB26" s="44">
        <f>IFERROR(_xlfn.IFS($C26="1",( 'Inputs-System'!$C$30*'Coincidence Factors'!$B$8*(1+'Inputs-System'!$C$18)*(1+'Inputs-System'!$C$41))*('Inputs-Proposals'!$F$17*'Inputs-Proposals'!$F$19*('Inputs-Proposals'!$F$20))*(VLOOKUP(AZ$3,DRIPE!$A$54:$I$82,5,FALSE)+VLOOKUP(AZ$3,DRIPE!$A$54:$I$82,9,FALSE))+ ('Inputs-System'!$C$26*'Coincidence Factors'!$B$8*(1+'Inputs-System'!$C$18)*(1+'Inputs-System'!$C$42))*'Inputs-Proposals'!$F$16*VLOOKUP(AZ$3,DRIPE!$A$54:$I$82,8,FALSE), $C26 = "2",( 'Inputs-System'!$C$30*'Coincidence Factors'!$B$8*(1+'Inputs-System'!$C$18)*(1+'Inputs-System'!$C$41))*('Inputs-Proposals'!$F$23*'Inputs-Proposals'!$F$25*('Inputs-Proposals'!$F$26))*(VLOOKUP(AZ$3,DRIPE!$A$54:$I$82,5,FALSE)+VLOOKUP(AZ$3,DRIPE!$A$54:$I$82,9,FALSE))+  ('Inputs-System'!$C$26*'Coincidence Factors'!$B$8*(1+'Inputs-System'!$C$18)*(1+'Inputs-System'!$C$42))*'Inputs-Proposals'!$F$22*VLOOKUP(AZ$3,DRIPE!$A$54:$I$82,8,FALSE), $C26= "3", ( 'Inputs-System'!$C$30*'Coincidence Factors'!$B$8*(1+'Inputs-System'!$C$18)*(1+'Inputs-System'!$C$41))*('Inputs-Proposals'!$F$29*'Inputs-Proposals'!$F$31*('Inputs-Proposals'!$F$32))*(VLOOKUP(AZ$3,DRIPE!$A$54:$I$82,5,FALSE)+VLOOKUP(AZ$3,DRIPE!$A$54:$I$82,9,FALSE))+  ('Inputs-System'!$C$26*'Coincidence Factors'!$B$8*(1+'Inputs-System'!$C$18)*(1+'Inputs-System'!$C$42))*'Inputs-Proposals'!$F$28*VLOOKUP(AZ$3,DRIPE!$A$54:$I$82,8,FALSE), $C26 = "0", 0), 0)</f>
        <v>0</v>
      </c>
      <c r="BC26" s="45">
        <f>IFERROR(_xlfn.IFS($C26="1",('Inputs-System'!$C$30*'Coincidence Factors'!$B$8*(1+'Inputs-System'!$C$18))*'Inputs-Proposals'!$F$16*(VLOOKUP(AZ$3,Capacity!$A$53:$E$85,4,FALSE)*(1+'Inputs-System'!$C$42)+VLOOKUP(AZ$3,Capacity!$A$53:$E$85,5,FALSE)*'Inputs-System'!$C$29*(1+'Inputs-System'!$C$43)), $C26 = "2", ('Inputs-System'!$C$30*'Coincidence Factors'!$B$8*(1+'Inputs-System'!$C$18))*'Inputs-Proposals'!$F$22*(VLOOKUP(AZ$3,Capacity!$A$53:$E$85,4,FALSE)*(1+'Inputs-System'!$C$42)+VLOOKUP(AZ$3,Capacity!$A$53:$E$85,5,FALSE)*'Inputs-System'!$C$29*(1+'Inputs-System'!$C$43)), $C26 = "3",('Inputs-System'!$C$30*'Coincidence Factors'!$B$8*(1+'Inputs-System'!$C$18))*'Inputs-Proposals'!$F$28*(VLOOKUP(AZ$3,Capacity!$A$53:$E$85,4,FALSE)*(1+'Inputs-System'!$C$42)+VLOOKUP(AZ$3,Capacity!$A$53:$E$85,5,FALSE)*'Inputs-System'!$C$29*(1+'Inputs-System'!$C$43)), $C26 = "0", 0), 0)</f>
        <v>0</v>
      </c>
      <c r="BD26" s="44">
        <v>0</v>
      </c>
      <c r="BE26" s="342">
        <f>IFERROR(_xlfn.IFS($C26="1", 'Inputs-System'!$C$30*'Coincidence Factors'!$B$8*'Inputs-Proposals'!$F$17*'Inputs-Proposals'!$F$19*(VLOOKUP(AZ$3,'Non-Embedded Emissions'!$A$56:$D$90,2,FALSE)+VLOOKUP(AZ$3,'Non-Embedded Emissions'!$A$143:$D$174,2,FALSE)+VLOOKUP(AZ$3,'Non-Embedded Emissions'!$A$230:$D$259,2,FALSE)), $C26 = "2", 'Inputs-System'!$C$30*'Coincidence Factors'!$B$8*'Inputs-Proposals'!$F$23*'Inputs-Proposals'!$F$25*(VLOOKUP(AZ$3,'Non-Embedded Emissions'!$A$56:$D$90,2,FALSE)+VLOOKUP(AZ$3,'Non-Embedded Emissions'!$A$143:$D$174,2,FALSE)+VLOOKUP(AZ$3,'Non-Embedded Emissions'!$A$230:$D$259,2,FALSE)), $C26 = "3", 'Inputs-System'!$C$30*'Coincidence Factors'!$B$8*'Inputs-Proposals'!$F$29*'Inputs-Proposals'!$F$31*(VLOOKUP(AZ$3,'Non-Embedded Emissions'!$A$56:$D$90,2,FALSE)+VLOOKUP(AZ$3,'Non-Embedded Emissions'!$A$143:$D$174,2,FALSE)+VLOOKUP(AZ$3,'Non-Embedded Emissions'!$A$230:$D$259,2,FALSE)), $C26 = "0", 0), 0)</f>
        <v>0</v>
      </c>
      <c r="BF26" s="45">
        <f>IFERROR(_xlfn.IFS($C26="1",('Inputs-System'!$C$30*'Coincidence Factors'!$B$8*(1+'Inputs-System'!$C$18)*(1+'Inputs-System'!$C$41)*('Inputs-Proposals'!$F$17*'Inputs-Proposals'!$F$19*('Inputs-Proposals'!$F$20))*(VLOOKUP(BF$3,Energy!$A$51:$K$83,5,FALSE))), $C26 = "2",('Inputs-System'!$C$30*'Coincidence Factors'!$B$8)*(1+'Inputs-System'!$C$18)*(1+'Inputs-System'!$C$41)*('Inputs-Proposals'!$F$23*'Inputs-Proposals'!$F$25*('Inputs-Proposals'!$F$26))*(VLOOKUP(BF$3,Energy!$A$51:$K$83,5,FALSE)), $C26= "3", ('Inputs-System'!$C$30*'Coincidence Factors'!$B$8*(1+'Inputs-System'!$C$18)*(1+'Inputs-System'!$C$41)*('Inputs-Proposals'!$F$29*'Inputs-Proposals'!$F$31*('Inputs-Proposals'!$F$32))*(VLOOKUP(BF$3,Energy!$A$51:$K$83,5,FALSE))), $C26= "0", 0), 0)</f>
        <v>0</v>
      </c>
      <c r="BG26" s="44">
        <f>IFERROR(_xlfn.IFS($C26="1",'Inputs-System'!$C$30*'Coincidence Factors'!$B$8*(1+'Inputs-System'!$C$18)*(1+'Inputs-System'!$C$41)*'Inputs-Proposals'!$F$17*'Inputs-Proposals'!$F$19*('Inputs-Proposals'!$F$20)*(VLOOKUP(BF$3,'Embedded Emissions'!$A$47:$B$78,2,FALSE)+VLOOKUP(BF$3,'Embedded Emissions'!$A$129:$B$158,2,FALSE)), $C26 = "2", 'Inputs-System'!$C$30*'Coincidence Factors'!$B$8*(1+'Inputs-System'!$C$18)*(1+'Inputs-System'!$C$41)*'Inputs-Proposals'!$F$23*'Inputs-Proposals'!$F$25*('Inputs-Proposals'!$F$20)*(VLOOKUP(BF$3,'Embedded Emissions'!$A$47:$B$78,2,FALSE)+VLOOKUP(BF$3,'Embedded Emissions'!$A$129:$B$158,2,FALSE)), $C26 = "3",'Inputs-System'!$C$30*'Coincidence Factors'!$B$8*(1+'Inputs-System'!$C$18)*(1+'Inputs-System'!$C$41)*'Inputs-Proposals'!$F$29*'Inputs-Proposals'!$F$31*('Inputs-Proposals'!$F$20)*(VLOOKUP(BF$3,'Embedded Emissions'!$A$47:$B$78,2,FALSE)+VLOOKUP(BF$3,'Embedded Emissions'!$A$129:$B$158,2,FALSE)), $C26 = "0", 0), 0)</f>
        <v>0</v>
      </c>
      <c r="BH26" s="44">
        <f>IFERROR(_xlfn.IFS($C26="1",( 'Inputs-System'!$C$30*'Coincidence Factors'!$B$8*(1+'Inputs-System'!$C$18)*(1+'Inputs-System'!$C$41))*('Inputs-Proposals'!$F$17*'Inputs-Proposals'!$F$19*('Inputs-Proposals'!$F$20))*(VLOOKUP(BF$3,DRIPE!$A$54:$I$82,5,FALSE)+VLOOKUP(BF$3,DRIPE!$A$54:$I$82,9,FALSE))+ ('Inputs-System'!$C$26*'Coincidence Factors'!$B$8*(1+'Inputs-System'!$C$18)*(1+'Inputs-System'!$C$42))*'Inputs-Proposals'!$F$16*VLOOKUP(BF$3,DRIPE!$A$54:$I$82,8,FALSE), $C26 = "2",( 'Inputs-System'!$C$30*'Coincidence Factors'!$B$8*(1+'Inputs-System'!$C$18)*(1+'Inputs-System'!$C$41))*('Inputs-Proposals'!$F$23*'Inputs-Proposals'!$F$25*('Inputs-Proposals'!$F$26))*(VLOOKUP(BF$3,DRIPE!$A$54:$I$82,5,FALSE)+VLOOKUP(BF$3,DRIPE!$A$54:$I$82,9,FALSE))+  ('Inputs-System'!$C$26*'Coincidence Factors'!$B$8*(1+'Inputs-System'!$C$18)*(1+'Inputs-System'!$C$42))*'Inputs-Proposals'!$F$22*VLOOKUP(BF$3,DRIPE!$A$54:$I$82,8,FALSE), $C26= "3", ( 'Inputs-System'!$C$30*'Coincidence Factors'!$B$8*(1+'Inputs-System'!$C$18)*(1+'Inputs-System'!$C$41))*('Inputs-Proposals'!$F$29*'Inputs-Proposals'!$F$31*('Inputs-Proposals'!$F$32))*(VLOOKUP(BF$3,DRIPE!$A$54:$I$82,5,FALSE)+VLOOKUP(BF$3,DRIPE!$A$54:$I$82,9,FALSE))+  ('Inputs-System'!$C$26*'Coincidence Factors'!$B$8*(1+'Inputs-System'!$C$18)*(1+'Inputs-System'!$C$42))*'Inputs-Proposals'!$F$28*VLOOKUP(BF$3,DRIPE!$A$54:$I$82,8,FALSE), $C26 = "0", 0), 0)</f>
        <v>0</v>
      </c>
      <c r="BI26" s="45">
        <f>IFERROR(_xlfn.IFS($C26="1",('Inputs-System'!$C$30*'Coincidence Factors'!$B$8*(1+'Inputs-System'!$C$18))*'Inputs-Proposals'!$F$16*(VLOOKUP(BF$3,Capacity!$A$53:$E$85,4,FALSE)*(1+'Inputs-System'!$C$42)+VLOOKUP(BF$3,Capacity!$A$53:$E$85,5,FALSE)*'Inputs-System'!$C$29*(1+'Inputs-System'!$C$43)), $C26 = "2", ('Inputs-System'!$C$30*'Coincidence Factors'!$B$8*(1+'Inputs-System'!$C$18))*'Inputs-Proposals'!$F$22*(VLOOKUP(BF$3,Capacity!$A$53:$E$85,4,FALSE)*(1+'Inputs-System'!$C$42)+VLOOKUP(BF$3,Capacity!$A$53:$E$85,5,FALSE)*'Inputs-System'!$C$29*(1+'Inputs-System'!$C$43)), $C26 = "3",('Inputs-System'!$C$30*'Coincidence Factors'!$B$8*(1+'Inputs-System'!$C$18))*'Inputs-Proposals'!$F$28*(VLOOKUP(BF$3,Capacity!$A$53:$E$85,4,FALSE)*(1+'Inputs-System'!$C$42)+VLOOKUP(BF$3,Capacity!$A$53:$E$85,5,FALSE)*'Inputs-System'!$C$29*(1+'Inputs-System'!$C$43)), $C26 = "0", 0), 0)</f>
        <v>0</v>
      </c>
      <c r="BJ26" s="44">
        <v>0</v>
      </c>
      <c r="BK26" s="342">
        <f>IFERROR(_xlfn.IFS($C26="1", 'Inputs-System'!$C$30*'Coincidence Factors'!$B$8*'Inputs-Proposals'!$F$17*'Inputs-Proposals'!$F$19*(VLOOKUP(BF$3,'Non-Embedded Emissions'!$A$56:$D$90,2,FALSE)+VLOOKUP(BF$3,'Non-Embedded Emissions'!$A$143:$D$174,2,FALSE)+VLOOKUP(BF$3,'Non-Embedded Emissions'!$A$230:$D$259,2,FALSE)), $C26 = "2", 'Inputs-System'!$C$30*'Coincidence Factors'!$B$8*'Inputs-Proposals'!$F$23*'Inputs-Proposals'!$F$25*(VLOOKUP(BF$3,'Non-Embedded Emissions'!$A$56:$D$90,2,FALSE)+VLOOKUP(BF$3,'Non-Embedded Emissions'!$A$143:$D$174,2,FALSE)+VLOOKUP(BF$3,'Non-Embedded Emissions'!$A$230:$D$259,2,FALSE)), $C26 = "3", 'Inputs-System'!$C$30*'Coincidence Factors'!$B$8*'Inputs-Proposals'!$F$29*'Inputs-Proposals'!$F$31*(VLOOKUP(BF$3,'Non-Embedded Emissions'!$A$56:$D$90,2,FALSE)+VLOOKUP(BF$3,'Non-Embedded Emissions'!$A$143:$D$174,2,FALSE)+VLOOKUP(BF$3,'Non-Embedded Emissions'!$A$230:$D$259,2,FALSE)), $C26 = "0", 0), 0)</f>
        <v>0</v>
      </c>
      <c r="BL26" s="45">
        <f>IFERROR(_xlfn.IFS($C26="1",('Inputs-System'!$C$30*'Coincidence Factors'!$B$8*(1+'Inputs-System'!$C$18)*(1+'Inputs-System'!$C$41)*('Inputs-Proposals'!$F$17*'Inputs-Proposals'!$F$19*('Inputs-Proposals'!$F$20))*(VLOOKUP(BL$3,Energy!$A$51:$K$83,5,FALSE))), $C26 = "2",('Inputs-System'!$C$30*'Coincidence Factors'!$B$8)*(1+'Inputs-System'!$C$18)*(1+'Inputs-System'!$C$41)*('Inputs-Proposals'!$F$23*'Inputs-Proposals'!$F$25*('Inputs-Proposals'!$F$26))*(VLOOKUP(BL$3,Energy!$A$51:$K$83,5,FALSE)), $C26= "3", ('Inputs-System'!$C$30*'Coincidence Factors'!$B$8*(1+'Inputs-System'!$C$18)*(1+'Inputs-System'!$C$41)*('Inputs-Proposals'!$F$29*'Inputs-Proposals'!$F$31*('Inputs-Proposals'!$F$32))*(VLOOKUP(BL$3,Energy!$A$51:$K$83,5,FALSE))), $C26= "0", 0), 0)</f>
        <v>0</v>
      </c>
      <c r="BM26" s="44">
        <f>IFERROR(_xlfn.IFS($C26="1",'Inputs-System'!$C$30*'Coincidence Factors'!$B$8*(1+'Inputs-System'!$C$18)*(1+'Inputs-System'!$C$41)*'Inputs-Proposals'!$F$17*'Inputs-Proposals'!$F$19*('Inputs-Proposals'!$F$20)*(VLOOKUP(BL$3,'Embedded Emissions'!$A$47:$B$78,2,FALSE)+VLOOKUP(BL$3,'Embedded Emissions'!$A$129:$B$158,2,FALSE)), $C26 = "2", 'Inputs-System'!$C$30*'Coincidence Factors'!$B$8*(1+'Inputs-System'!$C$18)*(1+'Inputs-System'!$C$41)*'Inputs-Proposals'!$F$23*'Inputs-Proposals'!$F$25*('Inputs-Proposals'!$F$20)*(VLOOKUP(BL$3,'Embedded Emissions'!$A$47:$B$78,2,FALSE)+VLOOKUP(BL$3,'Embedded Emissions'!$A$129:$B$158,2,FALSE)), $C26 = "3",'Inputs-System'!$C$30*'Coincidence Factors'!$B$8*(1+'Inputs-System'!$C$18)*(1+'Inputs-System'!$C$41)*'Inputs-Proposals'!$F$29*'Inputs-Proposals'!$F$31*('Inputs-Proposals'!$F$20)*(VLOOKUP(BL$3,'Embedded Emissions'!$A$47:$B$78,2,FALSE)+VLOOKUP(BL$3,'Embedded Emissions'!$A$129:$B$158,2,FALSE)), $C26 = "0", 0), 0)</f>
        <v>0</v>
      </c>
      <c r="BN26" s="44">
        <f>IFERROR(_xlfn.IFS($C26="1",( 'Inputs-System'!$C$30*'Coincidence Factors'!$B$8*(1+'Inputs-System'!$C$18)*(1+'Inputs-System'!$C$41))*('Inputs-Proposals'!$F$17*'Inputs-Proposals'!$F$19*('Inputs-Proposals'!$F$20))*(VLOOKUP(BL$3,DRIPE!$A$54:$I$82,5,FALSE)+VLOOKUP(BL$3,DRIPE!$A$54:$I$82,9,FALSE))+ ('Inputs-System'!$C$26*'Coincidence Factors'!$B$8*(1+'Inputs-System'!$C$18)*(1+'Inputs-System'!$C$42))*'Inputs-Proposals'!$F$16*VLOOKUP(BL$3,DRIPE!$A$54:$I$82,8,FALSE), $C26 = "2",( 'Inputs-System'!$C$30*'Coincidence Factors'!$B$8*(1+'Inputs-System'!$C$18)*(1+'Inputs-System'!$C$41))*('Inputs-Proposals'!$F$23*'Inputs-Proposals'!$F$25*('Inputs-Proposals'!$F$26))*(VLOOKUP(BL$3,DRIPE!$A$54:$I$82,5,FALSE)+VLOOKUP(BL$3,DRIPE!$A$54:$I$82,9,FALSE))+  ('Inputs-System'!$C$26*'Coincidence Factors'!$B$8*(1+'Inputs-System'!$C$18)*(1+'Inputs-System'!$C$42))*'Inputs-Proposals'!$F$22*VLOOKUP(BL$3,DRIPE!$A$54:$I$82,8,FALSE), $C26= "3", ( 'Inputs-System'!$C$30*'Coincidence Factors'!$B$8*(1+'Inputs-System'!$C$18)*(1+'Inputs-System'!$C$41))*('Inputs-Proposals'!$F$29*'Inputs-Proposals'!$F$31*('Inputs-Proposals'!$F$32))*(VLOOKUP(BL$3,DRIPE!$A$54:$I$82,5,FALSE)+VLOOKUP(BL$3,DRIPE!$A$54:$I$82,9,FALSE))+  ('Inputs-System'!$C$26*'Coincidence Factors'!$B$8*(1+'Inputs-System'!$C$18)*(1+'Inputs-System'!$C$42))*'Inputs-Proposals'!$F$28*VLOOKUP(BL$3,DRIPE!$A$54:$I$82,8,FALSE), $C26 = "0", 0), 0)</f>
        <v>0</v>
      </c>
      <c r="BO26" s="45">
        <f>IFERROR(_xlfn.IFS($C26="1",('Inputs-System'!$C$30*'Coincidence Factors'!$B$8*(1+'Inputs-System'!$C$18))*'Inputs-Proposals'!$F$16*(VLOOKUP(BL$3,Capacity!$A$53:$E$85,4,FALSE)*(1+'Inputs-System'!$C$42)+VLOOKUP(BL$3,Capacity!$A$53:$E$85,5,FALSE)*'Inputs-System'!$C$29*(1+'Inputs-System'!$C$43)), $C26 = "2", ('Inputs-System'!$C$30*'Coincidence Factors'!$B$8*(1+'Inputs-System'!$C$18))*'Inputs-Proposals'!$F$22*(VLOOKUP(BL$3,Capacity!$A$53:$E$85,4,FALSE)*(1+'Inputs-System'!$C$42)+VLOOKUP(BL$3,Capacity!$A$53:$E$85,5,FALSE)*'Inputs-System'!$C$29*(1+'Inputs-System'!$C$43)), $C26 = "3",('Inputs-System'!$C$30*'Coincidence Factors'!$B$8*(1+'Inputs-System'!$C$18))*'Inputs-Proposals'!$F$28*(VLOOKUP(BL$3,Capacity!$A$53:$E$85,4,FALSE)*(1+'Inputs-System'!$C$42)+VLOOKUP(BL$3,Capacity!$A$53:$E$85,5,FALSE)*'Inputs-System'!$C$29*(1+'Inputs-System'!$C$43)), $C26 = "0", 0), 0)</f>
        <v>0</v>
      </c>
      <c r="BP26" s="44">
        <v>0</v>
      </c>
      <c r="BQ26" s="342">
        <f>IFERROR(_xlfn.IFS($C26="1", 'Inputs-System'!$C$30*'Coincidence Factors'!$B$8*'Inputs-Proposals'!$F$17*'Inputs-Proposals'!$F$19*(VLOOKUP(BL$3,'Non-Embedded Emissions'!$A$56:$D$90,2,FALSE)+VLOOKUP(BL$3,'Non-Embedded Emissions'!$A$143:$D$174,2,FALSE)+VLOOKUP(BL$3,'Non-Embedded Emissions'!$A$230:$D$259,2,FALSE)), $C26 = "2", 'Inputs-System'!$C$30*'Coincidence Factors'!$B$8*'Inputs-Proposals'!$F$23*'Inputs-Proposals'!$F$25*(VLOOKUP(BL$3,'Non-Embedded Emissions'!$A$56:$D$90,2,FALSE)+VLOOKUP(BL$3,'Non-Embedded Emissions'!$A$143:$D$174,2,FALSE)+VLOOKUP(BL$3,'Non-Embedded Emissions'!$A$230:$D$259,2,FALSE)), $C26 = "3", 'Inputs-System'!$C$30*'Coincidence Factors'!$B$8*'Inputs-Proposals'!$F$29*'Inputs-Proposals'!$F$31*(VLOOKUP(BL$3,'Non-Embedded Emissions'!$A$56:$D$90,2,FALSE)+VLOOKUP(BL$3,'Non-Embedded Emissions'!$A$143:$D$174,2,FALSE)+VLOOKUP(BL$3,'Non-Embedded Emissions'!$A$230:$D$259,2,FALSE)), $C26 = "0", 0), 0)</f>
        <v>0</v>
      </c>
      <c r="BR26" s="45">
        <f>IFERROR(_xlfn.IFS($C26="1",('Inputs-System'!$C$30*'Coincidence Factors'!$B$8*(1+'Inputs-System'!$C$18)*(1+'Inputs-System'!$C$41)*('Inputs-Proposals'!$F$17*'Inputs-Proposals'!$F$19*('Inputs-Proposals'!$F$20))*(VLOOKUP(BR$3,Energy!$A$51:$K$83,5,FALSE))), $C26 = "2",('Inputs-System'!$C$30*'Coincidence Factors'!$B$8)*(1+'Inputs-System'!$C$18)*(1+'Inputs-System'!$C$41)*('Inputs-Proposals'!$F$23*'Inputs-Proposals'!$F$25*('Inputs-Proposals'!$F$26))*(VLOOKUP(BR$3,Energy!$A$51:$K$83,5,FALSE)), $C26= "3", ('Inputs-System'!$C$30*'Coincidence Factors'!$B$8*(1+'Inputs-System'!$C$18)*(1+'Inputs-System'!$C$41)*('Inputs-Proposals'!$F$29*'Inputs-Proposals'!$F$31*('Inputs-Proposals'!$F$32))*(VLOOKUP(BR$3,Energy!$A$51:$K$83,5,FALSE))), $C26= "0", 0), 0)</f>
        <v>0</v>
      </c>
      <c r="BS26" s="44">
        <f>IFERROR(_xlfn.IFS($C26="1",'Inputs-System'!$C$30*'Coincidence Factors'!$B$8*(1+'Inputs-System'!$C$18)*(1+'Inputs-System'!$C$41)*'Inputs-Proposals'!$F$17*'Inputs-Proposals'!$F$19*('Inputs-Proposals'!$F$20)*(VLOOKUP(BR$3,'Embedded Emissions'!$A$47:$B$78,2,FALSE)+VLOOKUP(BR$3,'Embedded Emissions'!$A$129:$B$158,2,FALSE)), $C26 = "2", 'Inputs-System'!$C$30*'Coincidence Factors'!$B$8*(1+'Inputs-System'!$C$18)*(1+'Inputs-System'!$C$41)*'Inputs-Proposals'!$F$23*'Inputs-Proposals'!$F$25*('Inputs-Proposals'!$F$20)*(VLOOKUP(BR$3,'Embedded Emissions'!$A$47:$B$78,2,FALSE)+VLOOKUP(BR$3,'Embedded Emissions'!$A$129:$B$158,2,FALSE)), $C26 = "3",'Inputs-System'!$C$30*'Coincidence Factors'!$B$8*(1+'Inputs-System'!$C$18)*(1+'Inputs-System'!$C$41)*'Inputs-Proposals'!$F$29*'Inputs-Proposals'!$F$31*('Inputs-Proposals'!$F$20)*(VLOOKUP(BR$3,'Embedded Emissions'!$A$47:$B$78,2,FALSE)+VLOOKUP(BR$3,'Embedded Emissions'!$A$129:$B$158,2,FALSE)), $C26 = "0", 0), 0)</f>
        <v>0</v>
      </c>
      <c r="BT26" s="44">
        <f>IFERROR(_xlfn.IFS($C26="1",( 'Inputs-System'!$C$30*'Coincidence Factors'!$B$8*(1+'Inputs-System'!$C$18)*(1+'Inputs-System'!$C$41))*('Inputs-Proposals'!$F$17*'Inputs-Proposals'!$F$19*('Inputs-Proposals'!$F$20))*(VLOOKUP(BR$3,DRIPE!$A$54:$I$82,5,FALSE)+VLOOKUP(BR$3,DRIPE!$A$54:$I$82,9,FALSE))+ ('Inputs-System'!$C$26*'Coincidence Factors'!$B$8*(1+'Inputs-System'!$C$18)*(1+'Inputs-System'!$C$42))*'Inputs-Proposals'!$F$16*VLOOKUP(BR$3,DRIPE!$A$54:$I$82,8,FALSE), $C26 = "2",( 'Inputs-System'!$C$30*'Coincidence Factors'!$B$8*(1+'Inputs-System'!$C$18)*(1+'Inputs-System'!$C$41))*('Inputs-Proposals'!$F$23*'Inputs-Proposals'!$F$25*('Inputs-Proposals'!$F$26))*(VLOOKUP(BR$3,DRIPE!$A$54:$I$82,5,FALSE)+VLOOKUP(BR$3,DRIPE!$A$54:$I$82,9,FALSE))+  ('Inputs-System'!$C$26*'Coincidence Factors'!$B$8*(1+'Inputs-System'!$C$18)*(1+'Inputs-System'!$C$42))*'Inputs-Proposals'!$F$22*VLOOKUP(BR$3,DRIPE!$A$54:$I$82,8,FALSE), $C26= "3", ( 'Inputs-System'!$C$30*'Coincidence Factors'!$B$8*(1+'Inputs-System'!$C$18)*(1+'Inputs-System'!$C$41))*('Inputs-Proposals'!$F$29*'Inputs-Proposals'!$F$31*('Inputs-Proposals'!$F$32))*(VLOOKUP(BR$3,DRIPE!$A$54:$I$82,5,FALSE)+VLOOKUP(BR$3,DRIPE!$A$54:$I$82,9,FALSE))+  ('Inputs-System'!$C$26*'Coincidence Factors'!$B$8*(1+'Inputs-System'!$C$18)*(1+'Inputs-System'!$C$42))*'Inputs-Proposals'!$F$28*VLOOKUP(BR$3,DRIPE!$A$54:$I$82,8,FALSE), $C26 = "0", 0), 0)</f>
        <v>0</v>
      </c>
      <c r="BU26" s="45">
        <f>IFERROR(_xlfn.IFS($C26="1",('Inputs-System'!$C$30*'Coincidence Factors'!$B$8*(1+'Inputs-System'!$C$18))*'Inputs-Proposals'!$F$16*(VLOOKUP(BR$3,Capacity!$A$53:$E$85,4,FALSE)*(1+'Inputs-System'!$C$42)+VLOOKUP(BR$3,Capacity!$A$53:$E$85,5,FALSE)*'Inputs-System'!$C$29*(1+'Inputs-System'!$C$43)), $C26 = "2", ('Inputs-System'!$C$30*'Coincidence Factors'!$B$8*(1+'Inputs-System'!$C$18))*'Inputs-Proposals'!$F$22*(VLOOKUP(BR$3,Capacity!$A$53:$E$85,4,FALSE)*(1+'Inputs-System'!$C$42)+VLOOKUP(BR$3,Capacity!$A$53:$E$85,5,FALSE)*'Inputs-System'!$C$29*(1+'Inputs-System'!$C$43)), $C26 = "3",('Inputs-System'!$C$30*'Coincidence Factors'!$B$8*(1+'Inputs-System'!$C$18))*'Inputs-Proposals'!$F$28*(VLOOKUP(BR$3,Capacity!$A$53:$E$85,4,FALSE)*(1+'Inputs-System'!$C$42)+VLOOKUP(BR$3,Capacity!$A$53:$E$85,5,FALSE)*'Inputs-System'!$C$29*(1+'Inputs-System'!$C$43)), $C26 = "0", 0), 0)</f>
        <v>0</v>
      </c>
      <c r="BV26" s="44">
        <v>0</v>
      </c>
      <c r="BW26" s="342">
        <f>IFERROR(_xlfn.IFS($C26="1", 'Inputs-System'!$C$30*'Coincidence Factors'!$B$8*'Inputs-Proposals'!$F$17*'Inputs-Proposals'!$F$19*(VLOOKUP(BR$3,'Non-Embedded Emissions'!$A$56:$D$90,2,FALSE)+VLOOKUP(BR$3,'Non-Embedded Emissions'!$A$143:$D$174,2,FALSE)+VLOOKUP(BR$3,'Non-Embedded Emissions'!$A$230:$D$259,2,FALSE)), $C26 = "2", 'Inputs-System'!$C$30*'Coincidence Factors'!$B$8*'Inputs-Proposals'!$F$23*'Inputs-Proposals'!$F$25*(VLOOKUP(BR$3,'Non-Embedded Emissions'!$A$56:$D$90,2,FALSE)+VLOOKUP(BR$3,'Non-Embedded Emissions'!$A$143:$D$174,2,FALSE)+VLOOKUP(BR$3,'Non-Embedded Emissions'!$A$230:$D$259,2,FALSE)), $C26 = "3", 'Inputs-System'!$C$30*'Coincidence Factors'!$B$8*'Inputs-Proposals'!$F$29*'Inputs-Proposals'!$F$31*(VLOOKUP(BR$3,'Non-Embedded Emissions'!$A$56:$D$90,2,FALSE)+VLOOKUP(BR$3,'Non-Embedded Emissions'!$A$143:$D$174,2,FALSE)+VLOOKUP(BR$3,'Non-Embedded Emissions'!$A$230:$D$259,2,FALSE)), $C26 = "0", 0), 0)</f>
        <v>0</v>
      </c>
      <c r="BX26" s="45">
        <f>IFERROR(_xlfn.IFS($C26="1",('Inputs-System'!$C$30*'Coincidence Factors'!$B$8*(1+'Inputs-System'!$C$18)*(1+'Inputs-System'!$C$41)*('Inputs-Proposals'!$F$17*'Inputs-Proposals'!$F$19*('Inputs-Proposals'!$F$20))*(VLOOKUP(BX$3,Energy!$A$51:$K$83,5,FALSE))), $C26 = "2",('Inputs-System'!$C$30*'Coincidence Factors'!$B$8)*(1+'Inputs-System'!$C$18)*(1+'Inputs-System'!$C$41)*('Inputs-Proposals'!$F$23*'Inputs-Proposals'!$F$25*('Inputs-Proposals'!$F$26))*(VLOOKUP(BX$3,Energy!$A$51:$K$83,5,FALSE)), $C26= "3", ('Inputs-System'!$C$30*'Coincidence Factors'!$B$8*(1+'Inputs-System'!$C$18)*(1+'Inputs-System'!$C$41)*('Inputs-Proposals'!$F$29*'Inputs-Proposals'!$F$31*('Inputs-Proposals'!$F$32))*(VLOOKUP(BX$3,Energy!$A$51:$K$83,5,FALSE))), $C26= "0", 0), 0)</f>
        <v>0</v>
      </c>
      <c r="BY26" s="44">
        <f>IFERROR(_xlfn.IFS($C26="1",'Inputs-System'!$C$30*'Coincidence Factors'!$B$8*(1+'Inputs-System'!$C$18)*(1+'Inputs-System'!$C$41)*'Inputs-Proposals'!$F$17*'Inputs-Proposals'!$F$19*('Inputs-Proposals'!$F$20)*(VLOOKUP(BX$3,'Embedded Emissions'!$A$47:$B$78,2,FALSE)+VLOOKUP(BX$3,'Embedded Emissions'!$A$129:$B$158,2,FALSE)), $C26 = "2", 'Inputs-System'!$C$30*'Coincidence Factors'!$B$8*(1+'Inputs-System'!$C$18)*(1+'Inputs-System'!$C$41)*'Inputs-Proposals'!$F$23*'Inputs-Proposals'!$F$25*('Inputs-Proposals'!$F$20)*(VLOOKUP(BX$3,'Embedded Emissions'!$A$47:$B$78,2,FALSE)+VLOOKUP(BX$3,'Embedded Emissions'!$A$129:$B$158,2,FALSE)), $C26 = "3",'Inputs-System'!$C$30*'Coincidence Factors'!$B$8*(1+'Inputs-System'!$C$18)*(1+'Inputs-System'!$C$41)*'Inputs-Proposals'!$F$29*'Inputs-Proposals'!$F$31*('Inputs-Proposals'!$F$20)*(VLOOKUP(BX$3,'Embedded Emissions'!$A$47:$B$78,2,FALSE)+VLOOKUP(BX$3,'Embedded Emissions'!$A$129:$B$158,2,FALSE)), $C26 = "0", 0), 0)</f>
        <v>0</v>
      </c>
      <c r="BZ26" s="44">
        <f>IFERROR(_xlfn.IFS($C26="1",( 'Inputs-System'!$C$30*'Coincidence Factors'!$B$8*(1+'Inputs-System'!$C$18)*(1+'Inputs-System'!$C$41))*('Inputs-Proposals'!$F$17*'Inputs-Proposals'!$F$19*('Inputs-Proposals'!$F$20))*(VLOOKUP(BX$3,DRIPE!$A$54:$I$82,5,FALSE)+VLOOKUP(BX$3,DRIPE!$A$54:$I$82,9,FALSE))+ ('Inputs-System'!$C$26*'Coincidence Factors'!$B$8*(1+'Inputs-System'!$C$18)*(1+'Inputs-System'!$C$42))*'Inputs-Proposals'!$F$16*VLOOKUP(BX$3,DRIPE!$A$54:$I$82,8,FALSE), $C26 = "2",( 'Inputs-System'!$C$30*'Coincidence Factors'!$B$8*(1+'Inputs-System'!$C$18)*(1+'Inputs-System'!$C$41))*('Inputs-Proposals'!$F$23*'Inputs-Proposals'!$F$25*('Inputs-Proposals'!$F$26))*(VLOOKUP(BX$3,DRIPE!$A$54:$I$82,5,FALSE)+VLOOKUP(BX$3,DRIPE!$A$54:$I$82,9,FALSE))+  ('Inputs-System'!$C$26*'Coincidence Factors'!$B$8*(1+'Inputs-System'!$C$18)*(1+'Inputs-System'!$C$42))*'Inputs-Proposals'!$F$22*VLOOKUP(BX$3,DRIPE!$A$54:$I$82,8,FALSE), $C26= "3", ( 'Inputs-System'!$C$30*'Coincidence Factors'!$B$8*(1+'Inputs-System'!$C$18)*(1+'Inputs-System'!$C$41))*('Inputs-Proposals'!$F$29*'Inputs-Proposals'!$F$31*('Inputs-Proposals'!$F$32))*(VLOOKUP(BX$3,DRIPE!$A$54:$I$82,5,FALSE)+VLOOKUP(BX$3,DRIPE!$A$54:$I$82,9,FALSE))+  ('Inputs-System'!$C$26*'Coincidence Factors'!$B$8*(1+'Inputs-System'!$C$18)*(1+'Inputs-System'!$C$42))*'Inputs-Proposals'!$F$28*VLOOKUP(BX$3,DRIPE!$A$54:$I$82,8,FALSE), $C26 = "0", 0), 0)</f>
        <v>0</v>
      </c>
      <c r="CA26" s="45">
        <f>IFERROR(_xlfn.IFS($C26="1",('Inputs-System'!$C$30*'Coincidence Factors'!$B$8*(1+'Inputs-System'!$C$18))*'Inputs-Proposals'!$F$16*(VLOOKUP(BX$3,Capacity!$A$53:$E$85,4,FALSE)*(1+'Inputs-System'!$C$42)+VLOOKUP(BX$3,Capacity!$A$53:$E$85,5,FALSE)*'Inputs-System'!$C$29*(1+'Inputs-System'!$C$43)), $C26 = "2", ('Inputs-System'!$C$30*'Coincidence Factors'!$B$8*(1+'Inputs-System'!$C$18))*'Inputs-Proposals'!$F$22*(VLOOKUP(BX$3,Capacity!$A$53:$E$85,4,FALSE)*(1+'Inputs-System'!$C$42)+VLOOKUP(BX$3,Capacity!$A$53:$E$85,5,FALSE)*'Inputs-System'!$C$29*(1+'Inputs-System'!$C$43)), $C26 = "3",('Inputs-System'!$C$30*'Coincidence Factors'!$B$8*(1+'Inputs-System'!$C$18))*'Inputs-Proposals'!$F$28*(VLOOKUP(BX$3,Capacity!$A$53:$E$85,4,FALSE)*(1+'Inputs-System'!$C$42)+VLOOKUP(BX$3,Capacity!$A$53:$E$85,5,FALSE)*'Inputs-System'!$C$29*(1+'Inputs-System'!$C$43)), $C26 = "0", 0), 0)</f>
        <v>0</v>
      </c>
      <c r="CB26" s="44">
        <v>0</v>
      </c>
      <c r="CC26" s="342">
        <f>IFERROR(_xlfn.IFS($C26="1", 'Inputs-System'!$C$30*'Coincidence Factors'!$B$8*'Inputs-Proposals'!$F$17*'Inputs-Proposals'!$F$19*(VLOOKUP(BX$3,'Non-Embedded Emissions'!$A$56:$D$90,2,FALSE)+VLOOKUP(BX$3,'Non-Embedded Emissions'!$A$143:$D$174,2,FALSE)+VLOOKUP(BX$3,'Non-Embedded Emissions'!$A$230:$D$259,2,FALSE)), $C26 = "2", 'Inputs-System'!$C$30*'Coincidence Factors'!$B$8*'Inputs-Proposals'!$F$23*'Inputs-Proposals'!$F$25*(VLOOKUP(BX$3,'Non-Embedded Emissions'!$A$56:$D$90,2,FALSE)+VLOOKUP(BX$3,'Non-Embedded Emissions'!$A$143:$D$174,2,FALSE)+VLOOKUP(BX$3,'Non-Embedded Emissions'!$A$230:$D$259,2,FALSE)), $C26 = "3", 'Inputs-System'!$C$30*'Coincidence Factors'!$B$8*'Inputs-Proposals'!$F$29*'Inputs-Proposals'!$F$31*(VLOOKUP(BX$3,'Non-Embedded Emissions'!$A$56:$D$90,2,FALSE)+VLOOKUP(BX$3,'Non-Embedded Emissions'!$A$143:$D$174,2,FALSE)+VLOOKUP(BX$3,'Non-Embedded Emissions'!$A$230:$D$259,2,FALSE)), $C26 = "0", 0), 0)</f>
        <v>0</v>
      </c>
      <c r="CD26" s="45">
        <f>IFERROR(_xlfn.IFS($C26="1",('Inputs-System'!$C$30*'Coincidence Factors'!$B$8*(1+'Inputs-System'!$C$18)*(1+'Inputs-System'!$C$41)*('Inputs-Proposals'!$F$17*'Inputs-Proposals'!$F$19*('Inputs-Proposals'!$F$20))*(VLOOKUP(CD$3,Energy!$A$51:$K$83,5,FALSE))), $C26 = "2",('Inputs-System'!$C$30*'Coincidence Factors'!$B$8)*(1+'Inputs-System'!$C$18)*(1+'Inputs-System'!$C$41)*('Inputs-Proposals'!$F$23*'Inputs-Proposals'!$F$25*('Inputs-Proposals'!$F$26))*(VLOOKUP(CD$3,Energy!$A$51:$K$83,5,FALSE)), $C26= "3", ('Inputs-System'!$C$30*'Coincidence Factors'!$B$8*(1+'Inputs-System'!$C$18)*(1+'Inputs-System'!$C$41)*('Inputs-Proposals'!$F$29*'Inputs-Proposals'!$F$31*('Inputs-Proposals'!$F$32))*(VLOOKUP(CD$3,Energy!$A$51:$K$83,5,FALSE))), $C26= "0", 0), 0)</f>
        <v>0</v>
      </c>
      <c r="CE26" s="44">
        <f>IFERROR(_xlfn.IFS($C26="1",'Inputs-System'!$C$30*'Coincidence Factors'!$B$8*(1+'Inputs-System'!$C$18)*(1+'Inputs-System'!$C$41)*'Inputs-Proposals'!$F$17*'Inputs-Proposals'!$F$19*('Inputs-Proposals'!$F$20)*(VLOOKUP(CD$3,'Embedded Emissions'!$A$47:$B$78,2,FALSE)+VLOOKUP(CD$3,'Embedded Emissions'!$A$129:$B$158,2,FALSE)), $C26 = "2", 'Inputs-System'!$C$30*'Coincidence Factors'!$B$8*(1+'Inputs-System'!$C$18)*(1+'Inputs-System'!$C$41)*'Inputs-Proposals'!$F$23*'Inputs-Proposals'!$F$25*('Inputs-Proposals'!$F$20)*(VLOOKUP(CD$3,'Embedded Emissions'!$A$47:$B$78,2,FALSE)+VLOOKUP(CD$3,'Embedded Emissions'!$A$129:$B$158,2,FALSE)), $C26 = "3",'Inputs-System'!$C$30*'Coincidence Factors'!$B$8*(1+'Inputs-System'!$C$18)*(1+'Inputs-System'!$C$41)*'Inputs-Proposals'!$F$29*'Inputs-Proposals'!$F$31*('Inputs-Proposals'!$F$20)*(VLOOKUP(CD$3,'Embedded Emissions'!$A$47:$B$78,2,FALSE)+VLOOKUP(CD$3,'Embedded Emissions'!$A$129:$B$158,2,FALSE)), $C26 = "0", 0), 0)</f>
        <v>0</v>
      </c>
      <c r="CF26" s="44">
        <f>IFERROR(_xlfn.IFS($C26="1",( 'Inputs-System'!$C$30*'Coincidence Factors'!$B$8*(1+'Inputs-System'!$C$18)*(1+'Inputs-System'!$C$41))*('Inputs-Proposals'!$F$17*'Inputs-Proposals'!$F$19*('Inputs-Proposals'!$F$20))*(VLOOKUP(CD$3,DRIPE!$A$54:$I$82,5,FALSE)+VLOOKUP(CD$3,DRIPE!$A$54:$I$82,9,FALSE))+ ('Inputs-System'!$C$26*'Coincidence Factors'!$B$8*(1+'Inputs-System'!$C$18)*(1+'Inputs-System'!$C$42))*'Inputs-Proposals'!$F$16*VLOOKUP(CD$3,DRIPE!$A$54:$I$82,8,FALSE), $C26 = "2",( 'Inputs-System'!$C$30*'Coincidence Factors'!$B$8*(1+'Inputs-System'!$C$18)*(1+'Inputs-System'!$C$41))*('Inputs-Proposals'!$F$23*'Inputs-Proposals'!$F$25*('Inputs-Proposals'!$F$26))*(VLOOKUP(CD$3,DRIPE!$A$54:$I$82,5,FALSE)+VLOOKUP(CD$3,DRIPE!$A$54:$I$82,9,FALSE))+  ('Inputs-System'!$C$26*'Coincidence Factors'!$B$8*(1+'Inputs-System'!$C$18)*(1+'Inputs-System'!$C$42))*'Inputs-Proposals'!$F$22*VLOOKUP(CD$3,DRIPE!$A$54:$I$82,8,FALSE), $C26= "3", ( 'Inputs-System'!$C$30*'Coincidence Factors'!$B$8*(1+'Inputs-System'!$C$18)*(1+'Inputs-System'!$C$41))*('Inputs-Proposals'!$F$29*'Inputs-Proposals'!$F$31*('Inputs-Proposals'!$F$32))*(VLOOKUP(CD$3,DRIPE!$A$54:$I$82,5,FALSE)+VLOOKUP(CD$3,DRIPE!$A$54:$I$82,9,FALSE))+  ('Inputs-System'!$C$26*'Coincidence Factors'!$B$8*(1+'Inputs-System'!$C$18)*(1+'Inputs-System'!$C$42))*'Inputs-Proposals'!$F$28*VLOOKUP(CD$3,DRIPE!$A$54:$I$82,8,FALSE), $C26 = "0", 0), 0)</f>
        <v>0</v>
      </c>
      <c r="CG26" s="45">
        <f>IFERROR(_xlfn.IFS($C26="1",('Inputs-System'!$C$30*'Coincidence Factors'!$B$8*(1+'Inputs-System'!$C$18))*'Inputs-Proposals'!$F$16*(VLOOKUP(CD$3,Capacity!$A$53:$E$85,4,FALSE)*(1+'Inputs-System'!$C$42)+VLOOKUP(CD$3,Capacity!$A$53:$E$85,5,FALSE)*'Inputs-System'!$C$29*(1+'Inputs-System'!$C$43)), $C26 = "2", ('Inputs-System'!$C$30*'Coincidence Factors'!$B$8*(1+'Inputs-System'!$C$18))*'Inputs-Proposals'!$F$22*(VLOOKUP(CD$3,Capacity!$A$53:$E$85,4,FALSE)*(1+'Inputs-System'!$C$42)+VLOOKUP(CD$3,Capacity!$A$53:$E$85,5,FALSE)*'Inputs-System'!$C$29*(1+'Inputs-System'!$C$43)), $C26 = "3",('Inputs-System'!$C$30*'Coincidence Factors'!$B$8*(1+'Inputs-System'!$C$18))*'Inputs-Proposals'!$F$28*(VLOOKUP(CD$3,Capacity!$A$53:$E$85,4,FALSE)*(1+'Inputs-System'!$C$42)+VLOOKUP(CD$3,Capacity!$A$53:$E$85,5,FALSE)*'Inputs-System'!$C$29*(1+'Inputs-System'!$C$43)), $C26 = "0", 0), 0)</f>
        <v>0</v>
      </c>
      <c r="CH26" s="44">
        <v>0</v>
      </c>
      <c r="CI26" s="342">
        <f>IFERROR(_xlfn.IFS($C26="1", 'Inputs-System'!$C$30*'Coincidence Factors'!$B$8*'Inputs-Proposals'!$F$17*'Inputs-Proposals'!$F$19*(VLOOKUP(CD$3,'Non-Embedded Emissions'!$A$56:$D$90,2,FALSE)+VLOOKUP(CD$3,'Non-Embedded Emissions'!$A$143:$D$174,2,FALSE)+VLOOKUP(CD$3,'Non-Embedded Emissions'!$A$230:$D$259,2,FALSE)), $C26 = "2", 'Inputs-System'!$C$30*'Coincidence Factors'!$B$8*'Inputs-Proposals'!$F$23*'Inputs-Proposals'!$F$25*(VLOOKUP(CD$3,'Non-Embedded Emissions'!$A$56:$D$90,2,FALSE)+VLOOKUP(CD$3,'Non-Embedded Emissions'!$A$143:$D$174,2,FALSE)+VLOOKUP(CD$3,'Non-Embedded Emissions'!$A$230:$D$259,2,FALSE)), $C26 = "3", 'Inputs-System'!$C$30*'Coincidence Factors'!$B$8*'Inputs-Proposals'!$F$29*'Inputs-Proposals'!$F$31*(VLOOKUP(CD$3,'Non-Embedded Emissions'!$A$56:$D$90,2,FALSE)+VLOOKUP(CD$3,'Non-Embedded Emissions'!$A$143:$D$174,2,FALSE)+VLOOKUP(CD$3,'Non-Embedded Emissions'!$A$230:$D$259,2,FALSE)), $C26 = "0", 0), 0)</f>
        <v>0</v>
      </c>
      <c r="CJ26" s="45">
        <f>IFERROR(_xlfn.IFS($C26="1",('Inputs-System'!$C$30*'Coincidence Factors'!$B$8*(1+'Inputs-System'!$C$18)*(1+'Inputs-System'!$C$41)*('Inputs-Proposals'!$F$17*'Inputs-Proposals'!$F$19*('Inputs-Proposals'!$F$20))*(VLOOKUP(CJ$3,Energy!$A$51:$K$83,5,FALSE))), $C26 = "2",('Inputs-System'!$C$30*'Coincidence Factors'!$B$8)*(1+'Inputs-System'!$C$18)*(1+'Inputs-System'!$C$41)*('Inputs-Proposals'!$F$23*'Inputs-Proposals'!$F$25*('Inputs-Proposals'!$F$26))*(VLOOKUP(CJ$3,Energy!$A$51:$K$83,5,FALSE)), $C26= "3", ('Inputs-System'!$C$30*'Coincidence Factors'!$B$8*(1+'Inputs-System'!$C$18)*(1+'Inputs-System'!$C$41)*('Inputs-Proposals'!$F$29*'Inputs-Proposals'!$F$31*('Inputs-Proposals'!$F$32))*(VLOOKUP(CJ$3,Energy!$A$51:$K$83,5,FALSE))), $C26= "0", 0), 0)</f>
        <v>0</v>
      </c>
      <c r="CK26" s="44">
        <f>IFERROR(_xlfn.IFS($C26="1",'Inputs-System'!$C$30*'Coincidence Factors'!$B$8*(1+'Inputs-System'!$C$18)*(1+'Inputs-System'!$C$41)*'Inputs-Proposals'!$F$17*'Inputs-Proposals'!$F$19*('Inputs-Proposals'!$F$20)*(VLOOKUP(CJ$3,'Embedded Emissions'!$A$47:$B$78,2,FALSE)+VLOOKUP(CJ$3,'Embedded Emissions'!$A$129:$B$158,2,FALSE)), $C26 = "2", 'Inputs-System'!$C$30*'Coincidence Factors'!$B$8*(1+'Inputs-System'!$C$18)*(1+'Inputs-System'!$C$41)*'Inputs-Proposals'!$F$23*'Inputs-Proposals'!$F$25*('Inputs-Proposals'!$F$20)*(VLOOKUP(CJ$3,'Embedded Emissions'!$A$47:$B$78,2,FALSE)+VLOOKUP(CJ$3,'Embedded Emissions'!$A$129:$B$158,2,FALSE)), $C26 = "3",'Inputs-System'!$C$30*'Coincidence Factors'!$B$8*(1+'Inputs-System'!$C$18)*(1+'Inputs-System'!$C$41)*'Inputs-Proposals'!$F$29*'Inputs-Proposals'!$F$31*('Inputs-Proposals'!$F$20)*(VLOOKUP(CJ$3,'Embedded Emissions'!$A$47:$B$78,2,FALSE)+VLOOKUP(CJ$3,'Embedded Emissions'!$A$129:$B$158,2,FALSE)), $C26 = "0", 0), 0)</f>
        <v>0</v>
      </c>
      <c r="CL26" s="44">
        <f>IFERROR(_xlfn.IFS($C26="1",( 'Inputs-System'!$C$30*'Coincidence Factors'!$B$8*(1+'Inputs-System'!$C$18)*(1+'Inputs-System'!$C$41))*('Inputs-Proposals'!$F$17*'Inputs-Proposals'!$F$19*('Inputs-Proposals'!$F$20))*(VLOOKUP(CJ$3,DRIPE!$A$54:$I$82,5,FALSE)+VLOOKUP(CJ$3,DRIPE!$A$54:$I$82,9,FALSE))+ ('Inputs-System'!$C$26*'Coincidence Factors'!$B$8*(1+'Inputs-System'!$C$18)*(1+'Inputs-System'!$C$42))*'Inputs-Proposals'!$F$16*VLOOKUP(CJ$3,DRIPE!$A$54:$I$82,8,FALSE), $C26 = "2",( 'Inputs-System'!$C$30*'Coincidence Factors'!$B$8*(1+'Inputs-System'!$C$18)*(1+'Inputs-System'!$C$41))*('Inputs-Proposals'!$F$23*'Inputs-Proposals'!$F$25*('Inputs-Proposals'!$F$26))*(VLOOKUP(CJ$3,DRIPE!$A$54:$I$82,5,FALSE)+VLOOKUP(CJ$3,DRIPE!$A$54:$I$82,9,FALSE))+  ('Inputs-System'!$C$26*'Coincidence Factors'!$B$8*(1+'Inputs-System'!$C$18)*(1+'Inputs-System'!$C$42))*'Inputs-Proposals'!$F$22*VLOOKUP(CJ$3,DRIPE!$A$54:$I$82,8,FALSE), $C26= "3", ( 'Inputs-System'!$C$30*'Coincidence Factors'!$B$8*(1+'Inputs-System'!$C$18)*(1+'Inputs-System'!$C$41))*('Inputs-Proposals'!$F$29*'Inputs-Proposals'!$F$31*('Inputs-Proposals'!$F$32))*(VLOOKUP(CJ$3,DRIPE!$A$54:$I$82,5,FALSE)+VLOOKUP(CJ$3,DRIPE!$A$54:$I$82,9,FALSE))+  ('Inputs-System'!$C$26*'Coincidence Factors'!$B$8*(1+'Inputs-System'!$C$18)*(1+'Inputs-System'!$C$42))*'Inputs-Proposals'!$F$28*VLOOKUP(CJ$3,DRIPE!$A$54:$I$82,8,FALSE), $C26 = "0", 0), 0)</f>
        <v>0</v>
      </c>
      <c r="CM26" s="45">
        <f>IFERROR(_xlfn.IFS($C26="1",('Inputs-System'!$C$30*'Coincidence Factors'!$B$8*(1+'Inputs-System'!$C$18))*'Inputs-Proposals'!$F$16*(VLOOKUP(CJ$3,Capacity!$A$53:$E$85,4,FALSE)*(1+'Inputs-System'!$C$42)+VLOOKUP(CJ$3,Capacity!$A$53:$E$85,5,FALSE)*'Inputs-System'!$C$29*(1+'Inputs-System'!$C$43)), $C26 = "2", ('Inputs-System'!$C$30*'Coincidence Factors'!$B$8*(1+'Inputs-System'!$C$18))*'Inputs-Proposals'!$F$22*(VLOOKUP(CJ$3,Capacity!$A$53:$E$85,4,FALSE)*(1+'Inputs-System'!$C$42)+VLOOKUP(CJ$3,Capacity!$A$53:$E$85,5,FALSE)*'Inputs-System'!$C$29*(1+'Inputs-System'!$C$43)), $C26 = "3",('Inputs-System'!$C$30*'Coincidence Factors'!$B$8*(1+'Inputs-System'!$C$18))*'Inputs-Proposals'!$F$28*(VLOOKUP(CJ$3,Capacity!$A$53:$E$85,4,FALSE)*(1+'Inputs-System'!$C$42)+VLOOKUP(CJ$3,Capacity!$A$53:$E$85,5,FALSE)*'Inputs-System'!$C$29*(1+'Inputs-System'!$C$43)), $C26 = "0", 0), 0)</f>
        <v>0</v>
      </c>
      <c r="CN26" s="44">
        <v>0</v>
      </c>
      <c r="CO26" s="342">
        <f>IFERROR(_xlfn.IFS($C26="1", 'Inputs-System'!$C$30*'Coincidence Factors'!$B$8*'Inputs-Proposals'!$F$17*'Inputs-Proposals'!$F$19*(VLOOKUP(CJ$3,'Non-Embedded Emissions'!$A$56:$D$90,2,FALSE)+VLOOKUP(CJ$3,'Non-Embedded Emissions'!$A$143:$D$174,2,FALSE)+VLOOKUP(CJ$3,'Non-Embedded Emissions'!$A$230:$D$259,2,FALSE)), $C26 = "2", 'Inputs-System'!$C$30*'Coincidence Factors'!$B$8*'Inputs-Proposals'!$F$23*'Inputs-Proposals'!$F$25*(VLOOKUP(CJ$3,'Non-Embedded Emissions'!$A$56:$D$90,2,FALSE)+VLOOKUP(CJ$3,'Non-Embedded Emissions'!$A$143:$D$174,2,FALSE)+VLOOKUP(CJ$3,'Non-Embedded Emissions'!$A$230:$D$259,2,FALSE)), $C26 = "3", 'Inputs-System'!$C$30*'Coincidence Factors'!$B$8*'Inputs-Proposals'!$F$29*'Inputs-Proposals'!$F$31*(VLOOKUP(CJ$3,'Non-Embedded Emissions'!$A$56:$D$90,2,FALSE)+VLOOKUP(CJ$3,'Non-Embedded Emissions'!$A$143:$D$174,2,FALSE)+VLOOKUP(CJ$3,'Non-Embedded Emissions'!$A$230:$D$259,2,FALSE)), $C26 = "0", 0), 0)</f>
        <v>0</v>
      </c>
      <c r="CP26" s="45">
        <f>IFERROR(_xlfn.IFS($C26="1",('Inputs-System'!$C$30*'Coincidence Factors'!$B$8*(1+'Inputs-System'!$C$18)*(1+'Inputs-System'!$C$41)*('Inputs-Proposals'!$F$17*'Inputs-Proposals'!$F$19*('Inputs-Proposals'!$F$20))*(VLOOKUP(CP$3,Energy!$A$51:$K$83,5,FALSE))), $C26 = "2",('Inputs-System'!$C$30*'Coincidence Factors'!$B$8)*(1+'Inputs-System'!$C$18)*(1+'Inputs-System'!$C$41)*('Inputs-Proposals'!$F$23*'Inputs-Proposals'!$F$25*('Inputs-Proposals'!$F$26))*(VLOOKUP(CP$3,Energy!$A$51:$K$83,5,FALSE)), $C26= "3", ('Inputs-System'!$C$30*'Coincidence Factors'!$B$8*(1+'Inputs-System'!$C$18)*(1+'Inputs-System'!$C$41)*('Inputs-Proposals'!$F$29*'Inputs-Proposals'!$F$31*('Inputs-Proposals'!$F$32))*(VLOOKUP(CP$3,Energy!$A$51:$K$83,5,FALSE))), $C26= "0", 0), 0)</f>
        <v>0</v>
      </c>
      <c r="CQ26" s="44">
        <f>IFERROR(_xlfn.IFS($C26="1",'Inputs-System'!$C$30*'Coincidence Factors'!$B$8*(1+'Inputs-System'!$C$18)*(1+'Inputs-System'!$C$41)*'Inputs-Proposals'!$F$17*'Inputs-Proposals'!$F$19*('Inputs-Proposals'!$F$20)*(VLOOKUP(CP$3,'Embedded Emissions'!$A$47:$B$78,2,FALSE)+VLOOKUP(CP$3,'Embedded Emissions'!$A$129:$B$158,2,FALSE)), $C26 = "2", 'Inputs-System'!$C$30*'Coincidence Factors'!$B$8*(1+'Inputs-System'!$C$18)*(1+'Inputs-System'!$C$41)*'Inputs-Proposals'!$F$23*'Inputs-Proposals'!$F$25*('Inputs-Proposals'!$F$20)*(VLOOKUP(CP$3,'Embedded Emissions'!$A$47:$B$78,2,FALSE)+VLOOKUP(CP$3,'Embedded Emissions'!$A$129:$B$158,2,FALSE)), $C26 = "3",'Inputs-System'!$C$30*'Coincidence Factors'!$B$8*(1+'Inputs-System'!$C$18)*(1+'Inputs-System'!$C$41)*'Inputs-Proposals'!$F$29*'Inputs-Proposals'!$F$31*('Inputs-Proposals'!$F$20)*(VLOOKUP(CP$3,'Embedded Emissions'!$A$47:$B$78,2,FALSE)+VLOOKUP(CP$3,'Embedded Emissions'!$A$129:$B$158,2,FALSE)), $C26 = "0", 0), 0)</f>
        <v>0</v>
      </c>
      <c r="CR26" s="44">
        <f>IFERROR(_xlfn.IFS($C26="1",( 'Inputs-System'!$C$30*'Coincidence Factors'!$B$8*(1+'Inputs-System'!$C$18)*(1+'Inputs-System'!$C$41))*('Inputs-Proposals'!$F$17*'Inputs-Proposals'!$F$19*('Inputs-Proposals'!$F$20))*(VLOOKUP(CP$3,DRIPE!$A$54:$I$82,5,FALSE)+VLOOKUP(CP$3,DRIPE!$A$54:$I$82,9,FALSE))+ ('Inputs-System'!$C$26*'Coincidence Factors'!$B$8*(1+'Inputs-System'!$C$18)*(1+'Inputs-System'!$C$42))*'Inputs-Proposals'!$F$16*VLOOKUP(CP$3,DRIPE!$A$54:$I$82,8,FALSE), $C26 = "2",( 'Inputs-System'!$C$30*'Coincidence Factors'!$B$8*(1+'Inputs-System'!$C$18)*(1+'Inputs-System'!$C$41))*('Inputs-Proposals'!$F$23*'Inputs-Proposals'!$F$25*('Inputs-Proposals'!$F$26))*(VLOOKUP(CP$3,DRIPE!$A$54:$I$82,5,FALSE)+VLOOKUP(CP$3,DRIPE!$A$54:$I$82,9,FALSE))+  ('Inputs-System'!$C$26*'Coincidence Factors'!$B$8*(1+'Inputs-System'!$C$18)*(1+'Inputs-System'!$C$42))*'Inputs-Proposals'!$F$22*VLOOKUP(CP$3,DRIPE!$A$54:$I$82,8,FALSE), $C26= "3", ( 'Inputs-System'!$C$30*'Coincidence Factors'!$B$8*(1+'Inputs-System'!$C$18)*(1+'Inputs-System'!$C$41))*('Inputs-Proposals'!$F$29*'Inputs-Proposals'!$F$31*('Inputs-Proposals'!$F$32))*(VLOOKUP(CP$3,DRIPE!$A$54:$I$82,5,FALSE)+VLOOKUP(CP$3,DRIPE!$A$54:$I$82,9,FALSE))+  ('Inputs-System'!$C$26*'Coincidence Factors'!$B$8*(1+'Inputs-System'!$C$18)*(1+'Inputs-System'!$C$42))*'Inputs-Proposals'!$F$28*VLOOKUP(CP$3,DRIPE!$A$54:$I$82,8,FALSE), $C26 = "0", 0), 0)</f>
        <v>0</v>
      </c>
      <c r="CS26" s="45">
        <f>IFERROR(_xlfn.IFS($C26="1",('Inputs-System'!$C$30*'Coincidence Factors'!$B$8*(1+'Inputs-System'!$C$18))*'Inputs-Proposals'!$F$16*(VLOOKUP(CP$3,Capacity!$A$53:$E$85,4,FALSE)*(1+'Inputs-System'!$C$42)+VLOOKUP(CP$3,Capacity!$A$53:$E$85,5,FALSE)*'Inputs-System'!$C$29*(1+'Inputs-System'!$C$43)), $C26 = "2", ('Inputs-System'!$C$30*'Coincidence Factors'!$B$8*(1+'Inputs-System'!$C$18))*'Inputs-Proposals'!$F$22*(VLOOKUP(CP$3,Capacity!$A$53:$E$85,4,FALSE)*(1+'Inputs-System'!$C$42)+VLOOKUP(CP$3,Capacity!$A$53:$E$85,5,FALSE)*'Inputs-System'!$C$29*(1+'Inputs-System'!$C$43)), $C26 = "3",('Inputs-System'!$C$30*'Coincidence Factors'!$B$8*(1+'Inputs-System'!$C$18))*'Inputs-Proposals'!$F$28*(VLOOKUP(CP$3,Capacity!$A$53:$E$85,4,FALSE)*(1+'Inputs-System'!$C$42)+VLOOKUP(CP$3,Capacity!$A$53:$E$85,5,FALSE)*'Inputs-System'!$C$29*(1+'Inputs-System'!$C$43)), $C26 = "0", 0), 0)</f>
        <v>0</v>
      </c>
      <c r="CT26" s="44">
        <v>0</v>
      </c>
      <c r="CU26" s="342">
        <f>IFERROR(_xlfn.IFS($C26="1", 'Inputs-System'!$C$30*'Coincidence Factors'!$B$8*'Inputs-Proposals'!$F$17*'Inputs-Proposals'!$F$19*(VLOOKUP(CP$3,'Non-Embedded Emissions'!$A$56:$D$90,2,FALSE)+VLOOKUP(CP$3,'Non-Embedded Emissions'!$A$143:$D$174,2,FALSE)+VLOOKUP(CP$3,'Non-Embedded Emissions'!$A$230:$D$259,2,FALSE)), $C26 = "2", 'Inputs-System'!$C$30*'Coincidence Factors'!$B$8*'Inputs-Proposals'!$F$23*'Inputs-Proposals'!$F$25*(VLOOKUP(CP$3,'Non-Embedded Emissions'!$A$56:$D$90,2,FALSE)+VLOOKUP(CP$3,'Non-Embedded Emissions'!$A$143:$D$174,2,FALSE)+VLOOKUP(CP$3,'Non-Embedded Emissions'!$A$230:$D$259,2,FALSE)), $C26 = "3", 'Inputs-System'!$C$30*'Coincidence Factors'!$B$8*'Inputs-Proposals'!$F$29*'Inputs-Proposals'!$F$31*(VLOOKUP(CP$3,'Non-Embedded Emissions'!$A$56:$D$90,2,FALSE)+VLOOKUP(CP$3,'Non-Embedded Emissions'!$A$143:$D$174,2,FALSE)+VLOOKUP(CP$3,'Non-Embedded Emissions'!$A$230:$D$259,2,FALSE)), $C26 = "0", 0), 0)</f>
        <v>0</v>
      </c>
      <c r="CV26" s="45">
        <f>IFERROR(_xlfn.IFS($C26="1",('Inputs-System'!$C$30*'Coincidence Factors'!$B$8*(1+'Inputs-System'!$C$18)*(1+'Inputs-System'!$C$41)*('Inputs-Proposals'!$F$17*'Inputs-Proposals'!$F$19*('Inputs-Proposals'!$F$20))*(VLOOKUP(CV$3,Energy!$A$51:$K$83,5,FALSE))), $C26 = "2",('Inputs-System'!$C$30*'Coincidence Factors'!$B$8)*(1+'Inputs-System'!$C$18)*(1+'Inputs-System'!$C$41)*('Inputs-Proposals'!$F$23*'Inputs-Proposals'!$F$25*('Inputs-Proposals'!$F$26))*(VLOOKUP(CV$3,Energy!$A$51:$K$83,5,FALSE)), $C26= "3", ('Inputs-System'!$C$30*'Coincidence Factors'!$B$8*(1+'Inputs-System'!$C$18)*(1+'Inputs-System'!$C$41)*('Inputs-Proposals'!$F$29*'Inputs-Proposals'!$F$31*('Inputs-Proposals'!$F$32))*(VLOOKUP(CV$3,Energy!$A$51:$K$83,5,FALSE))), $C26= "0", 0), 0)</f>
        <v>0</v>
      </c>
      <c r="CW26" s="44">
        <f>IFERROR(_xlfn.IFS($C26="1",'Inputs-System'!$C$30*'Coincidence Factors'!$B$8*(1+'Inputs-System'!$C$18)*(1+'Inputs-System'!$C$41)*'Inputs-Proposals'!$F$17*'Inputs-Proposals'!$F$19*('Inputs-Proposals'!$F$20)*(VLOOKUP(CV$3,'Embedded Emissions'!$A$47:$B$78,2,FALSE)+VLOOKUP(CV$3,'Embedded Emissions'!$A$129:$B$158,2,FALSE)), $C26 = "2", 'Inputs-System'!$C$30*'Coincidence Factors'!$B$8*(1+'Inputs-System'!$C$18)*(1+'Inputs-System'!$C$41)*'Inputs-Proposals'!$F$23*'Inputs-Proposals'!$F$25*('Inputs-Proposals'!$F$20)*(VLOOKUP(CV$3,'Embedded Emissions'!$A$47:$B$78,2,FALSE)+VLOOKUP(CV$3,'Embedded Emissions'!$A$129:$B$158,2,FALSE)), $C26 = "3",'Inputs-System'!$C$30*'Coincidence Factors'!$B$8*(1+'Inputs-System'!$C$18)*(1+'Inputs-System'!$C$41)*'Inputs-Proposals'!$F$29*'Inputs-Proposals'!$F$31*('Inputs-Proposals'!$F$20)*(VLOOKUP(CV$3,'Embedded Emissions'!$A$47:$B$78,2,FALSE)+VLOOKUP(CV$3,'Embedded Emissions'!$A$129:$B$158,2,FALSE)), $C26 = "0", 0), 0)</f>
        <v>0</v>
      </c>
      <c r="CX26" s="44">
        <f>IFERROR(_xlfn.IFS($C26="1",( 'Inputs-System'!$C$30*'Coincidence Factors'!$B$8*(1+'Inputs-System'!$C$18)*(1+'Inputs-System'!$C$41))*('Inputs-Proposals'!$F$17*'Inputs-Proposals'!$F$19*('Inputs-Proposals'!$F$20))*(VLOOKUP(CV$3,DRIPE!$A$54:$I$82,5,FALSE)+VLOOKUP(CV$3,DRIPE!$A$54:$I$82,9,FALSE))+ ('Inputs-System'!$C$26*'Coincidence Factors'!$B$8*(1+'Inputs-System'!$C$18)*(1+'Inputs-System'!$C$42))*'Inputs-Proposals'!$F$16*VLOOKUP(CV$3,DRIPE!$A$54:$I$82,8,FALSE), $C26 = "2",( 'Inputs-System'!$C$30*'Coincidence Factors'!$B$8*(1+'Inputs-System'!$C$18)*(1+'Inputs-System'!$C$41))*('Inputs-Proposals'!$F$23*'Inputs-Proposals'!$F$25*('Inputs-Proposals'!$F$26))*(VLOOKUP(CV$3,DRIPE!$A$54:$I$82,5,FALSE)+VLOOKUP(CV$3,DRIPE!$A$54:$I$82,9,FALSE))+  ('Inputs-System'!$C$26*'Coincidence Factors'!$B$8*(1+'Inputs-System'!$C$18)*(1+'Inputs-System'!$C$42))*'Inputs-Proposals'!$F$22*VLOOKUP(CV$3,DRIPE!$A$54:$I$82,8,FALSE), $C26= "3", ( 'Inputs-System'!$C$30*'Coincidence Factors'!$B$8*(1+'Inputs-System'!$C$18)*(1+'Inputs-System'!$C$41))*('Inputs-Proposals'!$F$29*'Inputs-Proposals'!$F$31*('Inputs-Proposals'!$F$32))*(VLOOKUP(CV$3,DRIPE!$A$54:$I$82,5,FALSE)+VLOOKUP(CV$3,DRIPE!$A$54:$I$82,9,FALSE))+  ('Inputs-System'!$C$26*'Coincidence Factors'!$B$8*(1+'Inputs-System'!$C$18)*(1+'Inputs-System'!$C$42))*'Inputs-Proposals'!$F$28*VLOOKUP(CV$3,DRIPE!$A$54:$I$82,8,FALSE), $C26 = "0", 0), 0)</f>
        <v>0</v>
      </c>
      <c r="CY26" s="45">
        <f>IFERROR(_xlfn.IFS($C26="1",('Inputs-System'!$C$30*'Coincidence Factors'!$B$8*(1+'Inputs-System'!$C$18))*'Inputs-Proposals'!$F$16*(VLOOKUP(CV$3,Capacity!$A$53:$E$85,4,FALSE)*(1+'Inputs-System'!$C$42)+VLOOKUP(CV$3,Capacity!$A$53:$E$85,5,FALSE)*'Inputs-System'!$C$29*(1+'Inputs-System'!$C$43)), $C26 = "2", ('Inputs-System'!$C$30*'Coincidence Factors'!$B$8*(1+'Inputs-System'!$C$18))*'Inputs-Proposals'!$F$22*(VLOOKUP(CV$3,Capacity!$A$53:$E$85,4,FALSE)*(1+'Inputs-System'!$C$42)+VLOOKUP(CV$3,Capacity!$A$53:$E$85,5,FALSE)*'Inputs-System'!$C$29*(1+'Inputs-System'!$C$43)), $C26 = "3",('Inputs-System'!$C$30*'Coincidence Factors'!$B$8*(1+'Inputs-System'!$C$18))*'Inputs-Proposals'!$F$28*(VLOOKUP(CV$3,Capacity!$A$53:$E$85,4,FALSE)*(1+'Inputs-System'!$C$42)+VLOOKUP(CV$3,Capacity!$A$53:$E$85,5,FALSE)*'Inputs-System'!$C$29*(1+'Inputs-System'!$C$43)), $C26 = "0", 0), 0)</f>
        <v>0</v>
      </c>
      <c r="CZ26" s="44">
        <v>0</v>
      </c>
      <c r="DA26" s="342">
        <f>IFERROR(_xlfn.IFS($C26="1", 'Inputs-System'!$C$30*'Coincidence Factors'!$B$8*'Inputs-Proposals'!$F$17*'Inputs-Proposals'!$F$19*(VLOOKUP(CV$3,'Non-Embedded Emissions'!$A$56:$D$90,2,FALSE)+VLOOKUP(CV$3,'Non-Embedded Emissions'!$A$143:$D$174,2,FALSE)+VLOOKUP(CV$3,'Non-Embedded Emissions'!$A$230:$D$259,2,FALSE)), $C26 = "2", 'Inputs-System'!$C$30*'Coincidence Factors'!$B$8*'Inputs-Proposals'!$F$23*'Inputs-Proposals'!$F$25*(VLOOKUP(CV$3,'Non-Embedded Emissions'!$A$56:$D$90,2,FALSE)+VLOOKUP(CV$3,'Non-Embedded Emissions'!$A$143:$D$174,2,FALSE)+VLOOKUP(CV$3,'Non-Embedded Emissions'!$A$230:$D$259,2,FALSE)), $C26 = "3", 'Inputs-System'!$C$30*'Coincidence Factors'!$B$8*'Inputs-Proposals'!$F$29*'Inputs-Proposals'!$F$31*(VLOOKUP(CV$3,'Non-Embedded Emissions'!$A$56:$D$90,2,FALSE)+VLOOKUP(CV$3,'Non-Embedded Emissions'!$A$143:$D$174,2,FALSE)+VLOOKUP(CV$3,'Non-Embedded Emissions'!$A$230:$D$259,2,FALSE)), $C26 = "0", 0), 0)</f>
        <v>0</v>
      </c>
      <c r="DB26" s="45">
        <f>IFERROR(_xlfn.IFS($C26="1",('Inputs-System'!$C$30*'Coincidence Factors'!$B$8*(1+'Inputs-System'!$C$18)*(1+'Inputs-System'!$C$41)*('Inputs-Proposals'!$F$17*'Inputs-Proposals'!$F$19*('Inputs-Proposals'!$F$20))*(VLOOKUP(DB$3,Energy!$A$51:$K$83,5,FALSE))), $C26 = "2",('Inputs-System'!$C$30*'Coincidence Factors'!$B$8)*(1+'Inputs-System'!$C$18)*(1+'Inputs-System'!$C$41)*('Inputs-Proposals'!$F$23*'Inputs-Proposals'!$F$25*('Inputs-Proposals'!$F$26))*(VLOOKUP(DB$3,Energy!$A$51:$K$83,5,FALSE)), $C26= "3", ('Inputs-System'!$C$30*'Coincidence Factors'!$B$8*(1+'Inputs-System'!$C$18)*(1+'Inputs-System'!$C$41)*('Inputs-Proposals'!$F$29*'Inputs-Proposals'!$F$31*('Inputs-Proposals'!$F$32))*(VLOOKUP(DB$3,Energy!$A$51:$K$83,5,FALSE))), $C26= "0", 0), 0)</f>
        <v>0</v>
      </c>
      <c r="DC26" s="44">
        <f>IFERROR(_xlfn.IFS($C26="1",'Inputs-System'!$C$30*'Coincidence Factors'!$B$8*(1+'Inputs-System'!$C$18)*(1+'Inputs-System'!$C$41)*'Inputs-Proposals'!$F$17*'Inputs-Proposals'!$F$19*('Inputs-Proposals'!$F$20)*(VLOOKUP(DB$3,'Embedded Emissions'!$A$47:$B$78,2,FALSE)+VLOOKUP(DB$3,'Embedded Emissions'!$A$129:$B$158,2,FALSE)), $C26 = "2", 'Inputs-System'!$C$30*'Coincidence Factors'!$B$8*(1+'Inputs-System'!$C$18)*(1+'Inputs-System'!$C$41)*'Inputs-Proposals'!$F$23*'Inputs-Proposals'!$F$25*('Inputs-Proposals'!$F$20)*(VLOOKUP(DB$3,'Embedded Emissions'!$A$47:$B$78,2,FALSE)+VLOOKUP(DB$3,'Embedded Emissions'!$A$129:$B$158,2,FALSE)), $C26 = "3",'Inputs-System'!$C$30*'Coincidence Factors'!$B$8*(1+'Inputs-System'!$C$18)*(1+'Inputs-System'!$C$41)*'Inputs-Proposals'!$F$29*'Inputs-Proposals'!$F$31*('Inputs-Proposals'!$F$20)*(VLOOKUP(DB$3,'Embedded Emissions'!$A$47:$B$78,2,FALSE)+VLOOKUP(DB$3,'Embedded Emissions'!$A$129:$B$158,2,FALSE)), $C26 = "0", 0), 0)</f>
        <v>0</v>
      </c>
      <c r="DD26" s="44">
        <f>IFERROR(_xlfn.IFS($C26="1",( 'Inputs-System'!$C$30*'Coincidence Factors'!$B$8*(1+'Inputs-System'!$C$18)*(1+'Inputs-System'!$C$41))*('Inputs-Proposals'!$F$17*'Inputs-Proposals'!$F$19*('Inputs-Proposals'!$F$20))*(VLOOKUP(DB$3,DRIPE!$A$54:$I$82,5,FALSE)+VLOOKUP(DB$3,DRIPE!$A$54:$I$82,9,FALSE))+ ('Inputs-System'!$C$26*'Coincidence Factors'!$B$8*(1+'Inputs-System'!$C$18)*(1+'Inputs-System'!$C$42))*'Inputs-Proposals'!$F$16*VLOOKUP(DB$3,DRIPE!$A$54:$I$82,8,FALSE), $C26 = "2",( 'Inputs-System'!$C$30*'Coincidence Factors'!$B$8*(1+'Inputs-System'!$C$18)*(1+'Inputs-System'!$C$41))*('Inputs-Proposals'!$F$23*'Inputs-Proposals'!$F$25*('Inputs-Proposals'!$F$26))*(VLOOKUP(DB$3,DRIPE!$A$54:$I$82,5,FALSE)+VLOOKUP(DB$3,DRIPE!$A$54:$I$82,9,FALSE))+  ('Inputs-System'!$C$26*'Coincidence Factors'!$B$8*(1+'Inputs-System'!$C$18)*(1+'Inputs-System'!$C$42))*'Inputs-Proposals'!$F$22*VLOOKUP(DB$3,DRIPE!$A$54:$I$82,8,FALSE), $C26= "3", ( 'Inputs-System'!$C$30*'Coincidence Factors'!$B$8*(1+'Inputs-System'!$C$18)*(1+'Inputs-System'!$C$41))*('Inputs-Proposals'!$F$29*'Inputs-Proposals'!$F$31*('Inputs-Proposals'!$F$32))*(VLOOKUP(DB$3,DRIPE!$A$54:$I$82,5,FALSE)+VLOOKUP(DB$3,DRIPE!$A$54:$I$82,9,FALSE))+  ('Inputs-System'!$C$26*'Coincidence Factors'!$B$8*(1+'Inputs-System'!$C$18)*(1+'Inputs-System'!$C$42))*'Inputs-Proposals'!$F$28*VLOOKUP(DB$3,DRIPE!$A$54:$I$82,8,FALSE), $C26 = "0", 0), 0)</f>
        <v>0</v>
      </c>
      <c r="DE26" s="45">
        <f>IFERROR(_xlfn.IFS($C26="1",('Inputs-System'!$C$30*'Coincidence Factors'!$B$8*(1+'Inputs-System'!$C$18))*'Inputs-Proposals'!$F$16*(VLOOKUP(DB$3,Capacity!$A$53:$E$85,4,FALSE)*(1+'Inputs-System'!$C$42)+VLOOKUP(DB$3,Capacity!$A$53:$E$85,5,FALSE)*'Inputs-System'!$C$29*(1+'Inputs-System'!$C$43)), $C26 = "2", ('Inputs-System'!$C$30*'Coincidence Factors'!$B$8*(1+'Inputs-System'!$C$18))*'Inputs-Proposals'!$F$22*(VLOOKUP(DB$3,Capacity!$A$53:$E$85,4,FALSE)*(1+'Inputs-System'!$C$42)+VLOOKUP(DB$3,Capacity!$A$53:$E$85,5,FALSE)*'Inputs-System'!$C$29*(1+'Inputs-System'!$C$43)), $C26 = "3",('Inputs-System'!$C$30*'Coincidence Factors'!$B$8*(1+'Inputs-System'!$C$18))*'Inputs-Proposals'!$F$28*(VLOOKUP(DB$3,Capacity!$A$53:$E$85,4,FALSE)*(1+'Inputs-System'!$C$42)+VLOOKUP(DB$3,Capacity!$A$53:$E$85,5,FALSE)*'Inputs-System'!$C$29*(1+'Inputs-System'!$C$43)), $C26 = "0", 0), 0)</f>
        <v>0</v>
      </c>
      <c r="DF26" s="44">
        <v>0</v>
      </c>
      <c r="DG26" s="342">
        <f>IFERROR(_xlfn.IFS($C26="1", 'Inputs-System'!$C$30*'Coincidence Factors'!$B$8*'Inputs-Proposals'!$F$17*'Inputs-Proposals'!$F$19*(VLOOKUP(DB$3,'Non-Embedded Emissions'!$A$56:$D$90,2,FALSE)+VLOOKUP(DB$3,'Non-Embedded Emissions'!$A$143:$D$174,2,FALSE)+VLOOKUP(DB$3,'Non-Embedded Emissions'!$A$230:$D$259,2,FALSE)), $C26 = "2", 'Inputs-System'!$C$30*'Coincidence Factors'!$B$8*'Inputs-Proposals'!$F$23*'Inputs-Proposals'!$F$25*(VLOOKUP(DB$3,'Non-Embedded Emissions'!$A$56:$D$90,2,FALSE)+VLOOKUP(DB$3,'Non-Embedded Emissions'!$A$143:$D$174,2,FALSE)+VLOOKUP(DB$3,'Non-Embedded Emissions'!$A$230:$D$259,2,FALSE)), $C26 = "3", 'Inputs-System'!$C$30*'Coincidence Factors'!$B$8*'Inputs-Proposals'!$F$29*'Inputs-Proposals'!$F$31*(VLOOKUP(DB$3,'Non-Embedded Emissions'!$A$56:$D$90,2,FALSE)+VLOOKUP(DB$3,'Non-Embedded Emissions'!$A$143:$D$174,2,FALSE)+VLOOKUP(DB$3,'Non-Embedded Emissions'!$A$230:$D$259,2,FALSE)), $C26 = "0", 0), 0)</f>
        <v>0</v>
      </c>
      <c r="DH26" s="45">
        <f>IFERROR(_xlfn.IFS($C26="1",('Inputs-System'!$C$30*'Coincidence Factors'!$B$8*(1+'Inputs-System'!$C$18)*(1+'Inputs-System'!$C$41)*('Inputs-Proposals'!$F$17*'Inputs-Proposals'!$F$19*('Inputs-Proposals'!$F$20))*(VLOOKUP(DH$3,Energy!$A$51:$K$83,5,FALSE))), $C26 = "2",('Inputs-System'!$C$30*'Coincidence Factors'!$B$8)*(1+'Inputs-System'!$C$18)*(1+'Inputs-System'!$C$41)*('Inputs-Proposals'!$F$23*'Inputs-Proposals'!$F$25*('Inputs-Proposals'!$F$26))*(VLOOKUP(DH$3,Energy!$A$51:$K$83,5,FALSE)), $C26= "3", ('Inputs-System'!$C$30*'Coincidence Factors'!$B$8*(1+'Inputs-System'!$C$18)*(1+'Inputs-System'!$C$41)*('Inputs-Proposals'!$F$29*'Inputs-Proposals'!$F$31*('Inputs-Proposals'!$F$32))*(VLOOKUP(DH$3,Energy!$A$51:$K$83,5,FALSE))), $C26= "0", 0), 0)</f>
        <v>0</v>
      </c>
      <c r="DI26" s="44">
        <f>IFERROR(_xlfn.IFS($C26="1",'Inputs-System'!$C$30*'Coincidence Factors'!$B$8*(1+'Inputs-System'!$C$18)*(1+'Inputs-System'!$C$41)*'Inputs-Proposals'!$F$17*'Inputs-Proposals'!$F$19*('Inputs-Proposals'!$F$20)*(VLOOKUP(DH$3,'Embedded Emissions'!$A$47:$B$78,2,FALSE)+VLOOKUP(DH$3,'Embedded Emissions'!$A$129:$B$158,2,FALSE)), $C26 = "2", 'Inputs-System'!$C$30*'Coincidence Factors'!$B$8*(1+'Inputs-System'!$C$18)*(1+'Inputs-System'!$C$41)*'Inputs-Proposals'!$F$23*'Inputs-Proposals'!$F$25*('Inputs-Proposals'!$F$20)*(VLOOKUP(DH$3,'Embedded Emissions'!$A$47:$B$78,2,FALSE)+VLOOKUP(DH$3,'Embedded Emissions'!$A$129:$B$158,2,FALSE)), $C26 = "3",'Inputs-System'!$C$30*'Coincidence Factors'!$B$8*(1+'Inputs-System'!$C$18)*(1+'Inputs-System'!$C$41)*'Inputs-Proposals'!$F$29*'Inputs-Proposals'!$F$31*('Inputs-Proposals'!$F$20)*(VLOOKUP(DH$3,'Embedded Emissions'!$A$47:$B$78,2,FALSE)+VLOOKUP(DH$3,'Embedded Emissions'!$A$129:$B$158,2,FALSE)), $C26 = "0", 0), 0)</f>
        <v>0</v>
      </c>
      <c r="DJ26" s="44">
        <f>IFERROR(_xlfn.IFS($C26="1",( 'Inputs-System'!$C$30*'Coincidence Factors'!$B$8*(1+'Inputs-System'!$C$18)*(1+'Inputs-System'!$C$41))*('Inputs-Proposals'!$F$17*'Inputs-Proposals'!$F$19*('Inputs-Proposals'!$F$20))*(VLOOKUP(DH$3,DRIPE!$A$54:$I$82,5,FALSE)+VLOOKUP(DH$3,DRIPE!$A$54:$I$82,9,FALSE))+ ('Inputs-System'!$C$26*'Coincidence Factors'!$B$8*(1+'Inputs-System'!$C$18)*(1+'Inputs-System'!$C$42))*'Inputs-Proposals'!$F$16*VLOOKUP(DH$3,DRIPE!$A$54:$I$82,8,FALSE), $C26 = "2",( 'Inputs-System'!$C$30*'Coincidence Factors'!$B$8*(1+'Inputs-System'!$C$18)*(1+'Inputs-System'!$C$41))*('Inputs-Proposals'!$F$23*'Inputs-Proposals'!$F$25*('Inputs-Proposals'!$F$26))*(VLOOKUP(DH$3,DRIPE!$A$54:$I$82,5,FALSE)+VLOOKUP(DH$3,DRIPE!$A$54:$I$82,9,FALSE))+  ('Inputs-System'!$C$26*'Coincidence Factors'!$B$8*(1+'Inputs-System'!$C$18)*(1+'Inputs-System'!$C$42))*'Inputs-Proposals'!$F$22*VLOOKUP(DH$3,DRIPE!$A$54:$I$82,8,FALSE), $C26= "3", ( 'Inputs-System'!$C$30*'Coincidence Factors'!$B$8*(1+'Inputs-System'!$C$18)*(1+'Inputs-System'!$C$41))*('Inputs-Proposals'!$F$29*'Inputs-Proposals'!$F$31*('Inputs-Proposals'!$F$32))*(VLOOKUP(DH$3,DRIPE!$A$54:$I$82,5,FALSE)+VLOOKUP(DH$3,DRIPE!$A$54:$I$82,9,FALSE))+  ('Inputs-System'!$C$26*'Coincidence Factors'!$B$8*(1+'Inputs-System'!$C$18)*(1+'Inputs-System'!$C$42))*'Inputs-Proposals'!$F$28*VLOOKUP(DH$3,DRIPE!$A$54:$I$82,8,FALSE), $C26 = "0", 0), 0)</f>
        <v>0</v>
      </c>
      <c r="DK26" s="45">
        <f>IFERROR(_xlfn.IFS($C26="1",('Inputs-System'!$C$30*'Coincidence Factors'!$B$8*(1+'Inputs-System'!$C$18))*'Inputs-Proposals'!$F$16*(VLOOKUP(DH$3,Capacity!$A$53:$E$85,4,FALSE)*(1+'Inputs-System'!$C$42)+VLOOKUP(DH$3,Capacity!$A$53:$E$85,5,FALSE)*'Inputs-System'!$C$29*(1+'Inputs-System'!$C$43)), $C26 = "2", ('Inputs-System'!$C$30*'Coincidence Factors'!$B$8*(1+'Inputs-System'!$C$18))*'Inputs-Proposals'!$F$22*(VLOOKUP(DH$3,Capacity!$A$53:$E$85,4,FALSE)*(1+'Inputs-System'!$C$42)+VLOOKUP(DH$3,Capacity!$A$53:$E$85,5,FALSE)*'Inputs-System'!$C$29*(1+'Inputs-System'!$C$43)), $C26 = "3",('Inputs-System'!$C$30*'Coincidence Factors'!$B$8*(1+'Inputs-System'!$C$18))*'Inputs-Proposals'!$F$28*(VLOOKUP(DH$3,Capacity!$A$53:$E$85,4,FALSE)*(1+'Inputs-System'!$C$42)+VLOOKUP(DH$3,Capacity!$A$53:$E$85,5,FALSE)*'Inputs-System'!$C$29*(1+'Inputs-System'!$C$43)), $C26 = "0", 0), 0)</f>
        <v>0</v>
      </c>
      <c r="DL26" s="44">
        <v>0</v>
      </c>
      <c r="DM26" s="342">
        <f>IFERROR(_xlfn.IFS($C26="1", 'Inputs-System'!$C$30*'Coincidence Factors'!$B$8*'Inputs-Proposals'!$F$17*'Inputs-Proposals'!$F$19*(VLOOKUP(DH$3,'Non-Embedded Emissions'!$A$56:$D$90,2,FALSE)+VLOOKUP(DH$3,'Non-Embedded Emissions'!$A$143:$D$174,2,FALSE)+VLOOKUP(DH$3,'Non-Embedded Emissions'!$A$230:$D$259,2,FALSE)), $C26 = "2", 'Inputs-System'!$C$30*'Coincidence Factors'!$B$8*'Inputs-Proposals'!$F$23*'Inputs-Proposals'!$F$25*(VLOOKUP(DH$3,'Non-Embedded Emissions'!$A$56:$D$90,2,FALSE)+VLOOKUP(DH$3,'Non-Embedded Emissions'!$A$143:$D$174,2,FALSE)+VLOOKUP(DH$3,'Non-Embedded Emissions'!$A$230:$D$259,2,FALSE)), $C26 = "3", 'Inputs-System'!$C$30*'Coincidence Factors'!$B$8*'Inputs-Proposals'!$F$29*'Inputs-Proposals'!$F$31*(VLOOKUP(DH$3,'Non-Embedded Emissions'!$A$56:$D$90,2,FALSE)+VLOOKUP(DH$3,'Non-Embedded Emissions'!$A$143:$D$174,2,FALSE)+VLOOKUP(DH$3,'Non-Embedded Emissions'!$A$230:$D$259,2,FALSE)), $C26 = "0", 0), 0)</f>
        <v>0</v>
      </c>
      <c r="DN26" s="45">
        <f>IFERROR(_xlfn.IFS($C26="1",('Inputs-System'!$C$30*'Coincidence Factors'!$B$8*(1+'Inputs-System'!$C$18)*(1+'Inputs-System'!$C$41)*('Inputs-Proposals'!$F$17*'Inputs-Proposals'!$F$19*('Inputs-Proposals'!$F$20))*(VLOOKUP(DN$3,Energy!$A$51:$K$83,5,FALSE))), $C26 = "2",('Inputs-System'!$C$30*'Coincidence Factors'!$B$8)*(1+'Inputs-System'!$C$18)*(1+'Inputs-System'!$C$41)*('Inputs-Proposals'!$F$23*'Inputs-Proposals'!$F$25*('Inputs-Proposals'!$F$26))*(VLOOKUP(DN$3,Energy!$A$51:$K$83,5,FALSE)), $C26= "3", ('Inputs-System'!$C$30*'Coincidence Factors'!$B$8*(1+'Inputs-System'!$C$18)*(1+'Inputs-System'!$C$41)*('Inputs-Proposals'!$F$29*'Inputs-Proposals'!$F$31*('Inputs-Proposals'!$F$32))*(VLOOKUP(DN$3,Energy!$A$51:$K$83,5,FALSE))), $C26= "0", 0), 0)</f>
        <v>0</v>
      </c>
      <c r="DO26" s="44">
        <f>IFERROR(_xlfn.IFS($C26="1",'Inputs-System'!$C$30*'Coincidence Factors'!$B$8*(1+'Inputs-System'!$C$18)*(1+'Inputs-System'!$C$41)*'Inputs-Proposals'!$F$17*'Inputs-Proposals'!$F$19*('Inputs-Proposals'!$F$20)*(VLOOKUP(DN$3,'Embedded Emissions'!$A$47:$B$78,2,FALSE)+VLOOKUP(DN$3,'Embedded Emissions'!$A$129:$B$158,2,FALSE)), $C26 = "2", 'Inputs-System'!$C$30*'Coincidence Factors'!$B$8*(1+'Inputs-System'!$C$18)*(1+'Inputs-System'!$C$41)*'Inputs-Proposals'!$F$23*'Inputs-Proposals'!$F$25*('Inputs-Proposals'!$F$20)*(VLOOKUP(DN$3,'Embedded Emissions'!$A$47:$B$78,2,FALSE)+VLOOKUP(DN$3,'Embedded Emissions'!$A$129:$B$158,2,FALSE)), $C26 = "3",'Inputs-System'!$C$30*'Coincidence Factors'!$B$8*(1+'Inputs-System'!$C$18)*(1+'Inputs-System'!$C$41)*'Inputs-Proposals'!$F$29*'Inputs-Proposals'!$F$31*('Inputs-Proposals'!$F$20)*(VLOOKUP(DN$3,'Embedded Emissions'!$A$47:$B$78,2,FALSE)+VLOOKUP(DN$3,'Embedded Emissions'!$A$129:$B$158,2,FALSE)), $C26 = "0", 0), 0)</f>
        <v>0</v>
      </c>
      <c r="DP26" s="44">
        <f>IFERROR(_xlfn.IFS($C26="1",( 'Inputs-System'!$C$30*'Coincidence Factors'!$B$8*(1+'Inputs-System'!$C$18)*(1+'Inputs-System'!$C$41))*('Inputs-Proposals'!$F$17*'Inputs-Proposals'!$F$19*('Inputs-Proposals'!$F$20))*(VLOOKUP(DN$3,DRIPE!$A$54:$I$82,5,FALSE)+VLOOKUP(DN$3,DRIPE!$A$54:$I$82,9,FALSE))+ ('Inputs-System'!$C$26*'Coincidence Factors'!$B$8*(1+'Inputs-System'!$C$18)*(1+'Inputs-System'!$C$42))*'Inputs-Proposals'!$F$16*VLOOKUP(DN$3,DRIPE!$A$54:$I$82,8,FALSE), $C26 = "2",( 'Inputs-System'!$C$30*'Coincidence Factors'!$B$8*(1+'Inputs-System'!$C$18)*(1+'Inputs-System'!$C$41))*('Inputs-Proposals'!$F$23*'Inputs-Proposals'!$F$25*('Inputs-Proposals'!$F$26))*(VLOOKUP(DN$3,DRIPE!$A$54:$I$82,5,FALSE)+VLOOKUP(DN$3,DRIPE!$A$54:$I$82,9,FALSE))+  ('Inputs-System'!$C$26*'Coincidence Factors'!$B$8*(1+'Inputs-System'!$C$18)*(1+'Inputs-System'!$C$42))*'Inputs-Proposals'!$F$22*VLOOKUP(DN$3,DRIPE!$A$54:$I$82,8,FALSE), $C26= "3", ( 'Inputs-System'!$C$30*'Coincidence Factors'!$B$8*(1+'Inputs-System'!$C$18)*(1+'Inputs-System'!$C$41))*('Inputs-Proposals'!$F$29*'Inputs-Proposals'!$F$31*('Inputs-Proposals'!$F$32))*(VLOOKUP(DN$3,DRIPE!$A$54:$I$82,5,FALSE)+VLOOKUP(DN$3,DRIPE!$A$54:$I$82,9,FALSE))+  ('Inputs-System'!$C$26*'Coincidence Factors'!$B$8*(1+'Inputs-System'!$C$18)*(1+'Inputs-System'!$C$42))*'Inputs-Proposals'!$F$28*VLOOKUP(DN$3,DRIPE!$A$54:$I$82,8,FALSE), $C26 = "0", 0), 0)</f>
        <v>0</v>
      </c>
      <c r="DQ26" s="45">
        <f>IFERROR(_xlfn.IFS($C26="1",('Inputs-System'!$C$30*'Coincidence Factors'!$B$8*(1+'Inputs-System'!$C$18))*'Inputs-Proposals'!$F$16*(VLOOKUP(DN$3,Capacity!$A$53:$E$85,4,FALSE)*(1+'Inputs-System'!$C$42)+VLOOKUP(DN$3,Capacity!$A$53:$E$85,5,FALSE)*'Inputs-System'!$C$29*(1+'Inputs-System'!$C$43)), $C26 = "2", ('Inputs-System'!$C$30*'Coincidence Factors'!$B$8*(1+'Inputs-System'!$C$18))*'Inputs-Proposals'!$F$22*(VLOOKUP(DN$3,Capacity!$A$53:$E$85,4,FALSE)*(1+'Inputs-System'!$C$42)+VLOOKUP(DN$3,Capacity!$A$53:$E$85,5,FALSE)*'Inputs-System'!$C$29*(1+'Inputs-System'!$C$43)), $C26 = "3",('Inputs-System'!$C$30*'Coincidence Factors'!$B$8*(1+'Inputs-System'!$C$18))*'Inputs-Proposals'!$F$28*(VLOOKUP(DN$3,Capacity!$A$53:$E$85,4,FALSE)*(1+'Inputs-System'!$C$42)+VLOOKUP(DN$3,Capacity!$A$53:$E$85,5,FALSE)*'Inputs-System'!$C$29*(1+'Inputs-System'!$C$43)), $C26 = "0", 0), 0)</f>
        <v>0</v>
      </c>
      <c r="DR26" s="44">
        <v>0</v>
      </c>
      <c r="DS26" s="342">
        <f>IFERROR(_xlfn.IFS($C26="1", 'Inputs-System'!$C$30*'Coincidence Factors'!$B$8*'Inputs-Proposals'!$F$17*'Inputs-Proposals'!$F$19*(VLOOKUP(DN$3,'Non-Embedded Emissions'!$A$56:$D$90,2,FALSE)+VLOOKUP(DN$3,'Non-Embedded Emissions'!$A$143:$D$174,2,FALSE)+VLOOKUP(DN$3,'Non-Embedded Emissions'!$A$230:$D$259,2,FALSE)), $C26 = "2", 'Inputs-System'!$C$30*'Coincidence Factors'!$B$8*'Inputs-Proposals'!$F$23*'Inputs-Proposals'!$F$25*(VLOOKUP(DN$3,'Non-Embedded Emissions'!$A$56:$D$90,2,FALSE)+VLOOKUP(DN$3,'Non-Embedded Emissions'!$A$143:$D$174,2,FALSE)+VLOOKUP(DN$3,'Non-Embedded Emissions'!$A$230:$D$259,2,FALSE)), $C26 = "3", 'Inputs-System'!$C$30*'Coincidence Factors'!$B$8*'Inputs-Proposals'!$F$29*'Inputs-Proposals'!$F$31*(VLOOKUP(DN$3,'Non-Embedded Emissions'!$A$56:$D$90,2,FALSE)+VLOOKUP(DN$3,'Non-Embedded Emissions'!$A$143:$D$174,2,FALSE)+VLOOKUP(DN$3,'Non-Embedded Emissions'!$A$230:$D$259,2,FALSE)), $C26 = "0", 0), 0)</f>
        <v>0</v>
      </c>
      <c r="DT26" s="45">
        <f>IFERROR(_xlfn.IFS($C26="1",('Inputs-System'!$C$30*'Coincidence Factors'!$B$8*(1+'Inputs-System'!$C$18)*(1+'Inputs-System'!$C$41)*('Inputs-Proposals'!$F$17*'Inputs-Proposals'!$F$19*('Inputs-Proposals'!$F$20))*(VLOOKUP(DT$3,Energy!$A$51:$K$83,5,FALSE))), $C26 = "2",('Inputs-System'!$C$30*'Coincidence Factors'!$B$8)*(1+'Inputs-System'!$C$18)*(1+'Inputs-System'!$C$41)*('Inputs-Proposals'!$F$23*'Inputs-Proposals'!$F$25*('Inputs-Proposals'!$F$26))*(VLOOKUP(DT$3,Energy!$A$51:$K$83,5,FALSE)), $C26= "3", ('Inputs-System'!$C$30*'Coincidence Factors'!$B$8*(1+'Inputs-System'!$C$18)*(1+'Inputs-System'!$C$41)*('Inputs-Proposals'!$F$29*'Inputs-Proposals'!$F$31*('Inputs-Proposals'!$F$32))*(VLOOKUP(DT$3,Energy!$A$51:$K$83,5,FALSE))), $C26= "0", 0), 0)</f>
        <v>0</v>
      </c>
      <c r="DU26" s="44">
        <f>IFERROR(_xlfn.IFS($C26="1",'Inputs-System'!$C$30*'Coincidence Factors'!$B$8*(1+'Inputs-System'!$C$18)*(1+'Inputs-System'!$C$41)*'Inputs-Proposals'!$F$17*'Inputs-Proposals'!$F$19*('Inputs-Proposals'!$F$20)*(VLOOKUP(DT$3,'Embedded Emissions'!$A$47:$B$78,2,FALSE)+VLOOKUP(DT$3,'Embedded Emissions'!$A$129:$B$158,2,FALSE)), $C26 = "2", 'Inputs-System'!$C$30*'Coincidence Factors'!$B$8*(1+'Inputs-System'!$C$18)*(1+'Inputs-System'!$C$41)*'Inputs-Proposals'!$F$23*'Inputs-Proposals'!$F$25*('Inputs-Proposals'!$F$20)*(VLOOKUP(DT$3,'Embedded Emissions'!$A$47:$B$78,2,FALSE)+VLOOKUP(DT$3,'Embedded Emissions'!$A$129:$B$158,2,FALSE)), $C26 = "3",'Inputs-System'!$C$30*'Coincidence Factors'!$B$8*(1+'Inputs-System'!$C$18)*(1+'Inputs-System'!$C$41)*'Inputs-Proposals'!$F$29*'Inputs-Proposals'!$F$31*('Inputs-Proposals'!$F$20)*(VLOOKUP(DT$3,'Embedded Emissions'!$A$47:$B$78,2,FALSE)+VLOOKUP(DT$3,'Embedded Emissions'!$A$129:$B$158,2,FALSE)), $C26 = "0", 0), 0)</f>
        <v>0</v>
      </c>
      <c r="DV26" s="44">
        <f>IFERROR(_xlfn.IFS($C26="1",( 'Inputs-System'!$C$30*'Coincidence Factors'!$B$8*(1+'Inputs-System'!$C$18)*(1+'Inputs-System'!$C$41))*('Inputs-Proposals'!$F$17*'Inputs-Proposals'!$F$19*('Inputs-Proposals'!$F$20))*(VLOOKUP(DT$3,DRIPE!$A$54:$I$82,5,FALSE)+VLOOKUP(DT$3,DRIPE!$A$54:$I$82,9,FALSE))+ ('Inputs-System'!$C$26*'Coincidence Factors'!$B$8*(1+'Inputs-System'!$C$18)*(1+'Inputs-System'!$C$42))*'Inputs-Proposals'!$F$16*VLOOKUP(DT$3,DRIPE!$A$54:$I$82,8,FALSE), $C26 = "2",( 'Inputs-System'!$C$30*'Coincidence Factors'!$B$8*(1+'Inputs-System'!$C$18)*(1+'Inputs-System'!$C$41))*('Inputs-Proposals'!$F$23*'Inputs-Proposals'!$F$25*('Inputs-Proposals'!$F$26))*(VLOOKUP(DT$3,DRIPE!$A$54:$I$82,5,FALSE)+VLOOKUP(DT$3,DRIPE!$A$54:$I$82,9,FALSE))+  ('Inputs-System'!$C$26*'Coincidence Factors'!$B$8*(1+'Inputs-System'!$C$18)*(1+'Inputs-System'!$C$42))*'Inputs-Proposals'!$F$22*VLOOKUP(DT$3,DRIPE!$A$54:$I$82,8,FALSE), $C26= "3", ( 'Inputs-System'!$C$30*'Coincidence Factors'!$B$8*(1+'Inputs-System'!$C$18)*(1+'Inputs-System'!$C$41))*('Inputs-Proposals'!$F$29*'Inputs-Proposals'!$F$31*('Inputs-Proposals'!$F$32))*(VLOOKUP(DT$3,DRIPE!$A$54:$I$82,5,FALSE)+VLOOKUP(DT$3,DRIPE!$A$54:$I$82,9,FALSE))+  ('Inputs-System'!$C$26*'Coincidence Factors'!$B$8*(1+'Inputs-System'!$C$18)*(1+'Inputs-System'!$C$42))*'Inputs-Proposals'!$F$28*VLOOKUP(DT$3,DRIPE!$A$54:$I$82,8,FALSE), $C26 = "0", 0), 0)</f>
        <v>0</v>
      </c>
      <c r="DW26" s="45">
        <f>IFERROR(_xlfn.IFS($C26="1",('Inputs-System'!$C$30*'Coincidence Factors'!$B$8*(1+'Inputs-System'!$C$18))*'Inputs-Proposals'!$F$16*(VLOOKUP(DT$3,Capacity!$A$53:$E$85,4,FALSE)*(1+'Inputs-System'!$C$42)+VLOOKUP(DT$3,Capacity!$A$53:$E$85,5,FALSE)*'Inputs-System'!$C$29*(1+'Inputs-System'!$C$43)), $C26 = "2", ('Inputs-System'!$C$30*'Coincidence Factors'!$B$8*(1+'Inputs-System'!$C$18))*'Inputs-Proposals'!$F$22*(VLOOKUP(DT$3,Capacity!$A$53:$E$85,4,FALSE)*(1+'Inputs-System'!$C$42)+VLOOKUP(DT$3,Capacity!$A$53:$E$85,5,FALSE)*'Inputs-System'!$C$29*(1+'Inputs-System'!$C$43)), $C26 = "3",('Inputs-System'!$C$30*'Coincidence Factors'!$B$8*(1+'Inputs-System'!$C$18))*'Inputs-Proposals'!$F$28*(VLOOKUP(DT$3,Capacity!$A$53:$E$85,4,FALSE)*(1+'Inputs-System'!$C$42)+VLOOKUP(DT$3,Capacity!$A$53:$E$85,5,FALSE)*'Inputs-System'!$C$29*(1+'Inputs-System'!$C$43)), $C26 = "0", 0), 0)</f>
        <v>0</v>
      </c>
      <c r="DX26" s="44">
        <v>0</v>
      </c>
      <c r="DY26" s="342">
        <f>IFERROR(_xlfn.IFS($C26="1", 'Inputs-System'!$C$30*'Coincidence Factors'!$B$8*'Inputs-Proposals'!$F$17*'Inputs-Proposals'!$F$19*(VLOOKUP(DT$3,'Non-Embedded Emissions'!$A$56:$D$90,2,FALSE)+VLOOKUP(DT$3,'Non-Embedded Emissions'!$A$143:$D$174,2,FALSE)+VLOOKUP(DT$3,'Non-Embedded Emissions'!$A$230:$D$259,2,FALSE)), $C26 = "2", 'Inputs-System'!$C$30*'Coincidence Factors'!$B$8*'Inputs-Proposals'!$F$23*'Inputs-Proposals'!$F$25*(VLOOKUP(DT$3,'Non-Embedded Emissions'!$A$56:$D$90,2,FALSE)+VLOOKUP(DT$3,'Non-Embedded Emissions'!$A$143:$D$174,2,FALSE)+VLOOKUP(DT$3,'Non-Embedded Emissions'!$A$230:$D$259,2,FALSE)), $C26 = "3", 'Inputs-System'!$C$30*'Coincidence Factors'!$B$8*'Inputs-Proposals'!$F$29*'Inputs-Proposals'!$F$31*(VLOOKUP(DT$3,'Non-Embedded Emissions'!$A$56:$D$90,2,FALSE)+VLOOKUP(DT$3,'Non-Embedded Emissions'!$A$143:$D$174,2,FALSE)+VLOOKUP(DT$3,'Non-Embedded Emissions'!$A$230:$D$259,2,FALSE)), $C26 = "0", 0), 0)</f>
        <v>0</v>
      </c>
      <c r="DZ26" s="45">
        <f>IFERROR(_xlfn.IFS($C26="1",('Inputs-System'!$C$30*'Coincidence Factors'!$B$8*(1+'Inputs-System'!$C$18)*(1+'Inputs-System'!$C$41)*('Inputs-Proposals'!$F$17*'Inputs-Proposals'!$F$19*('Inputs-Proposals'!$F$20))*(VLOOKUP(DZ$3,Energy!$A$51:$K$83,5,FALSE))), $C26 = "2",('Inputs-System'!$C$30*'Coincidence Factors'!$B$8)*(1+'Inputs-System'!$C$18)*(1+'Inputs-System'!$C$41)*('Inputs-Proposals'!$F$23*'Inputs-Proposals'!$F$25*('Inputs-Proposals'!$F$26))*(VLOOKUP(DZ$3,Energy!$A$51:$K$83,5,FALSE)), $C26= "3", ('Inputs-System'!$C$30*'Coincidence Factors'!$B$8*(1+'Inputs-System'!$C$18)*(1+'Inputs-System'!$C$41)*('Inputs-Proposals'!$F$29*'Inputs-Proposals'!$F$31*('Inputs-Proposals'!$F$32))*(VLOOKUP(DZ$3,Energy!$A$51:$K$83,5,FALSE))), $C26= "0", 0), 0)</f>
        <v>0</v>
      </c>
      <c r="EA26" s="44">
        <f>IFERROR(_xlfn.IFS($C26="1",'Inputs-System'!$C$30*'Coincidence Factors'!$B$8*(1+'Inputs-System'!$C$18)*(1+'Inputs-System'!$C$41)*'Inputs-Proposals'!$F$17*'Inputs-Proposals'!$F$19*('Inputs-Proposals'!$F$20)*(VLOOKUP(DZ$3,'Embedded Emissions'!$A$47:$B$78,2,FALSE)+VLOOKUP(DZ$3,'Embedded Emissions'!$A$129:$B$158,2,FALSE)), $C26 = "2", 'Inputs-System'!$C$30*'Coincidence Factors'!$B$8*(1+'Inputs-System'!$C$18)*(1+'Inputs-System'!$C$41)*'Inputs-Proposals'!$F$23*'Inputs-Proposals'!$F$25*('Inputs-Proposals'!$F$20)*(VLOOKUP(DZ$3,'Embedded Emissions'!$A$47:$B$78,2,FALSE)+VLOOKUP(DZ$3,'Embedded Emissions'!$A$129:$B$158,2,FALSE)), $C26 = "3",'Inputs-System'!$C$30*'Coincidence Factors'!$B$8*(1+'Inputs-System'!$C$18)*(1+'Inputs-System'!$C$41)*'Inputs-Proposals'!$F$29*'Inputs-Proposals'!$F$31*('Inputs-Proposals'!$F$20)*(VLOOKUP(DZ$3,'Embedded Emissions'!$A$47:$B$78,2,FALSE)+VLOOKUP(DZ$3,'Embedded Emissions'!$A$129:$B$158,2,FALSE)), $C26 = "0", 0), 0)</f>
        <v>0</v>
      </c>
      <c r="EB26" s="44">
        <f>IFERROR(_xlfn.IFS($C26="1",( 'Inputs-System'!$C$30*'Coincidence Factors'!$B$8*(1+'Inputs-System'!$C$18)*(1+'Inputs-System'!$C$41))*('Inputs-Proposals'!$F$17*'Inputs-Proposals'!$F$19*('Inputs-Proposals'!$F$20))*(VLOOKUP(DZ$3,DRIPE!$A$54:$I$82,5,FALSE)+VLOOKUP(DZ$3,DRIPE!$A$54:$I$82,9,FALSE))+ ('Inputs-System'!$C$26*'Coincidence Factors'!$B$8*(1+'Inputs-System'!$C$18)*(1+'Inputs-System'!$C$42))*'Inputs-Proposals'!$F$16*VLOOKUP(DZ$3,DRIPE!$A$54:$I$82,8,FALSE), $C26 = "2",( 'Inputs-System'!$C$30*'Coincidence Factors'!$B$8*(1+'Inputs-System'!$C$18)*(1+'Inputs-System'!$C$41))*('Inputs-Proposals'!$F$23*'Inputs-Proposals'!$F$25*('Inputs-Proposals'!$F$26))*(VLOOKUP(DZ$3,DRIPE!$A$54:$I$82,5,FALSE)+VLOOKUP(DZ$3,DRIPE!$A$54:$I$82,9,FALSE))+  ('Inputs-System'!$C$26*'Coincidence Factors'!$B$8*(1+'Inputs-System'!$C$18)*(1+'Inputs-System'!$C$42))*'Inputs-Proposals'!$F$22*VLOOKUP(DZ$3,DRIPE!$A$54:$I$82,8,FALSE), $C26= "3", ( 'Inputs-System'!$C$30*'Coincidence Factors'!$B$8*(1+'Inputs-System'!$C$18)*(1+'Inputs-System'!$C$41))*('Inputs-Proposals'!$F$29*'Inputs-Proposals'!$F$31*('Inputs-Proposals'!$F$32))*(VLOOKUP(DZ$3,DRIPE!$A$54:$I$82,5,FALSE)+VLOOKUP(DZ$3,DRIPE!$A$54:$I$82,9,FALSE))+  ('Inputs-System'!$C$26*'Coincidence Factors'!$B$8*(1+'Inputs-System'!$C$18)*(1+'Inputs-System'!$C$42))*'Inputs-Proposals'!$F$28*VLOOKUP(DZ$3,DRIPE!$A$54:$I$82,8,FALSE), $C26 = "0", 0), 0)</f>
        <v>0</v>
      </c>
      <c r="EC26" s="45">
        <f>IFERROR(_xlfn.IFS($C26="1",('Inputs-System'!$C$30*'Coincidence Factors'!$B$8*(1+'Inputs-System'!$C$18))*'Inputs-Proposals'!$F$16*(VLOOKUP(DZ$3,Capacity!$A$53:$E$85,4,FALSE)*(1+'Inputs-System'!$C$42)+VLOOKUP(DZ$3,Capacity!$A$53:$E$85,5,FALSE)*'Inputs-System'!$C$29*(1+'Inputs-System'!$C$43)), $C26 = "2", ('Inputs-System'!$C$30*'Coincidence Factors'!$B$8*(1+'Inputs-System'!$C$18))*'Inputs-Proposals'!$F$22*(VLOOKUP(DZ$3,Capacity!$A$53:$E$85,4,FALSE)*(1+'Inputs-System'!$C$42)+VLOOKUP(DZ$3,Capacity!$A$53:$E$85,5,FALSE)*'Inputs-System'!$C$29*(1+'Inputs-System'!$C$43)), $C26 = "3",('Inputs-System'!$C$30*'Coincidence Factors'!$B$8*(1+'Inputs-System'!$C$18))*'Inputs-Proposals'!$F$28*(VLOOKUP(DZ$3,Capacity!$A$53:$E$85,4,FALSE)*(1+'Inputs-System'!$C$42)+VLOOKUP(DZ$3,Capacity!$A$53:$E$85,5,FALSE)*'Inputs-System'!$C$29*(1+'Inputs-System'!$C$43)), $C26 = "0", 0), 0)</f>
        <v>0</v>
      </c>
      <c r="ED26" s="44">
        <v>0</v>
      </c>
      <c r="EE26" s="342">
        <f>IFERROR(_xlfn.IFS($C26="1", 'Inputs-System'!$C$30*'Coincidence Factors'!$B$8*'Inputs-Proposals'!$F$17*'Inputs-Proposals'!$F$19*(VLOOKUP(DZ$3,'Non-Embedded Emissions'!$A$56:$D$90,2,FALSE)+VLOOKUP(DZ$3,'Non-Embedded Emissions'!$A$143:$D$174,2,FALSE)+VLOOKUP(DZ$3,'Non-Embedded Emissions'!$A$230:$D$259,2,FALSE)), $C26 = "2", 'Inputs-System'!$C$30*'Coincidence Factors'!$B$8*'Inputs-Proposals'!$F$23*'Inputs-Proposals'!$F$25*(VLOOKUP(DZ$3,'Non-Embedded Emissions'!$A$56:$D$90,2,FALSE)+VLOOKUP(DZ$3,'Non-Embedded Emissions'!$A$143:$D$174,2,FALSE)+VLOOKUP(DZ$3,'Non-Embedded Emissions'!$A$230:$D$259,2,FALSE)), $C26 = "3", 'Inputs-System'!$C$30*'Coincidence Factors'!$B$8*'Inputs-Proposals'!$F$29*'Inputs-Proposals'!$F$31*(VLOOKUP(DZ$3,'Non-Embedded Emissions'!$A$56:$D$90,2,FALSE)+VLOOKUP(DZ$3,'Non-Embedded Emissions'!$A$143:$D$174,2,FALSE)+VLOOKUP(DZ$3,'Non-Embedded Emissions'!$A$230:$D$259,2,FALSE)), $C26 = "0", 0), 0)</f>
        <v>0</v>
      </c>
    </row>
    <row r="27" spans="1:135" x14ac:dyDescent="0.35">
      <c r="A27" s="708"/>
      <c r="B27" s="3" t="str">
        <f>B21</f>
        <v>Diesel GenSet</v>
      </c>
      <c r="C27" s="3" t="str">
        <f>IFERROR(_xlfn.IFS('Benefits Calc'!B27='Inputs-Proposals'!$F$15, "1", 'Benefits Calc'!B27='Inputs-Proposals'!$F$21, "2", 'Benefits Calc'!B27='Inputs-Proposals'!$F$27, "3"), "0")</f>
        <v>0</v>
      </c>
      <c r="D27" s="323">
        <f t="shared" ref="D27:D28" si="24">P27+V27+AB27+AH27+AN27+AT27+AZ27+BF27+BL27+BR27+BX27+CD27+CJ27+CP27+CV27+DB27+DH27+DN27+DT27+DZ27</f>
        <v>0</v>
      </c>
      <c r="E27" s="44">
        <f t="shared" ref="E27:E28" si="25">Q27+W27+AC27+AI27+AO27+AU27+BA27+BG27+BM27+BS27+BY27+CE27+CK27+CQ27+CW27+DC27+DI27+DO27+DU27+EA27</f>
        <v>0</v>
      </c>
      <c r="F27" s="44">
        <f t="shared" ref="F27:F28" si="26">R27+X27+AD27+AJ27+AP27+AV27+BB27+BH27+BN27+BT27+BZ27+CF27+CL27+CR27+CX27+DD27+DJ27+DP27+DV27+EB27</f>
        <v>0</v>
      </c>
      <c r="G27" s="44">
        <f t="shared" ref="G27:G28" si="27">S27+Y27+AE27+AK27+AQ27+AW27+BC27+BI27+BO27+BU27+CA27+CG27+CM27+CS27+CY27+DE27+DK27+DQ27+DW27+EC27</f>
        <v>0</v>
      </c>
      <c r="H27" s="44">
        <f t="shared" ref="H27:H28" si="28">T27+Z27+AF27+AL27+AR27+AX27+BD27+BJ27+BP27+BV27+CB27+CH27+CN27+CT27+CZ27+DF27+DL27+DR27+DX27+ED27</f>
        <v>0</v>
      </c>
      <c r="I27" s="44">
        <f t="shared" ref="I27:I28" si="29">U27+AA27+AG27+AM27+AS27+AY27+BE27+BK27+BQ27+BW27+CC27+CI27+CO27+CU27+DA27+DG27+DM27+DS27+DY27+EE27</f>
        <v>0</v>
      </c>
      <c r="J27" s="323">
        <f>NPV('Inputs-System'!$C$20,P27+V27+AB27+AH27+AN27+AT27+AZ27+BF27+BL27+BR27+BX27+CD27+CJ27+CP27+CV27+DB27+DH27+DN27+DT27+DZ27)</f>
        <v>0</v>
      </c>
      <c r="K27" s="44">
        <f>NPV('Inputs-System'!$C$20,Q27+W27+AC27+AI27+AO27+AU27+BA27+BG27+BM27+BS27+BY27+CE27+CK27+CQ27+CW27+DC27+DI27+DO27+DU27+EA27)</f>
        <v>0</v>
      </c>
      <c r="L27" s="44">
        <f>NPV('Inputs-System'!$C$20,R27+X27+AD27+AJ27+AP27+AV27+BB27+BH27+BN27+BT27+BZ27+CF27+CL27+CR27+CX27+DD27+DJ27+DP27+DV27+EB27)</f>
        <v>0</v>
      </c>
      <c r="M27" s="44">
        <f>NPV('Inputs-System'!$C$20,S27+Y27+AE27+AK27+AQ27+AW27+BC27+BI27+BO27+BU27+CA27+CG27+CM27+CS27+CY27+DE27+DK27+DQ27+DW27+EC27)</f>
        <v>0</v>
      </c>
      <c r="N27" s="44">
        <f>NPV('Inputs-System'!$C$20,T27+Z27+AF27+AL27+AR27+AX27+BD27+BJ27+BP27+BV27+CB27+CH27+CN27+CT27+CZ27+DF27+DL27+DR27+DX27+ED27)</f>
        <v>0</v>
      </c>
      <c r="O27" s="44">
        <f>NPV('Inputs-System'!$C$20,U27+AA27+AG27+AM27+AS27+AY27+BE27+BK27+BQ27+BW27+CC27+CI27+CO27+CU27+DA27+DG27+DM27+DS27+DY27+EE27)</f>
        <v>0</v>
      </c>
      <c r="P27" s="366">
        <f>IFERROR(_xlfn.IFS($C27="1",('Inputs-System'!$C$30*'Coincidence Factors'!$B$6*(1+'Inputs-System'!$C$18)*(1+'Inputs-System'!$C$41)*('Inputs-Proposals'!$F$17*'Inputs-Proposals'!$F$19*(1-'Inputs-Proposals'!$F$20^(P$3-'Inputs-System'!$C$7+1)))*(VLOOKUP(P$3,Energy!$A$51:$K$83,5,FALSE))), $C27 = "2",('Inputs-System'!$C$30*'Coincidence Factors'!$B$6)*(1+'Inputs-System'!$C$18)*(1+'Inputs-System'!$C$41)*('Inputs-Proposals'!$F$23*'Inputs-Proposals'!$F$25*(1-'Inputs-Proposals'!$F$26^(P$3-'Inputs-System'!$C$7+1)))*(VLOOKUP(P$3,Energy!$A$51:$K$83,5,FALSE)), $C27= "3", ('Inputs-System'!$C$30*'Coincidence Factors'!$B$6*(1+'Inputs-System'!$C$18)*(1+'Inputs-System'!$C$41)*('Inputs-Proposals'!$F$29*'Inputs-Proposals'!$F$31*(1-'Inputs-Proposals'!$F$32^(P$3-'Inputs-System'!$C$7+1)))*(VLOOKUP(P$3,Energy!$A$51:$K$83,5,FALSE))), $C27= "0", 0), 0)</f>
        <v>0</v>
      </c>
      <c r="Q27" s="44">
        <f>IFERROR(_xlfn.IFS($C27="1",('Inputs-System'!$C$30*'Coincidence Factors'!$B$6*(1+'Inputs-System'!$C$18)*(1+'Inputs-System'!$C$41))*'Inputs-Proposals'!$F$17*'Inputs-Proposals'!$F$19*(1-'Inputs-Proposals'!$F$20^(P$3-'Inputs-System'!$C$7+1))*(VLOOKUP(P$3,'Embedded Emissions'!$A$47:$B$78,2,FALSE)+VLOOKUP(P$3,'Embedded Emissions'!$A$129:$B$158,2,FALSE)), $C27 = "2",('Inputs-System'!$C$30*'Coincidence Factors'!$B$6*(1+'Inputs-System'!$C$18)*(1+'Inputs-System'!$C$41))*'Inputs-Proposals'!$F$23*'Inputs-Proposals'!$F$25*(1-'Inputs-Proposals'!$F$20^(P$3-'Inputs-System'!$C$7+1))*(VLOOKUP(P$3,'Embedded Emissions'!$A$47:$B$78,2,FALSE)+VLOOKUP(P$3,'Embedded Emissions'!$A$129:$B$158,2,FALSE)), $C27 = "3", ('Inputs-System'!$C$30*'Coincidence Factors'!$B$6*(1+'Inputs-System'!$C$18)*(1+'Inputs-System'!$C$41))*'Inputs-Proposals'!$F$29*'Inputs-Proposals'!$F$31*(1-'Inputs-Proposals'!$F$20^(P$3-'Inputs-System'!$C$7+1))*(VLOOKUP(P$3,'Embedded Emissions'!$A$47:$B$78,2,FALSE)+VLOOKUP(P$3,'Embedded Emissions'!$A$129:$B$158,2,FALSE)), $C27 = "0", 0), 0)</f>
        <v>0</v>
      </c>
      <c r="R27" s="44">
        <f>IFERROR(_xlfn.IFS($C27="1",( 'Inputs-System'!$C$30*'Coincidence Factors'!$B$6*(1+'Inputs-System'!$C$18)*(1+'Inputs-System'!$C$41))*('Inputs-Proposals'!$F$17*'Inputs-Proposals'!$F$19*(1-'Inputs-Proposals'!$F$20)^(P$3-'Inputs-System'!$C$7))*(VLOOKUP(P$3,DRIPE!$A$54:$I$82,5,FALSE)+VLOOKUP(P$3,DRIPE!$A$54:$I$82,9,FALSE))+ ('Inputs-System'!$C$26*'Coincidence Factors'!$B$6*(1+'Inputs-System'!$C$18)*(1+'Inputs-System'!$C$42))*'Inputs-Proposals'!$F$16*VLOOKUP(P$3,DRIPE!$A$54:$I$82,8,FALSE), $C27 = "2",( 'Inputs-System'!$C$30*'Coincidence Factors'!$B$6*(1+'Inputs-System'!$C$18)*(1+'Inputs-System'!$C$41))*('Inputs-Proposals'!$F$23*'Inputs-Proposals'!$F$25*(1-'Inputs-Proposals'!$F$26)^(P$3-'Inputs-System'!$C$7))*(VLOOKUP(P$3,DRIPE!$A$54:$I$82,5,FALSE)+VLOOKUP(P$3,DRIPE!$A$54:$I$82,9,FALSE))+ ('Inputs-System'!$C$26*'Coincidence Factors'!$B$6*(1+'Inputs-System'!$C$18)*(1+'Inputs-System'!$C$42))*'Inputs-Proposals'!$F$22*VLOOKUP(P$3,DRIPE!$A$54:$I$82,8,FALSE), $C27= "3", ( 'Inputs-System'!$C$30*'Coincidence Factors'!$B$6*(1+'Inputs-System'!$C$18)*(1+'Inputs-System'!$C$41))*('Inputs-Proposals'!$F$29*'Inputs-Proposals'!$F$31*(1-'Inputs-Proposals'!$F$32)^(P$3-'Inputs-System'!$C$7))*(VLOOKUP(P$3,DRIPE!$A$54:$I$82,5,FALSE)+VLOOKUP(P$3,DRIPE!$A$54:$I$82,9,FALSE))+ ('Inputs-System'!$C$26*'Coincidence Factors'!$B$6*(1+'Inputs-System'!$C$18)*(1+'Inputs-System'!$C$42))*'Inputs-Proposals'!$F$28*VLOOKUP(P$3,DRIPE!$A$54:$I$82,8,FALSE), $C27 = "0", 0), 0)</f>
        <v>0</v>
      </c>
      <c r="S27" s="45">
        <f>IFERROR(_xlfn.IFS($C27="1",('Inputs-System'!$C$26*'Coincidence Factors'!$B$5*(1+'Inputs-System'!$C$18)*(1+'Inputs-System'!$C$42))*'Inputs-Proposals'!$D$16*(VLOOKUP(P$3,Capacity!$A$53:$E$85,4,FALSE)*(1+'Inputs-System'!$C$42)+VLOOKUP(P$3,Capacity!$A$53:$E$85,5,FALSE)*(1+'Inputs-System'!$C$43)*'Inputs-System'!$C$29), $C27 = "2", ('Inputs-System'!$C$26*'Coincidence Factors'!$B$5*(1+'Inputs-System'!$C$18))*'Inputs-Proposals'!$D$22*(VLOOKUP(P$3,Capacity!$A$53:$E$85,4,FALSE)*(1+'Inputs-System'!$C$42)+VLOOKUP(P$3,Capacity!$A$53:$E$85,5,FALSE)*'Inputs-System'!$C$29*(1+'Inputs-System'!$C$43)), $C27 = "3", ('Inputs-System'!$C$26*'Coincidence Factors'!$B$5*(1+'Inputs-System'!$C$18))*'Inputs-Proposals'!$D$28*(VLOOKUP(P$3,Capacity!$A$53:$E$85,4,FALSE)*(1+'Inputs-System'!$C$42)+VLOOKUP(P$3,Capacity!$A$53:$E$85,5,FALSE)*'Inputs-System'!$C$29*(1+'Inputs-System'!$C$43)), $C27 = "0", 0), 0)</f>
        <v>0</v>
      </c>
      <c r="T27" s="44">
        <v>0</v>
      </c>
      <c r="U27" s="342">
        <f>IFERROR(_xlfn.IFS($C27="1", 'Inputs-System'!$C$30*'Coincidence Factors'!$B$6*'Inputs-Proposals'!$F$17*'Inputs-Proposals'!$F$19*(VLOOKUP(P$3,'Non-Embedded Emissions'!$A$56:$D$90,2,FALSE)-VLOOKUP(P$3,'Non-Embedded Emissions'!$F$57:$H$88,2,FALSE)+VLOOKUP(P$3,'Non-Embedded Emissions'!$A$143:$D$174,2,FALSE)-VLOOKUP(P$3,'Non-Embedded Emissions'!$F$143:$H$174,2,FALSE)+VLOOKUP(P$3,'Non-Embedded Emissions'!$A$230:$D$259,2,FALSE)), $C27 = "2", 'Inputs-System'!$C$30*'Coincidence Factors'!$B$6*'Inputs-Proposals'!$F$23*'Inputs-Proposals'!$F$25*(VLOOKUP(P$3,'Non-Embedded Emissions'!$A$56:$D$90,2,FALSE)-VLOOKUP(P$3,'Non-Embedded Emissions'!$F$57:$H$88,2,FALSE)+VLOOKUP(P$3,'Non-Embedded Emissions'!$A$143:$D$174,2,FALSE)-VLOOKUP(P$3,'Non-Embedded Emissions'!$F$143:$H$174,2,FALSE)+VLOOKUP(P$3,'Non-Embedded Emissions'!$A$230:$D$259,2,FALSE)), $C27 = "3", 'Inputs-System'!$C$30*'Coincidence Factors'!$B$6*'Inputs-Proposals'!$F$29*'Inputs-Proposals'!$F$31*(VLOOKUP(P$3,'Non-Embedded Emissions'!$A$56:$D$90,2,FALSE)-VLOOKUP(P$3,'Non-Embedded Emissions'!$F$57:$H$88,2,FALSE)+VLOOKUP(P$3,'Non-Embedded Emissions'!$A$143:$D$174,2,FALSE)-VLOOKUP(P$3,'Non-Embedded Emissions'!$F$143:$H$174,2,FALSE)+VLOOKUP(P$3,'Non-Embedded Emissions'!$A$230:$D$259,2,FALSE)), $C27 = "0", 0), 0)</f>
        <v>0</v>
      </c>
      <c r="V27" s="45">
        <f>IFERROR(_xlfn.IFS($C27="1",('Inputs-System'!$C$30*'Coincidence Factors'!$B$9*(1+'Inputs-System'!$C$18)*(1+'Inputs-System'!$C$41)*('Inputs-Proposals'!$F$17*'Inputs-Proposals'!$F$19*(1-'Inputs-Proposals'!$F$20^(V$3-'Inputs-System'!$C$7)))*(VLOOKUP(V$3,Energy!$A$51:$K$83,5,FALSE))), $C27 = "2",('Inputs-System'!$C$30*'Coincidence Factors'!$B$9)*(1+'Inputs-System'!$C$18)*(1+'Inputs-System'!$C$41)*('Inputs-Proposals'!$F$23*'Inputs-Proposals'!$F$25*(1-'Inputs-Proposals'!$F$26^(V$3-'Inputs-System'!$C$7)))*(VLOOKUP(V$3,Energy!$A$51:$K$83,5,FALSE)), $C27= "3", ('Inputs-System'!$C$30*'Coincidence Factors'!$B$9*(1+'Inputs-System'!$C$18)*(1+'Inputs-System'!$C$41)*('Inputs-Proposals'!$F$29*'Inputs-Proposals'!$F$31*(1-'Inputs-Proposals'!$F$32^(V$3-'Inputs-System'!$C$7)))*(VLOOKUP(V$3,Energy!$A$51:$K$83,5,FALSE))), $C27= "0", 0), 0)</f>
        <v>0</v>
      </c>
      <c r="W27" s="44">
        <f>IFERROR(_xlfn.IFS($C27="1",('Inputs-System'!$C$30*'Coincidence Factors'!$B$9*(1+'Inputs-System'!$C$18)*(1+'Inputs-System'!$C$41))*'Inputs-Proposals'!$F$17*'Inputs-Proposals'!$F$19*(1-'Inputs-Proposals'!$F$20^(V$3-'Inputs-System'!$C$7))*(VLOOKUP(V$3,'Embedded Emissions'!$A$47:$B$78,2,FALSE)+VLOOKUP(V$3,'Embedded Emissions'!$A$129:$B$158,2,FALSE)), $C27 = "2",('Inputs-System'!$C$30*'Coincidence Factors'!$B$9*(1+'Inputs-System'!$C$18)*(1+'Inputs-System'!$C$41))*'Inputs-Proposals'!$F$23*'Inputs-Proposals'!$F$25*(1-'Inputs-Proposals'!$F$20^(V$3-'Inputs-System'!$C$7))*(VLOOKUP(V$3,'Embedded Emissions'!$A$47:$B$78,2,FALSE)+VLOOKUP(V$3,'Embedded Emissions'!$A$129:$B$158,2,FALSE)), $C27 = "3", ('Inputs-System'!$C$30*'Coincidence Factors'!$B$9*(1+'Inputs-System'!$C$18)*(1+'Inputs-System'!$C$41))*'Inputs-Proposals'!$F$29*'Inputs-Proposals'!$F$31*(1-'Inputs-Proposals'!$F$20^(V$3-'Inputs-System'!$C$7))*(VLOOKUP(V$3,'Embedded Emissions'!$A$47:$B$78,2,FALSE)+VLOOKUP(V$3,'Embedded Emissions'!$A$129:$B$158,2,FALSE)), $C27 = "0", 0), 0)</f>
        <v>0</v>
      </c>
      <c r="X27" s="44">
        <f>IFERROR(_xlfn.IFS($C27="1",( 'Inputs-System'!$C$30*'Coincidence Factors'!$B$6*(1+'Inputs-System'!$C$18)*(1+'Inputs-System'!$C$41))*('Inputs-Proposals'!$F$17*'Inputs-Proposals'!$F$19*(1-'Inputs-Proposals'!$F$20)^(V$3-'Inputs-System'!$C$7))*(VLOOKUP(V$3,DRIPE!$A$54:$I$82,5,FALSE)+VLOOKUP(V$3,DRIPE!$A$54:$I$82,9,FALSE))+ ('Inputs-System'!$C$26*'Coincidence Factors'!$B$6*(1+'Inputs-System'!$C$18)*(1+'Inputs-System'!$C$42))*'Inputs-Proposals'!$F$16*VLOOKUP(V$3,DRIPE!$A$54:$I$82,8,FALSE), $C27 = "2",( 'Inputs-System'!$C$30*'Coincidence Factors'!$B$6*(1+'Inputs-System'!$C$18)*(1+'Inputs-System'!$C$41))*('Inputs-Proposals'!$F$23*'Inputs-Proposals'!$F$25*(1-'Inputs-Proposals'!$F$26)^(V$3-'Inputs-System'!$C$7))*(VLOOKUP(V$3,DRIPE!$A$54:$I$82,5,FALSE)+VLOOKUP(V$3,DRIPE!$A$54:$I$82,9,FALSE))+ ('Inputs-System'!$C$26*'Coincidence Factors'!$B$6*(1+'Inputs-System'!$C$18)*(1+'Inputs-System'!$C$42))*'Inputs-Proposals'!$F$22*VLOOKUP(V$3,DRIPE!$A$54:$I$82,8,FALSE), $C27= "3", ( 'Inputs-System'!$C$30*'Coincidence Factors'!$B$6*(1+'Inputs-System'!$C$18)*(1+'Inputs-System'!$C$41))*('Inputs-Proposals'!$F$29*'Inputs-Proposals'!$F$31*(1-'Inputs-Proposals'!$F$32)^(V$3-'Inputs-System'!$C$7))*(VLOOKUP(V$3,DRIPE!$A$54:$I$82,5,FALSE)+VLOOKUP(V$3,DRIPE!$A$54:$I$82,9,FALSE))+ ('Inputs-System'!$C$26*'Coincidence Factors'!$B$6*(1+'Inputs-System'!$C$18)*(1+'Inputs-System'!$C$42))*'Inputs-Proposals'!$F$28*VLOOKUP(V$3,DRIPE!$A$54:$I$82,8,FALSE), $C27 = "0", 0), 0)</f>
        <v>0</v>
      </c>
      <c r="Y27" s="45">
        <f>IFERROR(_xlfn.IFS($C27="1",('Inputs-System'!$C$26*'Coincidence Factors'!$B$5*(1+'Inputs-System'!$C$18)*(1+'Inputs-System'!$C$42))*'Inputs-Proposals'!$D$16*(VLOOKUP(V$3,Capacity!$A$53:$E$85,4,FALSE)*(1+'Inputs-System'!$C$42)+VLOOKUP(V$3,Capacity!$A$53:$E$85,5,FALSE)*(1+'Inputs-System'!$C$43)*'Inputs-System'!$C$29), $C27 = "2", ('Inputs-System'!$C$26*'Coincidence Factors'!$B$5*(1+'Inputs-System'!$C$18))*'Inputs-Proposals'!$D$22*(VLOOKUP(V$3,Capacity!$A$53:$E$85,4,FALSE)*(1+'Inputs-System'!$C$42)+VLOOKUP(V$3,Capacity!$A$53:$E$85,5,FALSE)*'Inputs-System'!$C$29*(1+'Inputs-System'!$C$43)), $C27 = "3", ('Inputs-System'!$C$26*'Coincidence Factors'!$B$5*(1+'Inputs-System'!$C$18))*'Inputs-Proposals'!$D$28*(VLOOKUP(V$3,Capacity!$A$53:$E$85,4,FALSE)*(1+'Inputs-System'!$C$42)+VLOOKUP(V$3,Capacity!$A$53:$E$85,5,FALSE)*'Inputs-System'!$C$29*(1+'Inputs-System'!$C$43)), $C27 = "0", 0), 0)</f>
        <v>0</v>
      </c>
      <c r="Z27" s="44">
        <v>0</v>
      </c>
      <c r="AA27" s="342">
        <f>IFERROR(_xlfn.IFS($C27="1", 'Inputs-System'!$C$30*'Coincidence Factors'!$B$9*'Inputs-Proposals'!$F$17*'Inputs-Proposals'!$F$19*(VLOOKUP(V$3,'Non-Embedded Emissions'!$A$56:$D$90,2,FALSE)-VLOOKUP(V$3,'Non-Embedded Emissions'!$F$57:$H$88,2,FALSE)+VLOOKUP(V$3,'Non-Embedded Emissions'!$A$143:$D$174,2,FALSE)-VLOOKUP(V$3,'Non-Embedded Emissions'!$F$143:$H$174,2,FALSE)+VLOOKUP(V$3,'Non-Embedded Emissions'!$A$230:$D$259,2,FALSE)), $C27 = "2", 'Inputs-System'!$C$30*'Coincidence Factors'!$B$9*'Inputs-Proposals'!$F$23*'Inputs-Proposals'!$F$25*(VLOOKUP(V$3,'Non-Embedded Emissions'!$A$56:$D$90,2,FALSE)-VLOOKUP(V$3,'Non-Embedded Emissions'!$F$57:$H$88,2,FALSE)+VLOOKUP(V$3,'Non-Embedded Emissions'!$A$143:$D$174,2,FALSE)-VLOOKUP(V$3,'Non-Embedded Emissions'!$F$143:$H$174,2,FALSE)+VLOOKUP(V$3,'Non-Embedded Emissions'!$A$230:$D$259,2,FALSE)), $C27 = "3", 'Inputs-System'!$C$30*'Coincidence Factors'!$B$9*'Inputs-Proposals'!$F$29*'Inputs-Proposals'!$F$31*(VLOOKUP(V$3,'Non-Embedded Emissions'!$A$56:$D$90,2,FALSE)-VLOOKUP(V$3,'Non-Embedded Emissions'!$F$57:$H$88,2,FALSE)+VLOOKUP(V$3,'Non-Embedded Emissions'!$A$143:$D$174,2,FALSE)-VLOOKUP(V$3,'Non-Embedded Emissions'!$F$143:$H$174,2,FALSE)+VLOOKUP(V$3,'Non-Embedded Emissions'!$A$230:$D$259,2,FALSE)), $C27 = "0", 0), 0)</f>
        <v>0</v>
      </c>
      <c r="AB27" s="45">
        <f>IFERROR(_xlfn.IFS($C27="1",('Inputs-System'!$C$30*'Coincidence Factors'!$B$9*(1+'Inputs-System'!$C$18)*(1+'Inputs-System'!$C$41)*('Inputs-Proposals'!$F$17*'Inputs-Proposals'!$F$19*(1-'Inputs-Proposals'!$F$20^(AB$3-'Inputs-System'!$C$7)))*(VLOOKUP(AB$3,Energy!$A$51:$K$83,5,FALSE))), $C27 = "2",('Inputs-System'!$C$30*'Coincidence Factors'!$B$9)*(1+'Inputs-System'!$C$18)*(1+'Inputs-System'!$C$41)*('Inputs-Proposals'!$F$23*'Inputs-Proposals'!$F$25*(1-'Inputs-Proposals'!$F$26^(AB$3-'Inputs-System'!$C$7)))*(VLOOKUP(AB$3,Energy!$A$51:$K$83,5,FALSE)), $C27= "3", ('Inputs-System'!$C$30*'Coincidence Factors'!$B$9*(1+'Inputs-System'!$C$18)*(1+'Inputs-System'!$C$41)*('Inputs-Proposals'!$F$29*'Inputs-Proposals'!$F$31*(1-'Inputs-Proposals'!$F$32^(AB$3-'Inputs-System'!$C$7)))*(VLOOKUP(AB$3,Energy!$A$51:$K$83,5,FALSE))), $C27= "0", 0), 0)</f>
        <v>0</v>
      </c>
      <c r="AC27" s="44">
        <f>IFERROR(_xlfn.IFS($C27="1",('Inputs-System'!$C$30*'Coincidence Factors'!$B$9*(1+'Inputs-System'!$C$18)*(1+'Inputs-System'!$C$41))*'Inputs-Proposals'!$F$17*'Inputs-Proposals'!$F$19*(1-'Inputs-Proposals'!$F$20^(AB$3-'Inputs-System'!$C$7))*(VLOOKUP(AB$3,'Embedded Emissions'!$A$47:$B$78,2,FALSE)+VLOOKUP(AB$3,'Embedded Emissions'!$A$129:$B$158,2,FALSE)), $C27 = "2",('Inputs-System'!$C$30*'Coincidence Factors'!$B$9*(1+'Inputs-System'!$C$18)*(1+'Inputs-System'!$C$41))*'Inputs-Proposals'!$F$23*'Inputs-Proposals'!$F$25*(1-'Inputs-Proposals'!$F$20^(AB$3-'Inputs-System'!$C$7))*(VLOOKUP(AB$3,'Embedded Emissions'!$A$47:$B$78,2,FALSE)+VLOOKUP(AB$3,'Embedded Emissions'!$A$129:$B$158,2,FALSE)), $C27 = "3", ('Inputs-System'!$C$30*'Coincidence Factors'!$B$9*(1+'Inputs-System'!$C$18)*(1+'Inputs-System'!$C$41))*'Inputs-Proposals'!$F$29*'Inputs-Proposals'!$F$31*(1-'Inputs-Proposals'!$F$20^(AB$3-'Inputs-System'!$C$7))*(VLOOKUP(AB$3,'Embedded Emissions'!$A$47:$B$78,2,FALSE)+VLOOKUP(AB$3,'Embedded Emissions'!$A$129:$B$158,2,FALSE)), $C27 = "0", 0), 0)</f>
        <v>0</v>
      </c>
      <c r="AD27" s="44">
        <f>IFERROR(_xlfn.IFS($C27="1",( 'Inputs-System'!$C$30*'Coincidence Factors'!$B$6*(1+'Inputs-System'!$C$18)*(1+'Inputs-System'!$C$41))*('Inputs-Proposals'!$F$17*'Inputs-Proposals'!$F$19*(1-'Inputs-Proposals'!$F$20)^(AB$3-'Inputs-System'!$C$7))*(VLOOKUP(AB$3,DRIPE!$A$54:$I$82,5,FALSE)+VLOOKUP(AB$3,DRIPE!$A$54:$I$82,9,FALSE))+ ('Inputs-System'!$C$26*'Coincidence Factors'!$B$6*(1+'Inputs-System'!$C$18)*(1+'Inputs-System'!$C$42))*'Inputs-Proposals'!$F$16*VLOOKUP(AB$3,DRIPE!$A$54:$I$82,8,FALSE), $C27 = "2",( 'Inputs-System'!$C$30*'Coincidence Factors'!$B$6*(1+'Inputs-System'!$C$18)*(1+'Inputs-System'!$C$41))*('Inputs-Proposals'!$F$23*'Inputs-Proposals'!$F$25*(1-'Inputs-Proposals'!$F$26)^(AB$3-'Inputs-System'!$C$7))*(VLOOKUP(AB$3,DRIPE!$A$54:$I$82,5,FALSE)+VLOOKUP(AB$3,DRIPE!$A$54:$I$82,9,FALSE))+ ('Inputs-System'!$C$26*'Coincidence Factors'!$B$6*(1+'Inputs-System'!$C$18)*(1+'Inputs-System'!$C$42))*'Inputs-Proposals'!$F$22*VLOOKUP(AB$3,DRIPE!$A$54:$I$82,8,FALSE), $C27= "3", ( 'Inputs-System'!$C$30*'Coincidence Factors'!$B$6*(1+'Inputs-System'!$C$18)*(1+'Inputs-System'!$C$41))*('Inputs-Proposals'!$F$29*'Inputs-Proposals'!$F$31*(1-'Inputs-Proposals'!$F$32)^(AB$3-'Inputs-System'!$C$7))*(VLOOKUP(AB$3,DRIPE!$A$54:$I$82,5,FALSE)+VLOOKUP(AB$3,DRIPE!$A$54:$I$82,9,FALSE))+ ('Inputs-System'!$C$26*'Coincidence Factors'!$B$6*(1+'Inputs-System'!$C$18)*(1+'Inputs-System'!$C$42))*'Inputs-Proposals'!$F$28*VLOOKUP(AB$3,DRIPE!$A$54:$I$82,8,FALSE), $C27 = "0", 0), 0)</f>
        <v>0</v>
      </c>
      <c r="AE27" s="45">
        <f>IFERROR(_xlfn.IFS($C27="1",('Inputs-System'!$C$26*'Coincidence Factors'!$B$5*(1+'Inputs-System'!$C$18)*(1+'Inputs-System'!$C$42))*'Inputs-Proposals'!$D$16*(VLOOKUP(AB$3,Capacity!$A$53:$E$85,4,FALSE)*(1+'Inputs-System'!$C$42)+VLOOKUP(AB$3,Capacity!$A$53:$E$85,5,FALSE)*(1+'Inputs-System'!$C$43)*'Inputs-System'!$C$29), $C27 = "2", ('Inputs-System'!$C$26*'Coincidence Factors'!$B$5*(1+'Inputs-System'!$C$18))*'Inputs-Proposals'!$D$22*(VLOOKUP(AB$3,Capacity!$A$53:$E$85,4,FALSE)*(1+'Inputs-System'!$C$42)+VLOOKUP(AB$3,Capacity!$A$53:$E$85,5,FALSE)*'Inputs-System'!$C$29*(1+'Inputs-System'!$C$43)), $C27 = "3", ('Inputs-System'!$C$26*'Coincidence Factors'!$B$5*(1+'Inputs-System'!$C$18))*'Inputs-Proposals'!$D$28*(VLOOKUP(AB$3,Capacity!$A$53:$E$85,4,FALSE)*(1+'Inputs-System'!$C$42)+VLOOKUP(AB$3,Capacity!$A$53:$E$85,5,FALSE)*'Inputs-System'!$C$29*(1+'Inputs-System'!$C$43)), $C27 = "0", 0), 0)</f>
        <v>0</v>
      </c>
      <c r="AF27" s="44">
        <v>0</v>
      </c>
      <c r="AG27" s="342">
        <f>IFERROR(_xlfn.IFS($C27="1", 'Inputs-System'!$C$30*'Coincidence Factors'!$B$9*'Inputs-Proposals'!$F$17*'Inputs-Proposals'!$F$19*(VLOOKUP(AB$3,'Non-Embedded Emissions'!$A$56:$D$90,2,FALSE)-VLOOKUP(AB$3,'Non-Embedded Emissions'!$F$57:$H$88,2,FALSE)+VLOOKUP(AB$3,'Non-Embedded Emissions'!$A$143:$D$174,2,FALSE)-VLOOKUP(AB$3,'Non-Embedded Emissions'!$F$143:$H$174,2,FALSE)+VLOOKUP(AB$3,'Non-Embedded Emissions'!$A$230:$D$259,2,FALSE)), $C27 = "2", 'Inputs-System'!$C$30*'Coincidence Factors'!$B$9*'Inputs-Proposals'!$F$23*'Inputs-Proposals'!$F$25*(VLOOKUP(AB$3,'Non-Embedded Emissions'!$A$56:$D$90,2,FALSE)-VLOOKUP(AB$3,'Non-Embedded Emissions'!$F$57:$H$88,2,FALSE)+VLOOKUP(AB$3,'Non-Embedded Emissions'!$A$143:$D$174,2,FALSE)-VLOOKUP(AB$3,'Non-Embedded Emissions'!$F$143:$H$174,2,FALSE)+VLOOKUP(AB$3,'Non-Embedded Emissions'!$A$230:$D$259,2,FALSE)), $C27 = "3", 'Inputs-System'!$C$30*'Coincidence Factors'!$B$9*'Inputs-Proposals'!$F$29*'Inputs-Proposals'!$F$31*(VLOOKUP(AB$3,'Non-Embedded Emissions'!$A$56:$D$90,2,FALSE)-VLOOKUP(AB$3,'Non-Embedded Emissions'!$F$57:$H$88,2,FALSE)+VLOOKUP(AB$3,'Non-Embedded Emissions'!$A$143:$D$174,2,FALSE)-VLOOKUP(AB$3,'Non-Embedded Emissions'!$F$143:$H$174,2,FALSE)+VLOOKUP(AB$3,'Non-Embedded Emissions'!$A$230:$D$259,2,FALSE)), $C27 = "0", 0), 0)</f>
        <v>0</v>
      </c>
      <c r="AH27" s="45">
        <f>IFERROR(_xlfn.IFS($C27="1",('Inputs-System'!$C$30*'Coincidence Factors'!$B$9*(1+'Inputs-System'!$C$18)*(1+'Inputs-System'!$C$41)*('Inputs-Proposals'!$F$17*'Inputs-Proposals'!$F$19*(1-'Inputs-Proposals'!$F$20^(AH$3-'Inputs-System'!$C$7)))*(VLOOKUP(AH$3,Energy!$A$51:$K$83,5,FALSE))), $C27 = "2",('Inputs-System'!$C$30*'Coincidence Factors'!$B$9)*(1+'Inputs-System'!$C$18)*(1+'Inputs-System'!$C$41)*('Inputs-Proposals'!$F$23*'Inputs-Proposals'!$F$25*(1-'Inputs-Proposals'!$F$26^(AH$3-'Inputs-System'!$C$7)))*(VLOOKUP(AH$3,Energy!$A$51:$K$83,5,FALSE)), $C27= "3", ('Inputs-System'!$C$30*'Coincidence Factors'!$B$9*(1+'Inputs-System'!$C$18)*(1+'Inputs-System'!$C$41)*('Inputs-Proposals'!$F$29*'Inputs-Proposals'!$F$31*(1-'Inputs-Proposals'!$F$32^(AH$3-'Inputs-System'!$C$7)))*(VLOOKUP(AH$3,Energy!$A$51:$K$83,5,FALSE))), $C27= "0", 0), 0)</f>
        <v>0</v>
      </c>
      <c r="AI27" s="44">
        <f>IFERROR(_xlfn.IFS($C27="1",('Inputs-System'!$C$30*'Coincidence Factors'!$B$9*(1+'Inputs-System'!$C$18)*(1+'Inputs-System'!$C$41))*'Inputs-Proposals'!$F$17*'Inputs-Proposals'!$F$19*(1-'Inputs-Proposals'!$F$20^(AH$3-'Inputs-System'!$C$7))*(VLOOKUP(AH$3,'Embedded Emissions'!$A$47:$B$78,2,FALSE)+VLOOKUP(AH$3,'Embedded Emissions'!$A$129:$B$158,2,FALSE)), $C27 = "2",('Inputs-System'!$C$30*'Coincidence Factors'!$B$9*(1+'Inputs-System'!$C$18)*(1+'Inputs-System'!$C$41))*'Inputs-Proposals'!$F$23*'Inputs-Proposals'!$F$25*(1-'Inputs-Proposals'!$F$20^(AH$3-'Inputs-System'!$C$7))*(VLOOKUP(AH$3,'Embedded Emissions'!$A$47:$B$78,2,FALSE)+VLOOKUP(AH$3,'Embedded Emissions'!$A$129:$B$158,2,FALSE)), $C27 = "3", ('Inputs-System'!$C$30*'Coincidence Factors'!$B$9*(1+'Inputs-System'!$C$18)*(1+'Inputs-System'!$C$41))*'Inputs-Proposals'!$F$29*'Inputs-Proposals'!$F$31*(1-'Inputs-Proposals'!$F$20^(AH$3-'Inputs-System'!$C$7))*(VLOOKUP(AH$3,'Embedded Emissions'!$A$47:$B$78,2,FALSE)+VLOOKUP(AH$3,'Embedded Emissions'!$A$129:$B$158,2,FALSE)), $C27 = "0", 0), 0)</f>
        <v>0</v>
      </c>
      <c r="AJ27" s="44">
        <f>IFERROR(_xlfn.IFS($C27="1",( 'Inputs-System'!$C$30*'Coincidence Factors'!$B$6*(1+'Inputs-System'!$C$18)*(1+'Inputs-System'!$C$41))*('Inputs-Proposals'!$F$17*'Inputs-Proposals'!$F$19*(1-'Inputs-Proposals'!$F$20)^(AH$3-'Inputs-System'!$C$7))*(VLOOKUP(AH$3,DRIPE!$A$54:$I$82,5,FALSE)+VLOOKUP(AH$3,DRIPE!$A$54:$I$82,9,FALSE))+ ('Inputs-System'!$C$26*'Coincidence Factors'!$B$6*(1+'Inputs-System'!$C$18)*(1+'Inputs-System'!$C$42))*'Inputs-Proposals'!$F$16*VLOOKUP(AH$3,DRIPE!$A$54:$I$82,8,FALSE), $C27 = "2",( 'Inputs-System'!$C$30*'Coincidence Factors'!$B$6*(1+'Inputs-System'!$C$18)*(1+'Inputs-System'!$C$41))*('Inputs-Proposals'!$F$23*'Inputs-Proposals'!$F$25*(1-'Inputs-Proposals'!$F$26)^(AH$3-'Inputs-System'!$C$7))*(VLOOKUP(AH$3,DRIPE!$A$54:$I$82,5,FALSE)+VLOOKUP(AH$3,DRIPE!$A$54:$I$82,9,FALSE))+ ('Inputs-System'!$C$26*'Coincidence Factors'!$B$6*(1+'Inputs-System'!$C$18)*(1+'Inputs-System'!$C$42))*'Inputs-Proposals'!$F$22*VLOOKUP(AH$3,DRIPE!$A$54:$I$82,8,FALSE), $C27= "3", ( 'Inputs-System'!$C$30*'Coincidence Factors'!$B$6*(1+'Inputs-System'!$C$18)*(1+'Inputs-System'!$C$41))*('Inputs-Proposals'!$F$29*'Inputs-Proposals'!$F$31*(1-'Inputs-Proposals'!$F$32)^(AH$3-'Inputs-System'!$C$7))*(VLOOKUP(AH$3,DRIPE!$A$54:$I$82,5,FALSE)+VLOOKUP(AH$3,DRIPE!$A$54:$I$82,9,FALSE))+ ('Inputs-System'!$C$26*'Coincidence Factors'!$B$6*(1+'Inputs-System'!$C$18)*(1+'Inputs-System'!$C$42))*'Inputs-Proposals'!$F$28*VLOOKUP(AH$3,DRIPE!$A$54:$I$82,8,FALSE), $C27 = "0", 0), 0)</f>
        <v>0</v>
      </c>
      <c r="AK27" s="45">
        <f>IFERROR(_xlfn.IFS($C27="1",('Inputs-System'!$C$26*'Coincidence Factors'!$B$5*(1+'Inputs-System'!$C$18)*(1+'Inputs-System'!$C$42))*'Inputs-Proposals'!$D$16*(VLOOKUP(AH$3,Capacity!$A$53:$E$85,4,FALSE)*(1+'Inputs-System'!$C$42)+VLOOKUP(AH$3,Capacity!$A$53:$E$85,5,FALSE)*(1+'Inputs-System'!$C$43)*'Inputs-System'!$C$29), $C27 = "2", ('Inputs-System'!$C$26*'Coincidence Factors'!$B$5*(1+'Inputs-System'!$C$18))*'Inputs-Proposals'!$D$22*(VLOOKUP(AH$3,Capacity!$A$53:$E$85,4,FALSE)*(1+'Inputs-System'!$C$42)+VLOOKUP(AH$3,Capacity!$A$53:$E$85,5,FALSE)*'Inputs-System'!$C$29*(1+'Inputs-System'!$C$43)), $C27 = "3", ('Inputs-System'!$C$26*'Coincidence Factors'!$B$5*(1+'Inputs-System'!$C$18))*'Inputs-Proposals'!$D$28*(VLOOKUP(AH$3,Capacity!$A$53:$E$85,4,FALSE)*(1+'Inputs-System'!$C$42)+VLOOKUP(AH$3,Capacity!$A$53:$E$85,5,FALSE)*'Inputs-System'!$C$29*(1+'Inputs-System'!$C$43)), $C27 = "0", 0), 0)</f>
        <v>0</v>
      </c>
      <c r="AL27" s="44">
        <v>0</v>
      </c>
      <c r="AM27" s="342">
        <f>IFERROR(_xlfn.IFS($C27="1", 'Inputs-System'!$C$30*'Coincidence Factors'!$B$9*'Inputs-Proposals'!$F$17*'Inputs-Proposals'!$F$19*(VLOOKUP(AH$3,'Non-Embedded Emissions'!$A$56:$D$90,2,FALSE)-VLOOKUP(AH$3,'Non-Embedded Emissions'!$F$57:$H$88,2,FALSE)+VLOOKUP(AH$3,'Non-Embedded Emissions'!$A$143:$D$174,2,FALSE)-VLOOKUP(AH$3,'Non-Embedded Emissions'!$F$143:$H$174,2,FALSE)+VLOOKUP(AH$3,'Non-Embedded Emissions'!$A$230:$D$259,2,FALSE)), $C27 = "2", 'Inputs-System'!$C$30*'Coincidence Factors'!$B$9*'Inputs-Proposals'!$F$23*'Inputs-Proposals'!$F$25*(VLOOKUP(AH$3,'Non-Embedded Emissions'!$A$56:$D$90,2,FALSE)-VLOOKUP(AH$3,'Non-Embedded Emissions'!$F$57:$H$88,2,FALSE)+VLOOKUP(AH$3,'Non-Embedded Emissions'!$A$143:$D$174,2,FALSE)-VLOOKUP(AH$3,'Non-Embedded Emissions'!$F$143:$H$174,2,FALSE)+VLOOKUP(AH$3,'Non-Embedded Emissions'!$A$230:$D$259,2,FALSE)), $C27 = "3", 'Inputs-System'!$C$30*'Coincidence Factors'!$B$9*'Inputs-Proposals'!$F$29*'Inputs-Proposals'!$F$31*(VLOOKUP(AH$3,'Non-Embedded Emissions'!$A$56:$D$90,2,FALSE)-VLOOKUP(AH$3,'Non-Embedded Emissions'!$F$57:$H$88,2,FALSE)+VLOOKUP(AH$3,'Non-Embedded Emissions'!$A$143:$D$174,2,FALSE)-VLOOKUP(AH$3,'Non-Embedded Emissions'!$F$143:$H$174,2,FALSE)+VLOOKUP(AH$3,'Non-Embedded Emissions'!$A$230:$D$259,2,FALSE)), $C27 = "0", 0), 0)</f>
        <v>0</v>
      </c>
      <c r="AN27" s="45">
        <f>IFERROR(_xlfn.IFS($C27="1",('Inputs-System'!$C$30*'Coincidence Factors'!$B$9*(1+'Inputs-System'!$C$18)*(1+'Inputs-System'!$C$41)*('Inputs-Proposals'!$F$17*'Inputs-Proposals'!$F$19*(1-'Inputs-Proposals'!$F$20^(AN$3-'Inputs-System'!$C$7)))*(VLOOKUP(AN$3,Energy!$A$51:$K$83,5,FALSE))), $C27 = "2",('Inputs-System'!$C$30*'Coincidence Factors'!$B$9)*(1+'Inputs-System'!$C$18)*(1+'Inputs-System'!$C$41)*('Inputs-Proposals'!$F$23*'Inputs-Proposals'!$F$25*(1-'Inputs-Proposals'!$F$26^(AN$3-'Inputs-System'!$C$7)))*(VLOOKUP(AN$3,Energy!$A$51:$K$83,5,FALSE)), $C27= "3", ('Inputs-System'!$C$30*'Coincidence Factors'!$B$9*(1+'Inputs-System'!$C$18)*(1+'Inputs-System'!$C$41)*('Inputs-Proposals'!$F$29*'Inputs-Proposals'!$F$31*(1-'Inputs-Proposals'!$F$32^(AN$3-'Inputs-System'!$C$7)))*(VLOOKUP(AN$3,Energy!$A$51:$K$83,5,FALSE))), $C27= "0", 0), 0)</f>
        <v>0</v>
      </c>
      <c r="AO27" s="44">
        <f>IFERROR(_xlfn.IFS($C27="1",('Inputs-System'!$C$30*'Coincidence Factors'!$B$9*(1+'Inputs-System'!$C$18)*(1+'Inputs-System'!$C$41))*'Inputs-Proposals'!$F$17*'Inputs-Proposals'!$F$19*(1-'Inputs-Proposals'!$F$20^(AN$3-'Inputs-System'!$C$7))*(VLOOKUP(AN$3,'Embedded Emissions'!$A$47:$B$78,2,FALSE)+VLOOKUP(AN$3,'Embedded Emissions'!$A$129:$B$158,2,FALSE)), $C27 = "2",('Inputs-System'!$C$30*'Coincidence Factors'!$B$9*(1+'Inputs-System'!$C$18)*(1+'Inputs-System'!$C$41))*'Inputs-Proposals'!$F$23*'Inputs-Proposals'!$F$25*(1-'Inputs-Proposals'!$F$20^(AN$3-'Inputs-System'!$C$7))*(VLOOKUP(AN$3,'Embedded Emissions'!$A$47:$B$78,2,FALSE)+VLOOKUP(AN$3,'Embedded Emissions'!$A$129:$B$158,2,FALSE)), $C27 = "3", ('Inputs-System'!$C$30*'Coincidence Factors'!$B$9*(1+'Inputs-System'!$C$18)*(1+'Inputs-System'!$C$41))*'Inputs-Proposals'!$F$29*'Inputs-Proposals'!$F$31*(1-'Inputs-Proposals'!$F$20^(AN$3-'Inputs-System'!$C$7))*(VLOOKUP(AN$3,'Embedded Emissions'!$A$47:$B$78,2,FALSE)+VLOOKUP(AN$3,'Embedded Emissions'!$A$129:$B$158,2,FALSE)), $C27 = "0", 0), 0)</f>
        <v>0</v>
      </c>
      <c r="AP27" s="44">
        <f>IFERROR(_xlfn.IFS($C27="1",( 'Inputs-System'!$C$30*'Coincidence Factors'!$B$6*(1+'Inputs-System'!$C$18)*(1+'Inputs-System'!$C$41))*('Inputs-Proposals'!$F$17*'Inputs-Proposals'!$F$19*(1-'Inputs-Proposals'!$F$20)^(AN$3-'Inputs-System'!$C$7))*(VLOOKUP(AN$3,DRIPE!$A$54:$I$82,5,FALSE)+VLOOKUP(AN$3,DRIPE!$A$54:$I$82,9,FALSE))+ ('Inputs-System'!$C$26*'Coincidence Factors'!$B$6*(1+'Inputs-System'!$C$18)*(1+'Inputs-System'!$C$42))*'Inputs-Proposals'!$F$16*VLOOKUP(AN$3,DRIPE!$A$54:$I$82,8,FALSE), $C27 = "2",( 'Inputs-System'!$C$30*'Coincidence Factors'!$B$6*(1+'Inputs-System'!$C$18)*(1+'Inputs-System'!$C$41))*('Inputs-Proposals'!$F$23*'Inputs-Proposals'!$F$25*(1-'Inputs-Proposals'!$F$26)^(AN$3-'Inputs-System'!$C$7))*(VLOOKUP(AN$3,DRIPE!$A$54:$I$82,5,FALSE)+VLOOKUP(AN$3,DRIPE!$A$54:$I$82,9,FALSE))+ ('Inputs-System'!$C$26*'Coincidence Factors'!$B$6*(1+'Inputs-System'!$C$18)*(1+'Inputs-System'!$C$42))*'Inputs-Proposals'!$F$22*VLOOKUP(AN$3,DRIPE!$A$54:$I$82,8,FALSE), $C27= "3", ( 'Inputs-System'!$C$30*'Coincidence Factors'!$B$6*(1+'Inputs-System'!$C$18)*(1+'Inputs-System'!$C$41))*('Inputs-Proposals'!$F$29*'Inputs-Proposals'!$F$31*(1-'Inputs-Proposals'!$F$32)^(AN$3-'Inputs-System'!$C$7))*(VLOOKUP(AN$3,DRIPE!$A$54:$I$82,5,FALSE)+VLOOKUP(AN$3,DRIPE!$A$54:$I$82,9,FALSE))+ ('Inputs-System'!$C$26*'Coincidence Factors'!$B$6*(1+'Inputs-System'!$C$18)*(1+'Inputs-System'!$C$42))*'Inputs-Proposals'!$F$28*VLOOKUP(AN$3,DRIPE!$A$54:$I$82,8,FALSE), $C27 = "0", 0), 0)</f>
        <v>0</v>
      </c>
      <c r="AQ27" s="45">
        <f>IFERROR(_xlfn.IFS($C27="1",('Inputs-System'!$C$26*'Coincidence Factors'!$B$5*(1+'Inputs-System'!$C$18)*(1+'Inputs-System'!$C$42))*'Inputs-Proposals'!$D$16*(VLOOKUP(AN$3,Capacity!$A$53:$E$85,4,FALSE)*(1+'Inputs-System'!$C$42)+VLOOKUP(AN$3,Capacity!$A$53:$E$85,5,FALSE)*(1+'Inputs-System'!$C$43)*'Inputs-System'!$C$29), $C27 = "2", ('Inputs-System'!$C$26*'Coincidence Factors'!$B$5*(1+'Inputs-System'!$C$18))*'Inputs-Proposals'!$D$22*(VLOOKUP(AN$3,Capacity!$A$53:$E$85,4,FALSE)*(1+'Inputs-System'!$C$42)+VLOOKUP(AN$3,Capacity!$A$53:$E$85,5,FALSE)*'Inputs-System'!$C$29*(1+'Inputs-System'!$C$43)), $C27 = "3", ('Inputs-System'!$C$26*'Coincidence Factors'!$B$5*(1+'Inputs-System'!$C$18))*'Inputs-Proposals'!$D$28*(VLOOKUP(AN$3,Capacity!$A$53:$E$85,4,FALSE)*(1+'Inputs-System'!$C$42)+VLOOKUP(AN$3,Capacity!$A$53:$E$85,5,FALSE)*'Inputs-System'!$C$29*(1+'Inputs-System'!$C$43)), $C27 = "0", 0), 0)</f>
        <v>0</v>
      </c>
      <c r="AR27" s="44">
        <v>0</v>
      </c>
      <c r="AS27" s="342">
        <f>IFERROR(_xlfn.IFS($C27="1", 'Inputs-System'!$C$30*'Coincidence Factors'!$B$9*'Inputs-Proposals'!$F$17*'Inputs-Proposals'!$F$19*(VLOOKUP(AN$3,'Non-Embedded Emissions'!$A$56:$D$90,2,FALSE)-VLOOKUP(AN$3,'Non-Embedded Emissions'!$F$57:$H$88,2,FALSE)+VLOOKUP(AN$3,'Non-Embedded Emissions'!$A$143:$D$174,2,FALSE)-VLOOKUP(AN$3,'Non-Embedded Emissions'!$F$143:$H$174,2,FALSE)+VLOOKUP(AN$3,'Non-Embedded Emissions'!$A$230:$D$259,2,FALSE)), $C27 = "2", 'Inputs-System'!$C$30*'Coincidence Factors'!$B$9*'Inputs-Proposals'!$F$23*'Inputs-Proposals'!$F$25*(VLOOKUP(AN$3,'Non-Embedded Emissions'!$A$56:$D$90,2,FALSE)-VLOOKUP(AN$3,'Non-Embedded Emissions'!$F$57:$H$88,2,FALSE)+VLOOKUP(AN$3,'Non-Embedded Emissions'!$A$143:$D$174,2,FALSE)-VLOOKUP(AN$3,'Non-Embedded Emissions'!$F$143:$H$174,2,FALSE)+VLOOKUP(AN$3,'Non-Embedded Emissions'!$A$230:$D$259,2,FALSE)), $C27 = "3", 'Inputs-System'!$C$30*'Coincidence Factors'!$B$9*'Inputs-Proposals'!$F$29*'Inputs-Proposals'!$F$31*(VLOOKUP(AN$3,'Non-Embedded Emissions'!$A$56:$D$90,2,FALSE)-VLOOKUP(AN$3,'Non-Embedded Emissions'!$F$57:$H$88,2,FALSE)+VLOOKUP(AN$3,'Non-Embedded Emissions'!$A$143:$D$174,2,FALSE)-VLOOKUP(AN$3,'Non-Embedded Emissions'!$F$143:$H$174,2,FALSE)+VLOOKUP(AN$3,'Non-Embedded Emissions'!$A$230:$D$259,2,FALSE)), $C27 = "0", 0), 0)</f>
        <v>0</v>
      </c>
      <c r="AT27" s="45">
        <f>IFERROR(_xlfn.IFS($C27="1",('Inputs-System'!$C$30*'Coincidence Factors'!$B$9*(1+'Inputs-System'!$C$18)*(1+'Inputs-System'!$C$41)*('Inputs-Proposals'!$F$17*'Inputs-Proposals'!$F$19*(1-'Inputs-Proposals'!$F$20^(AT$3-'Inputs-System'!$C$7)))*(VLOOKUP(AT$3,Energy!$A$51:$K$83,5,FALSE))), $C27 = "2",('Inputs-System'!$C$30*'Coincidence Factors'!$B$9)*(1+'Inputs-System'!$C$18)*(1+'Inputs-System'!$C$41)*('Inputs-Proposals'!$F$23*'Inputs-Proposals'!$F$25*(1-'Inputs-Proposals'!$F$26^(AT$3-'Inputs-System'!$C$7)))*(VLOOKUP(AT$3,Energy!$A$51:$K$83,5,FALSE)), $C27= "3", ('Inputs-System'!$C$30*'Coincidence Factors'!$B$9*(1+'Inputs-System'!$C$18)*(1+'Inputs-System'!$C$41)*('Inputs-Proposals'!$F$29*'Inputs-Proposals'!$F$31*(1-'Inputs-Proposals'!$F$32^(AT$3-'Inputs-System'!$C$7)))*(VLOOKUP(AT$3,Energy!$A$51:$K$83,5,FALSE))), $C27= "0", 0), 0)</f>
        <v>0</v>
      </c>
      <c r="AU27" s="44">
        <f>IFERROR(_xlfn.IFS($C27="1",('Inputs-System'!$C$30*'Coincidence Factors'!$B$9*(1+'Inputs-System'!$C$18)*(1+'Inputs-System'!$C$41))*'Inputs-Proposals'!$F$17*'Inputs-Proposals'!$F$19*(1-'Inputs-Proposals'!$F$20^(AT$3-'Inputs-System'!$C$7))*(VLOOKUP(AT$3,'Embedded Emissions'!$A$47:$B$78,2,FALSE)+VLOOKUP(AT$3,'Embedded Emissions'!$A$129:$B$158,2,FALSE)), $C27 = "2",('Inputs-System'!$C$30*'Coincidence Factors'!$B$9*(1+'Inputs-System'!$C$18)*(1+'Inputs-System'!$C$41))*'Inputs-Proposals'!$F$23*'Inputs-Proposals'!$F$25*(1-'Inputs-Proposals'!$F$20^(AT$3-'Inputs-System'!$C$7))*(VLOOKUP(AT$3,'Embedded Emissions'!$A$47:$B$78,2,FALSE)+VLOOKUP(AT$3,'Embedded Emissions'!$A$129:$B$158,2,FALSE)), $C27 = "3", ('Inputs-System'!$C$30*'Coincidence Factors'!$B$9*(1+'Inputs-System'!$C$18)*(1+'Inputs-System'!$C$41))*'Inputs-Proposals'!$F$29*'Inputs-Proposals'!$F$31*(1-'Inputs-Proposals'!$F$20^(AT$3-'Inputs-System'!$C$7))*(VLOOKUP(AT$3,'Embedded Emissions'!$A$47:$B$78,2,FALSE)+VLOOKUP(AT$3,'Embedded Emissions'!$A$129:$B$158,2,FALSE)), $C27 = "0", 0), 0)</f>
        <v>0</v>
      </c>
      <c r="AV27" s="44">
        <f>IFERROR(_xlfn.IFS($C27="1",( 'Inputs-System'!$C$30*'Coincidence Factors'!$B$6*(1+'Inputs-System'!$C$18)*(1+'Inputs-System'!$C$41))*('Inputs-Proposals'!$F$17*'Inputs-Proposals'!$F$19*(1-'Inputs-Proposals'!$F$20)^(AT$3-'Inputs-System'!$C$7))*(VLOOKUP(AT$3,DRIPE!$A$54:$I$82,5,FALSE)+VLOOKUP(AT$3,DRIPE!$A$54:$I$82,9,FALSE))+ ('Inputs-System'!$C$26*'Coincidence Factors'!$B$6*(1+'Inputs-System'!$C$18)*(1+'Inputs-System'!$C$42))*'Inputs-Proposals'!$F$16*VLOOKUP(AT$3,DRIPE!$A$54:$I$82,8,FALSE), $C27 = "2",( 'Inputs-System'!$C$30*'Coincidence Factors'!$B$6*(1+'Inputs-System'!$C$18)*(1+'Inputs-System'!$C$41))*('Inputs-Proposals'!$F$23*'Inputs-Proposals'!$F$25*(1-'Inputs-Proposals'!$F$26)^(AT$3-'Inputs-System'!$C$7))*(VLOOKUP(AT$3,DRIPE!$A$54:$I$82,5,FALSE)+VLOOKUP(AT$3,DRIPE!$A$54:$I$82,9,FALSE))+ ('Inputs-System'!$C$26*'Coincidence Factors'!$B$6*(1+'Inputs-System'!$C$18)*(1+'Inputs-System'!$C$42))*'Inputs-Proposals'!$F$22*VLOOKUP(AT$3,DRIPE!$A$54:$I$82,8,FALSE), $C27= "3", ( 'Inputs-System'!$C$30*'Coincidence Factors'!$B$6*(1+'Inputs-System'!$C$18)*(1+'Inputs-System'!$C$41))*('Inputs-Proposals'!$F$29*'Inputs-Proposals'!$F$31*(1-'Inputs-Proposals'!$F$32)^(AT$3-'Inputs-System'!$C$7))*(VLOOKUP(AT$3,DRIPE!$A$54:$I$82,5,FALSE)+VLOOKUP(AT$3,DRIPE!$A$54:$I$82,9,FALSE))+ ('Inputs-System'!$C$26*'Coincidence Factors'!$B$6*(1+'Inputs-System'!$C$18)*(1+'Inputs-System'!$C$42))*'Inputs-Proposals'!$F$28*VLOOKUP(AT$3,DRIPE!$A$54:$I$82,8,FALSE), $C27 = "0", 0), 0)</f>
        <v>0</v>
      </c>
      <c r="AW27" s="45">
        <f>IFERROR(_xlfn.IFS($C27="1",('Inputs-System'!$C$26*'Coincidence Factors'!$B$5*(1+'Inputs-System'!$C$18)*(1+'Inputs-System'!$C$42))*'Inputs-Proposals'!$D$16*(VLOOKUP(AT$3,Capacity!$A$53:$E$85,4,FALSE)*(1+'Inputs-System'!$C$42)+VLOOKUP(AT$3,Capacity!$A$53:$E$85,5,FALSE)*(1+'Inputs-System'!$C$43)*'Inputs-System'!$C$29), $C27 = "2", ('Inputs-System'!$C$26*'Coincidence Factors'!$B$5*(1+'Inputs-System'!$C$18))*'Inputs-Proposals'!$D$22*(VLOOKUP(AT$3,Capacity!$A$53:$E$85,4,FALSE)*(1+'Inputs-System'!$C$42)+VLOOKUP(AT$3,Capacity!$A$53:$E$85,5,FALSE)*'Inputs-System'!$C$29*(1+'Inputs-System'!$C$43)), $C27 = "3", ('Inputs-System'!$C$26*'Coincidence Factors'!$B$5*(1+'Inputs-System'!$C$18))*'Inputs-Proposals'!$D$28*(VLOOKUP(AT$3,Capacity!$A$53:$E$85,4,FALSE)*(1+'Inputs-System'!$C$42)+VLOOKUP(AT$3,Capacity!$A$53:$E$85,5,FALSE)*'Inputs-System'!$C$29*(1+'Inputs-System'!$C$43)), $C27 = "0", 0), 0)</f>
        <v>0</v>
      </c>
      <c r="AX27" s="44">
        <v>0</v>
      </c>
      <c r="AY27" s="342">
        <f>IFERROR(_xlfn.IFS($C27="1", 'Inputs-System'!$C$30*'Coincidence Factors'!$B$9*'Inputs-Proposals'!$F$17*'Inputs-Proposals'!$F$19*(VLOOKUP(AT$3,'Non-Embedded Emissions'!$A$56:$D$90,2,FALSE)-VLOOKUP(AT$3,'Non-Embedded Emissions'!$F$57:$H$88,2,FALSE)+VLOOKUP(AT$3,'Non-Embedded Emissions'!$A$143:$D$174,2,FALSE)-VLOOKUP(AT$3,'Non-Embedded Emissions'!$F$143:$H$174,2,FALSE)+VLOOKUP(AT$3,'Non-Embedded Emissions'!$A$230:$D$259,2,FALSE)), $C27 = "2", 'Inputs-System'!$C$30*'Coincidence Factors'!$B$9*'Inputs-Proposals'!$F$23*'Inputs-Proposals'!$F$25*(VLOOKUP(AT$3,'Non-Embedded Emissions'!$A$56:$D$90,2,FALSE)-VLOOKUP(AT$3,'Non-Embedded Emissions'!$F$57:$H$88,2,FALSE)+VLOOKUP(AT$3,'Non-Embedded Emissions'!$A$143:$D$174,2,FALSE)-VLOOKUP(AT$3,'Non-Embedded Emissions'!$F$143:$H$174,2,FALSE)+VLOOKUP(AT$3,'Non-Embedded Emissions'!$A$230:$D$259,2,FALSE)), $C27 = "3", 'Inputs-System'!$C$30*'Coincidence Factors'!$B$9*'Inputs-Proposals'!$F$29*'Inputs-Proposals'!$F$31*(VLOOKUP(AT$3,'Non-Embedded Emissions'!$A$56:$D$90,2,FALSE)-VLOOKUP(AT$3,'Non-Embedded Emissions'!$F$57:$H$88,2,FALSE)+VLOOKUP(AT$3,'Non-Embedded Emissions'!$A$143:$D$174,2,FALSE)-VLOOKUP(AT$3,'Non-Embedded Emissions'!$F$143:$H$174,2,FALSE)+VLOOKUP(AT$3,'Non-Embedded Emissions'!$A$230:$D$259,2,FALSE)), $C27 = "0", 0), 0)</f>
        <v>0</v>
      </c>
      <c r="AZ27" s="45">
        <f>IFERROR(_xlfn.IFS($C27="1",('Inputs-System'!$C$30*'Coincidence Factors'!$B$9*(1+'Inputs-System'!$C$18)*(1+'Inputs-System'!$C$41)*('Inputs-Proposals'!$F$17*'Inputs-Proposals'!$F$19*(1-'Inputs-Proposals'!$F$20^(AZ$3-'Inputs-System'!$C$7)))*(VLOOKUP(AZ$3,Energy!$A$51:$K$83,5,FALSE))), $C27 = "2",('Inputs-System'!$C$30*'Coincidence Factors'!$B$9)*(1+'Inputs-System'!$C$18)*(1+'Inputs-System'!$C$41)*('Inputs-Proposals'!$F$23*'Inputs-Proposals'!$F$25*(1-'Inputs-Proposals'!$F$26^(AZ$3-'Inputs-System'!$C$7)))*(VLOOKUP(AZ$3,Energy!$A$51:$K$83,5,FALSE)), $C27= "3", ('Inputs-System'!$C$30*'Coincidence Factors'!$B$9*(1+'Inputs-System'!$C$18)*(1+'Inputs-System'!$C$41)*('Inputs-Proposals'!$F$29*'Inputs-Proposals'!$F$31*(1-'Inputs-Proposals'!$F$32^(AZ$3-'Inputs-System'!$C$7)))*(VLOOKUP(AZ$3,Energy!$A$51:$K$83,5,FALSE))), $C27= "0", 0), 0)</f>
        <v>0</v>
      </c>
      <c r="BA27" s="44">
        <f>IFERROR(_xlfn.IFS($C27="1",('Inputs-System'!$C$30*'Coincidence Factors'!$B$9*(1+'Inputs-System'!$C$18)*(1+'Inputs-System'!$C$41))*'Inputs-Proposals'!$F$17*'Inputs-Proposals'!$F$19*(1-'Inputs-Proposals'!$F$20^(AZ$3-'Inputs-System'!$C$7))*(VLOOKUP(AZ$3,'Embedded Emissions'!$A$47:$B$78,2,FALSE)+VLOOKUP(AZ$3,'Embedded Emissions'!$A$129:$B$158,2,FALSE)), $C27 = "2",('Inputs-System'!$C$30*'Coincidence Factors'!$B$9*(1+'Inputs-System'!$C$18)*(1+'Inputs-System'!$C$41))*'Inputs-Proposals'!$F$23*'Inputs-Proposals'!$F$25*(1-'Inputs-Proposals'!$F$20^(AZ$3-'Inputs-System'!$C$7))*(VLOOKUP(AZ$3,'Embedded Emissions'!$A$47:$B$78,2,FALSE)+VLOOKUP(AZ$3,'Embedded Emissions'!$A$129:$B$158,2,FALSE)), $C27 = "3", ('Inputs-System'!$C$30*'Coincidence Factors'!$B$9*(1+'Inputs-System'!$C$18)*(1+'Inputs-System'!$C$41))*'Inputs-Proposals'!$F$29*'Inputs-Proposals'!$F$31*(1-'Inputs-Proposals'!$F$20^(AZ$3-'Inputs-System'!$C$7))*(VLOOKUP(AZ$3,'Embedded Emissions'!$A$47:$B$78,2,FALSE)+VLOOKUP(AZ$3,'Embedded Emissions'!$A$129:$B$158,2,FALSE)), $C27 = "0", 0), 0)</f>
        <v>0</v>
      </c>
      <c r="BB27" s="44">
        <f>IFERROR(_xlfn.IFS($C27="1",( 'Inputs-System'!$C$30*'Coincidence Factors'!$B$6*(1+'Inputs-System'!$C$18)*(1+'Inputs-System'!$C$41))*('Inputs-Proposals'!$F$17*'Inputs-Proposals'!$F$19*(1-'Inputs-Proposals'!$F$20)^(AZ$3-'Inputs-System'!$C$7))*(VLOOKUP(AZ$3,DRIPE!$A$54:$I$82,5,FALSE)+VLOOKUP(AZ$3,DRIPE!$A$54:$I$82,9,FALSE))+ ('Inputs-System'!$C$26*'Coincidence Factors'!$B$6*(1+'Inputs-System'!$C$18)*(1+'Inputs-System'!$C$42))*'Inputs-Proposals'!$F$16*VLOOKUP(AZ$3,DRIPE!$A$54:$I$82,8,FALSE), $C27 = "2",( 'Inputs-System'!$C$30*'Coincidence Factors'!$B$6*(1+'Inputs-System'!$C$18)*(1+'Inputs-System'!$C$41))*('Inputs-Proposals'!$F$23*'Inputs-Proposals'!$F$25*(1-'Inputs-Proposals'!$F$26)^(AZ$3-'Inputs-System'!$C$7))*(VLOOKUP(AZ$3,DRIPE!$A$54:$I$82,5,FALSE)+VLOOKUP(AZ$3,DRIPE!$A$54:$I$82,9,FALSE))+ ('Inputs-System'!$C$26*'Coincidence Factors'!$B$6*(1+'Inputs-System'!$C$18)*(1+'Inputs-System'!$C$42))*'Inputs-Proposals'!$F$22*VLOOKUP(AZ$3,DRIPE!$A$54:$I$82,8,FALSE), $C27= "3", ( 'Inputs-System'!$C$30*'Coincidence Factors'!$B$6*(1+'Inputs-System'!$C$18)*(1+'Inputs-System'!$C$41))*('Inputs-Proposals'!$F$29*'Inputs-Proposals'!$F$31*(1-'Inputs-Proposals'!$F$32)^(AZ$3-'Inputs-System'!$C$7))*(VLOOKUP(AZ$3,DRIPE!$A$54:$I$82,5,FALSE)+VLOOKUP(AZ$3,DRIPE!$A$54:$I$82,9,FALSE))+ ('Inputs-System'!$C$26*'Coincidence Factors'!$B$6*(1+'Inputs-System'!$C$18)*(1+'Inputs-System'!$C$42))*'Inputs-Proposals'!$F$28*VLOOKUP(AZ$3,DRIPE!$A$54:$I$82,8,FALSE), $C27 = "0", 0), 0)</f>
        <v>0</v>
      </c>
      <c r="BC27" s="45">
        <f>IFERROR(_xlfn.IFS($C27="1",('Inputs-System'!$C$26*'Coincidence Factors'!$B$5*(1+'Inputs-System'!$C$18)*(1+'Inputs-System'!$C$42))*'Inputs-Proposals'!$D$16*(VLOOKUP(AZ$3,Capacity!$A$53:$E$85,4,FALSE)*(1+'Inputs-System'!$C$42)+VLOOKUP(AZ$3,Capacity!$A$53:$E$85,5,FALSE)*(1+'Inputs-System'!$C$43)*'Inputs-System'!$C$29), $C27 = "2", ('Inputs-System'!$C$26*'Coincidence Factors'!$B$5*(1+'Inputs-System'!$C$18))*'Inputs-Proposals'!$D$22*(VLOOKUP(AZ$3,Capacity!$A$53:$E$85,4,FALSE)*(1+'Inputs-System'!$C$42)+VLOOKUP(AZ$3,Capacity!$A$53:$E$85,5,FALSE)*'Inputs-System'!$C$29*(1+'Inputs-System'!$C$43)), $C27 = "3", ('Inputs-System'!$C$26*'Coincidence Factors'!$B$5*(1+'Inputs-System'!$C$18))*'Inputs-Proposals'!$D$28*(VLOOKUP(AZ$3,Capacity!$A$53:$E$85,4,FALSE)*(1+'Inputs-System'!$C$42)+VLOOKUP(AZ$3,Capacity!$A$53:$E$85,5,FALSE)*'Inputs-System'!$C$29*(1+'Inputs-System'!$C$43)), $C27 = "0", 0), 0)</f>
        <v>0</v>
      </c>
      <c r="BD27" s="44">
        <v>0</v>
      </c>
      <c r="BE27" s="342">
        <f>IFERROR(_xlfn.IFS($C27="1", 'Inputs-System'!$C$30*'Coincidence Factors'!$B$9*'Inputs-Proposals'!$F$17*'Inputs-Proposals'!$F$19*(VLOOKUP(AZ$3,'Non-Embedded Emissions'!$A$56:$D$90,2,FALSE)-VLOOKUP(AZ$3,'Non-Embedded Emissions'!$F$57:$H$88,2,FALSE)+VLOOKUP(AZ$3,'Non-Embedded Emissions'!$A$143:$D$174,2,FALSE)-VLOOKUP(AZ$3,'Non-Embedded Emissions'!$F$143:$H$174,2,FALSE)+VLOOKUP(AZ$3,'Non-Embedded Emissions'!$A$230:$D$259,2,FALSE)), $C27 = "2", 'Inputs-System'!$C$30*'Coincidence Factors'!$B$9*'Inputs-Proposals'!$F$23*'Inputs-Proposals'!$F$25*(VLOOKUP(AZ$3,'Non-Embedded Emissions'!$A$56:$D$90,2,FALSE)-VLOOKUP(AZ$3,'Non-Embedded Emissions'!$F$57:$H$88,2,FALSE)+VLOOKUP(AZ$3,'Non-Embedded Emissions'!$A$143:$D$174,2,FALSE)-VLOOKUP(AZ$3,'Non-Embedded Emissions'!$F$143:$H$174,2,FALSE)+VLOOKUP(AZ$3,'Non-Embedded Emissions'!$A$230:$D$259,2,FALSE)), $C27 = "3", 'Inputs-System'!$C$30*'Coincidence Factors'!$B$9*'Inputs-Proposals'!$F$29*'Inputs-Proposals'!$F$31*(VLOOKUP(AZ$3,'Non-Embedded Emissions'!$A$56:$D$90,2,FALSE)-VLOOKUP(AZ$3,'Non-Embedded Emissions'!$F$57:$H$88,2,FALSE)+VLOOKUP(AZ$3,'Non-Embedded Emissions'!$A$143:$D$174,2,FALSE)-VLOOKUP(AZ$3,'Non-Embedded Emissions'!$F$143:$H$174,2,FALSE)+VLOOKUP(AZ$3,'Non-Embedded Emissions'!$A$230:$D$259,2,FALSE)), $C27 = "0", 0), 0)</f>
        <v>0</v>
      </c>
      <c r="BF27" s="45">
        <f>IFERROR(_xlfn.IFS($C27="1",('Inputs-System'!$C$30*'Coincidence Factors'!$B$9*(1+'Inputs-System'!$C$18)*(1+'Inputs-System'!$C$41)*('Inputs-Proposals'!$F$17*'Inputs-Proposals'!$F$19*(1-'Inputs-Proposals'!$F$20^(BF$3-'Inputs-System'!$C$7)))*(VLOOKUP(BF$3,Energy!$A$51:$K$83,5,FALSE))), $C27 = "2",('Inputs-System'!$C$30*'Coincidence Factors'!$B$9)*(1+'Inputs-System'!$C$18)*(1+'Inputs-System'!$C$41)*('Inputs-Proposals'!$F$23*'Inputs-Proposals'!$F$25*(1-'Inputs-Proposals'!$F$26^(BF$3-'Inputs-System'!$C$7)))*(VLOOKUP(BF$3,Energy!$A$51:$K$83,5,FALSE)), $C27= "3", ('Inputs-System'!$C$30*'Coincidence Factors'!$B$9*(1+'Inputs-System'!$C$18)*(1+'Inputs-System'!$C$41)*('Inputs-Proposals'!$F$29*'Inputs-Proposals'!$F$31*(1-'Inputs-Proposals'!$F$32^(BF$3-'Inputs-System'!$C$7)))*(VLOOKUP(BF$3,Energy!$A$51:$K$83,5,FALSE))), $C27= "0", 0), 0)</f>
        <v>0</v>
      </c>
      <c r="BG27" s="44">
        <f>IFERROR(_xlfn.IFS($C27="1",('Inputs-System'!$C$30*'Coincidence Factors'!$B$9*(1+'Inputs-System'!$C$18)*(1+'Inputs-System'!$C$41))*'Inputs-Proposals'!$F$17*'Inputs-Proposals'!$F$19*(1-'Inputs-Proposals'!$F$20^(BF$3-'Inputs-System'!$C$7))*(VLOOKUP(BF$3,'Embedded Emissions'!$A$47:$B$78,2,FALSE)+VLOOKUP(BF$3,'Embedded Emissions'!$A$129:$B$158,2,FALSE)), $C27 = "2",('Inputs-System'!$C$30*'Coincidence Factors'!$B$9*(1+'Inputs-System'!$C$18)*(1+'Inputs-System'!$C$41))*'Inputs-Proposals'!$F$23*'Inputs-Proposals'!$F$25*(1-'Inputs-Proposals'!$F$20^(BF$3-'Inputs-System'!$C$7))*(VLOOKUP(BF$3,'Embedded Emissions'!$A$47:$B$78,2,FALSE)+VLOOKUP(BF$3,'Embedded Emissions'!$A$129:$B$158,2,FALSE)), $C27 = "3", ('Inputs-System'!$C$30*'Coincidence Factors'!$B$9*(1+'Inputs-System'!$C$18)*(1+'Inputs-System'!$C$41))*'Inputs-Proposals'!$F$29*'Inputs-Proposals'!$F$31*(1-'Inputs-Proposals'!$F$20^(BF$3-'Inputs-System'!$C$7))*(VLOOKUP(BF$3,'Embedded Emissions'!$A$47:$B$78,2,FALSE)+VLOOKUP(BF$3,'Embedded Emissions'!$A$129:$B$158,2,FALSE)), $C27 = "0", 0), 0)</f>
        <v>0</v>
      </c>
      <c r="BH27" s="44">
        <f>IFERROR(_xlfn.IFS($C27="1",( 'Inputs-System'!$C$30*'Coincidence Factors'!$B$6*(1+'Inputs-System'!$C$18)*(1+'Inputs-System'!$C$41))*('Inputs-Proposals'!$F$17*'Inputs-Proposals'!$F$19*(1-'Inputs-Proposals'!$F$20)^(BF$3-'Inputs-System'!$C$7))*(VLOOKUP(BF$3,DRIPE!$A$54:$I$82,5,FALSE)+VLOOKUP(BF$3,DRIPE!$A$54:$I$82,9,FALSE))+ ('Inputs-System'!$C$26*'Coincidence Factors'!$B$6*(1+'Inputs-System'!$C$18)*(1+'Inputs-System'!$C$42))*'Inputs-Proposals'!$F$16*VLOOKUP(BF$3,DRIPE!$A$54:$I$82,8,FALSE), $C27 = "2",( 'Inputs-System'!$C$30*'Coincidence Factors'!$B$6*(1+'Inputs-System'!$C$18)*(1+'Inputs-System'!$C$41))*('Inputs-Proposals'!$F$23*'Inputs-Proposals'!$F$25*(1-'Inputs-Proposals'!$F$26)^(BF$3-'Inputs-System'!$C$7))*(VLOOKUP(BF$3,DRIPE!$A$54:$I$82,5,FALSE)+VLOOKUP(BF$3,DRIPE!$A$54:$I$82,9,FALSE))+ ('Inputs-System'!$C$26*'Coincidence Factors'!$B$6*(1+'Inputs-System'!$C$18)*(1+'Inputs-System'!$C$42))*'Inputs-Proposals'!$F$22*VLOOKUP(BF$3,DRIPE!$A$54:$I$82,8,FALSE), $C27= "3", ( 'Inputs-System'!$C$30*'Coincidence Factors'!$B$6*(1+'Inputs-System'!$C$18)*(1+'Inputs-System'!$C$41))*('Inputs-Proposals'!$F$29*'Inputs-Proposals'!$F$31*(1-'Inputs-Proposals'!$F$32)^(BF$3-'Inputs-System'!$C$7))*(VLOOKUP(BF$3,DRIPE!$A$54:$I$82,5,FALSE)+VLOOKUP(BF$3,DRIPE!$A$54:$I$82,9,FALSE))+ ('Inputs-System'!$C$26*'Coincidence Factors'!$B$6*(1+'Inputs-System'!$C$18)*(1+'Inputs-System'!$C$42))*'Inputs-Proposals'!$F$28*VLOOKUP(BF$3,DRIPE!$A$54:$I$82,8,FALSE), $C27 = "0", 0), 0)</f>
        <v>0</v>
      </c>
      <c r="BI27" s="45">
        <f>IFERROR(_xlfn.IFS($C27="1",('Inputs-System'!$C$26*'Coincidence Factors'!$B$5*(1+'Inputs-System'!$C$18)*(1+'Inputs-System'!$C$42))*'Inputs-Proposals'!$D$16*(VLOOKUP(BF$3,Capacity!$A$53:$E$85,4,FALSE)*(1+'Inputs-System'!$C$42)+VLOOKUP(BF$3,Capacity!$A$53:$E$85,5,FALSE)*(1+'Inputs-System'!$C$43)*'Inputs-System'!$C$29), $C27 = "2", ('Inputs-System'!$C$26*'Coincidence Factors'!$B$5*(1+'Inputs-System'!$C$18))*'Inputs-Proposals'!$D$22*(VLOOKUP(BF$3,Capacity!$A$53:$E$85,4,FALSE)*(1+'Inputs-System'!$C$42)+VLOOKUP(BF$3,Capacity!$A$53:$E$85,5,FALSE)*'Inputs-System'!$C$29*(1+'Inputs-System'!$C$43)), $C27 = "3", ('Inputs-System'!$C$26*'Coincidence Factors'!$B$5*(1+'Inputs-System'!$C$18))*'Inputs-Proposals'!$D$28*(VLOOKUP(BF$3,Capacity!$A$53:$E$85,4,FALSE)*(1+'Inputs-System'!$C$42)+VLOOKUP(BF$3,Capacity!$A$53:$E$85,5,FALSE)*'Inputs-System'!$C$29*(1+'Inputs-System'!$C$43)), $C27 = "0", 0), 0)</f>
        <v>0</v>
      </c>
      <c r="BJ27" s="44">
        <v>0</v>
      </c>
      <c r="BK27" s="342">
        <f>IFERROR(_xlfn.IFS($C27="1", 'Inputs-System'!$C$30*'Coincidence Factors'!$B$9*'Inputs-Proposals'!$F$17*'Inputs-Proposals'!$F$19*(VLOOKUP(BF$3,'Non-Embedded Emissions'!$A$56:$D$90,2,FALSE)-VLOOKUP(BF$3,'Non-Embedded Emissions'!$F$57:$H$88,2,FALSE)+VLOOKUP(BF$3,'Non-Embedded Emissions'!$A$143:$D$174,2,FALSE)-VLOOKUP(BF$3,'Non-Embedded Emissions'!$F$143:$H$174,2,FALSE)+VLOOKUP(BF$3,'Non-Embedded Emissions'!$A$230:$D$259,2,FALSE)), $C27 = "2", 'Inputs-System'!$C$30*'Coincidence Factors'!$B$9*'Inputs-Proposals'!$F$23*'Inputs-Proposals'!$F$25*(VLOOKUP(BF$3,'Non-Embedded Emissions'!$A$56:$D$90,2,FALSE)-VLOOKUP(BF$3,'Non-Embedded Emissions'!$F$57:$H$88,2,FALSE)+VLOOKUP(BF$3,'Non-Embedded Emissions'!$A$143:$D$174,2,FALSE)-VLOOKUP(BF$3,'Non-Embedded Emissions'!$F$143:$H$174,2,FALSE)+VLOOKUP(BF$3,'Non-Embedded Emissions'!$A$230:$D$259,2,FALSE)), $C27 = "3", 'Inputs-System'!$C$30*'Coincidence Factors'!$B$9*'Inputs-Proposals'!$F$29*'Inputs-Proposals'!$F$31*(VLOOKUP(BF$3,'Non-Embedded Emissions'!$A$56:$D$90,2,FALSE)-VLOOKUP(BF$3,'Non-Embedded Emissions'!$F$57:$H$88,2,FALSE)+VLOOKUP(BF$3,'Non-Embedded Emissions'!$A$143:$D$174,2,FALSE)-VLOOKUP(BF$3,'Non-Embedded Emissions'!$F$143:$H$174,2,FALSE)+VLOOKUP(BF$3,'Non-Embedded Emissions'!$A$230:$D$259,2,FALSE)), $C27 = "0", 0), 0)</f>
        <v>0</v>
      </c>
      <c r="BL27" s="45">
        <f>IFERROR(_xlfn.IFS($C27="1",('Inputs-System'!$C$30*'Coincidence Factors'!$B$9*(1+'Inputs-System'!$C$18)*(1+'Inputs-System'!$C$41)*('Inputs-Proposals'!$F$17*'Inputs-Proposals'!$F$19*(1-'Inputs-Proposals'!$F$20^(BL$3-'Inputs-System'!$C$7)))*(VLOOKUP(BL$3,Energy!$A$51:$K$83,5,FALSE))), $C27 = "2",('Inputs-System'!$C$30*'Coincidence Factors'!$B$9)*(1+'Inputs-System'!$C$18)*(1+'Inputs-System'!$C$41)*('Inputs-Proposals'!$F$23*'Inputs-Proposals'!$F$25*(1-'Inputs-Proposals'!$F$26^(BL$3-'Inputs-System'!$C$7)))*(VLOOKUP(BL$3,Energy!$A$51:$K$83,5,FALSE)), $C27= "3", ('Inputs-System'!$C$30*'Coincidence Factors'!$B$9*(1+'Inputs-System'!$C$18)*(1+'Inputs-System'!$C$41)*('Inputs-Proposals'!$F$29*'Inputs-Proposals'!$F$31*(1-'Inputs-Proposals'!$F$32^(BL$3-'Inputs-System'!$C$7)))*(VLOOKUP(BL$3,Energy!$A$51:$K$83,5,FALSE))), $C27= "0", 0), 0)</f>
        <v>0</v>
      </c>
      <c r="BM27" s="44">
        <f>IFERROR(_xlfn.IFS($C27="1",('Inputs-System'!$C$30*'Coincidence Factors'!$B$9*(1+'Inputs-System'!$C$18)*(1+'Inputs-System'!$C$41))*'Inputs-Proposals'!$F$17*'Inputs-Proposals'!$F$19*(1-'Inputs-Proposals'!$F$20^(BL$3-'Inputs-System'!$C$7))*(VLOOKUP(BL$3,'Embedded Emissions'!$A$47:$B$78,2,FALSE)+VLOOKUP(BL$3,'Embedded Emissions'!$A$129:$B$158,2,FALSE)), $C27 = "2",('Inputs-System'!$C$30*'Coincidence Factors'!$B$9*(1+'Inputs-System'!$C$18)*(1+'Inputs-System'!$C$41))*'Inputs-Proposals'!$F$23*'Inputs-Proposals'!$F$25*(1-'Inputs-Proposals'!$F$20^(BL$3-'Inputs-System'!$C$7))*(VLOOKUP(BL$3,'Embedded Emissions'!$A$47:$B$78,2,FALSE)+VLOOKUP(BL$3,'Embedded Emissions'!$A$129:$B$158,2,FALSE)), $C27 = "3", ('Inputs-System'!$C$30*'Coincidence Factors'!$B$9*(1+'Inputs-System'!$C$18)*(1+'Inputs-System'!$C$41))*'Inputs-Proposals'!$F$29*'Inputs-Proposals'!$F$31*(1-'Inputs-Proposals'!$F$20^(BL$3-'Inputs-System'!$C$7))*(VLOOKUP(BL$3,'Embedded Emissions'!$A$47:$B$78,2,FALSE)+VLOOKUP(BL$3,'Embedded Emissions'!$A$129:$B$158,2,FALSE)), $C27 = "0", 0), 0)</f>
        <v>0</v>
      </c>
      <c r="BN27" s="44">
        <f>IFERROR(_xlfn.IFS($C27="1",( 'Inputs-System'!$C$30*'Coincidence Factors'!$B$6*(1+'Inputs-System'!$C$18)*(1+'Inputs-System'!$C$41))*('Inputs-Proposals'!$F$17*'Inputs-Proposals'!$F$19*(1-'Inputs-Proposals'!$F$20)^(BL$3-'Inputs-System'!$C$7))*(VLOOKUP(BL$3,DRIPE!$A$54:$I$82,5,FALSE)+VLOOKUP(BL$3,DRIPE!$A$54:$I$82,9,FALSE))+ ('Inputs-System'!$C$26*'Coincidence Factors'!$B$6*(1+'Inputs-System'!$C$18)*(1+'Inputs-System'!$C$42))*'Inputs-Proposals'!$F$16*VLOOKUP(BL$3,DRIPE!$A$54:$I$82,8,FALSE), $C27 = "2",( 'Inputs-System'!$C$30*'Coincidence Factors'!$B$6*(1+'Inputs-System'!$C$18)*(1+'Inputs-System'!$C$41))*('Inputs-Proposals'!$F$23*'Inputs-Proposals'!$F$25*(1-'Inputs-Proposals'!$F$26)^(BL$3-'Inputs-System'!$C$7))*(VLOOKUP(BL$3,DRIPE!$A$54:$I$82,5,FALSE)+VLOOKUP(BL$3,DRIPE!$A$54:$I$82,9,FALSE))+ ('Inputs-System'!$C$26*'Coincidence Factors'!$B$6*(1+'Inputs-System'!$C$18)*(1+'Inputs-System'!$C$42))*'Inputs-Proposals'!$F$22*VLOOKUP(BL$3,DRIPE!$A$54:$I$82,8,FALSE), $C27= "3", ( 'Inputs-System'!$C$30*'Coincidence Factors'!$B$6*(1+'Inputs-System'!$C$18)*(1+'Inputs-System'!$C$41))*('Inputs-Proposals'!$F$29*'Inputs-Proposals'!$F$31*(1-'Inputs-Proposals'!$F$32)^(BL$3-'Inputs-System'!$C$7))*(VLOOKUP(BL$3,DRIPE!$A$54:$I$82,5,FALSE)+VLOOKUP(BL$3,DRIPE!$A$54:$I$82,9,FALSE))+ ('Inputs-System'!$C$26*'Coincidence Factors'!$B$6*(1+'Inputs-System'!$C$18)*(1+'Inputs-System'!$C$42))*'Inputs-Proposals'!$F$28*VLOOKUP(BL$3,DRIPE!$A$54:$I$82,8,FALSE), $C27 = "0", 0), 0)</f>
        <v>0</v>
      </c>
      <c r="BO27" s="45">
        <f>IFERROR(_xlfn.IFS($C27="1",('Inputs-System'!$C$26*'Coincidence Factors'!$B$5*(1+'Inputs-System'!$C$18)*(1+'Inputs-System'!$C$42))*'Inputs-Proposals'!$D$16*(VLOOKUP(BL$3,Capacity!$A$53:$E$85,4,FALSE)*(1+'Inputs-System'!$C$42)+VLOOKUP(BL$3,Capacity!$A$53:$E$85,5,FALSE)*(1+'Inputs-System'!$C$43)*'Inputs-System'!$C$29), $C27 = "2", ('Inputs-System'!$C$26*'Coincidence Factors'!$B$5*(1+'Inputs-System'!$C$18))*'Inputs-Proposals'!$D$22*(VLOOKUP(BL$3,Capacity!$A$53:$E$85,4,FALSE)*(1+'Inputs-System'!$C$42)+VLOOKUP(BL$3,Capacity!$A$53:$E$85,5,FALSE)*'Inputs-System'!$C$29*(1+'Inputs-System'!$C$43)), $C27 = "3", ('Inputs-System'!$C$26*'Coincidence Factors'!$B$5*(1+'Inputs-System'!$C$18))*'Inputs-Proposals'!$D$28*(VLOOKUP(BL$3,Capacity!$A$53:$E$85,4,FALSE)*(1+'Inputs-System'!$C$42)+VLOOKUP(BL$3,Capacity!$A$53:$E$85,5,FALSE)*'Inputs-System'!$C$29*(1+'Inputs-System'!$C$43)), $C27 = "0", 0), 0)</f>
        <v>0</v>
      </c>
      <c r="BP27" s="44">
        <v>0</v>
      </c>
      <c r="BQ27" s="342">
        <f>IFERROR(_xlfn.IFS($C27="1", 'Inputs-System'!$C$30*'Coincidence Factors'!$B$9*'Inputs-Proposals'!$F$17*'Inputs-Proposals'!$F$19*(VLOOKUP(BL$3,'Non-Embedded Emissions'!$A$56:$D$90,2,FALSE)-VLOOKUP(BL$3,'Non-Embedded Emissions'!$F$57:$H$88,2,FALSE)+VLOOKUP(BL$3,'Non-Embedded Emissions'!$A$143:$D$174,2,FALSE)-VLOOKUP(BL$3,'Non-Embedded Emissions'!$F$143:$H$174,2,FALSE)+VLOOKUP(BL$3,'Non-Embedded Emissions'!$A$230:$D$259,2,FALSE)), $C27 = "2", 'Inputs-System'!$C$30*'Coincidence Factors'!$B$9*'Inputs-Proposals'!$F$23*'Inputs-Proposals'!$F$25*(VLOOKUP(BL$3,'Non-Embedded Emissions'!$A$56:$D$90,2,FALSE)-VLOOKUP(BL$3,'Non-Embedded Emissions'!$F$57:$H$88,2,FALSE)+VLOOKUP(BL$3,'Non-Embedded Emissions'!$A$143:$D$174,2,FALSE)-VLOOKUP(BL$3,'Non-Embedded Emissions'!$F$143:$H$174,2,FALSE)+VLOOKUP(BL$3,'Non-Embedded Emissions'!$A$230:$D$259,2,FALSE)), $C27 = "3", 'Inputs-System'!$C$30*'Coincidence Factors'!$B$9*'Inputs-Proposals'!$F$29*'Inputs-Proposals'!$F$31*(VLOOKUP(BL$3,'Non-Embedded Emissions'!$A$56:$D$90,2,FALSE)-VLOOKUP(BL$3,'Non-Embedded Emissions'!$F$57:$H$88,2,FALSE)+VLOOKUP(BL$3,'Non-Embedded Emissions'!$A$143:$D$174,2,FALSE)-VLOOKUP(BL$3,'Non-Embedded Emissions'!$F$143:$H$174,2,FALSE)+VLOOKUP(BL$3,'Non-Embedded Emissions'!$A$230:$D$259,2,FALSE)), $C27 = "0", 0), 0)</f>
        <v>0</v>
      </c>
      <c r="BR27" s="45">
        <f>IFERROR(_xlfn.IFS($C27="1",('Inputs-System'!$C$30*'Coincidence Factors'!$B$9*(1+'Inputs-System'!$C$18)*(1+'Inputs-System'!$C$41)*('Inputs-Proposals'!$F$17*'Inputs-Proposals'!$F$19*(1-'Inputs-Proposals'!$F$20^(BR$3-'Inputs-System'!$C$7)))*(VLOOKUP(BR$3,Energy!$A$51:$K$83,5,FALSE))), $C27 = "2",('Inputs-System'!$C$30*'Coincidence Factors'!$B$9)*(1+'Inputs-System'!$C$18)*(1+'Inputs-System'!$C$41)*('Inputs-Proposals'!$F$23*'Inputs-Proposals'!$F$25*(1-'Inputs-Proposals'!$F$26^(BR$3-'Inputs-System'!$C$7)))*(VLOOKUP(BR$3,Energy!$A$51:$K$83,5,FALSE)), $C27= "3", ('Inputs-System'!$C$30*'Coincidence Factors'!$B$9*(1+'Inputs-System'!$C$18)*(1+'Inputs-System'!$C$41)*('Inputs-Proposals'!$F$29*'Inputs-Proposals'!$F$31*(1-'Inputs-Proposals'!$F$32^(BR$3-'Inputs-System'!$C$7)))*(VLOOKUP(BR$3,Energy!$A$51:$K$83,5,FALSE))), $C27= "0", 0), 0)</f>
        <v>0</v>
      </c>
      <c r="BS27" s="44">
        <f>IFERROR(_xlfn.IFS($C27="1",('Inputs-System'!$C$30*'Coincidence Factors'!$B$9*(1+'Inputs-System'!$C$18)*(1+'Inputs-System'!$C$41))*'Inputs-Proposals'!$F$17*'Inputs-Proposals'!$F$19*(1-'Inputs-Proposals'!$F$20^(BR$3-'Inputs-System'!$C$7))*(VLOOKUP(BR$3,'Embedded Emissions'!$A$47:$B$78,2,FALSE)+VLOOKUP(BR$3,'Embedded Emissions'!$A$129:$B$158,2,FALSE)), $C27 = "2",('Inputs-System'!$C$30*'Coincidence Factors'!$B$9*(1+'Inputs-System'!$C$18)*(1+'Inputs-System'!$C$41))*'Inputs-Proposals'!$F$23*'Inputs-Proposals'!$F$25*(1-'Inputs-Proposals'!$F$20^(BR$3-'Inputs-System'!$C$7))*(VLOOKUP(BR$3,'Embedded Emissions'!$A$47:$B$78,2,FALSE)+VLOOKUP(BR$3,'Embedded Emissions'!$A$129:$B$158,2,FALSE)), $C27 = "3", ('Inputs-System'!$C$30*'Coincidence Factors'!$B$9*(1+'Inputs-System'!$C$18)*(1+'Inputs-System'!$C$41))*'Inputs-Proposals'!$F$29*'Inputs-Proposals'!$F$31*(1-'Inputs-Proposals'!$F$20^(BR$3-'Inputs-System'!$C$7))*(VLOOKUP(BR$3,'Embedded Emissions'!$A$47:$B$78,2,FALSE)+VLOOKUP(BR$3,'Embedded Emissions'!$A$129:$B$158,2,FALSE)), $C27 = "0", 0), 0)</f>
        <v>0</v>
      </c>
      <c r="BT27" s="44">
        <f>IFERROR(_xlfn.IFS($C27="1",( 'Inputs-System'!$C$30*'Coincidence Factors'!$B$6*(1+'Inputs-System'!$C$18)*(1+'Inputs-System'!$C$41))*('Inputs-Proposals'!$F$17*'Inputs-Proposals'!$F$19*(1-'Inputs-Proposals'!$F$20)^(BR$3-'Inputs-System'!$C$7))*(VLOOKUP(BR$3,DRIPE!$A$54:$I$82,5,FALSE)+VLOOKUP(BR$3,DRIPE!$A$54:$I$82,9,FALSE))+ ('Inputs-System'!$C$26*'Coincidence Factors'!$B$6*(1+'Inputs-System'!$C$18)*(1+'Inputs-System'!$C$42))*'Inputs-Proposals'!$F$16*VLOOKUP(BR$3,DRIPE!$A$54:$I$82,8,FALSE), $C27 = "2",( 'Inputs-System'!$C$30*'Coincidence Factors'!$B$6*(1+'Inputs-System'!$C$18)*(1+'Inputs-System'!$C$41))*('Inputs-Proposals'!$F$23*'Inputs-Proposals'!$F$25*(1-'Inputs-Proposals'!$F$26)^(BR$3-'Inputs-System'!$C$7))*(VLOOKUP(BR$3,DRIPE!$A$54:$I$82,5,FALSE)+VLOOKUP(BR$3,DRIPE!$A$54:$I$82,9,FALSE))+ ('Inputs-System'!$C$26*'Coincidence Factors'!$B$6*(1+'Inputs-System'!$C$18)*(1+'Inputs-System'!$C$42))*'Inputs-Proposals'!$F$22*VLOOKUP(BR$3,DRIPE!$A$54:$I$82,8,FALSE), $C27= "3", ( 'Inputs-System'!$C$30*'Coincidence Factors'!$B$6*(1+'Inputs-System'!$C$18)*(1+'Inputs-System'!$C$41))*('Inputs-Proposals'!$F$29*'Inputs-Proposals'!$F$31*(1-'Inputs-Proposals'!$F$32)^(BR$3-'Inputs-System'!$C$7))*(VLOOKUP(BR$3,DRIPE!$A$54:$I$82,5,FALSE)+VLOOKUP(BR$3,DRIPE!$A$54:$I$82,9,FALSE))+ ('Inputs-System'!$C$26*'Coincidence Factors'!$B$6*(1+'Inputs-System'!$C$18)*(1+'Inputs-System'!$C$42))*'Inputs-Proposals'!$F$28*VLOOKUP(BR$3,DRIPE!$A$54:$I$82,8,FALSE), $C27 = "0", 0), 0)</f>
        <v>0</v>
      </c>
      <c r="BU27" s="45">
        <f>IFERROR(_xlfn.IFS($C27="1",('Inputs-System'!$C$26*'Coincidence Factors'!$B$5*(1+'Inputs-System'!$C$18)*(1+'Inputs-System'!$C$42))*'Inputs-Proposals'!$D$16*(VLOOKUP(BR$3,Capacity!$A$53:$E$85,4,FALSE)*(1+'Inputs-System'!$C$42)+VLOOKUP(BR$3,Capacity!$A$53:$E$85,5,FALSE)*(1+'Inputs-System'!$C$43)*'Inputs-System'!$C$29), $C27 = "2", ('Inputs-System'!$C$26*'Coincidence Factors'!$B$5*(1+'Inputs-System'!$C$18))*'Inputs-Proposals'!$D$22*(VLOOKUP(BR$3,Capacity!$A$53:$E$85,4,FALSE)*(1+'Inputs-System'!$C$42)+VLOOKUP(BR$3,Capacity!$A$53:$E$85,5,FALSE)*'Inputs-System'!$C$29*(1+'Inputs-System'!$C$43)), $C27 = "3", ('Inputs-System'!$C$26*'Coincidence Factors'!$B$5*(1+'Inputs-System'!$C$18))*'Inputs-Proposals'!$D$28*(VLOOKUP(BR$3,Capacity!$A$53:$E$85,4,FALSE)*(1+'Inputs-System'!$C$42)+VLOOKUP(BR$3,Capacity!$A$53:$E$85,5,FALSE)*'Inputs-System'!$C$29*(1+'Inputs-System'!$C$43)), $C27 = "0", 0), 0)</f>
        <v>0</v>
      </c>
      <c r="BV27" s="44">
        <v>0</v>
      </c>
      <c r="BW27" s="342">
        <f>IFERROR(_xlfn.IFS($C27="1", 'Inputs-System'!$C$30*'Coincidence Factors'!$B$9*'Inputs-Proposals'!$F$17*'Inputs-Proposals'!$F$19*(VLOOKUP(BR$3,'Non-Embedded Emissions'!$A$56:$D$90,2,FALSE)-VLOOKUP(BR$3,'Non-Embedded Emissions'!$F$57:$H$88,2,FALSE)+VLOOKUP(BR$3,'Non-Embedded Emissions'!$A$143:$D$174,2,FALSE)-VLOOKUP(BR$3,'Non-Embedded Emissions'!$F$143:$H$174,2,FALSE)+VLOOKUP(BR$3,'Non-Embedded Emissions'!$A$230:$D$259,2,FALSE)), $C27 = "2", 'Inputs-System'!$C$30*'Coincidence Factors'!$B$9*'Inputs-Proposals'!$F$23*'Inputs-Proposals'!$F$25*(VLOOKUP(BR$3,'Non-Embedded Emissions'!$A$56:$D$90,2,FALSE)-VLOOKUP(BR$3,'Non-Embedded Emissions'!$F$57:$H$88,2,FALSE)+VLOOKUP(BR$3,'Non-Embedded Emissions'!$A$143:$D$174,2,FALSE)-VLOOKUP(BR$3,'Non-Embedded Emissions'!$F$143:$H$174,2,FALSE)+VLOOKUP(BR$3,'Non-Embedded Emissions'!$A$230:$D$259,2,FALSE)), $C27 = "3", 'Inputs-System'!$C$30*'Coincidence Factors'!$B$9*'Inputs-Proposals'!$F$29*'Inputs-Proposals'!$F$31*(VLOOKUP(BR$3,'Non-Embedded Emissions'!$A$56:$D$90,2,FALSE)-VLOOKUP(BR$3,'Non-Embedded Emissions'!$F$57:$H$88,2,FALSE)+VLOOKUP(BR$3,'Non-Embedded Emissions'!$A$143:$D$174,2,FALSE)-VLOOKUP(BR$3,'Non-Embedded Emissions'!$F$143:$H$174,2,FALSE)+VLOOKUP(BR$3,'Non-Embedded Emissions'!$A$230:$D$259,2,FALSE)), $C27 = "0", 0), 0)</f>
        <v>0</v>
      </c>
      <c r="BX27" s="45">
        <f>IFERROR(_xlfn.IFS($C27="1",('Inputs-System'!$C$30*'Coincidence Factors'!$B$9*(1+'Inputs-System'!$C$18)*(1+'Inputs-System'!$C$41)*('Inputs-Proposals'!$F$17*'Inputs-Proposals'!$F$19*(1-'Inputs-Proposals'!$F$20^(BX$3-'Inputs-System'!$C$7)))*(VLOOKUP(BX$3,Energy!$A$51:$K$83,5,FALSE))), $C27 = "2",('Inputs-System'!$C$30*'Coincidence Factors'!$B$9)*(1+'Inputs-System'!$C$18)*(1+'Inputs-System'!$C$41)*('Inputs-Proposals'!$F$23*'Inputs-Proposals'!$F$25*(1-'Inputs-Proposals'!$F$26^(BX$3-'Inputs-System'!$C$7)))*(VLOOKUP(BX$3,Energy!$A$51:$K$83,5,FALSE)), $C27= "3", ('Inputs-System'!$C$30*'Coincidence Factors'!$B$9*(1+'Inputs-System'!$C$18)*(1+'Inputs-System'!$C$41)*('Inputs-Proposals'!$F$29*'Inputs-Proposals'!$F$31*(1-'Inputs-Proposals'!$F$32^(BX$3-'Inputs-System'!$C$7)))*(VLOOKUP(BX$3,Energy!$A$51:$K$83,5,FALSE))), $C27= "0", 0), 0)</f>
        <v>0</v>
      </c>
      <c r="BY27" s="44">
        <f>IFERROR(_xlfn.IFS($C27="1",('Inputs-System'!$C$30*'Coincidence Factors'!$B$9*(1+'Inputs-System'!$C$18)*(1+'Inputs-System'!$C$41))*'Inputs-Proposals'!$F$17*'Inputs-Proposals'!$F$19*(1-'Inputs-Proposals'!$F$20^(BX$3-'Inputs-System'!$C$7))*(VLOOKUP(BX$3,'Embedded Emissions'!$A$47:$B$78,2,FALSE)+VLOOKUP(BX$3,'Embedded Emissions'!$A$129:$B$158,2,FALSE)), $C27 = "2",('Inputs-System'!$C$30*'Coincidence Factors'!$B$9*(1+'Inputs-System'!$C$18)*(1+'Inputs-System'!$C$41))*'Inputs-Proposals'!$F$23*'Inputs-Proposals'!$F$25*(1-'Inputs-Proposals'!$F$20^(BX$3-'Inputs-System'!$C$7))*(VLOOKUP(BX$3,'Embedded Emissions'!$A$47:$B$78,2,FALSE)+VLOOKUP(BX$3,'Embedded Emissions'!$A$129:$B$158,2,FALSE)), $C27 = "3", ('Inputs-System'!$C$30*'Coincidence Factors'!$B$9*(1+'Inputs-System'!$C$18)*(1+'Inputs-System'!$C$41))*'Inputs-Proposals'!$F$29*'Inputs-Proposals'!$F$31*(1-'Inputs-Proposals'!$F$20^(BX$3-'Inputs-System'!$C$7))*(VLOOKUP(BX$3,'Embedded Emissions'!$A$47:$B$78,2,FALSE)+VLOOKUP(BX$3,'Embedded Emissions'!$A$129:$B$158,2,FALSE)), $C27 = "0", 0), 0)</f>
        <v>0</v>
      </c>
      <c r="BZ27" s="44">
        <f>IFERROR(_xlfn.IFS($C27="1",( 'Inputs-System'!$C$30*'Coincidence Factors'!$B$6*(1+'Inputs-System'!$C$18)*(1+'Inputs-System'!$C$41))*('Inputs-Proposals'!$F$17*'Inputs-Proposals'!$F$19*(1-'Inputs-Proposals'!$F$20)^(BX$3-'Inputs-System'!$C$7))*(VLOOKUP(BX$3,DRIPE!$A$54:$I$82,5,FALSE)+VLOOKUP(BX$3,DRIPE!$A$54:$I$82,9,FALSE))+ ('Inputs-System'!$C$26*'Coincidence Factors'!$B$6*(1+'Inputs-System'!$C$18)*(1+'Inputs-System'!$C$42))*'Inputs-Proposals'!$F$16*VLOOKUP(BX$3,DRIPE!$A$54:$I$82,8,FALSE), $C27 = "2",( 'Inputs-System'!$C$30*'Coincidence Factors'!$B$6*(1+'Inputs-System'!$C$18)*(1+'Inputs-System'!$C$41))*('Inputs-Proposals'!$F$23*'Inputs-Proposals'!$F$25*(1-'Inputs-Proposals'!$F$26)^(BX$3-'Inputs-System'!$C$7))*(VLOOKUP(BX$3,DRIPE!$A$54:$I$82,5,FALSE)+VLOOKUP(BX$3,DRIPE!$A$54:$I$82,9,FALSE))+ ('Inputs-System'!$C$26*'Coincidence Factors'!$B$6*(1+'Inputs-System'!$C$18)*(1+'Inputs-System'!$C$42))*'Inputs-Proposals'!$F$22*VLOOKUP(BX$3,DRIPE!$A$54:$I$82,8,FALSE), $C27= "3", ( 'Inputs-System'!$C$30*'Coincidence Factors'!$B$6*(1+'Inputs-System'!$C$18)*(1+'Inputs-System'!$C$41))*('Inputs-Proposals'!$F$29*'Inputs-Proposals'!$F$31*(1-'Inputs-Proposals'!$F$32)^(BX$3-'Inputs-System'!$C$7))*(VLOOKUP(BX$3,DRIPE!$A$54:$I$82,5,FALSE)+VLOOKUP(BX$3,DRIPE!$A$54:$I$82,9,FALSE))+ ('Inputs-System'!$C$26*'Coincidence Factors'!$B$6*(1+'Inputs-System'!$C$18)*(1+'Inputs-System'!$C$42))*'Inputs-Proposals'!$F$28*VLOOKUP(BX$3,DRIPE!$A$54:$I$82,8,FALSE), $C27 = "0", 0), 0)</f>
        <v>0</v>
      </c>
      <c r="CA27" s="45">
        <f>IFERROR(_xlfn.IFS($C27="1",('Inputs-System'!$C$26*'Coincidence Factors'!$B$5*(1+'Inputs-System'!$C$18)*(1+'Inputs-System'!$C$42))*'Inputs-Proposals'!$D$16*(VLOOKUP(BX$3,Capacity!$A$53:$E$85,4,FALSE)*(1+'Inputs-System'!$C$42)+VLOOKUP(BX$3,Capacity!$A$53:$E$85,5,FALSE)*(1+'Inputs-System'!$C$43)*'Inputs-System'!$C$29), $C27 = "2", ('Inputs-System'!$C$26*'Coincidence Factors'!$B$5*(1+'Inputs-System'!$C$18))*'Inputs-Proposals'!$D$22*(VLOOKUP(BX$3,Capacity!$A$53:$E$85,4,FALSE)*(1+'Inputs-System'!$C$42)+VLOOKUP(BX$3,Capacity!$A$53:$E$85,5,FALSE)*'Inputs-System'!$C$29*(1+'Inputs-System'!$C$43)), $C27 = "3", ('Inputs-System'!$C$26*'Coincidence Factors'!$B$5*(1+'Inputs-System'!$C$18))*'Inputs-Proposals'!$D$28*(VLOOKUP(BX$3,Capacity!$A$53:$E$85,4,FALSE)*(1+'Inputs-System'!$C$42)+VLOOKUP(BX$3,Capacity!$A$53:$E$85,5,FALSE)*'Inputs-System'!$C$29*(1+'Inputs-System'!$C$43)), $C27 = "0", 0), 0)</f>
        <v>0</v>
      </c>
      <c r="CB27" s="44">
        <v>0</v>
      </c>
      <c r="CC27" s="342">
        <f>IFERROR(_xlfn.IFS($C27="1", 'Inputs-System'!$C$30*'Coincidence Factors'!$B$9*'Inputs-Proposals'!$F$17*'Inputs-Proposals'!$F$19*(VLOOKUP(BX$3,'Non-Embedded Emissions'!$A$56:$D$90,2,FALSE)-VLOOKUP(BX$3,'Non-Embedded Emissions'!$F$57:$H$88,2,FALSE)+VLOOKUP(BX$3,'Non-Embedded Emissions'!$A$143:$D$174,2,FALSE)-VLOOKUP(BX$3,'Non-Embedded Emissions'!$F$143:$H$174,2,FALSE)+VLOOKUP(BX$3,'Non-Embedded Emissions'!$A$230:$D$259,2,FALSE)), $C27 = "2", 'Inputs-System'!$C$30*'Coincidence Factors'!$B$9*'Inputs-Proposals'!$F$23*'Inputs-Proposals'!$F$25*(VLOOKUP(BX$3,'Non-Embedded Emissions'!$A$56:$D$90,2,FALSE)-VLOOKUP(BX$3,'Non-Embedded Emissions'!$F$57:$H$88,2,FALSE)+VLOOKUP(BX$3,'Non-Embedded Emissions'!$A$143:$D$174,2,FALSE)-VLOOKUP(BX$3,'Non-Embedded Emissions'!$F$143:$H$174,2,FALSE)+VLOOKUP(BX$3,'Non-Embedded Emissions'!$A$230:$D$259,2,FALSE)), $C27 = "3", 'Inputs-System'!$C$30*'Coincidence Factors'!$B$9*'Inputs-Proposals'!$F$29*'Inputs-Proposals'!$F$31*(VLOOKUP(BX$3,'Non-Embedded Emissions'!$A$56:$D$90,2,FALSE)-VLOOKUP(BX$3,'Non-Embedded Emissions'!$F$57:$H$88,2,FALSE)+VLOOKUP(BX$3,'Non-Embedded Emissions'!$A$143:$D$174,2,FALSE)-VLOOKUP(BX$3,'Non-Embedded Emissions'!$F$143:$H$174,2,FALSE)+VLOOKUP(BX$3,'Non-Embedded Emissions'!$A$230:$D$259,2,FALSE)), $C27 = "0", 0), 0)</f>
        <v>0</v>
      </c>
      <c r="CD27" s="45">
        <f>IFERROR(_xlfn.IFS($C27="1",('Inputs-System'!$C$30*'Coincidence Factors'!$B$9*(1+'Inputs-System'!$C$18)*(1+'Inputs-System'!$C$41)*('Inputs-Proposals'!$F$17*'Inputs-Proposals'!$F$19*(1-'Inputs-Proposals'!$F$20^(CD$3-'Inputs-System'!$C$7)))*(VLOOKUP(CD$3,Energy!$A$51:$K$83,5,FALSE))), $C27 = "2",('Inputs-System'!$C$30*'Coincidence Factors'!$B$9)*(1+'Inputs-System'!$C$18)*(1+'Inputs-System'!$C$41)*('Inputs-Proposals'!$F$23*'Inputs-Proposals'!$F$25*(1-'Inputs-Proposals'!$F$26^(CD$3-'Inputs-System'!$C$7)))*(VLOOKUP(CD$3,Energy!$A$51:$K$83,5,FALSE)), $C27= "3", ('Inputs-System'!$C$30*'Coincidence Factors'!$B$9*(1+'Inputs-System'!$C$18)*(1+'Inputs-System'!$C$41)*('Inputs-Proposals'!$F$29*'Inputs-Proposals'!$F$31*(1-'Inputs-Proposals'!$F$32^(CD$3-'Inputs-System'!$C$7)))*(VLOOKUP(CD$3,Energy!$A$51:$K$83,5,FALSE))), $C27= "0", 0), 0)</f>
        <v>0</v>
      </c>
      <c r="CE27" s="44">
        <f>IFERROR(_xlfn.IFS($C27="1",('Inputs-System'!$C$30*'Coincidence Factors'!$B$9*(1+'Inputs-System'!$C$18)*(1+'Inputs-System'!$C$41))*'Inputs-Proposals'!$F$17*'Inputs-Proposals'!$F$19*(1-'Inputs-Proposals'!$F$20^(CD$3-'Inputs-System'!$C$7))*(VLOOKUP(CD$3,'Embedded Emissions'!$A$47:$B$78,2,FALSE)+VLOOKUP(CD$3,'Embedded Emissions'!$A$129:$B$158,2,FALSE)), $C27 = "2",('Inputs-System'!$C$30*'Coincidence Factors'!$B$9*(1+'Inputs-System'!$C$18)*(1+'Inputs-System'!$C$41))*'Inputs-Proposals'!$F$23*'Inputs-Proposals'!$F$25*(1-'Inputs-Proposals'!$F$20^(CD$3-'Inputs-System'!$C$7))*(VLOOKUP(CD$3,'Embedded Emissions'!$A$47:$B$78,2,FALSE)+VLOOKUP(CD$3,'Embedded Emissions'!$A$129:$B$158,2,FALSE)), $C27 = "3", ('Inputs-System'!$C$30*'Coincidence Factors'!$B$9*(1+'Inputs-System'!$C$18)*(1+'Inputs-System'!$C$41))*'Inputs-Proposals'!$F$29*'Inputs-Proposals'!$F$31*(1-'Inputs-Proposals'!$F$20^(CD$3-'Inputs-System'!$C$7))*(VLOOKUP(CD$3,'Embedded Emissions'!$A$47:$B$78,2,FALSE)+VLOOKUP(CD$3,'Embedded Emissions'!$A$129:$B$158,2,FALSE)), $C27 = "0", 0), 0)</f>
        <v>0</v>
      </c>
      <c r="CF27" s="44">
        <f>IFERROR(_xlfn.IFS($C27="1",( 'Inputs-System'!$C$30*'Coincidence Factors'!$B$6*(1+'Inputs-System'!$C$18)*(1+'Inputs-System'!$C$41))*('Inputs-Proposals'!$F$17*'Inputs-Proposals'!$F$19*(1-'Inputs-Proposals'!$F$20)^(CD$3-'Inputs-System'!$C$7))*(VLOOKUP(CD$3,DRIPE!$A$54:$I$82,5,FALSE)+VLOOKUP(CD$3,DRIPE!$A$54:$I$82,9,FALSE))+ ('Inputs-System'!$C$26*'Coincidence Factors'!$B$6*(1+'Inputs-System'!$C$18)*(1+'Inputs-System'!$C$42))*'Inputs-Proposals'!$F$16*VLOOKUP(CD$3,DRIPE!$A$54:$I$82,8,FALSE), $C27 = "2",( 'Inputs-System'!$C$30*'Coincidence Factors'!$B$6*(1+'Inputs-System'!$C$18)*(1+'Inputs-System'!$C$41))*('Inputs-Proposals'!$F$23*'Inputs-Proposals'!$F$25*(1-'Inputs-Proposals'!$F$26)^(CD$3-'Inputs-System'!$C$7))*(VLOOKUP(CD$3,DRIPE!$A$54:$I$82,5,FALSE)+VLOOKUP(CD$3,DRIPE!$A$54:$I$82,9,FALSE))+ ('Inputs-System'!$C$26*'Coincidence Factors'!$B$6*(1+'Inputs-System'!$C$18)*(1+'Inputs-System'!$C$42))*'Inputs-Proposals'!$F$22*VLOOKUP(CD$3,DRIPE!$A$54:$I$82,8,FALSE), $C27= "3", ( 'Inputs-System'!$C$30*'Coincidence Factors'!$B$6*(1+'Inputs-System'!$C$18)*(1+'Inputs-System'!$C$41))*('Inputs-Proposals'!$F$29*'Inputs-Proposals'!$F$31*(1-'Inputs-Proposals'!$F$32)^(CD$3-'Inputs-System'!$C$7))*(VLOOKUP(CD$3,DRIPE!$A$54:$I$82,5,FALSE)+VLOOKUP(CD$3,DRIPE!$A$54:$I$82,9,FALSE))+ ('Inputs-System'!$C$26*'Coincidence Factors'!$B$6*(1+'Inputs-System'!$C$18)*(1+'Inputs-System'!$C$42))*'Inputs-Proposals'!$F$28*VLOOKUP(CD$3,DRIPE!$A$54:$I$82,8,FALSE), $C27 = "0", 0), 0)</f>
        <v>0</v>
      </c>
      <c r="CG27" s="45">
        <f>IFERROR(_xlfn.IFS($C27="1",('Inputs-System'!$C$26*'Coincidence Factors'!$B$5*(1+'Inputs-System'!$C$18)*(1+'Inputs-System'!$C$42))*'Inputs-Proposals'!$D$16*(VLOOKUP(CD$3,Capacity!$A$53:$E$85,4,FALSE)*(1+'Inputs-System'!$C$42)+VLOOKUP(CD$3,Capacity!$A$53:$E$85,5,FALSE)*(1+'Inputs-System'!$C$43)*'Inputs-System'!$C$29), $C27 = "2", ('Inputs-System'!$C$26*'Coincidence Factors'!$B$5*(1+'Inputs-System'!$C$18))*'Inputs-Proposals'!$D$22*(VLOOKUP(CD$3,Capacity!$A$53:$E$85,4,FALSE)*(1+'Inputs-System'!$C$42)+VLOOKUP(CD$3,Capacity!$A$53:$E$85,5,FALSE)*'Inputs-System'!$C$29*(1+'Inputs-System'!$C$43)), $C27 = "3", ('Inputs-System'!$C$26*'Coincidence Factors'!$B$5*(1+'Inputs-System'!$C$18))*'Inputs-Proposals'!$D$28*(VLOOKUP(CD$3,Capacity!$A$53:$E$85,4,FALSE)*(1+'Inputs-System'!$C$42)+VLOOKUP(CD$3,Capacity!$A$53:$E$85,5,FALSE)*'Inputs-System'!$C$29*(1+'Inputs-System'!$C$43)), $C27 = "0", 0), 0)</f>
        <v>0</v>
      </c>
      <c r="CH27" s="44">
        <v>0</v>
      </c>
      <c r="CI27" s="342">
        <f>IFERROR(_xlfn.IFS($C27="1", 'Inputs-System'!$C$30*'Coincidence Factors'!$B$9*'Inputs-Proposals'!$F$17*'Inputs-Proposals'!$F$19*(VLOOKUP(CD$3,'Non-Embedded Emissions'!$A$56:$D$90,2,FALSE)-VLOOKUP(CD$3,'Non-Embedded Emissions'!$F$57:$H$88,2,FALSE)+VLOOKUP(CD$3,'Non-Embedded Emissions'!$A$143:$D$174,2,FALSE)-VLOOKUP(CD$3,'Non-Embedded Emissions'!$F$143:$H$174,2,FALSE)+VLOOKUP(CD$3,'Non-Embedded Emissions'!$A$230:$D$259,2,FALSE)), $C27 = "2", 'Inputs-System'!$C$30*'Coincidence Factors'!$B$9*'Inputs-Proposals'!$F$23*'Inputs-Proposals'!$F$25*(VLOOKUP(CD$3,'Non-Embedded Emissions'!$A$56:$D$90,2,FALSE)-VLOOKUP(CD$3,'Non-Embedded Emissions'!$F$57:$H$88,2,FALSE)+VLOOKUP(CD$3,'Non-Embedded Emissions'!$A$143:$D$174,2,FALSE)-VLOOKUP(CD$3,'Non-Embedded Emissions'!$F$143:$H$174,2,FALSE)+VLOOKUP(CD$3,'Non-Embedded Emissions'!$A$230:$D$259,2,FALSE)), $C27 = "3", 'Inputs-System'!$C$30*'Coincidence Factors'!$B$9*'Inputs-Proposals'!$F$29*'Inputs-Proposals'!$F$31*(VLOOKUP(CD$3,'Non-Embedded Emissions'!$A$56:$D$90,2,FALSE)-VLOOKUP(CD$3,'Non-Embedded Emissions'!$F$57:$H$88,2,FALSE)+VLOOKUP(CD$3,'Non-Embedded Emissions'!$A$143:$D$174,2,FALSE)-VLOOKUP(CD$3,'Non-Embedded Emissions'!$F$143:$H$174,2,FALSE)+VLOOKUP(CD$3,'Non-Embedded Emissions'!$A$230:$D$259,2,FALSE)), $C27 = "0", 0), 0)</f>
        <v>0</v>
      </c>
      <c r="CJ27" s="45">
        <f>IFERROR(_xlfn.IFS($C27="1",('Inputs-System'!$C$30*'Coincidence Factors'!$B$9*(1+'Inputs-System'!$C$18)*(1+'Inputs-System'!$C$41)*('Inputs-Proposals'!$F$17*'Inputs-Proposals'!$F$19*(1-'Inputs-Proposals'!$F$20^(CJ$3-'Inputs-System'!$C$7)))*(VLOOKUP(CJ$3,Energy!$A$51:$K$83,5,FALSE))), $C27 = "2",('Inputs-System'!$C$30*'Coincidence Factors'!$B$9)*(1+'Inputs-System'!$C$18)*(1+'Inputs-System'!$C$41)*('Inputs-Proposals'!$F$23*'Inputs-Proposals'!$F$25*(1-'Inputs-Proposals'!$F$26^(CJ$3-'Inputs-System'!$C$7)))*(VLOOKUP(CJ$3,Energy!$A$51:$K$83,5,FALSE)), $C27= "3", ('Inputs-System'!$C$30*'Coincidence Factors'!$B$9*(1+'Inputs-System'!$C$18)*(1+'Inputs-System'!$C$41)*('Inputs-Proposals'!$F$29*'Inputs-Proposals'!$F$31*(1-'Inputs-Proposals'!$F$32^(CJ$3-'Inputs-System'!$C$7)))*(VLOOKUP(CJ$3,Energy!$A$51:$K$83,5,FALSE))), $C27= "0", 0), 0)</f>
        <v>0</v>
      </c>
      <c r="CK27" s="44">
        <f>IFERROR(_xlfn.IFS($C27="1",('Inputs-System'!$C$30*'Coincidence Factors'!$B$9*(1+'Inputs-System'!$C$18)*(1+'Inputs-System'!$C$41))*'Inputs-Proposals'!$F$17*'Inputs-Proposals'!$F$19*(1-'Inputs-Proposals'!$F$20^(CJ$3-'Inputs-System'!$C$7))*(VLOOKUP(CJ$3,'Embedded Emissions'!$A$47:$B$78,2,FALSE)+VLOOKUP(CJ$3,'Embedded Emissions'!$A$129:$B$158,2,FALSE)), $C27 = "2",('Inputs-System'!$C$30*'Coincidence Factors'!$B$9*(1+'Inputs-System'!$C$18)*(1+'Inputs-System'!$C$41))*'Inputs-Proposals'!$F$23*'Inputs-Proposals'!$F$25*(1-'Inputs-Proposals'!$F$20^(CJ$3-'Inputs-System'!$C$7))*(VLOOKUP(CJ$3,'Embedded Emissions'!$A$47:$B$78,2,FALSE)+VLOOKUP(CJ$3,'Embedded Emissions'!$A$129:$B$158,2,FALSE)), $C27 = "3", ('Inputs-System'!$C$30*'Coincidence Factors'!$B$9*(1+'Inputs-System'!$C$18)*(1+'Inputs-System'!$C$41))*'Inputs-Proposals'!$F$29*'Inputs-Proposals'!$F$31*(1-'Inputs-Proposals'!$F$20^(CJ$3-'Inputs-System'!$C$7))*(VLOOKUP(CJ$3,'Embedded Emissions'!$A$47:$B$78,2,FALSE)+VLOOKUP(CJ$3,'Embedded Emissions'!$A$129:$B$158,2,FALSE)), $C27 = "0", 0), 0)</f>
        <v>0</v>
      </c>
      <c r="CL27" s="44">
        <f>IFERROR(_xlfn.IFS($C27="1",( 'Inputs-System'!$C$30*'Coincidence Factors'!$B$6*(1+'Inputs-System'!$C$18)*(1+'Inputs-System'!$C$41))*('Inputs-Proposals'!$F$17*'Inputs-Proposals'!$F$19*(1-'Inputs-Proposals'!$F$20)^(CJ$3-'Inputs-System'!$C$7))*(VLOOKUP(CJ$3,DRIPE!$A$54:$I$82,5,FALSE)+VLOOKUP(CJ$3,DRIPE!$A$54:$I$82,9,FALSE))+ ('Inputs-System'!$C$26*'Coincidence Factors'!$B$6*(1+'Inputs-System'!$C$18)*(1+'Inputs-System'!$C$42))*'Inputs-Proposals'!$F$16*VLOOKUP(CJ$3,DRIPE!$A$54:$I$82,8,FALSE), $C27 = "2",( 'Inputs-System'!$C$30*'Coincidence Factors'!$B$6*(1+'Inputs-System'!$C$18)*(1+'Inputs-System'!$C$41))*('Inputs-Proposals'!$F$23*'Inputs-Proposals'!$F$25*(1-'Inputs-Proposals'!$F$26)^(CJ$3-'Inputs-System'!$C$7))*(VLOOKUP(CJ$3,DRIPE!$A$54:$I$82,5,FALSE)+VLOOKUP(CJ$3,DRIPE!$A$54:$I$82,9,FALSE))+ ('Inputs-System'!$C$26*'Coincidence Factors'!$B$6*(1+'Inputs-System'!$C$18)*(1+'Inputs-System'!$C$42))*'Inputs-Proposals'!$F$22*VLOOKUP(CJ$3,DRIPE!$A$54:$I$82,8,FALSE), $C27= "3", ( 'Inputs-System'!$C$30*'Coincidence Factors'!$B$6*(1+'Inputs-System'!$C$18)*(1+'Inputs-System'!$C$41))*('Inputs-Proposals'!$F$29*'Inputs-Proposals'!$F$31*(1-'Inputs-Proposals'!$F$32)^(CJ$3-'Inputs-System'!$C$7))*(VLOOKUP(CJ$3,DRIPE!$A$54:$I$82,5,FALSE)+VLOOKUP(CJ$3,DRIPE!$A$54:$I$82,9,FALSE))+ ('Inputs-System'!$C$26*'Coincidence Factors'!$B$6*(1+'Inputs-System'!$C$18)*(1+'Inputs-System'!$C$42))*'Inputs-Proposals'!$F$28*VLOOKUP(CJ$3,DRIPE!$A$54:$I$82,8,FALSE), $C27 = "0", 0), 0)</f>
        <v>0</v>
      </c>
      <c r="CM27" s="45">
        <f>IFERROR(_xlfn.IFS($C27="1",('Inputs-System'!$C$26*'Coincidence Factors'!$B$5*(1+'Inputs-System'!$C$18)*(1+'Inputs-System'!$C$42))*'Inputs-Proposals'!$D$16*(VLOOKUP(CJ$3,Capacity!$A$53:$E$85,4,FALSE)*(1+'Inputs-System'!$C$42)+VLOOKUP(CJ$3,Capacity!$A$53:$E$85,5,FALSE)*(1+'Inputs-System'!$C$43)*'Inputs-System'!$C$29), $C27 = "2", ('Inputs-System'!$C$26*'Coincidence Factors'!$B$5*(1+'Inputs-System'!$C$18))*'Inputs-Proposals'!$D$22*(VLOOKUP(CJ$3,Capacity!$A$53:$E$85,4,FALSE)*(1+'Inputs-System'!$C$42)+VLOOKUP(CJ$3,Capacity!$A$53:$E$85,5,FALSE)*'Inputs-System'!$C$29*(1+'Inputs-System'!$C$43)), $C27 = "3", ('Inputs-System'!$C$26*'Coincidence Factors'!$B$5*(1+'Inputs-System'!$C$18))*'Inputs-Proposals'!$D$28*(VLOOKUP(CJ$3,Capacity!$A$53:$E$85,4,FALSE)*(1+'Inputs-System'!$C$42)+VLOOKUP(CJ$3,Capacity!$A$53:$E$85,5,FALSE)*'Inputs-System'!$C$29*(1+'Inputs-System'!$C$43)), $C27 = "0", 0), 0)</f>
        <v>0</v>
      </c>
      <c r="CN27" s="44">
        <v>0</v>
      </c>
      <c r="CO27" s="342">
        <f>IFERROR(_xlfn.IFS($C27="1", 'Inputs-System'!$C$30*'Coincidence Factors'!$B$9*'Inputs-Proposals'!$F$17*'Inputs-Proposals'!$F$19*(VLOOKUP(CJ$3,'Non-Embedded Emissions'!$A$56:$D$90,2,FALSE)-VLOOKUP(CJ$3,'Non-Embedded Emissions'!$F$57:$H$88,2,FALSE)+VLOOKUP(CJ$3,'Non-Embedded Emissions'!$A$143:$D$174,2,FALSE)-VLOOKUP(CJ$3,'Non-Embedded Emissions'!$F$143:$H$174,2,FALSE)+VLOOKUP(CJ$3,'Non-Embedded Emissions'!$A$230:$D$259,2,FALSE)), $C27 = "2", 'Inputs-System'!$C$30*'Coincidence Factors'!$B$9*'Inputs-Proposals'!$F$23*'Inputs-Proposals'!$F$25*(VLOOKUP(CJ$3,'Non-Embedded Emissions'!$A$56:$D$90,2,FALSE)-VLOOKUP(CJ$3,'Non-Embedded Emissions'!$F$57:$H$88,2,FALSE)+VLOOKUP(CJ$3,'Non-Embedded Emissions'!$A$143:$D$174,2,FALSE)-VLOOKUP(CJ$3,'Non-Embedded Emissions'!$F$143:$H$174,2,FALSE)+VLOOKUP(CJ$3,'Non-Embedded Emissions'!$A$230:$D$259,2,FALSE)), $C27 = "3", 'Inputs-System'!$C$30*'Coincidence Factors'!$B$9*'Inputs-Proposals'!$F$29*'Inputs-Proposals'!$F$31*(VLOOKUP(CJ$3,'Non-Embedded Emissions'!$A$56:$D$90,2,FALSE)-VLOOKUP(CJ$3,'Non-Embedded Emissions'!$F$57:$H$88,2,FALSE)+VLOOKUP(CJ$3,'Non-Embedded Emissions'!$A$143:$D$174,2,FALSE)-VLOOKUP(CJ$3,'Non-Embedded Emissions'!$F$143:$H$174,2,FALSE)+VLOOKUP(CJ$3,'Non-Embedded Emissions'!$A$230:$D$259,2,FALSE)), $C27 = "0", 0), 0)</f>
        <v>0</v>
      </c>
      <c r="CP27" s="45">
        <f>IFERROR(_xlfn.IFS($C27="1",('Inputs-System'!$C$30*'Coincidence Factors'!$B$9*(1+'Inputs-System'!$C$18)*(1+'Inputs-System'!$C$41)*('Inputs-Proposals'!$F$17*'Inputs-Proposals'!$F$19*(1-'Inputs-Proposals'!$F$20^(CP$3-'Inputs-System'!$C$7)))*(VLOOKUP(CP$3,Energy!$A$51:$K$83,5,FALSE))), $C27 = "2",('Inputs-System'!$C$30*'Coincidence Factors'!$B$9)*(1+'Inputs-System'!$C$18)*(1+'Inputs-System'!$C$41)*('Inputs-Proposals'!$F$23*'Inputs-Proposals'!$F$25*(1-'Inputs-Proposals'!$F$26^(CP$3-'Inputs-System'!$C$7)))*(VLOOKUP(CP$3,Energy!$A$51:$K$83,5,FALSE)), $C27= "3", ('Inputs-System'!$C$30*'Coincidence Factors'!$B$9*(1+'Inputs-System'!$C$18)*(1+'Inputs-System'!$C$41)*('Inputs-Proposals'!$F$29*'Inputs-Proposals'!$F$31*(1-'Inputs-Proposals'!$F$32^(CP$3-'Inputs-System'!$C$7)))*(VLOOKUP(CP$3,Energy!$A$51:$K$83,5,FALSE))), $C27= "0", 0), 0)</f>
        <v>0</v>
      </c>
      <c r="CQ27" s="44">
        <f>IFERROR(_xlfn.IFS($C27="1",('Inputs-System'!$C$30*'Coincidence Factors'!$B$9*(1+'Inputs-System'!$C$18)*(1+'Inputs-System'!$C$41))*'Inputs-Proposals'!$F$17*'Inputs-Proposals'!$F$19*(1-'Inputs-Proposals'!$F$20^(CP$3-'Inputs-System'!$C$7))*(VLOOKUP(CP$3,'Embedded Emissions'!$A$47:$B$78,2,FALSE)+VLOOKUP(CP$3,'Embedded Emissions'!$A$129:$B$158,2,FALSE)), $C27 = "2",('Inputs-System'!$C$30*'Coincidence Factors'!$B$9*(1+'Inputs-System'!$C$18)*(1+'Inputs-System'!$C$41))*'Inputs-Proposals'!$F$23*'Inputs-Proposals'!$F$25*(1-'Inputs-Proposals'!$F$20^(CP$3-'Inputs-System'!$C$7))*(VLOOKUP(CP$3,'Embedded Emissions'!$A$47:$B$78,2,FALSE)+VLOOKUP(CP$3,'Embedded Emissions'!$A$129:$B$158,2,FALSE)), $C27 = "3", ('Inputs-System'!$C$30*'Coincidence Factors'!$B$9*(1+'Inputs-System'!$C$18)*(1+'Inputs-System'!$C$41))*'Inputs-Proposals'!$F$29*'Inputs-Proposals'!$F$31*(1-'Inputs-Proposals'!$F$20^(CP$3-'Inputs-System'!$C$7))*(VLOOKUP(CP$3,'Embedded Emissions'!$A$47:$B$78,2,FALSE)+VLOOKUP(CP$3,'Embedded Emissions'!$A$129:$B$158,2,FALSE)), $C27 = "0", 0), 0)</f>
        <v>0</v>
      </c>
      <c r="CR27" s="44">
        <f>IFERROR(_xlfn.IFS($C27="1",( 'Inputs-System'!$C$30*'Coincidence Factors'!$B$6*(1+'Inputs-System'!$C$18)*(1+'Inputs-System'!$C$41))*('Inputs-Proposals'!$F$17*'Inputs-Proposals'!$F$19*(1-'Inputs-Proposals'!$F$20)^(CP$3-'Inputs-System'!$C$7))*(VLOOKUP(CP$3,DRIPE!$A$54:$I$82,5,FALSE)+VLOOKUP(CP$3,DRIPE!$A$54:$I$82,9,FALSE))+ ('Inputs-System'!$C$26*'Coincidence Factors'!$B$6*(1+'Inputs-System'!$C$18)*(1+'Inputs-System'!$C$42))*'Inputs-Proposals'!$F$16*VLOOKUP(CP$3,DRIPE!$A$54:$I$82,8,FALSE), $C27 = "2",( 'Inputs-System'!$C$30*'Coincidence Factors'!$B$6*(1+'Inputs-System'!$C$18)*(1+'Inputs-System'!$C$41))*('Inputs-Proposals'!$F$23*'Inputs-Proposals'!$F$25*(1-'Inputs-Proposals'!$F$26)^(CP$3-'Inputs-System'!$C$7))*(VLOOKUP(CP$3,DRIPE!$A$54:$I$82,5,FALSE)+VLOOKUP(CP$3,DRIPE!$A$54:$I$82,9,FALSE))+ ('Inputs-System'!$C$26*'Coincidence Factors'!$B$6*(1+'Inputs-System'!$C$18)*(1+'Inputs-System'!$C$42))*'Inputs-Proposals'!$F$22*VLOOKUP(CP$3,DRIPE!$A$54:$I$82,8,FALSE), $C27= "3", ( 'Inputs-System'!$C$30*'Coincidence Factors'!$B$6*(1+'Inputs-System'!$C$18)*(1+'Inputs-System'!$C$41))*('Inputs-Proposals'!$F$29*'Inputs-Proposals'!$F$31*(1-'Inputs-Proposals'!$F$32)^(CP$3-'Inputs-System'!$C$7))*(VLOOKUP(CP$3,DRIPE!$A$54:$I$82,5,FALSE)+VLOOKUP(CP$3,DRIPE!$A$54:$I$82,9,FALSE))+ ('Inputs-System'!$C$26*'Coincidence Factors'!$B$6*(1+'Inputs-System'!$C$18)*(1+'Inputs-System'!$C$42))*'Inputs-Proposals'!$F$28*VLOOKUP(CP$3,DRIPE!$A$54:$I$82,8,FALSE), $C27 = "0", 0), 0)</f>
        <v>0</v>
      </c>
      <c r="CS27" s="45">
        <f>IFERROR(_xlfn.IFS($C27="1",('Inputs-System'!$C$26*'Coincidence Factors'!$B$5*(1+'Inputs-System'!$C$18)*(1+'Inputs-System'!$C$42))*'Inputs-Proposals'!$D$16*(VLOOKUP(CP$3,Capacity!$A$53:$E$85,4,FALSE)*(1+'Inputs-System'!$C$42)+VLOOKUP(CP$3,Capacity!$A$53:$E$85,5,FALSE)*(1+'Inputs-System'!$C$43)*'Inputs-System'!$C$29), $C27 = "2", ('Inputs-System'!$C$26*'Coincidence Factors'!$B$5*(1+'Inputs-System'!$C$18))*'Inputs-Proposals'!$D$22*(VLOOKUP(CP$3,Capacity!$A$53:$E$85,4,FALSE)*(1+'Inputs-System'!$C$42)+VLOOKUP(CP$3,Capacity!$A$53:$E$85,5,FALSE)*'Inputs-System'!$C$29*(1+'Inputs-System'!$C$43)), $C27 = "3", ('Inputs-System'!$C$26*'Coincidence Factors'!$B$5*(1+'Inputs-System'!$C$18))*'Inputs-Proposals'!$D$28*(VLOOKUP(CP$3,Capacity!$A$53:$E$85,4,FALSE)*(1+'Inputs-System'!$C$42)+VLOOKUP(CP$3,Capacity!$A$53:$E$85,5,FALSE)*'Inputs-System'!$C$29*(1+'Inputs-System'!$C$43)), $C27 = "0", 0), 0)</f>
        <v>0</v>
      </c>
      <c r="CT27" s="44">
        <v>0</v>
      </c>
      <c r="CU27" s="342">
        <f>IFERROR(_xlfn.IFS($C27="1", 'Inputs-System'!$C$30*'Coincidence Factors'!$B$9*'Inputs-Proposals'!$F$17*'Inputs-Proposals'!$F$19*(VLOOKUP(CP$3,'Non-Embedded Emissions'!$A$56:$D$90,2,FALSE)-VLOOKUP(CP$3,'Non-Embedded Emissions'!$F$57:$H$88,2,FALSE)+VLOOKUP(CP$3,'Non-Embedded Emissions'!$A$143:$D$174,2,FALSE)-VLOOKUP(CP$3,'Non-Embedded Emissions'!$F$143:$H$174,2,FALSE)+VLOOKUP(CP$3,'Non-Embedded Emissions'!$A$230:$D$259,2,FALSE)), $C27 = "2", 'Inputs-System'!$C$30*'Coincidence Factors'!$B$9*'Inputs-Proposals'!$F$23*'Inputs-Proposals'!$F$25*(VLOOKUP(CP$3,'Non-Embedded Emissions'!$A$56:$D$90,2,FALSE)-VLOOKUP(CP$3,'Non-Embedded Emissions'!$F$57:$H$88,2,FALSE)+VLOOKUP(CP$3,'Non-Embedded Emissions'!$A$143:$D$174,2,FALSE)-VLOOKUP(CP$3,'Non-Embedded Emissions'!$F$143:$H$174,2,FALSE)+VLOOKUP(CP$3,'Non-Embedded Emissions'!$A$230:$D$259,2,FALSE)), $C27 = "3", 'Inputs-System'!$C$30*'Coincidence Factors'!$B$9*'Inputs-Proposals'!$F$29*'Inputs-Proposals'!$F$31*(VLOOKUP(CP$3,'Non-Embedded Emissions'!$A$56:$D$90,2,FALSE)-VLOOKUP(CP$3,'Non-Embedded Emissions'!$F$57:$H$88,2,FALSE)+VLOOKUP(CP$3,'Non-Embedded Emissions'!$A$143:$D$174,2,FALSE)-VLOOKUP(CP$3,'Non-Embedded Emissions'!$F$143:$H$174,2,FALSE)+VLOOKUP(CP$3,'Non-Embedded Emissions'!$A$230:$D$259,2,FALSE)), $C27 = "0", 0), 0)</f>
        <v>0</v>
      </c>
      <c r="CV27" s="45">
        <f>IFERROR(_xlfn.IFS($C27="1",('Inputs-System'!$C$30*'Coincidence Factors'!$B$9*(1+'Inputs-System'!$C$18)*(1+'Inputs-System'!$C$41)*('Inputs-Proposals'!$F$17*'Inputs-Proposals'!$F$19*(1-'Inputs-Proposals'!$F$20^(CV$3-'Inputs-System'!$C$7)))*(VLOOKUP(CV$3,Energy!$A$51:$K$83,5,FALSE))), $C27 = "2",('Inputs-System'!$C$30*'Coincidence Factors'!$B$9)*(1+'Inputs-System'!$C$18)*(1+'Inputs-System'!$C$41)*('Inputs-Proposals'!$F$23*'Inputs-Proposals'!$F$25*(1-'Inputs-Proposals'!$F$26^(CV$3-'Inputs-System'!$C$7)))*(VLOOKUP(CV$3,Energy!$A$51:$K$83,5,FALSE)), $C27= "3", ('Inputs-System'!$C$30*'Coincidence Factors'!$B$9*(1+'Inputs-System'!$C$18)*(1+'Inputs-System'!$C$41)*('Inputs-Proposals'!$F$29*'Inputs-Proposals'!$F$31*(1-'Inputs-Proposals'!$F$32^(CV$3-'Inputs-System'!$C$7)))*(VLOOKUP(CV$3,Energy!$A$51:$K$83,5,FALSE))), $C27= "0", 0), 0)</f>
        <v>0</v>
      </c>
      <c r="CW27" s="44">
        <f>IFERROR(_xlfn.IFS($C27="1",('Inputs-System'!$C$30*'Coincidence Factors'!$B$9*(1+'Inputs-System'!$C$18)*(1+'Inputs-System'!$C$41))*'Inputs-Proposals'!$F$17*'Inputs-Proposals'!$F$19*(1-'Inputs-Proposals'!$F$20^(CV$3-'Inputs-System'!$C$7))*(VLOOKUP(CV$3,'Embedded Emissions'!$A$47:$B$78,2,FALSE)+VLOOKUP(CV$3,'Embedded Emissions'!$A$129:$B$158,2,FALSE)), $C27 = "2",('Inputs-System'!$C$30*'Coincidence Factors'!$B$9*(1+'Inputs-System'!$C$18)*(1+'Inputs-System'!$C$41))*'Inputs-Proposals'!$F$23*'Inputs-Proposals'!$F$25*(1-'Inputs-Proposals'!$F$20^(CV$3-'Inputs-System'!$C$7))*(VLOOKUP(CV$3,'Embedded Emissions'!$A$47:$B$78,2,FALSE)+VLOOKUP(CV$3,'Embedded Emissions'!$A$129:$B$158,2,FALSE)), $C27 = "3", ('Inputs-System'!$C$30*'Coincidence Factors'!$B$9*(1+'Inputs-System'!$C$18)*(1+'Inputs-System'!$C$41))*'Inputs-Proposals'!$F$29*'Inputs-Proposals'!$F$31*(1-'Inputs-Proposals'!$F$20^(CV$3-'Inputs-System'!$C$7))*(VLOOKUP(CV$3,'Embedded Emissions'!$A$47:$B$78,2,FALSE)+VLOOKUP(CV$3,'Embedded Emissions'!$A$129:$B$158,2,FALSE)), $C27 = "0", 0), 0)</f>
        <v>0</v>
      </c>
      <c r="CX27" s="44">
        <f>IFERROR(_xlfn.IFS($C27="1",( 'Inputs-System'!$C$30*'Coincidence Factors'!$B$6*(1+'Inputs-System'!$C$18)*(1+'Inputs-System'!$C$41))*('Inputs-Proposals'!$F$17*'Inputs-Proposals'!$F$19*(1-'Inputs-Proposals'!$F$20)^(CV$3-'Inputs-System'!$C$7))*(VLOOKUP(CV$3,DRIPE!$A$54:$I$82,5,FALSE)+VLOOKUP(CV$3,DRIPE!$A$54:$I$82,9,FALSE))+ ('Inputs-System'!$C$26*'Coincidence Factors'!$B$6*(1+'Inputs-System'!$C$18)*(1+'Inputs-System'!$C$42))*'Inputs-Proposals'!$F$16*VLOOKUP(CV$3,DRIPE!$A$54:$I$82,8,FALSE), $C27 = "2",( 'Inputs-System'!$C$30*'Coincidence Factors'!$B$6*(1+'Inputs-System'!$C$18)*(1+'Inputs-System'!$C$41))*('Inputs-Proposals'!$F$23*'Inputs-Proposals'!$F$25*(1-'Inputs-Proposals'!$F$26)^(CV$3-'Inputs-System'!$C$7))*(VLOOKUP(CV$3,DRIPE!$A$54:$I$82,5,FALSE)+VLOOKUP(CV$3,DRIPE!$A$54:$I$82,9,FALSE))+ ('Inputs-System'!$C$26*'Coincidence Factors'!$B$6*(1+'Inputs-System'!$C$18)*(1+'Inputs-System'!$C$42))*'Inputs-Proposals'!$F$22*VLOOKUP(CV$3,DRIPE!$A$54:$I$82,8,FALSE), $C27= "3", ( 'Inputs-System'!$C$30*'Coincidence Factors'!$B$6*(1+'Inputs-System'!$C$18)*(1+'Inputs-System'!$C$41))*('Inputs-Proposals'!$F$29*'Inputs-Proposals'!$F$31*(1-'Inputs-Proposals'!$F$32)^(CV$3-'Inputs-System'!$C$7))*(VLOOKUP(CV$3,DRIPE!$A$54:$I$82,5,FALSE)+VLOOKUP(CV$3,DRIPE!$A$54:$I$82,9,FALSE))+ ('Inputs-System'!$C$26*'Coincidence Factors'!$B$6*(1+'Inputs-System'!$C$18)*(1+'Inputs-System'!$C$42))*'Inputs-Proposals'!$F$28*VLOOKUP(CV$3,DRIPE!$A$54:$I$82,8,FALSE), $C27 = "0", 0), 0)</f>
        <v>0</v>
      </c>
      <c r="CY27" s="45">
        <f>IFERROR(_xlfn.IFS($C27="1",('Inputs-System'!$C$26*'Coincidence Factors'!$B$5*(1+'Inputs-System'!$C$18)*(1+'Inputs-System'!$C$42))*'Inputs-Proposals'!$D$16*(VLOOKUP(CV$3,Capacity!$A$53:$E$85,4,FALSE)*(1+'Inputs-System'!$C$42)+VLOOKUP(CV$3,Capacity!$A$53:$E$85,5,FALSE)*(1+'Inputs-System'!$C$43)*'Inputs-System'!$C$29), $C27 = "2", ('Inputs-System'!$C$26*'Coincidence Factors'!$B$5*(1+'Inputs-System'!$C$18))*'Inputs-Proposals'!$D$22*(VLOOKUP(CV$3,Capacity!$A$53:$E$85,4,FALSE)*(1+'Inputs-System'!$C$42)+VLOOKUP(CV$3,Capacity!$A$53:$E$85,5,FALSE)*'Inputs-System'!$C$29*(1+'Inputs-System'!$C$43)), $C27 = "3", ('Inputs-System'!$C$26*'Coincidence Factors'!$B$5*(1+'Inputs-System'!$C$18))*'Inputs-Proposals'!$D$28*(VLOOKUP(CV$3,Capacity!$A$53:$E$85,4,FALSE)*(1+'Inputs-System'!$C$42)+VLOOKUP(CV$3,Capacity!$A$53:$E$85,5,FALSE)*'Inputs-System'!$C$29*(1+'Inputs-System'!$C$43)), $C27 = "0", 0), 0)</f>
        <v>0</v>
      </c>
      <c r="CZ27" s="44">
        <v>0</v>
      </c>
      <c r="DA27" s="342">
        <f>IFERROR(_xlfn.IFS($C27="1", 'Inputs-System'!$C$30*'Coincidence Factors'!$B$9*'Inputs-Proposals'!$F$17*'Inputs-Proposals'!$F$19*(VLOOKUP(CV$3,'Non-Embedded Emissions'!$A$56:$D$90,2,FALSE)-VLOOKUP(CV$3,'Non-Embedded Emissions'!$F$57:$H$88,2,FALSE)+VLOOKUP(CV$3,'Non-Embedded Emissions'!$A$143:$D$174,2,FALSE)-VLOOKUP(CV$3,'Non-Embedded Emissions'!$F$143:$H$174,2,FALSE)+VLOOKUP(CV$3,'Non-Embedded Emissions'!$A$230:$D$259,2,FALSE)), $C27 = "2", 'Inputs-System'!$C$30*'Coincidence Factors'!$B$9*'Inputs-Proposals'!$F$23*'Inputs-Proposals'!$F$25*(VLOOKUP(CV$3,'Non-Embedded Emissions'!$A$56:$D$90,2,FALSE)-VLOOKUP(CV$3,'Non-Embedded Emissions'!$F$57:$H$88,2,FALSE)+VLOOKUP(CV$3,'Non-Embedded Emissions'!$A$143:$D$174,2,FALSE)-VLOOKUP(CV$3,'Non-Embedded Emissions'!$F$143:$H$174,2,FALSE)+VLOOKUP(CV$3,'Non-Embedded Emissions'!$A$230:$D$259,2,FALSE)), $C27 = "3", 'Inputs-System'!$C$30*'Coincidence Factors'!$B$9*'Inputs-Proposals'!$F$29*'Inputs-Proposals'!$F$31*(VLOOKUP(CV$3,'Non-Embedded Emissions'!$A$56:$D$90,2,FALSE)-VLOOKUP(CV$3,'Non-Embedded Emissions'!$F$57:$H$88,2,FALSE)+VLOOKUP(CV$3,'Non-Embedded Emissions'!$A$143:$D$174,2,FALSE)-VLOOKUP(CV$3,'Non-Embedded Emissions'!$F$143:$H$174,2,FALSE)+VLOOKUP(CV$3,'Non-Embedded Emissions'!$A$230:$D$259,2,FALSE)), $C27 = "0", 0), 0)</f>
        <v>0</v>
      </c>
      <c r="DB27" s="45">
        <f>IFERROR(_xlfn.IFS($C27="1",('Inputs-System'!$C$30*'Coincidence Factors'!$B$9*(1+'Inputs-System'!$C$18)*(1+'Inputs-System'!$C$41)*('Inputs-Proposals'!$F$17*'Inputs-Proposals'!$F$19*(1-'Inputs-Proposals'!$F$20^(DB$3-'Inputs-System'!$C$7)))*(VLOOKUP(DB$3,Energy!$A$51:$K$83,5,FALSE))), $C27 = "2",('Inputs-System'!$C$30*'Coincidence Factors'!$B$9)*(1+'Inputs-System'!$C$18)*(1+'Inputs-System'!$C$41)*('Inputs-Proposals'!$F$23*'Inputs-Proposals'!$F$25*(1-'Inputs-Proposals'!$F$26^(DB$3-'Inputs-System'!$C$7)))*(VLOOKUP(DB$3,Energy!$A$51:$K$83,5,FALSE)), $C27= "3", ('Inputs-System'!$C$30*'Coincidence Factors'!$B$9*(1+'Inputs-System'!$C$18)*(1+'Inputs-System'!$C$41)*('Inputs-Proposals'!$F$29*'Inputs-Proposals'!$F$31*(1-'Inputs-Proposals'!$F$32^(DB$3-'Inputs-System'!$C$7)))*(VLOOKUP(DB$3,Energy!$A$51:$K$83,5,FALSE))), $C27= "0", 0), 0)</f>
        <v>0</v>
      </c>
      <c r="DC27" s="44">
        <f>IFERROR(_xlfn.IFS($C27="1",('Inputs-System'!$C$30*'Coincidence Factors'!$B$9*(1+'Inputs-System'!$C$18)*(1+'Inputs-System'!$C$41))*'Inputs-Proposals'!$F$17*'Inputs-Proposals'!$F$19*(1-'Inputs-Proposals'!$F$20^(DB$3-'Inputs-System'!$C$7))*(VLOOKUP(DB$3,'Embedded Emissions'!$A$47:$B$78,2,FALSE)+VLOOKUP(DB$3,'Embedded Emissions'!$A$129:$B$158,2,FALSE)), $C27 = "2",('Inputs-System'!$C$30*'Coincidence Factors'!$B$9*(1+'Inputs-System'!$C$18)*(1+'Inputs-System'!$C$41))*'Inputs-Proposals'!$F$23*'Inputs-Proposals'!$F$25*(1-'Inputs-Proposals'!$F$20^(DB$3-'Inputs-System'!$C$7))*(VLOOKUP(DB$3,'Embedded Emissions'!$A$47:$B$78,2,FALSE)+VLOOKUP(DB$3,'Embedded Emissions'!$A$129:$B$158,2,FALSE)), $C27 = "3", ('Inputs-System'!$C$30*'Coincidence Factors'!$B$9*(1+'Inputs-System'!$C$18)*(1+'Inputs-System'!$C$41))*'Inputs-Proposals'!$F$29*'Inputs-Proposals'!$F$31*(1-'Inputs-Proposals'!$F$20^(DB$3-'Inputs-System'!$C$7))*(VLOOKUP(DB$3,'Embedded Emissions'!$A$47:$B$78,2,FALSE)+VLOOKUP(DB$3,'Embedded Emissions'!$A$129:$B$158,2,FALSE)), $C27 = "0", 0), 0)</f>
        <v>0</v>
      </c>
      <c r="DD27" s="44">
        <f>IFERROR(_xlfn.IFS($C27="1",( 'Inputs-System'!$C$30*'Coincidence Factors'!$B$6*(1+'Inputs-System'!$C$18)*(1+'Inputs-System'!$C$41))*('Inputs-Proposals'!$F$17*'Inputs-Proposals'!$F$19*(1-'Inputs-Proposals'!$F$20)^(DB$3-'Inputs-System'!$C$7))*(VLOOKUP(DB$3,DRIPE!$A$54:$I$82,5,FALSE)+VLOOKUP(DB$3,DRIPE!$A$54:$I$82,9,FALSE))+ ('Inputs-System'!$C$26*'Coincidence Factors'!$B$6*(1+'Inputs-System'!$C$18)*(1+'Inputs-System'!$C$42))*'Inputs-Proposals'!$F$16*VLOOKUP(DB$3,DRIPE!$A$54:$I$82,8,FALSE), $C27 = "2",( 'Inputs-System'!$C$30*'Coincidence Factors'!$B$6*(1+'Inputs-System'!$C$18)*(1+'Inputs-System'!$C$41))*('Inputs-Proposals'!$F$23*'Inputs-Proposals'!$F$25*(1-'Inputs-Proposals'!$F$26)^(DB$3-'Inputs-System'!$C$7))*(VLOOKUP(DB$3,DRIPE!$A$54:$I$82,5,FALSE)+VLOOKUP(DB$3,DRIPE!$A$54:$I$82,9,FALSE))+ ('Inputs-System'!$C$26*'Coincidence Factors'!$B$6*(1+'Inputs-System'!$C$18)*(1+'Inputs-System'!$C$42))*'Inputs-Proposals'!$F$22*VLOOKUP(DB$3,DRIPE!$A$54:$I$82,8,FALSE), $C27= "3", ( 'Inputs-System'!$C$30*'Coincidence Factors'!$B$6*(1+'Inputs-System'!$C$18)*(1+'Inputs-System'!$C$41))*('Inputs-Proposals'!$F$29*'Inputs-Proposals'!$F$31*(1-'Inputs-Proposals'!$F$32)^(DB$3-'Inputs-System'!$C$7))*(VLOOKUP(DB$3,DRIPE!$A$54:$I$82,5,FALSE)+VLOOKUP(DB$3,DRIPE!$A$54:$I$82,9,FALSE))+ ('Inputs-System'!$C$26*'Coincidence Factors'!$B$6*(1+'Inputs-System'!$C$18)*(1+'Inputs-System'!$C$42))*'Inputs-Proposals'!$F$28*VLOOKUP(DB$3,DRIPE!$A$54:$I$82,8,FALSE), $C27 = "0", 0), 0)</f>
        <v>0</v>
      </c>
      <c r="DE27" s="45">
        <f>IFERROR(_xlfn.IFS($C27="1",('Inputs-System'!$C$26*'Coincidence Factors'!$B$5*(1+'Inputs-System'!$C$18)*(1+'Inputs-System'!$C$42))*'Inputs-Proposals'!$D$16*(VLOOKUP(DB$3,Capacity!$A$53:$E$85,4,FALSE)*(1+'Inputs-System'!$C$42)+VLOOKUP(DB$3,Capacity!$A$53:$E$85,5,FALSE)*(1+'Inputs-System'!$C$43)*'Inputs-System'!$C$29), $C27 = "2", ('Inputs-System'!$C$26*'Coincidence Factors'!$B$5*(1+'Inputs-System'!$C$18))*'Inputs-Proposals'!$D$22*(VLOOKUP(DB$3,Capacity!$A$53:$E$85,4,FALSE)*(1+'Inputs-System'!$C$42)+VLOOKUP(DB$3,Capacity!$A$53:$E$85,5,FALSE)*'Inputs-System'!$C$29*(1+'Inputs-System'!$C$43)), $C27 = "3", ('Inputs-System'!$C$26*'Coincidence Factors'!$B$5*(1+'Inputs-System'!$C$18))*'Inputs-Proposals'!$D$28*(VLOOKUP(DB$3,Capacity!$A$53:$E$85,4,FALSE)*(1+'Inputs-System'!$C$42)+VLOOKUP(DB$3,Capacity!$A$53:$E$85,5,FALSE)*'Inputs-System'!$C$29*(1+'Inputs-System'!$C$43)), $C27 = "0", 0), 0)</f>
        <v>0</v>
      </c>
      <c r="DF27" s="44">
        <v>0</v>
      </c>
      <c r="DG27" s="342">
        <f>IFERROR(_xlfn.IFS($C27="1", 'Inputs-System'!$C$30*'Coincidence Factors'!$B$9*'Inputs-Proposals'!$F$17*'Inputs-Proposals'!$F$19*(VLOOKUP(DB$3,'Non-Embedded Emissions'!$A$56:$D$90,2,FALSE)-VLOOKUP(DB$3,'Non-Embedded Emissions'!$F$57:$H$88,2,FALSE)+VLOOKUP(DB$3,'Non-Embedded Emissions'!$A$143:$D$174,2,FALSE)-VLOOKUP(DB$3,'Non-Embedded Emissions'!$F$143:$H$174,2,FALSE)+VLOOKUP(DB$3,'Non-Embedded Emissions'!$A$230:$D$259,2,FALSE)), $C27 = "2", 'Inputs-System'!$C$30*'Coincidence Factors'!$B$9*'Inputs-Proposals'!$F$23*'Inputs-Proposals'!$F$25*(VLOOKUP(DB$3,'Non-Embedded Emissions'!$A$56:$D$90,2,FALSE)-VLOOKUP(DB$3,'Non-Embedded Emissions'!$F$57:$H$88,2,FALSE)+VLOOKUP(DB$3,'Non-Embedded Emissions'!$A$143:$D$174,2,FALSE)-VLOOKUP(DB$3,'Non-Embedded Emissions'!$F$143:$H$174,2,FALSE)+VLOOKUP(DB$3,'Non-Embedded Emissions'!$A$230:$D$259,2,FALSE)), $C27 = "3", 'Inputs-System'!$C$30*'Coincidence Factors'!$B$9*'Inputs-Proposals'!$F$29*'Inputs-Proposals'!$F$31*(VLOOKUP(DB$3,'Non-Embedded Emissions'!$A$56:$D$90,2,FALSE)-VLOOKUP(DB$3,'Non-Embedded Emissions'!$F$57:$H$88,2,FALSE)+VLOOKUP(DB$3,'Non-Embedded Emissions'!$A$143:$D$174,2,FALSE)-VLOOKUP(DB$3,'Non-Embedded Emissions'!$F$143:$H$174,2,FALSE)+VLOOKUP(DB$3,'Non-Embedded Emissions'!$A$230:$D$259,2,FALSE)), $C27 = "0", 0), 0)</f>
        <v>0</v>
      </c>
      <c r="DH27" s="45">
        <f>IFERROR(_xlfn.IFS($C27="1",('Inputs-System'!$C$30*'Coincidence Factors'!$B$9*(1+'Inputs-System'!$C$18)*(1+'Inputs-System'!$C$41)*('Inputs-Proposals'!$F$17*'Inputs-Proposals'!$F$19*(1-'Inputs-Proposals'!$F$20^(DH$3-'Inputs-System'!$C$7)))*(VLOOKUP(DH$3,Energy!$A$51:$K$83,5,FALSE))), $C27 = "2",('Inputs-System'!$C$30*'Coincidence Factors'!$B$9)*(1+'Inputs-System'!$C$18)*(1+'Inputs-System'!$C$41)*('Inputs-Proposals'!$F$23*'Inputs-Proposals'!$F$25*(1-'Inputs-Proposals'!$F$26^(DH$3-'Inputs-System'!$C$7)))*(VLOOKUP(DH$3,Energy!$A$51:$K$83,5,FALSE)), $C27= "3", ('Inputs-System'!$C$30*'Coincidence Factors'!$B$9*(1+'Inputs-System'!$C$18)*(1+'Inputs-System'!$C$41)*('Inputs-Proposals'!$F$29*'Inputs-Proposals'!$F$31*(1-'Inputs-Proposals'!$F$32^(DH$3-'Inputs-System'!$C$7)))*(VLOOKUP(DH$3,Energy!$A$51:$K$83,5,FALSE))), $C27= "0", 0), 0)</f>
        <v>0</v>
      </c>
      <c r="DI27" s="44">
        <f>IFERROR(_xlfn.IFS($C27="1",('Inputs-System'!$C$30*'Coincidence Factors'!$B$9*(1+'Inputs-System'!$C$18)*(1+'Inputs-System'!$C$41))*'Inputs-Proposals'!$F$17*'Inputs-Proposals'!$F$19*(1-'Inputs-Proposals'!$F$20^(DH$3-'Inputs-System'!$C$7))*(VLOOKUP(DH$3,'Embedded Emissions'!$A$47:$B$78,2,FALSE)+VLOOKUP(DH$3,'Embedded Emissions'!$A$129:$B$158,2,FALSE)), $C27 = "2",('Inputs-System'!$C$30*'Coincidence Factors'!$B$9*(1+'Inputs-System'!$C$18)*(1+'Inputs-System'!$C$41))*'Inputs-Proposals'!$F$23*'Inputs-Proposals'!$F$25*(1-'Inputs-Proposals'!$F$20^(DH$3-'Inputs-System'!$C$7))*(VLOOKUP(DH$3,'Embedded Emissions'!$A$47:$B$78,2,FALSE)+VLOOKUP(DH$3,'Embedded Emissions'!$A$129:$B$158,2,FALSE)), $C27 = "3", ('Inputs-System'!$C$30*'Coincidence Factors'!$B$9*(1+'Inputs-System'!$C$18)*(1+'Inputs-System'!$C$41))*'Inputs-Proposals'!$F$29*'Inputs-Proposals'!$F$31*(1-'Inputs-Proposals'!$F$20^(DH$3-'Inputs-System'!$C$7))*(VLOOKUP(DH$3,'Embedded Emissions'!$A$47:$B$78,2,FALSE)+VLOOKUP(DH$3,'Embedded Emissions'!$A$129:$B$158,2,FALSE)), $C27 = "0", 0), 0)</f>
        <v>0</v>
      </c>
      <c r="DJ27" s="44">
        <f>IFERROR(_xlfn.IFS($C27="1",( 'Inputs-System'!$C$30*'Coincidence Factors'!$B$6*(1+'Inputs-System'!$C$18)*(1+'Inputs-System'!$C$41))*('Inputs-Proposals'!$F$17*'Inputs-Proposals'!$F$19*(1-'Inputs-Proposals'!$F$20)^(DH$3-'Inputs-System'!$C$7))*(VLOOKUP(DH$3,DRIPE!$A$54:$I$82,5,FALSE)+VLOOKUP(DH$3,DRIPE!$A$54:$I$82,9,FALSE))+ ('Inputs-System'!$C$26*'Coincidence Factors'!$B$6*(1+'Inputs-System'!$C$18)*(1+'Inputs-System'!$C$42))*'Inputs-Proposals'!$F$16*VLOOKUP(DH$3,DRIPE!$A$54:$I$82,8,FALSE), $C27 = "2",( 'Inputs-System'!$C$30*'Coincidence Factors'!$B$6*(1+'Inputs-System'!$C$18)*(1+'Inputs-System'!$C$41))*('Inputs-Proposals'!$F$23*'Inputs-Proposals'!$F$25*(1-'Inputs-Proposals'!$F$26)^(DH$3-'Inputs-System'!$C$7))*(VLOOKUP(DH$3,DRIPE!$A$54:$I$82,5,FALSE)+VLOOKUP(DH$3,DRIPE!$A$54:$I$82,9,FALSE))+ ('Inputs-System'!$C$26*'Coincidence Factors'!$B$6*(1+'Inputs-System'!$C$18)*(1+'Inputs-System'!$C$42))*'Inputs-Proposals'!$F$22*VLOOKUP(DH$3,DRIPE!$A$54:$I$82,8,FALSE), $C27= "3", ( 'Inputs-System'!$C$30*'Coincidence Factors'!$B$6*(1+'Inputs-System'!$C$18)*(1+'Inputs-System'!$C$41))*('Inputs-Proposals'!$F$29*'Inputs-Proposals'!$F$31*(1-'Inputs-Proposals'!$F$32)^(DH$3-'Inputs-System'!$C$7))*(VLOOKUP(DH$3,DRIPE!$A$54:$I$82,5,FALSE)+VLOOKUP(DH$3,DRIPE!$A$54:$I$82,9,FALSE))+ ('Inputs-System'!$C$26*'Coincidence Factors'!$B$6*(1+'Inputs-System'!$C$18)*(1+'Inputs-System'!$C$42))*'Inputs-Proposals'!$F$28*VLOOKUP(DH$3,DRIPE!$A$54:$I$82,8,FALSE), $C27 = "0", 0), 0)</f>
        <v>0</v>
      </c>
      <c r="DK27" s="45">
        <f>IFERROR(_xlfn.IFS($C27="1",('Inputs-System'!$C$26*'Coincidence Factors'!$B$5*(1+'Inputs-System'!$C$18)*(1+'Inputs-System'!$C$42))*'Inputs-Proposals'!$D$16*(VLOOKUP(DH$3,Capacity!$A$53:$E$85,4,FALSE)*(1+'Inputs-System'!$C$42)+VLOOKUP(DH$3,Capacity!$A$53:$E$85,5,FALSE)*(1+'Inputs-System'!$C$43)*'Inputs-System'!$C$29), $C27 = "2", ('Inputs-System'!$C$26*'Coincidence Factors'!$B$5*(1+'Inputs-System'!$C$18))*'Inputs-Proposals'!$D$22*(VLOOKUP(DH$3,Capacity!$A$53:$E$85,4,FALSE)*(1+'Inputs-System'!$C$42)+VLOOKUP(DH$3,Capacity!$A$53:$E$85,5,FALSE)*'Inputs-System'!$C$29*(1+'Inputs-System'!$C$43)), $C27 = "3", ('Inputs-System'!$C$26*'Coincidence Factors'!$B$5*(1+'Inputs-System'!$C$18))*'Inputs-Proposals'!$D$28*(VLOOKUP(DH$3,Capacity!$A$53:$E$85,4,FALSE)*(1+'Inputs-System'!$C$42)+VLOOKUP(DH$3,Capacity!$A$53:$E$85,5,FALSE)*'Inputs-System'!$C$29*(1+'Inputs-System'!$C$43)), $C27 = "0", 0), 0)</f>
        <v>0</v>
      </c>
      <c r="DL27" s="44">
        <v>0</v>
      </c>
      <c r="DM27" s="342">
        <f>IFERROR(_xlfn.IFS($C27="1", 'Inputs-System'!$C$30*'Coincidence Factors'!$B$9*'Inputs-Proposals'!$F$17*'Inputs-Proposals'!$F$19*(VLOOKUP(DH$3,'Non-Embedded Emissions'!$A$56:$D$90,2,FALSE)-VLOOKUP(DH$3,'Non-Embedded Emissions'!$F$57:$H$88,2,FALSE)+VLOOKUP(DH$3,'Non-Embedded Emissions'!$A$143:$D$174,2,FALSE)-VLOOKUP(DH$3,'Non-Embedded Emissions'!$F$143:$H$174,2,FALSE)+VLOOKUP(DH$3,'Non-Embedded Emissions'!$A$230:$D$259,2,FALSE)), $C27 = "2", 'Inputs-System'!$C$30*'Coincidence Factors'!$B$9*'Inputs-Proposals'!$F$23*'Inputs-Proposals'!$F$25*(VLOOKUP(DH$3,'Non-Embedded Emissions'!$A$56:$D$90,2,FALSE)-VLOOKUP(DH$3,'Non-Embedded Emissions'!$F$57:$H$88,2,FALSE)+VLOOKUP(DH$3,'Non-Embedded Emissions'!$A$143:$D$174,2,FALSE)-VLOOKUP(DH$3,'Non-Embedded Emissions'!$F$143:$H$174,2,FALSE)+VLOOKUP(DH$3,'Non-Embedded Emissions'!$A$230:$D$259,2,FALSE)), $C27 = "3", 'Inputs-System'!$C$30*'Coincidence Factors'!$B$9*'Inputs-Proposals'!$F$29*'Inputs-Proposals'!$F$31*(VLOOKUP(DH$3,'Non-Embedded Emissions'!$A$56:$D$90,2,FALSE)-VLOOKUP(DH$3,'Non-Embedded Emissions'!$F$57:$H$88,2,FALSE)+VLOOKUP(DH$3,'Non-Embedded Emissions'!$A$143:$D$174,2,FALSE)-VLOOKUP(DH$3,'Non-Embedded Emissions'!$F$143:$H$174,2,FALSE)+VLOOKUP(DH$3,'Non-Embedded Emissions'!$A$230:$D$259,2,FALSE)), $C27 = "0", 0), 0)</f>
        <v>0</v>
      </c>
      <c r="DN27" s="45">
        <f>IFERROR(_xlfn.IFS($C27="1",('Inputs-System'!$C$30*'Coincidence Factors'!$B$9*(1+'Inputs-System'!$C$18)*(1+'Inputs-System'!$C$41)*('Inputs-Proposals'!$F$17*'Inputs-Proposals'!$F$19*(1-'Inputs-Proposals'!$F$20^(DN$3-'Inputs-System'!$C$7)))*(VLOOKUP(DN$3,Energy!$A$51:$K$83,5,FALSE))), $C27 = "2",('Inputs-System'!$C$30*'Coincidence Factors'!$B$9)*(1+'Inputs-System'!$C$18)*(1+'Inputs-System'!$C$41)*('Inputs-Proposals'!$F$23*'Inputs-Proposals'!$F$25*(1-'Inputs-Proposals'!$F$26^(DN$3-'Inputs-System'!$C$7)))*(VLOOKUP(DN$3,Energy!$A$51:$K$83,5,FALSE)), $C27= "3", ('Inputs-System'!$C$30*'Coincidence Factors'!$B$9*(1+'Inputs-System'!$C$18)*(1+'Inputs-System'!$C$41)*('Inputs-Proposals'!$F$29*'Inputs-Proposals'!$F$31*(1-'Inputs-Proposals'!$F$32^(DN$3-'Inputs-System'!$C$7)))*(VLOOKUP(DN$3,Energy!$A$51:$K$83,5,FALSE))), $C27= "0", 0), 0)</f>
        <v>0</v>
      </c>
      <c r="DO27" s="44">
        <f>IFERROR(_xlfn.IFS($C27="1",('Inputs-System'!$C$30*'Coincidence Factors'!$B$9*(1+'Inputs-System'!$C$18)*(1+'Inputs-System'!$C$41))*'Inputs-Proposals'!$F$17*'Inputs-Proposals'!$F$19*(1-'Inputs-Proposals'!$F$20^(DN$3-'Inputs-System'!$C$7))*(VLOOKUP(DN$3,'Embedded Emissions'!$A$47:$B$78,2,FALSE)+VLOOKUP(DN$3,'Embedded Emissions'!$A$129:$B$158,2,FALSE)), $C27 = "2",('Inputs-System'!$C$30*'Coincidence Factors'!$B$9*(1+'Inputs-System'!$C$18)*(1+'Inputs-System'!$C$41))*'Inputs-Proposals'!$F$23*'Inputs-Proposals'!$F$25*(1-'Inputs-Proposals'!$F$20^(DN$3-'Inputs-System'!$C$7))*(VLOOKUP(DN$3,'Embedded Emissions'!$A$47:$B$78,2,FALSE)+VLOOKUP(DN$3,'Embedded Emissions'!$A$129:$B$158,2,FALSE)), $C27 = "3", ('Inputs-System'!$C$30*'Coincidence Factors'!$B$9*(1+'Inputs-System'!$C$18)*(1+'Inputs-System'!$C$41))*'Inputs-Proposals'!$F$29*'Inputs-Proposals'!$F$31*(1-'Inputs-Proposals'!$F$20^(DN$3-'Inputs-System'!$C$7))*(VLOOKUP(DN$3,'Embedded Emissions'!$A$47:$B$78,2,FALSE)+VLOOKUP(DN$3,'Embedded Emissions'!$A$129:$B$158,2,FALSE)), $C27 = "0", 0), 0)</f>
        <v>0</v>
      </c>
      <c r="DP27" s="44">
        <f>IFERROR(_xlfn.IFS($C27="1",( 'Inputs-System'!$C$30*'Coincidence Factors'!$B$6*(1+'Inputs-System'!$C$18)*(1+'Inputs-System'!$C$41))*('Inputs-Proposals'!$F$17*'Inputs-Proposals'!$F$19*(1-'Inputs-Proposals'!$F$20)^(DN$3-'Inputs-System'!$C$7))*(VLOOKUP(DN$3,DRIPE!$A$54:$I$82,5,FALSE)+VLOOKUP(DN$3,DRIPE!$A$54:$I$82,9,FALSE))+ ('Inputs-System'!$C$26*'Coincidence Factors'!$B$6*(1+'Inputs-System'!$C$18)*(1+'Inputs-System'!$C$42))*'Inputs-Proposals'!$F$16*VLOOKUP(DN$3,DRIPE!$A$54:$I$82,8,FALSE), $C27 = "2",( 'Inputs-System'!$C$30*'Coincidence Factors'!$B$6*(1+'Inputs-System'!$C$18)*(1+'Inputs-System'!$C$41))*('Inputs-Proposals'!$F$23*'Inputs-Proposals'!$F$25*(1-'Inputs-Proposals'!$F$26)^(DN$3-'Inputs-System'!$C$7))*(VLOOKUP(DN$3,DRIPE!$A$54:$I$82,5,FALSE)+VLOOKUP(DN$3,DRIPE!$A$54:$I$82,9,FALSE))+ ('Inputs-System'!$C$26*'Coincidence Factors'!$B$6*(1+'Inputs-System'!$C$18)*(1+'Inputs-System'!$C$42))*'Inputs-Proposals'!$F$22*VLOOKUP(DN$3,DRIPE!$A$54:$I$82,8,FALSE), $C27= "3", ( 'Inputs-System'!$C$30*'Coincidence Factors'!$B$6*(1+'Inputs-System'!$C$18)*(1+'Inputs-System'!$C$41))*('Inputs-Proposals'!$F$29*'Inputs-Proposals'!$F$31*(1-'Inputs-Proposals'!$F$32)^(DN$3-'Inputs-System'!$C$7))*(VLOOKUP(DN$3,DRIPE!$A$54:$I$82,5,FALSE)+VLOOKUP(DN$3,DRIPE!$A$54:$I$82,9,FALSE))+ ('Inputs-System'!$C$26*'Coincidence Factors'!$B$6*(1+'Inputs-System'!$C$18)*(1+'Inputs-System'!$C$42))*'Inputs-Proposals'!$F$28*VLOOKUP(DN$3,DRIPE!$A$54:$I$82,8,FALSE), $C27 = "0", 0), 0)</f>
        <v>0</v>
      </c>
      <c r="DQ27" s="45">
        <f>IFERROR(_xlfn.IFS($C27="1",('Inputs-System'!$C$26*'Coincidence Factors'!$B$5*(1+'Inputs-System'!$C$18)*(1+'Inputs-System'!$C$42))*'Inputs-Proposals'!$D$16*(VLOOKUP(DN$3,Capacity!$A$53:$E$85,4,FALSE)*(1+'Inputs-System'!$C$42)+VLOOKUP(DN$3,Capacity!$A$53:$E$85,5,FALSE)*(1+'Inputs-System'!$C$43)*'Inputs-System'!$C$29), $C27 = "2", ('Inputs-System'!$C$26*'Coincidence Factors'!$B$5*(1+'Inputs-System'!$C$18))*'Inputs-Proposals'!$D$22*(VLOOKUP(DN$3,Capacity!$A$53:$E$85,4,FALSE)*(1+'Inputs-System'!$C$42)+VLOOKUP(DN$3,Capacity!$A$53:$E$85,5,FALSE)*'Inputs-System'!$C$29*(1+'Inputs-System'!$C$43)), $C27 = "3", ('Inputs-System'!$C$26*'Coincidence Factors'!$B$5*(1+'Inputs-System'!$C$18))*'Inputs-Proposals'!$D$28*(VLOOKUP(DN$3,Capacity!$A$53:$E$85,4,FALSE)*(1+'Inputs-System'!$C$42)+VLOOKUP(DN$3,Capacity!$A$53:$E$85,5,FALSE)*'Inputs-System'!$C$29*(1+'Inputs-System'!$C$43)), $C27 = "0", 0), 0)</f>
        <v>0</v>
      </c>
      <c r="DR27" s="44">
        <v>0</v>
      </c>
      <c r="DS27" s="342">
        <f>IFERROR(_xlfn.IFS($C27="1", 'Inputs-System'!$C$30*'Coincidence Factors'!$B$9*'Inputs-Proposals'!$F$17*'Inputs-Proposals'!$F$19*(VLOOKUP(DN$3,'Non-Embedded Emissions'!$A$56:$D$90,2,FALSE)-VLOOKUP(DN$3,'Non-Embedded Emissions'!$F$57:$H$88,2,FALSE)+VLOOKUP(DN$3,'Non-Embedded Emissions'!$A$143:$D$174,2,FALSE)-VLOOKUP(DN$3,'Non-Embedded Emissions'!$F$143:$H$174,2,FALSE)+VLOOKUP(DN$3,'Non-Embedded Emissions'!$A$230:$D$259,2,FALSE)), $C27 = "2", 'Inputs-System'!$C$30*'Coincidence Factors'!$B$9*'Inputs-Proposals'!$F$23*'Inputs-Proposals'!$F$25*(VLOOKUP(DN$3,'Non-Embedded Emissions'!$A$56:$D$90,2,FALSE)-VLOOKUP(DN$3,'Non-Embedded Emissions'!$F$57:$H$88,2,FALSE)+VLOOKUP(DN$3,'Non-Embedded Emissions'!$A$143:$D$174,2,FALSE)-VLOOKUP(DN$3,'Non-Embedded Emissions'!$F$143:$H$174,2,FALSE)+VLOOKUP(DN$3,'Non-Embedded Emissions'!$A$230:$D$259,2,FALSE)), $C27 = "3", 'Inputs-System'!$C$30*'Coincidence Factors'!$B$9*'Inputs-Proposals'!$F$29*'Inputs-Proposals'!$F$31*(VLOOKUP(DN$3,'Non-Embedded Emissions'!$A$56:$D$90,2,FALSE)-VLOOKUP(DN$3,'Non-Embedded Emissions'!$F$57:$H$88,2,FALSE)+VLOOKUP(DN$3,'Non-Embedded Emissions'!$A$143:$D$174,2,FALSE)-VLOOKUP(DN$3,'Non-Embedded Emissions'!$F$143:$H$174,2,FALSE)+VLOOKUP(DN$3,'Non-Embedded Emissions'!$A$230:$D$259,2,FALSE)), $C27 = "0", 0), 0)</f>
        <v>0</v>
      </c>
      <c r="DT27" s="45">
        <f>IFERROR(_xlfn.IFS($C27="1",('Inputs-System'!$C$30*'Coincidence Factors'!$B$9*(1+'Inputs-System'!$C$18)*(1+'Inputs-System'!$C$41)*('Inputs-Proposals'!$F$17*'Inputs-Proposals'!$F$19*(1-'Inputs-Proposals'!$F$20^(DT$3-'Inputs-System'!$C$7)))*(VLOOKUP(DT$3,Energy!$A$51:$K$83,5,FALSE))), $C27 = "2",('Inputs-System'!$C$30*'Coincidence Factors'!$B$9)*(1+'Inputs-System'!$C$18)*(1+'Inputs-System'!$C$41)*('Inputs-Proposals'!$F$23*'Inputs-Proposals'!$F$25*(1-'Inputs-Proposals'!$F$26^(DT$3-'Inputs-System'!$C$7)))*(VLOOKUP(DT$3,Energy!$A$51:$K$83,5,FALSE)), $C27= "3", ('Inputs-System'!$C$30*'Coincidence Factors'!$B$9*(1+'Inputs-System'!$C$18)*(1+'Inputs-System'!$C$41)*('Inputs-Proposals'!$F$29*'Inputs-Proposals'!$F$31*(1-'Inputs-Proposals'!$F$32^(DT$3-'Inputs-System'!$C$7)))*(VLOOKUP(DT$3,Energy!$A$51:$K$83,5,FALSE))), $C27= "0", 0), 0)</f>
        <v>0</v>
      </c>
      <c r="DU27" s="44">
        <f>IFERROR(_xlfn.IFS($C27="1",('Inputs-System'!$C$30*'Coincidence Factors'!$B$9*(1+'Inputs-System'!$C$18)*(1+'Inputs-System'!$C$41))*'Inputs-Proposals'!$F$17*'Inputs-Proposals'!$F$19*(1-'Inputs-Proposals'!$F$20^(DT$3-'Inputs-System'!$C$7))*(VLOOKUP(DT$3,'Embedded Emissions'!$A$47:$B$78,2,FALSE)+VLOOKUP(DT$3,'Embedded Emissions'!$A$129:$B$158,2,FALSE)), $C27 = "2",('Inputs-System'!$C$30*'Coincidence Factors'!$B$9*(1+'Inputs-System'!$C$18)*(1+'Inputs-System'!$C$41))*'Inputs-Proposals'!$F$23*'Inputs-Proposals'!$F$25*(1-'Inputs-Proposals'!$F$20^(DT$3-'Inputs-System'!$C$7))*(VLOOKUP(DT$3,'Embedded Emissions'!$A$47:$B$78,2,FALSE)+VLOOKUP(DT$3,'Embedded Emissions'!$A$129:$B$158,2,FALSE)), $C27 = "3", ('Inputs-System'!$C$30*'Coincidence Factors'!$B$9*(1+'Inputs-System'!$C$18)*(1+'Inputs-System'!$C$41))*'Inputs-Proposals'!$F$29*'Inputs-Proposals'!$F$31*(1-'Inputs-Proposals'!$F$20^(DT$3-'Inputs-System'!$C$7))*(VLOOKUP(DT$3,'Embedded Emissions'!$A$47:$B$78,2,FALSE)+VLOOKUP(DT$3,'Embedded Emissions'!$A$129:$B$158,2,FALSE)), $C27 = "0", 0), 0)</f>
        <v>0</v>
      </c>
      <c r="DV27" s="44">
        <f>IFERROR(_xlfn.IFS($C27="1",( 'Inputs-System'!$C$30*'Coincidence Factors'!$B$6*(1+'Inputs-System'!$C$18)*(1+'Inputs-System'!$C$41))*('Inputs-Proposals'!$F$17*'Inputs-Proposals'!$F$19*(1-'Inputs-Proposals'!$F$20)^(DT$3-'Inputs-System'!$C$7))*(VLOOKUP(DT$3,DRIPE!$A$54:$I$82,5,FALSE)+VLOOKUP(DT$3,DRIPE!$A$54:$I$82,9,FALSE))+ ('Inputs-System'!$C$26*'Coincidence Factors'!$B$6*(1+'Inputs-System'!$C$18)*(1+'Inputs-System'!$C$42))*'Inputs-Proposals'!$F$16*VLOOKUP(DT$3,DRIPE!$A$54:$I$82,8,FALSE), $C27 = "2",( 'Inputs-System'!$C$30*'Coincidence Factors'!$B$6*(1+'Inputs-System'!$C$18)*(1+'Inputs-System'!$C$41))*('Inputs-Proposals'!$F$23*'Inputs-Proposals'!$F$25*(1-'Inputs-Proposals'!$F$26)^(DT$3-'Inputs-System'!$C$7))*(VLOOKUP(DT$3,DRIPE!$A$54:$I$82,5,FALSE)+VLOOKUP(DT$3,DRIPE!$A$54:$I$82,9,FALSE))+ ('Inputs-System'!$C$26*'Coincidence Factors'!$B$6*(1+'Inputs-System'!$C$18)*(1+'Inputs-System'!$C$42))*'Inputs-Proposals'!$F$22*VLOOKUP(DT$3,DRIPE!$A$54:$I$82,8,FALSE), $C27= "3", ( 'Inputs-System'!$C$30*'Coincidence Factors'!$B$6*(1+'Inputs-System'!$C$18)*(1+'Inputs-System'!$C$41))*('Inputs-Proposals'!$F$29*'Inputs-Proposals'!$F$31*(1-'Inputs-Proposals'!$F$32)^(DT$3-'Inputs-System'!$C$7))*(VLOOKUP(DT$3,DRIPE!$A$54:$I$82,5,FALSE)+VLOOKUP(DT$3,DRIPE!$A$54:$I$82,9,FALSE))+ ('Inputs-System'!$C$26*'Coincidence Factors'!$B$6*(1+'Inputs-System'!$C$18)*(1+'Inputs-System'!$C$42))*'Inputs-Proposals'!$F$28*VLOOKUP(DT$3,DRIPE!$A$54:$I$82,8,FALSE), $C27 = "0", 0), 0)</f>
        <v>0</v>
      </c>
      <c r="DW27" s="45">
        <f>IFERROR(_xlfn.IFS($C27="1",('Inputs-System'!$C$26*'Coincidence Factors'!$B$5*(1+'Inputs-System'!$C$18)*(1+'Inputs-System'!$C$42))*'Inputs-Proposals'!$D$16*(VLOOKUP(DT$3,Capacity!$A$53:$E$85,4,FALSE)*(1+'Inputs-System'!$C$42)+VLOOKUP(DT$3,Capacity!$A$53:$E$85,5,FALSE)*(1+'Inputs-System'!$C$43)*'Inputs-System'!$C$29), $C27 = "2", ('Inputs-System'!$C$26*'Coincidence Factors'!$B$5*(1+'Inputs-System'!$C$18))*'Inputs-Proposals'!$D$22*(VLOOKUP(DT$3,Capacity!$A$53:$E$85,4,FALSE)*(1+'Inputs-System'!$C$42)+VLOOKUP(DT$3,Capacity!$A$53:$E$85,5,FALSE)*'Inputs-System'!$C$29*(1+'Inputs-System'!$C$43)), $C27 = "3", ('Inputs-System'!$C$26*'Coincidence Factors'!$B$5*(1+'Inputs-System'!$C$18))*'Inputs-Proposals'!$D$28*(VLOOKUP(DT$3,Capacity!$A$53:$E$85,4,FALSE)*(1+'Inputs-System'!$C$42)+VLOOKUP(DT$3,Capacity!$A$53:$E$85,5,FALSE)*'Inputs-System'!$C$29*(1+'Inputs-System'!$C$43)), $C27 = "0", 0), 0)</f>
        <v>0</v>
      </c>
      <c r="DX27" s="44">
        <v>0</v>
      </c>
      <c r="DY27" s="342">
        <f>IFERROR(_xlfn.IFS($C27="1", 'Inputs-System'!$C$30*'Coincidence Factors'!$B$9*'Inputs-Proposals'!$F$17*'Inputs-Proposals'!$F$19*(VLOOKUP(DT$3,'Non-Embedded Emissions'!$A$56:$D$90,2,FALSE)-VLOOKUP(DT$3,'Non-Embedded Emissions'!$F$57:$H$88,2,FALSE)+VLOOKUP(DT$3,'Non-Embedded Emissions'!$A$143:$D$174,2,FALSE)-VLOOKUP(DT$3,'Non-Embedded Emissions'!$F$143:$H$174,2,FALSE)+VLOOKUP(DT$3,'Non-Embedded Emissions'!$A$230:$D$259,2,FALSE)), $C27 = "2", 'Inputs-System'!$C$30*'Coincidence Factors'!$B$9*'Inputs-Proposals'!$F$23*'Inputs-Proposals'!$F$25*(VLOOKUP(DT$3,'Non-Embedded Emissions'!$A$56:$D$90,2,FALSE)-VLOOKUP(DT$3,'Non-Embedded Emissions'!$F$57:$H$88,2,FALSE)+VLOOKUP(DT$3,'Non-Embedded Emissions'!$A$143:$D$174,2,FALSE)-VLOOKUP(DT$3,'Non-Embedded Emissions'!$F$143:$H$174,2,FALSE)+VLOOKUP(DT$3,'Non-Embedded Emissions'!$A$230:$D$259,2,FALSE)), $C27 = "3", 'Inputs-System'!$C$30*'Coincidence Factors'!$B$9*'Inputs-Proposals'!$F$29*'Inputs-Proposals'!$F$31*(VLOOKUP(DT$3,'Non-Embedded Emissions'!$A$56:$D$90,2,FALSE)-VLOOKUP(DT$3,'Non-Embedded Emissions'!$F$57:$H$88,2,FALSE)+VLOOKUP(DT$3,'Non-Embedded Emissions'!$A$143:$D$174,2,FALSE)-VLOOKUP(DT$3,'Non-Embedded Emissions'!$F$143:$H$174,2,FALSE)+VLOOKUP(DT$3,'Non-Embedded Emissions'!$A$230:$D$259,2,FALSE)), $C27 = "0", 0), 0)</f>
        <v>0</v>
      </c>
      <c r="DZ27" s="45">
        <f>IFERROR(_xlfn.IFS($C27="1",('Inputs-System'!$C$30*'Coincidence Factors'!$B$9*(1+'Inputs-System'!$C$18)*(1+'Inputs-System'!$C$41)*('Inputs-Proposals'!$F$17*'Inputs-Proposals'!$F$19*(1-'Inputs-Proposals'!$F$20^(DZ$3-'Inputs-System'!$C$7)))*(VLOOKUP(DZ$3,Energy!$A$51:$K$83,5,FALSE))), $C27 = "2",('Inputs-System'!$C$30*'Coincidence Factors'!$B$9)*(1+'Inputs-System'!$C$18)*(1+'Inputs-System'!$C$41)*('Inputs-Proposals'!$F$23*'Inputs-Proposals'!$F$25*(1-'Inputs-Proposals'!$F$26^(DZ$3-'Inputs-System'!$C$7)))*(VLOOKUP(DZ$3,Energy!$A$51:$K$83,5,FALSE)), $C27= "3", ('Inputs-System'!$C$30*'Coincidence Factors'!$B$9*(1+'Inputs-System'!$C$18)*(1+'Inputs-System'!$C$41)*('Inputs-Proposals'!$F$29*'Inputs-Proposals'!$F$31*(1-'Inputs-Proposals'!$F$32^(DZ$3-'Inputs-System'!$C$7)))*(VLOOKUP(DZ$3,Energy!$A$51:$K$83,5,FALSE))), $C27= "0", 0), 0)</f>
        <v>0</v>
      </c>
      <c r="EA27" s="44">
        <f>IFERROR(_xlfn.IFS($C27="1",('Inputs-System'!$C$30*'Coincidence Factors'!$B$9*(1+'Inputs-System'!$C$18)*(1+'Inputs-System'!$C$41))*'Inputs-Proposals'!$F$17*'Inputs-Proposals'!$F$19*(1-'Inputs-Proposals'!$F$20^(DZ$3-'Inputs-System'!$C$7))*(VLOOKUP(DZ$3,'Embedded Emissions'!$A$47:$B$78,2,FALSE)+VLOOKUP(DZ$3,'Embedded Emissions'!$A$129:$B$158,2,FALSE)), $C27 = "2",('Inputs-System'!$C$30*'Coincidence Factors'!$B$9*(1+'Inputs-System'!$C$18)*(1+'Inputs-System'!$C$41))*'Inputs-Proposals'!$F$23*'Inputs-Proposals'!$F$25*(1-'Inputs-Proposals'!$F$20^(DZ$3-'Inputs-System'!$C$7))*(VLOOKUP(DZ$3,'Embedded Emissions'!$A$47:$B$78,2,FALSE)+VLOOKUP(DZ$3,'Embedded Emissions'!$A$129:$B$158,2,FALSE)), $C27 = "3", ('Inputs-System'!$C$30*'Coincidence Factors'!$B$9*(1+'Inputs-System'!$C$18)*(1+'Inputs-System'!$C$41))*'Inputs-Proposals'!$F$29*'Inputs-Proposals'!$F$31*(1-'Inputs-Proposals'!$F$20^(DZ$3-'Inputs-System'!$C$7))*(VLOOKUP(DZ$3,'Embedded Emissions'!$A$47:$B$78,2,FALSE)+VLOOKUP(DZ$3,'Embedded Emissions'!$A$129:$B$158,2,FALSE)), $C27 = "0", 0), 0)</f>
        <v>0</v>
      </c>
      <c r="EB27" s="44">
        <f>IFERROR(_xlfn.IFS($C27="1",( 'Inputs-System'!$C$30*'Coincidence Factors'!$B$6*(1+'Inputs-System'!$C$18)*(1+'Inputs-System'!$C$41))*('Inputs-Proposals'!$F$17*'Inputs-Proposals'!$F$19*(1-'Inputs-Proposals'!$F$20)^(DZ$3-'Inputs-System'!$C$7))*(VLOOKUP(DZ$3,DRIPE!$A$54:$I$82,5,FALSE)+VLOOKUP(DZ$3,DRIPE!$A$54:$I$82,9,FALSE))+ ('Inputs-System'!$C$26*'Coincidence Factors'!$B$6*(1+'Inputs-System'!$C$18)*(1+'Inputs-System'!$C$42))*'Inputs-Proposals'!$F$16*VLOOKUP(DZ$3,DRIPE!$A$54:$I$82,8,FALSE), $C27 = "2",( 'Inputs-System'!$C$30*'Coincidence Factors'!$B$6*(1+'Inputs-System'!$C$18)*(1+'Inputs-System'!$C$41))*('Inputs-Proposals'!$F$23*'Inputs-Proposals'!$F$25*(1-'Inputs-Proposals'!$F$26)^(DZ$3-'Inputs-System'!$C$7))*(VLOOKUP(DZ$3,DRIPE!$A$54:$I$82,5,FALSE)+VLOOKUP(DZ$3,DRIPE!$A$54:$I$82,9,FALSE))+ ('Inputs-System'!$C$26*'Coincidence Factors'!$B$6*(1+'Inputs-System'!$C$18)*(1+'Inputs-System'!$C$42))*'Inputs-Proposals'!$F$22*VLOOKUP(DZ$3,DRIPE!$A$54:$I$82,8,FALSE), $C27= "3", ( 'Inputs-System'!$C$30*'Coincidence Factors'!$B$6*(1+'Inputs-System'!$C$18)*(1+'Inputs-System'!$C$41))*('Inputs-Proposals'!$F$29*'Inputs-Proposals'!$F$31*(1-'Inputs-Proposals'!$F$32)^(DZ$3-'Inputs-System'!$C$7))*(VLOOKUP(DZ$3,DRIPE!$A$54:$I$82,5,FALSE)+VLOOKUP(DZ$3,DRIPE!$A$54:$I$82,9,FALSE))+ ('Inputs-System'!$C$26*'Coincidence Factors'!$B$6*(1+'Inputs-System'!$C$18)*(1+'Inputs-System'!$C$42))*'Inputs-Proposals'!$F$28*VLOOKUP(DZ$3,DRIPE!$A$54:$I$82,8,FALSE), $C27 = "0", 0), 0)</f>
        <v>0</v>
      </c>
      <c r="EC27" s="45">
        <f>IFERROR(_xlfn.IFS($C27="1",('Inputs-System'!$C$26*'Coincidence Factors'!$B$5*(1+'Inputs-System'!$C$18)*(1+'Inputs-System'!$C$42))*'Inputs-Proposals'!$D$16*(VLOOKUP(DZ$3,Capacity!$A$53:$E$85,4,FALSE)*(1+'Inputs-System'!$C$42)+VLOOKUP(DZ$3,Capacity!$A$53:$E$85,5,FALSE)*(1+'Inputs-System'!$C$43)*'Inputs-System'!$C$29), $C27 = "2", ('Inputs-System'!$C$26*'Coincidence Factors'!$B$5*(1+'Inputs-System'!$C$18))*'Inputs-Proposals'!$D$22*(VLOOKUP(DZ$3,Capacity!$A$53:$E$85,4,FALSE)*(1+'Inputs-System'!$C$42)+VLOOKUP(DZ$3,Capacity!$A$53:$E$85,5,FALSE)*'Inputs-System'!$C$29*(1+'Inputs-System'!$C$43)), $C27 = "3", ('Inputs-System'!$C$26*'Coincidence Factors'!$B$5*(1+'Inputs-System'!$C$18))*'Inputs-Proposals'!$D$28*(VLOOKUP(DZ$3,Capacity!$A$53:$E$85,4,FALSE)*(1+'Inputs-System'!$C$42)+VLOOKUP(DZ$3,Capacity!$A$53:$E$85,5,FALSE)*'Inputs-System'!$C$29*(1+'Inputs-System'!$C$43)), $C27 = "0", 0), 0)</f>
        <v>0</v>
      </c>
      <c r="ED27" s="44">
        <v>0</v>
      </c>
      <c r="EE27" s="342">
        <f>IFERROR(_xlfn.IFS($C27="1", 'Inputs-System'!$C$30*'Coincidence Factors'!$B$9*'Inputs-Proposals'!$F$17*'Inputs-Proposals'!$F$19*(VLOOKUP(DZ$3,'Non-Embedded Emissions'!$A$56:$D$90,2,FALSE)-VLOOKUP(DZ$3,'Non-Embedded Emissions'!$F$57:$H$88,2,FALSE)+VLOOKUP(DZ$3,'Non-Embedded Emissions'!$A$143:$D$174,2,FALSE)-VLOOKUP(DZ$3,'Non-Embedded Emissions'!$F$143:$H$174,2,FALSE)+VLOOKUP(DZ$3,'Non-Embedded Emissions'!$A$230:$D$259,2,FALSE)), $C27 = "2", 'Inputs-System'!$C$30*'Coincidence Factors'!$B$9*'Inputs-Proposals'!$F$23*'Inputs-Proposals'!$F$25*(VLOOKUP(DZ$3,'Non-Embedded Emissions'!$A$56:$D$90,2,FALSE)-VLOOKUP(DZ$3,'Non-Embedded Emissions'!$F$57:$H$88,2,FALSE)+VLOOKUP(DZ$3,'Non-Embedded Emissions'!$A$143:$D$174,2,FALSE)-VLOOKUP(DZ$3,'Non-Embedded Emissions'!$F$143:$H$174,2,FALSE)+VLOOKUP(DZ$3,'Non-Embedded Emissions'!$A$230:$D$259,2,FALSE)), $C27 = "3", 'Inputs-System'!$C$30*'Coincidence Factors'!$B$9*'Inputs-Proposals'!$F$29*'Inputs-Proposals'!$F$31*(VLOOKUP(DZ$3,'Non-Embedded Emissions'!$A$56:$D$90,2,FALSE)-VLOOKUP(DZ$3,'Non-Embedded Emissions'!$F$57:$H$88,2,FALSE)+VLOOKUP(DZ$3,'Non-Embedded Emissions'!$A$143:$D$174,2,FALSE)-VLOOKUP(DZ$3,'Non-Embedded Emissions'!$F$143:$H$174,2,FALSE)+VLOOKUP(DZ$3,'Non-Embedded Emissions'!$A$230:$D$259,2,FALSE)), $C27 = "0", 0), 0)</f>
        <v>0</v>
      </c>
    </row>
    <row r="28" spans="1:135" x14ac:dyDescent="0.35">
      <c r="A28" s="708"/>
      <c r="B28" s="3" t="str">
        <f>B22</f>
        <v>LNG GenSet</v>
      </c>
      <c r="C28" s="3" t="str">
        <f>IFERROR(_xlfn.IFS('Benefits Calc'!B28='Inputs-Proposals'!$F$15, "1", 'Benefits Calc'!B28='Inputs-Proposals'!$F$21, "2", 'Benefits Calc'!B28='Inputs-Proposals'!$F$27, "3"), "0")</f>
        <v>0</v>
      </c>
      <c r="D28" s="324">
        <f t="shared" si="24"/>
        <v>0</v>
      </c>
      <c r="E28" s="320">
        <f t="shared" si="25"/>
        <v>0</v>
      </c>
      <c r="F28" s="320">
        <f t="shared" si="26"/>
        <v>0</v>
      </c>
      <c r="G28" s="320">
        <f t="shared" si="27"/>
        <v>0</v>
      </c>
      <c r="H28" s="320">
        <f t="shared" si="28"/>
        <v>0</v>
      </c>
      <c r="I28" s="320">
        <f t="shared" si="29"/>
        <v>0</v>
      </c>
      <c r="J28" s="323">
        <f>NPV('Inputs-System'!$C$20,P28+V28+AB28+AH28+AN28+AT28+AZ28+BF28+BL28+BR28+BX28+CD28+CJ28+CP28+CV28+DB28+DH28+DN28+DT28+DZ28)</f>
        <v>0</v>
      </c>
      <c r="K28" s="44">
        <f>NPV('Inputs-System'!$C$20,Q28+W28+AC28+AI28+AO28+AU28+BA28+BG28+BM28+BS28+BY28+CE28+CK28+CQ28+CW28+DC28+DI28+DO28+DU28+EA28)</f>
        <v>0</v>
      </c>
      <c r="L28" s="44">
        <f>NPV('Inputs-System'!$C$20,R28+X28+AD28+AJ28+AP28+AV28+BB28+BH28+BN28+BT28+BZ28+CF28+CL28+CR28+CX28+DD28+DJ28+DP28+DV28+EB28)</f>
        <v>0</v>
      </c>
      <c r="M28" s="44">
        <f>NPV('Inputs-System'!$C$20,S28+Y28+AE28+AK28+AQ28+AW28+BC28+BI28+BO28+BU28+CA28+CG28+CM28+CS28+CY28+DE28+DK28+DQ28+DW28+EC28)</f>
        <v>0</v>
      </c>
      <c r="N28" s="44">
        <f>NPV('Inputs-System'!$C$20,T28+Z28+AF28+AL28+AR28+AX28+BD28+BJ28+BP28+BV28+CB28+CH28+CN28+CT28+CZ28+DF28+DL28+DR28+DX28+ED28)</f>
        <v>0</v>
      </c>
      <c r="O28" s="44">
        <f>NPV('Inputs-System'!$C$20,U28+AA28+AG28+AM28+AS28+AY28+BE28+BK28+BQ28+BW28+CC28+CI28+CO28+CU28+DA28+DG28+DM28+DS28+DY28+EE28)</f>
        <v>0</v>
      </c>
      <c r="P28" s="367">
        <f>IFERROR(_xlfn.IFS($C28="1",('Inputs-System'!$C$30*'Coincidence Factors'!$B$6*(1+'Inputs-System'!$C$18)*(1+'Inputs-System'!$C$41)*('Inputs-Proposals'!$F$17*'Inputs-Proposals'!$F$19*(1-'Inputs-Proposals'!$F$20^(P$3-'Inputs-System'!$C$7+1)))*(VLOOKUP(P$3,Energy!$A$51:$K$83,5,FALSE))), $C28 = "2",('Inputs-System'!$C$30*'Coincidence Factors'!$B$6)*(1+'Inputs-System'!$C$18)*(1+'Inputs-System'!$C$41)*('Inputs-Proposals'!$F$23*'Inputs-Proposals'!$F$25*(1-'Inputs-Proposals'!$F$26^(P$3-'Inputs-System'!$C$7+1)))*(VLOOKUP(P$3,Energy!$A$51:$K$83,5,FALSE)), $C28= "3", ('Inputs-System'!$C$30*'Coincidence Factors'!$B$6*(1+'Inputs-System'!$C$18)*(1+'Inputs-System'!$C$41)*('Inputs-Proposals'!$F$29*'Inputs-Proposals'!$F$31*(1-'Inputs-Proposals'!$F$32^(P$3-'Inputs-System'!$C$7+1)))*(VLOOKUP(P$3,Energy!$A$51:$K$83,5,FALSE))), $C28= "0", 0), 0)</f>
        <v>0</v>
      </c>
      <c r="Q28" s="349">
        <f>IFERROR(_xlfn.IFS($C28="1",('Inputs-System'!$C$30*'Coincidence Factors'!$B$6*(1+'Inputs-System'!$C$18)*(1+'Inputs-System'!$C$41))*'Inputs-Proposals'!$F$17*'Inputs-Proposals'!$F$19*(1-'Inputs-Proposals'!$F$20^(P$3-'Inputs-System'!$C$7+1))*(VLOOKUP(P$3,'Embedded Emissions'!$A$47:$B$78,2,FALSE)+VLOOKUP(P$3,'Embedded Emissions'!$A$129:$B$158,2,FALSE)), $C28 = "2",('Inputs-System'!$C$30*'Coincidence Factors'!$B$6*(1+'Inputs-System'!$C$18)*(1+'Inputs-System'!$C$41))*'Inputs-Proposals'!$F$23*'Inputs-Proposals'!$F$25*(1-'Inputs-Proposals'!$F$20^(P$3-'Inputs-System'!$C$7+1))*(VLOOKUP(P$3,'Embedded Emissions'!$A$47:$B$78,2,FALSE)+VLOOKUP(P$3,'Embedded Emissions'!$A$129:$B$158,2,FALSE)), $C28 = "3", ('Inputs-System'!$C$30*'Coincidence Factors'!$B$6*(1+'Inputs-System'!$C$18)*(1+'Inputs-System'!$C$41))*'Inputs-Proposals'!$F$29*'Inputs-Proposals'!$F$31*(1-'Inputs-Proposals'!$F$20^(P$3-'Inputs-System'!$C$7+1))*(VLOOKUP(P$3,'Embedded Emissions'!$A$47:$B$78,2,FALSE)+VLOOKUP(P$3,'Embedded Emissions'!$A$129:$B$158,2,FALSE)), $C28 = "0", 0), 0)</f>
        <v>0</v>
      </c>
      <c r="R28" s="349">
        <f>IFERROR(_xlfn.IFS($C28="1",( 'Inputs-System'!$C$30*'Coincidence Factors'!$B$6*(1+'Inputs-System'!$C$18)*(1+'Inputs-System'!$C$41))*('Inputs-Proposals'!$F$17*'Inputs-Proposals'!$F$19*(1-'Inputs-Proposals'!$F$20)^(P$3-'Inputs-System'!$C$7))*(VLOOKUP(P$3,DRIPE!$A$54:$I$82,5,FALSE)+VLOOKUP(P$3,DRIPE!$A$54:$I$82,9,FALSE))+ ('Inputs-System'!$C$26*'Coincidence Factors'!$B$6*(1+'Inputs-System'!$C$18)*(1+'Inputs-System'!$C$42))*'Inputs-Proposals'!$F$16*VLOOKUP(P$3,DRIPE!$A$54:$I$82,8,FALSE), $C28 = "2",( 'Inputs-System'!$C$30*'Coincidence Factors'!$B$6*(1+'Inputs-System'!$C$18)*(1+'Inputs-System'!$C$41))*('Inputs-Proposals'!$F$23*'Inputs-Proposals'!$F$25*(1-'Inputs-Proposals'!$F$26)^(P$3-'Inputs-System'!$C$7))*(VLOOKUP(P$3,DRIPE!$A$54:$I$82,5,FALSE)+VLOOKUP(P$3,DRIPE!$A$54:$I$82,9,FALSE))+ ('Inputs-System'!$C$26*'Coincidence Factors'!$B$6*(1+'Inputs-System'!$C$18)*(1+'Inputs-System'!$C$42))*'Inputs-Proposals'!$F$22*VLOOKUP(P$3,DRIPE!$A$54:$I$82,8,FALSE), $C28= "3", ( 'Inputs-System'!$C$30*'Coincidence Factors'!$B$6*(1+'Inputs-System'!$C$18)*(1+'Inputs-System'!$C$41))*('Inputs-Proposals'!$F$29*'Inputs-Proposals'!$F$31*(1-'Inputs-Proposals'!$F$32)^(P$3-'Inputs-System'!$C$7))*(VLOOKUP(P$3,DRIPE!$A$54:$I$82,5,FALSE)+VLOOKUP(P$3,DRIPE!$A$54:$I$82,9,FALSE))+ ('Inputs-System'!$C$26*'Coincidence Factors'!$B$6*(1+'Inputs-System'!$C$18)*(1+'Inputs-System'!$C$42))*'Inputs-Proposals'!$F$28*VLOOKUP(P$3,DRIPE!$A$54:$I$82,8,FALSE), $C28 = "0", 0), 0)</f>
        <v>0</v>
      </c>
      <c r="S28" s="350">
        <f>IFERROR(_xlfn.IFS($C28="1",('Inputs-System'!$C$26*'Coincidence Factors'!$B$5*(1+'Inputs-System'!$C$18)*(1+'Inputs-System'!$C$42))*'Inputs-Proposals'!$D$16*(VLOOKUP(P$3,Capacity!$A$53:$E$85,4,FALSE)*(1+'Inputs-System'!$C$42)+VLOOKUP(P$3,Capacity!$A$53:$E$85,5,FALSE)*(1+'Inputs-System'!$C$43)*'Inputs-System'!$C$29), $C28 = "2", ('Inputs-System'!$C$26*'Coincidence Factors'!$B$5*(1+'Inputs-System'!$C$18))*'Inputs-Proposals'!$D$22*(VLOOKUP(P$3,Capacity!$A$53:$E$85,4,FALSE)*(1+'Inputs-System'!$C$42)+VLOOKUP(P$3,Capacity!$A$53:$E$85,5,FALSE)*'Inputs-System'!$C$29*(1+'Inputs-System'!$C$43)), $C28 = "3", ('Inputs-System'!$C$26*'Coincidence Factors'!$B$5*(1+'Inputs-System'!$C$18))*'Inputs-Proposals'!$D$28*(VLOOKUP(P$3,Capacity!$A$53:$E$85,4,FALSE)*(1+'Inputs-System'!$C$42)+VLOOKUP(P$3,Capacity!$A$53:$E$85,5,FALSE)*'Inputs-System'!$C$29*(1+'Inputs-System'!$C$43)), $C28 = "0", 0), 0)</f>
        <v>0</v>
      </c>
      <c r="T28" s="349">
        <v>0</v>
      </c>
      <c r="U28" s="343">
        <f>IFERROR(_xlfn.IFS($C28="1", 'Inputs-System'!$C$30*'Coincidence Factors'!$B$6*'Inputs-Proposals'!$F$17*'Inputs-Proposals'!$F$19*(VLOOKUP(P$3,'Non-Embedded Emissions'!$A$56:$D$90,2,FALSE)-VLOOKUP(P$3,'Non-Embedded Emissions'!$F$57:$H$88,3,FALSE)+VLOOKUP(P$3,'Non-Embedded Emissions'!$A$143:$D$174,2,FALSE)-VLOOKUP(P$3,'Non-Embedded Emissions'!$F$143:$H$174,3,FALSE)+VLOOKUP(P$3,'Non-Embedded Emissions'!$A$230:$D$259,2,FALSE)), $C28 = "2", 'Inputs-System'!$C$30*'Coincidence Factors'!$B$6*'Inputs-Proposals'!$F$23*'Inputs-Proposals'!$F$25*(VLOOKUP(P$3,'Non-Embedded Emissions'!$A$56:$D$90,2,FALSE)-VLOOKUP(P$3,'Non-Embedded Emissions'!$F$57:$H$88,3,FALSE)+VLOOKUP(P$3,'Non-Embedded Emissions'!$A$143:$D$174,2,FALSE)-VLOOKUP(P$3,'Non-Embedded Emissions'!$F$143:$H$174,3,FALSE)+VLOOKUP(P$3,'Non-Embedded Emissions'!$A$230:$D$259,2,FALSE)), $C28 = "3", 'Inputs-System'!$C$30*'Coincidence Factors'!$B$6*'Inputs-Proposals'!$F$29*'Inputs-Proposals'!$F$31*(VLOOKUP(P$3,'Non-Embedded Emissions'!$A$56:$D$90,2,FALSE)-VLOOKUP(P$3,'Non-Embedded Emissions'!$F$57:$H$88,3,FALSE)+VLOOKUP(P$3,'Non-Embedded Emissions'!$A$143:$D$174,2,FALSE)-VLOOKUP(P$3,'Non-Embedded Emissions'!$F$143:$H$174,3,FALSE)+VLOOKUP(P$3,'Non-Embedded Emissions'!$A$230:$D$259,2,FALSE)), $C28 = "0", 0), 0)</f>
        <v>0</v>
      </c>
      <c r="V28" s="45">
        <f>IFERROR(_xlfn.IFS($C28="1",('Inputs-System'!$C$30*'Coincidence Factors'!$B$10*(1+'Inputs-System'!$C$18)*(1+'Inputs-System'!$C$41)*('Inputs-Proposals'!$F$17*'Inputs-Proposals'!$F$19*(1-'Inputs-Proposals'!$F$20^(V$3-'Inputs-System'!$C$7)))*(VLOOKUP(V$3,Energy!$A$51:$K$83,5,FALSE))), $C28 = "2",('Inputs-System'!$C$30*'Coincidence Factors'!$B$10)*(1+'Inputs-System'!$C$18)*(1+'Inputs-System'!$C$41)*('Inputs-Proposals'!$F$23*'Inputs-Proposals'!$F$25*(1-'Inputs-Proposals'!$F$26^(V$3-'Inputs-System'!$C$7)))*(VLOOKUP(V$3,Energy!$A$51:$K$83,5,FALSE)), $C28= "3", ('Inputs-System'!$C$30*'Coincidence Factors'!$B$10*(1+'Inputs-System'!$C$18)*(1+'Inputs-System'!$C$41)*('Inputs-Proposals'!$F$29*'Inputs-Proposals'!$F$31*(1-'Inputs-Proposals'!$F$32^(V$3-'Inputs-System'!$C$7)))*(VLOOKUP(V$3,Energy!$A$51:$K$83,5,FALSE))), $C28= "0", 0), 0)</f>
        <v>0</v>
      </c>
      <c r="W28" s="44">
        <f>IFERROR(_xlfn.IFS($C28="1",('Inputs-System'!$C$30*'Coincidence Factors'!$B$10*(1+'Inputs-System'!$C$18)*(1+'Inputs-System'!$C$41))*'Inputs-Proposals'!$F$17*'Inputs-Proposals'!$F$19*(1-'Inputs-Proposals'!$F$20^(V$3-'Inputs-System'!$C$7))*(VLOOKUP(V$3,'Embedded Emissions'!$A$47:$B$78,2,FALSE)+VLOOKUP(V$3,'Embedded Emissions'!$A$129:$B$158,2,FALSE)), $C28 = "2",('Inputs-System'!$C$30*'Coincidence Factors'!$B$10*(1+'Inputs-System'!$C$18)*(1+'Inputs-System'!$C$41))*'Inputs-Proposals'!$F$23*'Inputs-Proposals'!$F$25*(1-'Inputs-Proposals'!$F$20^(V$3-'Inputs-System'!$C$7))*(VLOOKUP(V$3,'Embedded Emissions'!$A$47:$B$78,2,FALSE)+VLOOKUP(V$3,'Embedded Emissions'!$A$129:$B$158,2,FALSE)), $C28 = "3", ('Inputs-System'!$C$30*'Coincidence Factors'!$B$10*(1+'Inputs-System'!$C$18)*(1+'Inputs-System'!$C$41))*'Inputs-Proposals'!$F$29*'Inputs-Proposals'!$F$31*(1-'Inputs-Proposals'!$F$20^(V$3-'Inputs-System'!$C$7))*(VLOOKUP(V$3,'Embedded Emissions'!$A$47:$B$78,2,FALSE)+VLOOKUP(V$3,'Embedded Emissions'!$A$129:$B$158,2,FALSE)), $C28 = "0", 0), 0)</f>
        <v>0</v>
      </c>
      <c r="X28" s="349">
        <f>IFERROR(_xlfn.IFS($C28="1",( 'Inputs-System'!$C$30*'Coincidence Factors'!$B$6*(1+'Inputs-System'!$C$18)*(1+'Inputs-System'!$C$41))*('Inputs-Proposals'!$F$17*'Inputs-Proposals'!$F$19*(1-'Inputs-Proposals'!$F$20)^(V$3-'Inputs-System'!$C$7))*(VLOOKUP(V$3,DRIPE!$A$54:$I$82,5,FALSE)+VLOOKUP(V$3,DRIPE!$A$54:$I$82,9,FALSE))+ ('Inputs-System'!$C$26*'Coincidence Factors'!$B$6*(1+'Inputs-System'!$C$18)*(1+'Inputs-System'!$C$42))*'Inputs-Proposals'!$F$16*VLOOKUP(V$3,DRIPE!$A$54:$I$82,8,FALSE), $C28 = "2",( 'Inputs-System'!$C$30*'Coincidence Factors'!$B$6*(1+'Inputs-System'!$C$18)*(1+'Inputs-System'!$C$41))*('Inputs-Proposals'!$F$23*'Inputs-Proposals'!$F$25*(1-'Inputs-Proposals'!$F$26)^(V$3-'Inputs-System'!$C$7))*(VLOOKUP(V$3,DRIPE!$A$54:$I$82,5,FALSE)+VLOOKUP(V$3,DRIPE!$A$54:$I$82,9,FALSE))+ ('Inputs-System'!$C$26*'Coincidence Factors'!$B$6*(1+'Inputs-System'!$C$18)*(1+'Inputs-System'!$C$42))*'Inputs-Proposals'!$F$22*VLOOKUP(V$3,DRIPE!$A$54:$I$82,8,FALSE), $C28= "3", ( 'Inputs-System'!$C$30*'Coincidence Factors'!$B$6*(1+'Inputs-System'!$C$18)*(1+'Inputs-System'!$C$41))*('Inputs-Proposals'!$F$29*'Inputs-Proposals'!$F$31*(1-'Inputs-Proposals'!$F$32)^(V$3-'Inputs-System'!$C$7))*(VLOOKUP(V$3,DRIPE!$A$54:$I$82,5,FALSE)+VLOOKUP(V$3,DRIPE!$A$54:$I$82,9,FALSE))+ ('Inputs-System'!$C$26*'Coincidence Factors'!$B$6*(1+'Inputs-System'!$C$18)*(1+'Inputs-System'!$C$42))*'Inputs-Proposals'!$F$28*VLOOKUP(V$3,DRIPE!$A$54:$I$82,8,FALSE), $C28 = "0", 0), 0)</f>
        <v>0</v>
      </c>
      <c r="Y28" s="350">
        <f>IFERROR(_xlfn.IFS($C28="1",('Inputs-System'!$C$26*'Coincidence Factors'!$B$5*(1+'Inputs-System'!$C$18)*(1+'Inputs-System'!$C$42))*'Inputs-Proposals'!$D$16*(VLOOKUP(V$3,Capacity!$A$53:$E$85,4,FALSE)*(1+'Inputs-System'!$C$42)+VLOOKUP(V$3,Capacity!$A$53:$E$85,5,FALSE)*(1+'Inputs-System'!$C$43)*'Inputs-System'!$C$29), $C28 = "2", ('Inputs-System'!$C$26*'Coincidence Factors'!$B$5*(1+'Inputs-System'!$C$18))*'Inputs-Proposals'!$D$22*(VLOOKUP(V$3,Capacity!$A$53:$E$85,4,FALSE)*(1+'Inputs-System'!$C$42)+VLOOKUP(V$3,Capacity!$A$53:$E$85,5,FALSE)*'Inputs-System'!$C$29*(1+'Inputs-System'!$C$43)), $C28 = "3", ('Inputs-System'!$C$26*'Coincidence Factors'!$B$5*(1+'Inputs-System'!$C$18))*'Inputs-Proposals'!$D$28*(VLOOKUP(V$3,Capacity!$A$53:$E$85,4,FALSE)*(1+'Inputs-System'!$C$42)+VLOOKUP(V$3,Capacity!$A$53:$E$85,5,FALSE)*'Inputs-System'!$C$29*(1+'Inputs-System'!$C$43)), $C28 = "0", 0), 0)</f>
        <v>0</v>
      </c>
      <c r="Z28" s="44">
        <v>0</v>
      </c>
      <c r="AA28" s="342">
        <f>IFERROR(_xlfn.IFS($C28="1", 'Inputs-System'!$C$30*'Coincidence Factors'!$B$10*'Inputs-Proposals'!$F$17*'Inputs-Proposals'!$F$19*(VLOOKUP(V$3,'Non-Embedded Emissions'!$A$56:$D$90,2,FALSE)-VLOOKUP(V$3,'Non-Embedded Emissions'!$F$57:$H$88,3,FALSE)+VLOOKUP(V$3,'Non-Embedded Emissions'!$A$143:$D$174,2,FALSE)-VLOOKUP(V$3,'Non-Embedded Emissions'!$F$143:$H$174,3,FALSE)+VLOOKUP(V$3,'Non-Embedded Emissions'!$A$230:$D$259,2,FALSE)), $C28 = "2", 'Inputs-System'!$C$30*'Coincidence Factors'!$B$10*'Inputs-Proposals'!$F$23*'Inputs-Proposals'!$F$25*(VLOOKUP(V$3,'Non-Embedded Emissions'!$A$56:$D$90,2,FALSE)-VLOOKUP(V$3,'Non-Embedded Emissions'!$F$57:$H$88,3,FALSE)+VLOOKUP(V$3,'Non-Embedded Emissions'!$A$143:$D$174,2,FALSE)-VLOOKUP(V$3,'Non-Embedded Emissions'!$F$143:$H$174,3,FALSE)+VLOOKUP(V$3,'Non-Embedded Emissions'!$A$230:$D$259,2,FALSE)), $C28 = "3", 'Inputs-System'!$C$30*'Coincidence Factors'!$B$10*'Inputs-Proposals'!$F$29*'Inputs-Proposals'!$F$31*(VLOOKUP(V$3,'Non-Embedded Emissions'!$A$56:$D$90,2,FALSE)-VLOOKUP(V$3,'Non-Embedded Emissions'!$F$57:$H$88,3,FALSE)+VLOOKUP(V$3,'Non-Embedded Emissions'!$A$143:$D$174,2,FALSE)-VLOOKUP(V$3,'Non-Embedded Emissions'!$F$143:$H$174,3,FALSE)+VLOOKUP(V$3,'Non-Embedded Emissions'!$A$230:$D$259,2,FALSE)), $C28 = "0", 0), 0)</f>
        <v>0</v>
      </c>
      <c r="AB28" s="45">
        <f>IFERROR(_xlfn.IFS($C28="1",('Inputs-System'!$C$30*'Coincidence Factors'!$B$10*(1+'Inputs-System'!$C$18)*(1+'Inputs-System'!$C$41)*('Inputs-Proposals'!$F$17*'Inputs-Proposals'!$F$19*(1-'Inputs-Proposals'!$F$20^(AB$3-'Inputs-System'!$C$7)))*(VLOOKUP(AB$3,Energy!$A$51:$K$83,5,FALSE))), $C28 = "2",('Inputs-System'!$C$30*'Coincidence Factors'!$B$10)*(1+'Inputs-System'!$C$18)*(1+'Inputs-System'!$C$41)*('Inputs-Proposals'!$F$23*'Inputs-Proposals'!$F$25*(1-'Inputs-Proposals'!$F$26^(AB$3-'Inputs-System'!$C$7)))*(VLOOKUP(AB$3,Energy!$A$51:$K$83,5,FALSE)), $C28= "3", ('Inputs-System'!$C$30*'Coincidence Factors'!$B$10*(1+'Inputs-System'!$C$18)*(1+'Inputs-System'!$C$41)*('Inputs-Proposals'!$F$29*'Inputs-Proposals'!$F$31*(1-'Inputs-Proposals'!$F$32^(AB$3-'Inputs-System'!$C$7)))*(VLOOKUP(AB$3,Energy!$A$51:$K$83,5,FALSE))), $C28= "0", 0), 0)</f>
        <v>0</v>
      </c>
      <c r="AC28" s="44">
        <f>IFERROR(_xlfn.IFS($C28="1",('Inputs-System'!$C$30*'Coincidence Factors'!$B$10*(1+'Inputs-System'!$C$18)*(1+'Inputs-System'!$C$41))*'Inputs-Proposals'!$F$17*'Inputs-Proposals'!$F$19*(1-'Inputs-Proposals'!$F$20^(AB$3-'Inputs-System'!$C$7))*(VLOOKUP(AB$3,'Embedded Emissions'!$A$47:$B$78,2,FALSE)+VLOOKUP(AB$3,'Embedded Emissions'!$A$129:$B$158,2,FALSE)), $C28 = "2",('Inputs-System'!$C$30*'Coincidence Factors'!$B$10*(1+'Inputs-System'!$C$18)*(1+'Inputs-System'!$C$41))*'Inputs-Proposals'!$F$23*'Inputs-Proposals'!$F$25*(1-'Inputs-Proposals'!$F$20^(AB$3-'Inputs-System'!$C$7))*(VLOOKUP(AB$3,'Embedded Emissions'!$A$47:$B$78,2,FALSE)+VLOOKUP(AB$3,'Embedded Emissions'!$A$129:$B$158,2,FALSE)), $C28 = "3", ('Inputs-System'!$C$30*'Coincidence Factors'!$B$10*(1+'Inputs-System'!$C$18)*(1+'Inputs-System'!$C$41))*'Inputs-Proposals'!$F$29*'Inputs-Proposals'!$F$31*(1-'Inputs-Proposals'!$F$20^(AB$3-'Inputs-System'!$C$7))*(VLOOKUP(AB$3,'Embedded Emissions'!$A$47:$B$78,2,FALSE)+VLOOKUP(AB$3,'Embedded Emissions'!$A$129:$B$158,2,FALSE)), $C28 = "0", 0), 0)</f>
        <v>0</v>
      </c>
      <c r="AD28" s="349">
        <f>IFERROR(_xlfn.IFS($C28="1",( 'Inputs-System'!$C$30*'Coincidence Factors'!$B$6*(1+'Inputs-System'!$C$18)*(1+'Inputs-System'!$C$41))*('Inputs-Proposals'!$F$17*'Inputs-Proposals'!$F$19*(1-'Inputs-Proposals'!$F$20)^(AB$3-'Inputs-System'!$C$7))*(VLOOKUP(AB$3,DRIPE!$A$54:$I$82,5,FALSE)+VLOOKUP(AB$3,DRIPE!$A$54:$I$82,9,FALSE))+ ('Inputs-System'!$C$26*'Coincidence Factors'!$B$6*(1+'Inputs-System'!$C$18)*(1+'Inputs-System'!$C$42))*'Inputs-Proposals'!$F$16*VLOOKUP(AB$3,DRIPE!$A$54:$I$82,8,FALSE), $C28 = "2",( 'Inputs-System'!$C$30*'Coincidence Factors'!$B$6*(1+'Inputs-System'!$C$18)*(1+'Inputs-System'!$C$41))*('Inputs-Proposals'!$F$23*'Inputs-Proposals'!$F$25*(1-'Inputs-Proposals'!$F$26)^(AB$3-'Inputs-System'!$C$7))*(VLOOKUP(AB$3,DRIPE!$A$54:$I$82,5,FALSE)+VLOOKUP(AB$3,DRIPE!$A$54:$I$82,9,FALSE))+ ('Inputs-System'!$C$26*'Coincidence Factors'!$B$6*(1+'Inputs-System'!$C$18)*(1+'Inputs-System'!$C$42))*'Inputs-Proposals'!$F$22*VLOOKUP(AB$3,DRIPE!$A$54:$I$82,8,FALSE), $C28= "3", ( 'Inputs-System'!$C$30*'Coincidence Factors'!$B$6*(1+'Inputs-System'!$C$18)*(1+'Inputs-System'!$C$41))*('Inputs-Proposals'!$F$29*'Inputs-Proposals'!$F$31*(1-'Inputs-Proposals'!$F$32)^(AB$3-'Inputs-System'!$C$7))*(VLOOKUP(AB$3,DRIPE!$A$54:$I$82,5,FALSE)+VLOOKUP(AB$3,DRIPE!$A$54:$I$82,9,FALSE))+ ('Inputs-System'!$C$26*'Coincidence Factors'!$B$6*(1+'Inputs-System'!$C$18)*(1+'Inputs-System'!$C$42))*'Inputs-Proposals'!$F$28*VLOOKUP(AB$3,DRIPE!$A$54:$I$82,8,FALSE), $C28 = "0", 0), 0)</f>
        <v>0</v>
      </c>
      <c r="AE28" s="350">
        <f>IFERROR(_xlfn.IFS($C28="1",('Inputs-System'!$C$26*'Coincidence Factors'!$B$5*(1+'Inputs-System'!$C$18)*(1+'Inputs-System'!$C$42))*'Inputs-Proposals'!$D$16*(VLOOKUP(AB$3,Capacity!$A$53:$E$85,4,FALSE)*(1+'Inputs-System'!$C$42)+VLOOKUP(AB$3,Capacity!$A$53:$E$85,5,FALSE)*(1+'Inputs-System'!$C$43)*'Inputs-System'!$C$29), $C28 = "2", ('Inputs-System'!$C$26*'Coincidence Factors'!$B$5*(1+'Inputs-System'!$C$18))*'Inputs-Proposals'!$D$22*(VLOOKUP(AB$3,Capacity!$A$53:$E$85,4,FALSE)*(1+'Inputs-System'!$C$42)+VLOOKUP(AB$3,Capacity!$A$53:$E$85,5,FALSE)*'Inputs-System'!$C$29*(1+'Inputs-System'!$C$43)), $C28 = "3", ('Inputs-System'!$C$26*'Coincidence Factors'!$B$5*(1+'Inputs-System'!$C$18))*'Inputs-Proposals'!$D$28*(VLOOKUP(AB$3,Capacity!$A$53:$E$85,4,FALSE)*(1+'Inputs-System'!$C$42)+VLOOKUP(AB$3,Capacity!$A$53:$E$85,5,FALSE)*'Inputs-System'!$C$29*(1+'Inputs-System'!$C$43)), $C28 = "0", 0), 0)</f>
        <v>0</v>
      </c>
      <c r="AF28" s="44">
        <v>0</v>
      </c>
      <c r="AG28" s="342">
        <f>IFERROR(_xlfn.IFS($C28="1", 'Inputs-System'!$C$30*'Coincidence Factors'!$B$10*'Inputs-Proposals'!$F$17*'Inputs-Proposals'!$F$19*(VLOOKUP(AB$3,'Non-Embedded Emissions'!$A$56:$D$90,2,FALSE)-VLOOKUP(AB$3,'Non-Embedded Emissions'!$F$57:$H$88,3,FALSE)+VLOOKUP(AB$3,'Non-Embedded Emissions'!$A$143:$D$174,2,FALSE)-VLOOKUP(AB$3,'Non-Embedded Emissions'!$F$143:$H$174,3,FALSE)+VLOOKUP(AB$3,'Non-Embedded Emissions'!$A$230:$D$259,2,FALSE)), $C28 = "2", 'Inputs-System'!$C$30*'Coincidence Factors'!$B$10*'Inputs-Proposals'!$F$23*'Inputs-Proposals'!$F$25*(VLOOKUP(AB$3,'Non-Embedded Emissions'!$A$56:$D$90,2,FALSE)-VLOOKUP(AB$3,'Non-Embedded Emissions'!$F$57:$H$88,3,FALSE)+VLOOKUP(AB$3,'Non-Embedded Emissions'!$A$143:$D$174,2,FALSE)-VLOOKUP(AB$3,'Non-Embedded Emissions'!$F$143:$H$174,3,FALSE)+VLOOKUP(AB$3,'Non-Embedded Emissions'!$A$230:$D$259,2,FALSE)), $C28 = "3", 'Inputs-System'!$C$30*'Coincidence Factors'!$B$10*'Inputs-Proposals'!$F$29*'Inputs-Proposals'!$F$31*(VLOOKUP(AB$3,'Non-Embedded Emissions'!$A$56:$D$90,2,FALSE)-VLOOKUP(AB$3,'Non-Embedded Emissions'!$F$57:$H$88,3,FALSE)+VLOOKUP(AB$3,'Non-Embedded Emissions'!$A$143:$D$174,2,FALSE)-VLOOKUP(AB$3,'Non-Embedded Emissions'!$F$143:$H$174,3,FALSE)+VLOOKUP(AB$3,'Non-Embedded Emissions'!$A$230:$D$259,2,FALSE)), $C28 = "0", 0), 0)</f>
        <v>0</v>
      </c>
      <c r="AH28" s="45">
        <f>IFERROR(_xlfn.IFS($C28="1",('Inputs-System'!$C$30*'Coincidence Factors'!$B$10*(1+'Inputs-System'!$C$18)*(1+'Inputs-System'!$C$41)*('Inputs-Proposals'!$F$17*'Inputs-Proposals'!$F$19*(1-'Inputs-Proposals'!$F$20^(AH$3-'Inputs-System'!$C$7)))*(VLOOKUP(AH$3,Energy!$A$51:$K$83,5,FALSE))), $C28 = "2",('Inputs-System'!$C$30*'Coincidence Factors'!$B$10)*(1+'Inputs-System'!$C$18)*(1+'Inputs-System'!$C$41)*('Inputs-Proposals'!$F$23*'Inputs-Proposals'!$F$25*(1-'Inputs-Proposals'!$F$26^(AH$3-'Inputs-System'!$C$7)))*(VLOOKUP(AH$3,Energy!$A$51:$K$83,5,FALSE)), $C28= "3", ('Inputs-System'!$C$30*'Coincidence Factors'!$B$10*(1+'Inputs-System'!$C$18)*(1+'Inputs-System'!$C$41)*('Inputs-Proposals'!$F$29*'Inputs-Proposals'!$F$31*(1-'Inputs-Proposals'!$F$32^(AH$3-'Inputs-System'!$C$7)))*(VLOOKUP(AH$3,Energy!$A$51:$K$83,5,FALSE))), $C28= "0", 0), 0)</f>
        <v>0</v>
      </c>
      <c r="AI28" s="44">
        <f>IFERROR(_xlfn.IFS($C28="1",('Inputs-System'!$C$30*'Coincidence Factors'!$B$10*(1+'Inputs-System'!$C$18)*(1+'Inputs-System'!$C$41))*'Inputs-Proposals'!$F$17*'Inputs-Proposals'!$F$19*(1-'Inputs-Proposals'!$F$20^(AH$3-'Inputs-System'!$C$7))*(VLOOKUP(AH$3,'Embedded Emissions'!$A$47:$B$78,2,FALSE)+VLOOKUP(AH$3,'Embedded Emissions'!$A$129:$B$158,2,FALSE)), $C28 = "2",('Inputs-System'!$C$30*'Coincidence Factors'!$B$10*(1+'Inputs-System'!$C$18)*(1+'Inputs-System'!$C$41))*'Inputs-Proposals'!$F$23*'Inputs-Proposals'!$F$25*(1-'Inputs-Proposals'!$F$20^(AH$3-'Inputs-System'!$C$7))*(VLOOKUP(AH$3,'Embedded Emissions'!$A$47:$B$78,2,FALSE)+VLOOKUP(AH$3,'Embedded Emissions'!$A$129:$B$158,2,FALSE)), $C28 = "3", ('Inputs-System'!$C$30*'Coincidence Factors'!$B$10*(1+'Inputs-System'!$C$18)*(1+'Inputs-System'!$C$41))*'Inputs-Proposals'!$F$29*'Inputs-Proposals'!$F$31*(1-'Inputs-Proposals'!$F$20^(AH$3-'Inputs-System'!$C$7))*(VLOOKUP(AH$3,'Embedded Emissions'!$A$47:$B$78,2,FALSE)+VLOOKUP(AH$3,'Embedded Emissions'!$A$129:$B$158,2,FALSE)), $C28 = "0", 0), 0)</f>
        <v>0</v>
      </c>
      <c r="AJ28" s="349">
        <f>IFERROR(_xlfn.IFS($C28="1",( 'Inputs-System'!$C$30*'Coincidence Factors'!$B$6*(1+'Inputs-System'!$C$18)*(1+'Inputs-System'!$C$41))*('Inputs-Proposals'!$F$17*'Inputs-Proposals'!$F$19*(1-'Inputs-Proposals'!$F$20)^(AH$3-'Inputs-System'!$C$7))*(VLOOKUP(AH$3,DRIPE!$A$54:$I$82,5,FALSE)+VLOOKUP(AH$3,DRIPE!$A$54:$I$82,9,FALSE))+ ('Inputs-System'!$C$26*'Coincidence Factors'!$B$6*(1+'Inputs-System'!$C$18)*(1+'Inputs-System'!$C$42))*'Inputs-Proposals'!$F$16*VLOOKUP(AH$3,DRIPE!$A$54:$I$82,8,FALSE), $C28 = "2",( 'Inputs-System'!$C$30*'Coincidence Factors'!$B$6*(1+'Inputs-System'!$C$18)*(1+'Inputs-System'!$C$41))*('Inputs-Proposals'!$F$23*'Inputs-Proposals'!$F$25*(1-'Inputs-Proposals'!$F$26)^(AH$3-'Inputs-System'!$C$7))*(VLOOKUP(AH$3,DRIPE!$A$54:$I$82,5,FALSE)+VLOOKUP(AH$3,DRIPE!$A$54:$I$82,9,FALSE))+ ('Inputs-System'!$C$26*'Coincidence Factors'!$B$6*(1+'Inputs-System'!$C$18)*(1+'Inputs-System'!$C$42))*'Inputs-Proposals'!$F$22*VLOOKUP(AH$3,DRIPE!$A$54:$I$82,8,FALSE), $C28= "3", ( 'Inputs-System'!$C$30*'Coincidence Factors'!$B$6*(1+'Inputs-System'!$C$18)*(1+'Inputs-System'!$C$41))*('Inputs-Proposals'!$F$29*'Inputs-Proposals'!$F$31*(1-'Inputs-Proposals'!$F$32)^(AH$3-'Inputs-System'!$C$7))*(VLOOKUP(AH$3,DRIPE!$A$54:$I$82,5,FALSE)+VLOOKUP(AH$3,DRIPE!$A$54:$I$82,9,FALSE))+ ('Inputs-System'!$C$26*'Coincidence Factors'!$B$6*(1+'Inputs-System'!$C$18)*(1+'Inputs-System'!$C$42))*'Inputs-Proposals'!$F$28*VLOOKUP(AH$3,DRIPE!$A$54:$I$82,8,FALSE), $C28 = "0", 0), 0)</f>
        <v>0</v>
      </c>
      <c r="AK28" s="350">
        <f>IFERROR(_xlfn.IFS($C28="1",('Inputs-System'!$C$26*'Coincidence Factors'!$B$5*(1+'Inputs-System'!$C$18)*(1+'Inputs-System'!$C$42))*'Inputs-Proposals'!$D$16*(VLOOKUP(AH$3,Capacity!$A$53:$E$85,4,FALSE)*(1+'Inputs-System'!$C$42)+VLOOKUP(AH$3,Capacity!$A$53:$E$85,5,FALSE)*(1+'Inputs-System'!$C$43)*'Inputs-System'!$C$29), $C28 = "2", ('Inputs-System'!$C$26*'Coincidence Factors'!$B$5*(1+'Inputs-System'!$C$18))*'Inputs-Proposals'!$D$22*(VLOOKUP(AH$3,Capacity!$A$53:$E$85,4,FALSE)*(1+'Inputs-System'!$C$42)+VLOOKUP(AH$3,Capacity!$A$53:$E$85,5,FALSE)*'Inputs-System'!$C$29*(1+'Inputs-System'!$C$43)), $C28 = "3", ('Inputs-System'!$C$26*'Coincidence Factors'!$B$5*(1+'Inputs-System'!$C$18))*'Inputs-Proposals'!$D$28*(VLOOKUP(AH$3,Capacity!$A$53:$E$85,4,FALSE)*(1+'Inputs-System'!$C$42)+VLOOKUP(AH$3,Capacity!$A$53:$E$85,5,FALSE)*'Inputs-System'!$C$29*(1+'Inputs-System'!$C$43)), $C28 = "0", 0), 0)</f>
        <v>0</v>
      </c>
      <c r="AL28" s="44">
        <v>0</v>
      </c>
      <c r="AM28" s="342">
        <f>IFERROR(_xlfn.IFS($C28="1", 'Inputs-System'!$C$30*'Coincidence Factors'!$B$10*'Inputs-Proposals'!$F$17*'Inputs-Proposals'!$F$19*(VLOOKUP(AH$3,'Non-Embedded Emissions'!$A$56:$D$90,2,FALSE)-VLOOKUP(AH$3,'Non-Embedded Emissions'!$F$57:$H$88,3,FALSE)+VLOOKUP(AH$3,'Non-Embedded Emissions'!$A$143:$D$174,2,FALSE)-VLOOKUP(AH$3,'Non-Embedded Emissions'!$F$143:$H$174,3,FALSE)+VLOOKUP(AH$3,'Non-Embedded Emissions'!$A$230:$D$259,2,FALSE)), $C28 = "2", 'Inputs-System'!$C$30*'Coincidence Factors'!$B$10*'Inputs-Proposals'!$F$23*'Inputs-Proposals'!$F$25*(VLOOKUP(AH$3,'Non-Embedded Emissions'!$A$56:$D$90,2,FALSE)-VLOOKUP(AH$3,'Non-Embedded Emissions'!$F$57:$H$88,3,FALSE)+VLOOKUP(AH$3,'Non-Embedded Emissions'!$A$143:$D$174,2,FALSE)-VLOOKUP(AH$3,'Non-Embedded Emissions'!$F$143:$H$174,3,FALSE)+VLOOKUP(AH$3,'Non-Embedded Emissions'!$A$230:$D$259,2,FALSE)), $C28 = "3", 'Inputs-System'!$C$30*'Coincidence Factors'!$B$10*'Inputs-Proposals'!$F$29*'Inputs-Proposals'!$F$31*(VLOOKUP(AH$3,'Non-Embedded Emissions'!$A$56:$D$90,2,FALSE)-VLOOKUP(AH$3,'Non-Embedded Emissions'!$F$57:$H$88,3,FALSE)+VLOOKUP(AH$3,'Non-Embedded Emissions'!$A$143:$D$174,2,FALSE)-VLOOKUP(AH$3,'Non-Embedded Emissions'!$F$143:$H$174,3,FALSE)+VLOOKUP(AH$3,'Non-Embedded Emissions'!$A$230:$D$259,2,FALSE)), $C28 = "0", 0), 0)</f>
        <v>0</v>
      </c>
      <c r="AN28" s="45">
        <f>IFERROR(_xlfn.IFS($C28="1",('Inputs-System'!$C$30*'Coincidence Factors'!$B$10*(1+'Inputs-System'!$C$18)*(1+'Inputs-System'!$C$41)*('Inputs-Proposals'!$F$17*'Inputs-Proposals'!$F$19*(1-'Inputs-Proposals'!$F$20^(AN$3-'Inputs-System'!$C$7)))*(VLOOKUP(AN$3,Energy!$A$51:$K$83,5,FALSE))), $C28 = "2",('Inputs-System'!$C$30*'Coincidence Factors'!$B$10)*(1+'Inputs-System'!$C$18)*(1+'Inputs-System'!$C$41)*('Inputs-Proposals'!$F$23*'Inputs-Proposals'!$F$25*(1-'Inputs-Proposals'!$F$26^(AN$3-'Inputs-System'!$C$7)))*(VLOOKUP(AN$3,Energy!$A$51:$K$83,5,FALSE)), $C28= "3", ('Inputs-System'!$C$30*'Coincidence Factors'!$B$10*(1+'Inputs-System'!$C$18)*(1+'Inputs-System'!$C$41)*('Inputs-Proposals'!$F$29*'Inputs-Proposals'!$F$31*(1-'Inputs-Proposals'!$F$32^(AN$3-'Inputs-System'!$C$7)))*(VLOOKUP(AN$3,Energy!$A$51:$K$83,5,FALSE))), $C28= "0", 0), 0)</f>
        <v>0</v>
      </c>
      <c r="AO28" s="44">
        <f>IFERROR(_xlfn.IFS($C28="1",('Inputs-System'!$C$30*'Coincidence Factors'!$B$10*(1+'Inputs-System'!$C$18)*(1+'Inputs-System'!$C$41))*'Inputs-Proposals'!$F$17*'Inputs-Proposals'!$F$19*(1-'Inputs-Proposals'!$F$20^(AN$3-'Inputs-System'!$C$7))*(VLOOKUP(AN$3,'Embedded Emissions'!$A$47:$B$78,2,FALSE)+VLOOKUP(AN$3,'Embedded Emissions'!$A$129:$B$158,2,FALSE)), $C28 = "2",('Inputs-System'!$C$30*'Coincidence Factors'!$B$10*(1+'Inputs-System'!$C$18)*(1+'Inputs-System'!$C$41))*'Inputs-Proposals'!$F$23*'Inputs-Proposals'!$F$25*(1-'Inputs-Proposals'!$F$20^(AN$3-'Inputs-System'!$C$7))*(VLOOKUP(AN$3,'Embedded Emissions'!$A$47:$B$78,2,FALSE)+VLOOKUP(AN$3,'Embedded Emissions'!$A$129:$B$158,2,FALSE)), $C28 = "3", ('Inputs-System'!$C$30*'Coincidence Factors'!$B$10*(1+'Inputs-System'!$C$18)*(1+'Inputs-System'!$C$41))*'Inputs-Proposals'!$F$29*'Inputs-Proposals'!$F$31*(1-'Inputs-Proposals'!$F$20^(AN$3-'Inputs-System'!$C$7))*(VLOOKUP(AN$3,'Embedded Emissions'!$A$47:$B$78,2,FALSE)+VLOOKUP(AN$3,'Embedded Emissions'!$A$129:$B$158,2,FALSE)), $C28 = "0", 0), 0)</f>
        <v>0</v>
      </c>
      <c r="AP28" s="349">
        <f>IFERROR(_xlfn.IFS($C28="1",( 'Inputs-System'!$C$30*'Coincidence Factors'!$B$6*(1+'Inputs-System'!$C$18)*(1+'Inputs-System'!$C$41))*('Inputs-Proposals'!$F$17*'Inputs-Proposals'!$F$19*(1-'Inputs-Proposals'!$F$20)^(AN$3-'Inputs-System'!$C$7))*(VLOOKUP(AN$3,DRIPE!$A$54:$I$82,5,FALSE)+VLOOKUP(AN$3,DRIPE!$A$54:$I$82,9,FALSE))+ ('Inputs-System'!$C$26*'Coincidence Factors'!$B$6*(1+'Inputs-System'!$C$18)*(1+'Inputs-System'!$C$42))*'Inputs-Proposals'!$F$16*VLOOKUP(AN$3,DRIPE!$A$54:$I$82,8,FALSE), $C28 = "2",( 'Inputs-System'!$C$30*'Coincidence Factors'!$B$6*(1+'Inputs-System'!$C$18)*(1+'Inputs-System'!$C$41))*('Inputs-Proposals'!$F$23*'Inputs-Proposals'!$F$25*(1-'Inputs-Proposals'!$F$26)^(AN$3-'Inputs-System'!$C$7))*(VLOOKUP(AN$3,DRIPE!$A$54:$I$82,5,FALSE)+VLOOKUP(AN$3,DRIPE!$A$54:$I$82,9,FALSE))+ ('Inputs-System'!$C$26*'Coincidence Factors'!$B$6*(1+'Inputs-System'!$C$18)*(1+'Inputs-System'!$C$42))*'Inputs-Proposals'!$F$22*VLOOKUP(AN$3,DRIPE!$A$54:$I$82,8,FALSE), $C28= "3", ( 'Inputs-System'!$C$30*'Coincidence Factors'!$B$6*(1+'Inputs-System'!$C$18)*(1+'Inputs-System'!$C$41))*('Inputs-Proposals'!$F$29*'Inputs-Proposals'!$F$31*(1-'Inputs-Proposals'!$F$32)^(AN$3-'Inputs-System'!$C$7))*(VLOOKUP(AN$3,DRIPE!$A$54:$I$82,5,FALSE)+VLOOKUP(AN$3,DRIPE!$A$54:$I$82,9,FALSE))+ ('Inputs-System'!$C$26*'Coincidence Factors'!$B$6*(1+'Inputs-System'!$C$18)*(1+'Inputs-System'!$C$42))*'Inputs-Proposals'!$F$28*VLOOKUP(AN$3,DRIPE!$A$54:$I$82,8,FALSE), $C28 = "0", 0), 0)</f>
        <v>0</v>
      </c>
      <c r="AQ28" s="350">
        <f>IFERROR(_xlfn.IFS($C28="1",('Inputs-System'!$C$26*'Coincidence Factors'!$B$5*(1+'Inputs-System'!$C$18)*(1+'Inputs-System'!$C$42))*'Inputs-Proposals'!$D$16*(VLOOKUP(AN$3,Capacity!$A$53:$E$85,4,FALSE)*(1+'Inputs-System'!$C$42)+VLOOKUP(AN$3,Capacity!$A$53:$E$85,5,FALSE)*(1+'Inputs-System'!$C$43)*'Inputs-System'!$C$29), $C28 = "2", ('Inputs-System'!$C$26*'Coincidence Factors'!$B$5*(1+'Inputs-System'!$C$18))*'Inputs-Proposals'!$D$22*(VLOOKUP(AN$3,Capacity!$A$53:$E$85,4,FALSE)*(1+'Inputs-System'!$C$42)+VLOOKUP(AN$3,Capacity!$A$53:$E$85,5,FALSE)*'Inputs-System'!$C$29*(1+'Inputs-System'!$C$43)), $C28 = "3", ('Inputs-System'!$C$26*'Coincidence Factors'!$B$5*(1+'Inputs-System'!$C$18))*'Inputs-Proposals'!$D$28*(VLOOKUP(AN$3,Capacity!$A$53:$E$85,4,FALSE)*(1+'Inputs-System'!$C$42)+VLOOKUP(AN$3,Capacity!$A$53:$E$85,5,FALSE)*'Inputs-System'!$C$29*(1+'Inputs-System'!$C$43)), $C28 = "0", 0), 0)</f>
        <v>0</v>
      </c>
      <c r="AR28" s="44">
        <v>0</v>
      </c>
      <c r="AS28" s="342">
        <f>IFERROR(_xlfn.IFS($C28="1", 'Inputs-System'!$C$30*'Coincidence Factors'!$B$10*'Inputs-Proposals'!$F$17*'Inputs-Proposals'!$F$19*(VLOOKUP(AN$3,'Non-Embedded Emissions'!$A$56:$D$90,2,FALSE)-VLOOKUP(AN$3,'Non-Embedded Emissions'!$F$57:$H$88,3,FALSE)+VLOOKUP(AN$3,'Non-Embedded Emissions'!$A$143:$D$174,2,FALSE)-VLOOKUP(AN$3,'Non-Embedded Emissions'!$F$143:$H$174,3,FALSE)+VLOOKUP(AN$3,'Non-Embedded Emissions'!$A$230:$D$259,2,FALSE)), $C28 = "2", 'Inputs-System'!$C$30*'Coincidence Factors'!$B$10*'Inputs-Proposals'!$F$23*'Inputs-Proposals'!$F$25*(VLOOKUP(AN$3,'Non-Embedded Emissions'!$A$56:$D$90,2,FALSE)-VLOOKUP(AN$3,'Non-Embedded Emissions'!$F$57:$H$88,3,FALSE)+VLOOKUP(AN$3,'Non-Embedded Emissions'!$A$143:$D$174,2,FALSE)-VLOOKUP(AN$3,'Non-Embedded Emissions'!$F$143:$H$174,3,FALSE)+VLOOKUP(AN$3,'Non-Embedded Emissions'!$A$230:$D$259,2,FALSE)), $C28 = "3", 'Inputs-System'!$C$30*'Coincidence Factors'!$B$10*'Inputs-Proposals'!$F$29*'Inputs-Proposals'!$F$31*(VLOOKUP(AN$3,'Non-Embedded Emissions'!$A$56:$D$90,2,FALSE)-VLOOKUP(AN$3,'Non-Embedded Emissions'!$F$57:$H$88,3,FALSE)+VLOOKUP(AN$3,'Non-Embedded Emissions'!$A$143:$D$174,2,FALSE)-VLOOKUP(AN$3,'Non-Embedded Emissions'!$F$143:$H$174,3,FALSE)+VLOOKUP(AN$3,'Non-Embedded Emissions'!$A$230:$D$259,2,FALSE)), $C28 = "0", 0), 0)</f>
        <v>0</v>
      </c>
      <c r="AT28" s="45">
        <f>IFERROR(_xlfn.IFS($C28="1",('Inputs-System'!$C$30*'Coincidence Factors'!$B$10*(1+'Inputs-System'!$C$18)*(1+'Inputs-System'!$C$41)*('Inputs-Proposals'!$F$17*'Inputs-Proposals'!$F$19*(1-'Inputs-Proposals'!$F$20^(AT$3-'Inputs-System'!$C$7)))*(VLOOKUP(AT$3,Energy!$A$51:$K$83,5,FALSE))), $C28 = "2",('Inputs-System'!$C$30*'Coincidence Factors'!$B$10)*(1+'Inputs-System'!$C$18)*(1+'Inputs-System'!$C$41)*('Inputs-Proposals'!$F$23*'Inputs-Proposals'!$F$25*(1-'Inputs-Proposals'!$F$26^(AT$3-'Inputs-System'!$C$7)))*(VLOOKUP(AT$3,Energy!$A$51:$K$83,5,FALSE)), $C28= "3", ('Inputs-System'!$C$30*'Coincidence Factors'!$B$10*(1+'Inputs-System'!$C$18)*(1+'Inputs-System'!$C$41)*('Inputs-Proposals'!$F$29*'Inputs-Proposals'!$F$31*(1-'Inputs-Proposals'!$F$32^(AT$3-'Inputs-System'!$C$7)))*(VLOOKUP(AT$3,Energy!$A$51:$K$83,5,FALSE))), $C28= "0", 0), 0)</f>
        <v>0</v>
      </c>
      <c r="AU28" s="44">
        <f>IFERROR(_xlfn.IFS($C28="1",('Inputs-System'!$C$30*'Coincidence Factors'!$B$10*(1+'Inputs-System'!$C$18)*(1+'Inputs-System'!$C$41))*'Inputs-Proposals'!$F$17*'Inputs-Proposals'!$F$19*(1-'Inputs-Proposals'!$F$20^(AT$3-'Inputs-System'!$C$7))*(VLOOKUP(AT$3,'Embedded Emissions'!$A$47:$B$78,2,FALSE)+VLOOKUP(AT$3,'Embedded Emissions'!$A$129:$B$158,2,FALSE)), $C28 = "2",('Inputs-System'!$C$30*'Coincidence Factors'!$B$10*(1+'Inputs-System'!$C$18)*(1+'Inputs-System'!$C$41))*'Inputs-Proposals'!$F$23*'Inputs-Proposals'!$F$25*(1-'Inputs-Proposals'!$F$20^(AT$3-'Inputs-System'!$C$7))*(VLOOKUP(AT$3,'Embedded Emissions'!$A$47:$B$78,2,FALSE)+VLOOKUP(AT$3,'Embedded Emissions'!$A$129:$B$158,2,FALSE)), $C28 = "3", ('Inputs-System'!$C$30*'Coincidence Factors'!$B$10*(1+'Inputs-System'!$C$18)*(1+'Inputs-System'!$C$41))*'Inputs-Proposals'!$F$29*'Inputs-Proposals'!$F$31*(1-'Inputs-Proposals'!$F$20^(AT$3-'Inputs-System'!$C$7))*(VLOOKUP(AT$3,'Embedded Emissions'!$A$47:$B$78,2,FALSE)+VLOOKUP(AT$3,'Embedded Emissions'!$A$129:$B$158,2,FALSE)), $C28 = "0", 0), 0)</f>
        <v>0</v>
      </c>
      <c r="AV28" s="349">
        <f>IFERROR(_xlfn.IFS($C28="1",( 'Inputs-System'!$C$30*'Coincidence Factors'!$B$6*(1+'Inputs-System'!$C$18)*(1+'Inputs-System'!$C$41))*('Inputs-Proposals'!$F$17*'Inputs-Proposals'!$F$19*(1-'Inputs-Proposals'!$F$20)^(AT$3-'Inputs-System'!$C$7))*(VLOOKUP(AT$3,DRIPE!$A$54:$I$82,5,FALSE)+VLOOKUP(AT$3,DRIPE!$A$54:$I$82,9,FALSE))+ ('Inputs-System'!$C$26*'Coincidence Factors'!$B$6*(1+'Inputs-System'!$C$18)*(1+'Inputs-System'!$C$42))*'Inputs-Proposals'!$F$16*VLOOKUP(AT$3,DRIPE!$A$54:$I$82,8,FALSE), $C28 = "2",( 'Inputs-System'!$C$30*'Coincidence Factors'!$B$6*(1+'Inputs-System'!$C$18)*(1+'Inputs-System'!$C$41))*('Inputs-Proposals'!$F$23*'Inputs-Proposals'!$F$25*(1-'Inputs-Proposals'!$F$26)^(AT$3-'Inputs-System'!$C$7))*(VLOOKUP(AT$3,DRIPE!$A$54:$I$82,5,FALSE)+VLOOKUP(AT$3,DRIPE!$A$54:$I$82,9,FALSE))+ ('Inputs-System'!$C$26*'Coincidence Factors'!$B$6*(1+'Inputs-System'!$C$18)*(1+'Inputs-System'!$C$42))*'Inputs-Proposals'!$F$22*VLOOKUP(AT$3,DRIPE!$A$54:$I$82,8,FALSE), $C28= "3", ( 'Inputs-System'!$C$30*'Coincidence Factors'!$B$6*(1+'Inputs-System'!$C$18)*(1+'Inputs-System'!$C$41))*('Inputs-Proposals'!$F$29*'Inputs-Proposals'!$F$31*(1-'Inputs-Proposals'!$F$32)^(AT$3-'Inputs-System'!$C$7))*(VLOOKUP(AT$3,DRIPE!$A$54:$I$82,5,FALSE)+VLOOKUP(AT$3,DRIPE!$A$54:$I$82,9,FALSE))+ ('Inputs-System'!$C$26*'Coincidence Factors'!$B$6*(1+'Inputs-System'!$C$18)*(1+'Inputs-System'!$C$42))*'Inputs-Proposals'!$F$28*VLOOKUP(AT$3,DRIPE!$A$54:$I$82,8,FALSE), $C28 = "0", 0), 0)</f>
        <v>0</v>
      </c>
      <c r="AW28" s="350">
        <f>IFERROR(_xlfn.IFS($C28="1",('Inputs-System'!$C$26*'Coincidence Factors'!$B$5*(1+'Inputs-System'!$C$18)*(1+'Inputs-System'!$C$42))*'Inputs-Proposals'!$D$16*(VLOOKUP(AT$3,Capacity!$A$53:$E$85,4,FALSE)*(1+'Inputs-System'!$C$42)+VLOOKUP(AT$3,Capacity!$A$53:$E$85,5,FALSE)*(1+'Inputs-System'!$C$43)*'Inputs-System'!$C$29), $C28 = "2", ('Inputs-System'!$C$26*'Coincidence Factors'!$B$5*(1+'Inputs-System'!$C$18))*'Inputs-Proposals'!$D$22*(VLOOKUP(AT$3,Capacity!$A$53:$E$85,4,FALSE)*(1+'Inputs-System'!$C$42)+VLOOKUP(AT$3,Capacity!$A$53:$E$85,5,FALSE)*'Inputs-System'!$C$29*(1+'Inputs-System'!$C$43)), $C28 = "3", ('Inputs-System'!$C$26*'Coincidence Factors'!$B$5*(1+'Inputs-System'!$C$18))*'Inputs-Proposals'!$D$28*(VLOOKUP(AT$3,Capacity!$A$53:$E$85,4,FALSE)*(1+'Inputs-System'!$C$42)+VLOOKUP(AT$3,Capacity!$A$53:$E$85,5,FALSE)*'Inputs-System'!$C$29*(1+'Inputs-System'!$C$43)), $C28 = "0", 0), 0)</f>
        <v>0</v>
      </c>
      <c r="AX28" s="44">
        <v>0</v>
      </c>
      <c r="AY28" s="342">
        <f>IFERROR(_xlfn.IFS($C28="1", 'Inputs-System'!$C$30*'Coincidence Factors'!$B$10*'Inputs-Proposals'!$F$17*'Inputs-Proposals'!$F$19*(VLOOKUP(AT$3,'Non-Embedded Emissions'!$A$56:$D$90,2,FALSE)-VLOOKUP(AT$3,'Non-Embedded Emissions'!$F$57:$H$88,3,FALSE)+VLOOKUP(AT$3,'Non-Embedded Emissions'!$A$143:$D$174,2,FALSE)-VLOOKUP(AT$3,'Non-Embedded Emissions'!$F$143:$H$174,3,FALSE)+VLOOKUP(AT$3,'Non-Embedded Emissions'!$A$230:$D$259,2,FALSE)), $C28 = "2", 'Inputs-System'!$C$30*'Coincidence Factors'!$B$10*'Inputs-Proposals'!$F$23*'Inputs-Proposals'!$F$25*(VLOOKUP(AT$3,'Non-Embedded Emissions'!$A$56:$D$90,2,FALSE)-VLOOKUP(AT$3,'Non-Embedded Emissions'!$F$57:$H$88,3,FALSE)+VLOOKUP(AT$3,'Non-Embedded Emissions'!$A$143:$D$174,2,FALSE)-VLOOKUP(AT$3,'Non-Embedded Emissions'!$F$143:$H$174,3,FALSE)+VLOOKUP(AT$3,'Non-Embedded Emissions'!$A$230:$D$259,2,FALSE)), $C28 = "3", 'Inputs-System'!$C$30*'Coincidence Factors'!$B$10*'Inputs-Proposals'!$F$29*'Inputs-Proposals'!$F$31*(VLOOKUP(AT$3,'Non-Embedded Emissions'!$A$56:$D$90,2,FALSE)-VLOOKUP(AT$3,'Non-Embedded Emissions'!$F$57:$H$88,3,FALSE)+VLOOKUP(AT$3,'Non-Embedded Emissions'!$A$143:$D$174,2,FALSE)-VLOOKUP(AT$3,'Non-Embedded Emissions'!$F$143:$H$174,3,FALSE)+VLOOKUP(AT$3,'Non-Embedded Emissions'!$A$230:$D$259,2,FALSE)), $C28 = "0", 0), 0)</f>
        <v>0</v>
      </c>
      <c r="AZ28" s="45">
        <f>IFERROR(_xlfn.IFS($C28="1",('Inputs-System'!$C$30*'Coincidence Factors'!$B$10*(1+'Inputs-System'!$C$18)*(1+'Inputs-System'!$C$41)*('Inputs-Proposals'!$F$17*'Inputs-Proposals'!$F$19*(1-'Inputs-Proposals'!$F$20^(AZ$3-'Inputs-System'!$C$7)))*(VLOOKUP(AZ$3,Energy!$A$51:$K$83,5,FALSE))), $C28 = "2",('Inputs-System'!$C$30*'Coincidence Factors'!$B$10)*(1+'Inputs-System'!$C$18)*(1+'Inputs-System'!$C$41)*('Inputs-Proposals'!$F$23*'Inputs-Proposals'!$F$25*(1-'Inputs-Proposals'!$F$26^(AZ$3-'Inputs-System'!$C$7)))*(VLOOKUP(AZ$3,Energy!$A$51:$K$83,5,FALSE)), $C28= "3", ('Inputs-System'!$C$30*'Coincidence Factors'!$B$10*(1+'Inputs-System'!$C$18)*(1+'Inputs-System'!$C$41)*('Inputs-Proposals'!$F$29*'Inputs-Proposals'!$F$31*(1-'Inputs-Proposals'!$F$32^(AZ$3-'Inputs-System'!$C$7)))*(VLOOKUP(AZ$3,Energy!$A$51:$K$83,5,FALSE))), $C28= "0", 0), 0)</f>
        <v>0</v>
      </c>
      <c r="BA28" s="44">
        <f>IFERROR(_xlfn.IFS($C28="1",('Inputs-System'!$C$30*'Coincidence Factors'!$B$10*(1+'Inputs-System'!$C$18)*(1+'Inputs-System'!$C$41))*'Inputs-Proposals'!$F$17*'Inputs-Proposals'!$F$19*(1-'Inputs-Proposals'!$F$20^(AZ$3-'Inputs-System'!$C$7))*(VLOOKUP(AZ$3,'Embedded Emissions'!$A$47:$B$78,2,FALSE)+VLOOKUP(AZ$3,'Embedded Emissions'!$A$129:$B$158,2,FALSE)), $C28 = "2",('Inputs-System'!$C$30*'Coincidence Factors'!$B$10*(1+'Inputs-System'!$C$18)*(1+'Inputs-System'!$C$41))*'Inputs-Proposals'!$F$23*'Inputs-Proposals'!$F$25*(1-'Inputs-Proposals'!$F$20^(AZ$3-'Inputs-System'!$C$7))*(VLOOKUP(AZ$3,'Embedded Emissions'!$A$47:$B$78,2,FALSE)+VLOOKUP(AZ$3,'Embedded Emissions'!$A$129:$B$158,2,FALSE)), $C28 = "3", ('Inputs-System'!$C$30*'Coincidence Factors'!$B$10*(1+'Inputs-System'!$C$18)*(1+'Inputs-System'!$C$41))*'Inputs-Proposals'!$F$29*'Inputs-Proposals'!$F$31*(1-'Inputs-Proposals'!$F$20^(AZ$3-'Inputs-System'!$C$7))*(VLOOKUP(AZ$3,'Embedded Emissions'!$A$47:$B$78,2,FALSE)+VLOOKUP(AZ$3,'Embedded Emissions'!$A$129:$B$158,2,FALSE)), $C28 = "0", 0), 0)</f>
        <v>0</v>
      </c>
      <c r="BB28" s="349">
        <f>IFERROR(_xlfn.IFS($C28="1",( 'Inputs-System'!$C$30*'Coincidence Factors'!$B$6*(1+'Inputs-System'!$C$18)*(1+'Inputs-System'!$C$41))*('Inputs-Proposals'!$F$17*'Inputs-Proposals'!$F$19*(1-'Inputs-Proposals'!$F$20)^(AZ$3-'Inputs-System'!$C$7))*(VLOOKUP(AZ$3,DRIPE!$A$54:$I$82,5,FALSE)+VLOOKUP(AZ$3,DRIPE!$A$54:$I$82,9,FALSE))+ ('Inputs-System'!$C$26*'Coincidence Factors'!$B$6*(1+'Inputs-System'!$C$18)*(1+'Inputs-System'!$C$42))*'Inputs-Proposals'!$F$16*VLOOKUP(AZ$3,DRIPE!$A$54:$I$82,8,FALSE), $C28 = "2",( 'Inputs-System'!$C$30*'Coincidence Factors'!$B$6*(1+'Inputs-System'!$C$18)*(1+'Inputs-System'!$C$41))*('Inputs-Proposals'!$F$23*'Inputs-Proposals'!$F$25*(1-'Inputs-Proposals'!$F$26)^(AZ$3-'Inputs-System'!$C$7))*(VLOOKUP(AZ$3,DRIPE!$A$54:$I$82,5,FALSE)+VLOOKUP(AZ$3,DRIPE!$A$54:$I$82,9,FALSE))+ ('Inputs-System'!$C$26*'Coincidence Factors'!$B$6*(1+'Inputs-System'!$C$18)*(1+'Inputs-System'!$C$42))*'Inputs-Proposals'!$F$22*VLOOKUP(AZ$3,DRIPE!$A$54:$I$82,8,FALSE), $C28= "3", ( 'Inputs-System'!$C$30*'Coincidence Factors'!$B$6*(1+'Inputs-System'!$C$18)*(1+'Inputs-System'!$C$41))*('Inputs-Proposals'!$F$29*'Inputs-Proposals'!$F$31*(1-'Inputs-Proposals'!$F$32)^(AZ$3-'Inputs-System'!$C$7))*(VLOOKUP(AZ$3,DRIPE!$A$54:$I$82,5,FALSE)+VLOOKUP(AZ$3,DRIPE!$A$54:$I$82,9,FALSE))+ ('Inputs-System'!$C$26*'Coincidence Factors'!$B$6*(1+'Inputs-System'!$C$18)*(1+'Inputs-System'!$C$42))*'Inputs-Proposals'!$F$28*VLOOKUP(AZ$3,DRIPE!$A$54:$I$82,8,FALSE), $C28 = "0", 0), 0)</f>
        <v>0</v>
      </c>
      <c r="BC28" s="350">
        <f>IFERROR(_xlfn.IFS($C28="1",('Inputs-System'!$C$26*'Coincidence Factors'!$B$5*(1+'Inputs-System'!$C$18)*(1+'Inputs-System'!$C$42))*'Inputs-Proposals'!$D$16*(VLOOKUP(AZ$3,Capacity!$A$53:$E$85,4,FALSE)*(1+'Inputs-System'!$C$42)+VLOOKUP(AZ$3,Capacity!$A$53:$E$85,5,FALSE)*(1+'Inputs-System'!$C$43)*'Inputs-System'!$C$29), $C28 = "2", ('Inputs-System'!$C$26*'Coincidence Factors'!$B$5*(1+'Inputs-System'!$C$18))*'Inputs-Proposals'!$D$22*(VLOOKUP(AZ$3,Capacity!$A$53:$E$85,4,FALSE)*(1+'Inputs-System'!$C$42)+VLOOKUP(AZ$3,Capacity!$A$53:$E$85,5,FALSE)*'Inputs-System'!$C$29*(1+'Inputs-System'!$C$43)), $C28 = "3", ('Inputs-System'!$C$26*'Coincidence Factors'!$B$5*(1+'Inputs-System'!$C$18))*'Inputs-Proposals'!$D$28*(VLOOKUP(AZ$3,Capacity!$A$53:$E$85,4,FALSE)*(1+'Inputs-System'!$C$42)+VLOOKUP(AZ$3,Capacity!$A$53:$E$85,5,FALSE)*'Inputs-System'!$C$29*(1+'Inputs-System'!$C$43)), $C28 = "0", 0), 0)</f>
        <v>0</v>
      </c>
      <c r="BD28" s="44">
        <v>0</v>
      </c>
      <c r="BE28" s="342">
        <f>IFERROR(_xlfn.IFS($C28="1", 'Inputs-System'!$C$30*'Coincidence Factors'!$B$10*'Inputs-Proposals'!$F$17*'Inputs-Proposals'!$F$19*(VLOOKUP(AZ$3,'Non-Embedded Emissions'!$A$56:$D$90,2,FALSE)-VLOOKUP(AZ$3,'Non-Embedded Emissions'!$F$57:$H$88,3,FALSE)+VLOOKUP(AZ$3,'Non-Embedded Emissions'!$A$143:$D$174,2,FALSE)-VLOOKUP(AZ$3,'Non-Embedded Emissions'!$F$143:$H$174,3,FALSE)+VLOOKUP(AZ$3,'Non-Embedded Emissions'!$A$230:$D$259,2,FALSE)), $C28 = "2", 'Inputs-System'!$C$30*'Coincidence Factors'!$B$10*'Inputs-Proposals'!$F$23*'Inputs-Proposals'!$F$25*(VLOOKUP(AZ$3,'Non-Embedded Emissions'!$A$56:$D$90,2,FALSE)-VLOOKUP(AZ$3,'Non-Embedded Emissions'!$F$57:$H$88,3,FALSE)+VLOOKUP(AZ$3,'Non-Embedded Emissions'!$A$143:$D$174,2,FALSE)-VLOOKUP(AZ$3,'Non-Embedded Emissions'!$F$143:$H$174,3,FALSE)+VLOOKUP(AZ$3,'Non-Embedded Emissions'!$A$230:$D$259,2,FALSE)), $C28 = "3", 'Inputs-System'!$C$30*'Coincidence Factors'!$B$10*'Inputs-Proposals'!$F$29*'Inputs-Proposals'!$F$31*(VLOOKUP(AZ$3,'Non-Embedded Emissions'!$A$56:$D$90,2,FALSE)-VLOOKUP(AZ$3,'Non-Embedded Emissions'!$F$57:$H$88,3,FALSE)+VLOOKUP(AZ$3,'Non-Embedded Emissions'!$A$143:$D$174,2,FALSE)-VLOOKUP(AZ$3,'Non-Embedded Emissions'!$F$143:$H$174,3,FALSE)+VLOOKUP(AZ$3,'Non-Embedded Emissions'!$A$230:$D$259,2,FALSE)), $C28 = "0", 0), 0)</f>
        <v>0</v>
      </c>
      <c r="BF28" s="45">
        <f>IFERROR(_xlfn.IFS($C28="1",('Inputs-System'!$C$30*'Coincidence Factors'!$B$10*(1+'Inputs-System'!$C$18)*(1+'Inputs-System'!$C$41)*('Inputs-Proposals'!$F$17*'Inputs-Proposals'!$F$19*(1-'Inputs-Proposals'!$F$20^(BF$3-'Inputs-System'!$C$7)))*(VLOOKUP(BF$3,Energy!$A$51:$K$83,5,FALSE))), $C28 = "2",('Inputs-System'!$C$30*'Coincidence Factors'!$B$10)*(1+'Inputs-System'!$C$18)*(1+'Inputs-System'!$C$41)*('Inputs-Proposals'!$F$23*'Inputs-Proposals'!$F$25*(1-'Inputs-Proposals'!$F$26^(BF$3-'Inputs-System'!$C$7)))*(VLOOKUP(BF$3,Energy!$A$51:$K$83,5,FALSE)), $C28= "3", ('Inputs-System'!$C$30*'Coincidence Factors'!$B$10*(1+'Inputs-System'!$C$18)*(1+'Inputs-System'!$C$41)*('Inputs-Proposals'!$F$29*'Inputs-Proposals'!$F$31*(1-'Inputs-Proposals'!$F$32^(BF$3-'Inputs-System'!$C$7)))*(VLOOKUP(BF$3,Energy!$A$51:$K$83,5,FALSE))), $C28= "0", 0), 0)</f>
        <v>0</v>
      </c>
      <c r="BG28" s="44">
        <f>IFERROR(_xlfn.IFS($C28="1",('Inputs-System'!$C$30*'Coincidence Factors'!$B$10*(1+'Inputs-System'!$C$18)*(1+'Inputs-System'!$C$41))*'Inputs-Proposals'!$F$17*'Inputs-Proposals'!$F$19*(1-'Inputs-Proposals'!$F$20^(BF$3-'Inputs-System'!$C$7))*(VLOOKUP(BF$3,'Embedded Emissions'!$A$47:$B$78,2,FALSE)+VLOOKUP(BF$3,'Embedded Emissions'!$A$129:$B$158,2,FALSE)), $C28 = "2",('Inputs-System'!$C$30*'Coincidence Factors'!$B$10*(1+'Inputs-System'!$C$18)*(1+'Inputs-System'!$C$41))*'Inputs-Proposals'!$F$23*'Inputs-Proposals'!$F$25*(1-'Inputs-Proposals'!$F$20^(BF$3-'Inputs-System'!$C$7))*(VLOOKUP(BF$3,'Embedded Emissions'!$A$47:$B$78,2,FALSE)+VLOOKUP(BF$3,'Embedded Emissions'!$A$129:$B$158,2,FALSE)), $C28 = "3", ('Inputs-System'!$C$30*'Coincidence Factors'!$B$10*(1+'Inputs-System'!$C$18)*(1+'Inputs-System'!$C$41))*'Inputs-Proposals'!$F$29*'Inputs-Proposals'!$F$31*(1-'Inputs-Proposals'!$F$20^(BF$3-'Inputs-System'!$C$7))*(VLOOKUP(BF$3,'Embedded Emissions'!$A$47:$B$78,2,FALSE)+VLOOKUP(BF$3,'Embedded Emissions'!$A$129:$B$158,2,FALSE)), $C28 = "0", 0), 0)</f>
        <v>0</v>
      </c>
      <c r="BH28" s="349">
        <f>IFERROR(_xlfn.IFS($C28="1",( 'Inputs-System'!$C$30*'Coincidence Factors'!$B$6*(1+'Inputs-System'!$C$18)*(1+'Inputs-System'!$C$41))*('Inputs-Proposals'!$F$17*'Inputs-Proposals'!$F$19*(1-'Inputs-Proposals'!$F$20)^(BF$3-'Inputs-System'!$C$7))*(VLOOKUP(BF$3,DRIPE!$A$54:$I$82,5,FALSE)+VLOOKUP(BF$3,DRIPE!$A$54:$I$82,9,FALSE))+ ('Inputs-System'!$C$26*'Coincidence Factors'!$B$6*(1+'Inputs-System'!$C$18)*(1+'Inputs-System'!$C$42))*'Inputs-Proposals'!$F$16*VLOOKUP(BF$3,DRIPE!$A$54:$I$82,8,FALSE), $C28 = "2",( 'Inputs-System'!$C$30*'Coincidence Factors'!$B$6*(1+'Inputs-System'!$C$18)*(1+'Inputs-System'!$C$41))*('Inputs-Proposals'!$F$23*'Inputs-Proposals'!$F$25*(1-'Inputs-Proposals'!$F$26)^(BF$3-'Inputs-System'!$C$7))*(VLOOKUP(BF$3,DRIPE!$A$54:$I$82,5,FALSE)+VLOOKUP(BF$3,DRIPE!$A$54:$I$82,9,FALSE))+ ('Inputs-System'!$C$26*'Coincidence Factors'!$B$6*(1+'Inputs-System'!$C$18)*(1+'Inputs-System'!$C$42))*'Inputs-Proposals'!$F$22*VLOOKUP(BF$3,DRIPE!$A$54:$I$82,8,FALSE), $C28= "3", ( 'Inputs-System'!$C$30*'Coincidence Factors'!$B$6*(1+'Inputs-System'!$C$18)*(1+'Inputs-System'!$C$41))*('Inputs-Proposals'!$F$29*'Inputs-Proposals'!$F$31*(1-'Inputs-Proposals'!$F$32)^(BF$3-'Inputs-System'!$C$7))*(VLOOKUP(BF$3,DRIPE!$A$54:$I$82,5,FALSE)+VLOOKUP(BF$3,DRIPE!$A$54:$I$82,9,FALSE))+ ('Inputs-System'!$C$26*'Coincidence Factors'!$B$6*(1+'Inputs-System'!$C$18)*(1+'Inputs-System'!$C$42))*'Inputs-Proposals'!$F$28*VLOOKUP(BF$3,DRIPE!$A$54:$I$82,8,FALSE), $C28 = "0", 0), 0)</f>
        <v>0</v>
      </c>
      <c r="BI28" s="350">
        <f>IFERROR(_xlfn.IFS($C28="1",('Inputs-System'!$C$26*'Coincidence Factors'!$B$5*(1+'Inputs-System'!$C$18)*(1+'Inputs-System'!$C$42))*'Inputs-Proposals'!$D$16*(VLOOKUP(BF$3,Capacity!$A$53:$E$85,4,FALSE)*(1+'Inputs-System'!$C$42)+VLOOKUP(BF$3,Capacity!$A$53:$E$85,5,FALSE)*(1+'Inputs-System'!$C$43)*'Inputs-System'!$C$29), $C28 = "2", ('Inputs-System'!$C$26*'Coincidence Factors'!$B$5*(1+'Inputs-System'!$C$18))*'Inputs-Proposals'!$D$22*(VLOOKUP(BF$3,Capacity!$A$53:$E$85,4,FALSE)*(1+'Inputs-System'!$C$42)+VLOOKUP(BF$3,Capacity!$A$53:$E$85,5,FALSE)*'Inputs-System'!$C$29*(1+'Inputs-System'!$C$43)), $C28 = "3", ('Inputs-System'!$C$26*'Coincidence Factors'!$B$5*(1+'Inputs-System'!$C$18))*'Inputs-Proposals'!$D$28*(VLOOKUP(BF$3,Capacity!$A$53:$E$85,4,FALSE)*(1+'Inputs-System'!$C$42)+VLOOKUP(BF$3,Capacity!$A$53:$E$85,5,FALSE)*'Inputs-System'!$C$29*(1+'Inputs-System'!$C$43)), $C28 = "0", 0), 0)</f>
        <v>0</v>
      </c>
      <c r="BJ28" s="44">
        <v>0</v>
      </c>
      <c r="BK28" s="342">
        <f>IFERROR(_xlfn.IFS($C28="1", 'Inputs-System'!$C$30*'Coincidence Factors'!$B$10*'Inputs-Proposals'!$F$17*'Inputs-Proposals'!$F$19*(VLOOKUP(BF$3,'Non-Embedded Emissions'!$A$56:$D$90,2,FALSE)-VLOOKUP(BF$3,'Non-Embedded Emissions'!$F$57:$H$88,3,FALSE)+VLOOKUP(BF$3,'Non-Embedded Emissions'!$A$143:$D$174,2,FALSE)-VLOOKUP(BF$3,'Non-Embedded Emissions'!$F$143:$H$174,3,FALSE)+VLOOKUP(BF$3,'Non-Embedded Emissions'!$A$230:$D$259,2,FALSE)), $C28 = "2", 'Inputs-System'!$C$30*'Coincidence Factors'!$B$10*'Inputs-Proposals'!$F$23*'Inputs-Proposals'!$F$25*(VLOOKUP(BF$3,'Non-Embedded Emissions'!$A$56:$D$90,2,FALSE)-VLOOKUP(BF$3,'Non-Embedded Emissions'!$F$57:$H$88,3,FALSE)+VLOOKUP(BF$3,'Non-Embedded Emissions'!$A$143:$D$174,2,FALSE)-VLOOKUP(BF$3,'Non-Embedded Emissions'!$F$143:$H$174,3,FALSE)+VLOOKUP(BF$3,'Non-Embedded Emissions'!$A$230:$D$259,2,FALSE)), $C28 = "3", 'Inputs-System'!$C$30*'Coincidence Factors'!$B$10*'Inputs-Proposals'!$F$29*'Inputs-Proposals'!$F$31*(VLOOKUP(BF$3,'Non-Embedded Emissions'!$A$56:$D$90,2,FALSE)-VLOOKUP(BF$3,'Non-Embedded Emissions'!$F$57:$H$88,3,FALSE)+VLOOKUP(BF$3,'Non-Embedded Emissions'!$A$143:$D$174,2,FALSE)-VLOOKUP(BF$3,'Non-Embedded Emissions'!$F$143:$H$174,3,FALSE)+VLOOKUP(BF$3,'Non-Embedded Emissions'!$A$230:$D$259,2,FALSE)), $C28 = "0", 0), 0)</f>
        <v>0</v>
      </c>
      <c r="BL28" s="45">
        <f>IFERROR(_xlfn.IFS($C28="1",('Inputs-System'!$C$30*'Coincidence Factors'!$B$10*(1+'Inputs-System'!$C$18)*(1+'Inputs-System'!$C$41)*('Inputs-Proposals'!$F$17*'Inputs-Proposals'!$F$19*(1-'Inputs-Proposals'!$F$20^(BL$3-'Inputs-System'!$C$7)))*(VLOOKUP(BL$3,Energy!$A$51:$K$83,5,FALSE))), $C28 = "2",('Inputs-System'!$C$30*'Coincidence Factors'!$B$10)*(1+'Inputs-System'!$C$18)*(1+'Inputs-System'!$C$41)*('Inputs-Proposals'!$F$23*'Inputs-Proposals'!$F$25*(1-'Inputs-Proposals'!$F$26^(BL$3-'Inputs-System'!$C$7)))*(VLOOKUP(BL$3,Energy!$A$51:$K$83,5,FALSE)), $C28= "3", ('Inputs-System'!$C$30*'Coincidence Factors'!$B$10*(1+'Inputs-System'!$C$18)*(1+'Inputs-System'!$C$41)*('Inputs-Proposals'!$F$29*'Inputs-Proposals'!$F$31*(1-'Inputs-Proposals'!$F$32^(BL$3-'Inputs-System'!$C$7)))*(VLOOKUP(BL$3,Energy!$A$51:$K$83,5,FALSE))), $C28= "0", 0), 0)</f>
        <v>0</v>
      </c>
      <c r="BM28" s="44">
        <f>IFERROR(_xlfn.IFS($C28="1",('Inputs-System'!$C$30*'Coincidence Factors'!$B$10*(1+'Inputs-System'!$C$18)*(1+'Inputs-System'!$C$41))*'Inputs-Proposals'!$F$17*'Inputs-Proposals'!$F$19*(1-'Inputs-Proposals'!$F$20^(BL$3-'Inputs-System'!$C$7))*(VLOOKUP(BL$3,'Embedded Emissions'!$A$47:$B$78,2,FALSE)+VLOOKUP(BL$3,'Embedded Emissions'!$A$129:$B$158,2,FALSE)), $C28 = "2",('Inputs-System'!$C$30*'Coincidence Factors'!$B$10*(1+'Inputs-System'!$C$18)*(1+'Inputs-System'!$C$41))*'Inputs-Proposals'!$F$23*'Inputs-Proposals'!$F$25*(1-'Inputs-Proposals'!$F$20^(BL$3-'Inputs-System'!$C$7))*(VLOOKUP(BL$3,'Embedded Emissions'!$A$47:$B$78,2,FALSE)+VLOOKUP(BL$3,'Embedded Emissions'!$A$129:$B$158,2,FALSE)), $C28 = "3", ('Inputs-System'!$C$30*'Coincidence Factors'!$B$10*(1+'Inputs-System'!$C$18)*(1+'Inputs-System'!$C$41))*'Inputs-Proposals'!$F$29*'Inputs-Proposals'!$F$31*(1-'Inputs-Proposals'!$F$20^(BL$3-'Inputs-System'!$C$7))*(VLOOKUP(BL$3,'Embedded Emissions'!$A$47:$B$78,2,FALSE)+VLOOKUP(BL$3,'Embedded Emissions'!$A$129:$B$158,2,FALSE)), $C28 = "0", 0), 0)</f>
        <v>0</v>
      </c>
      <c r="BN28" s="349">
        <f>IFERROR(_xlfn.IFS($C28="1",( 'Inputs-System'!$C$30*'Coincidence Factors'!$B$6*(1+'Inputs-System'!$C$18)*(1+'Inputs-System'!$C$41))*('Inputs-Proposals'!$F$17*'Inputs-Proposals'!$F$19*(1-'Inputs-Proposals'!$F$20)^(BL$3-'Inputs-System'!$C$7))*(VLOOKUP(BL$3,DRIPE!$A$54:$I$82,5,FALSE)+VLOOKUP(BL$3,DRIPE!$A$54:$I$82,9,FALSE))+ ('Inputs-System'!$C$26*'Coincidence Factors'!$B$6*(1+'Inputs-System'!$C$18)*(1+'Inputs-System'!$C$42))*'Inputs-Proposals'!$F$16*VLOOKUP(BL$3,DRIPE!$A$54:$I$82,8,FALSE), $C28 = "2",( 'Inputs-System'!$C$30*'Coincidence Factors'!$B$6*(1+'Inputs-System'!$C$18)*(1+'Inputs-System'!$C$41))*('Inputs-Proposals'!$F$23*'Inputs-Proposals'!$F$25*(1-'Inputs-Proposals'!$F$26)^(BL$3-'Inputs-System'!$C$7))*(VLOOKUP(BL$3,DRIPE!$A$54:$I$82,5,FALSE)+VLOOKUP(BL$3,DRIPE!$A$54:$I$82,9,FALSE))+ ('Inputs-System'!$C$26*'Coincidence Factors'!$B$6*(1+'Inputs-System'!$C$18)*(1+'Inputs-System'!$C$42))*'Inputs-Proposals'!$F$22*VLOOKUP(BL$3,DRIPE!$A$54:$I$82,8,FALSE), $C28= "3", ( 'Inputs-System'!$C$30*'Coincidence Factors'!$B$6*(1+'Inputs-System'!$C$18)*(1+'Inputs-System'!$C$41))*('Inputs-Proposals'!$F$29*'Inputs-Proposals'!$F$31*(1-'Inputs-Proposals'!$F$32)^(BL$3-'Inputs-System'!$C$7))*(VLOOKUP(BL$3,DRIPE!$A$54:$I$82,5,FALSE)+VLOOKUP(BL$3,DRIPE!$A$54:$I$82,9,FALSE))+ ('Inputs-System'!$C$26*'Coincidence Factors'!$B$6*(1+'Inputs-System'!$C$18)*(1+'Inputs-System'!$C$42))*'Inputs-Proposals'!$F$28*VLOOKUP(BL$3,DRIPE!$A$54:$I$82,8,FALSE), $C28 = "0", 0), 0)</f>
        <v>0</v>
      </c>
      <c r="BO28" s="350">
        <f>IFERROR(_xlfn.IFS($C28="1",('Inputs-System'!$C$26*'Coincidence Factors'!$B$5*(1+'Inputs-System'!$C$18)*(1+'Inputs-System'!$C$42))*'Inputs-Proposals'!$D$16*(VLOOKUP(BL$3,Capacity!$A$53:$E$85,4,FALSE)*(1+'Inputs-System'!$C$42)+VLOOKUP(BL$3,Capacity!$A$53:$E$85,5,FALSE)*(1+'Inputs-System'!$C$43)*'Inputs-System'!$C$29), $C28 = "2", ('Inputs-System'!$C$26*'Coincidence Factors'!$B$5*(1+'Inputs-System'!$C$18))*'Inputs-Proposals'!$D$22*(VLOOKUP(BL$3,Capacity!$A$53:$E$85,4,FALSE)*(1+'Inputs-System'!$C$42)+VLOOKUP(BL$3,Capacity!$A$53:$E$85,5,FALSE)*'Inputs-System'!$C$29*(1+'Inputs-System'!$C$43)), $C28 = "3", ('Inputs-System'!$C$26*'Coincidence Factors'!$B$5*(1+'Inputs-System'!$C$18))*'Inputs-Proposals'!$D$28*(VLOOKUP(BL$3,Capacity!$A$53:$E$85,4,FALSE)*(1+'Inputs-System'!$C$42)+VLOOKUP(BL$3,Capacity!$A$53:$E$85,5,FALSE)*'Inputs-System'!$C$29*(1+'Inputs-System'!$C$43)), $C28 = "0", 0), 0)</f>
        <v>0</v>
      </c>
      <c r="BP28" s="44">
        <v>0</v>
      </c>
      <c r="BQ28" s="342">
        <f>IFERROR(_xlfn.IFS($C28="1", 'Inputs-System'!$C$30*'Coincidence Factors'!$B$10*'Inputs-Proposals'!$F$17*'Inputs-Proposals'!$F$19*(VLOOKUP(BL$3,'Non-Embedded Emissions'!$A$56:$D$90,2,FALSE)-VLOOKUP(BL$3,'Non-Embedded Emissions'!$F$57:$H$88,3,FALSE)+VLOOKUP(BL$3,'Non-Embedded Emissions'!$A$143:$D$174,2,FALSE)-VLOOKUP(BL$3,'Non-Embedded Emissions'!$F$143:$H$174,3,FALSE)+VLOOKUP(BL$3,'Non-Embedded Emissions'!$A$230:$D$259,2,FALSE)), $C28 = "2", 'Inputs-System'!$C$30*'Coincidence Factors'!$B$10*'Inputs-Proposals'!$F$23*'Inputs-Proposals'!$F$25*(VLOOKUP(BL$3,'Non-Embedded Emissions'!$A$56:$D$90,2,FALSE)-VLOOKUP(BL$3,'Non-Embedded Emissions'!$F$57:$H$88,3,FALSE)+VLOOKUP(BL$3,'Non-Embedded Emissions'!$A$143:$D$174,2,FALSE)-VLOOKUP(BL$3,'Non-Embedded Emissions'!$F$143:$H$174,3,FALSE)+VLOOKUP(BL$3,'Non-Embedded Emissions'!$A$230:$D$259,2,FALSE)), $C28 = "3", 'Inputs-System'!$C$30*'Coincidence Factors'!$B$10*'Inputs-Proposals'!$F$29*'Inputs-Proposals'!$F$31*(VLOOKUP(BL$3,'Non-Embedded Emissions'!$A$56:$D$90,2,FALSE)-VLOOKUP(BL$3,'Non-Embedded Emissions'!$F$57:$H$88,3,FALSE)+VLOOKUP(BL$3,'Non-Embedded Emissions'!$A$143:$D$174,2,FALSE)-VLOOKUP(BL$3,'Non-Embedded Emissions'!$F$143:$H$174,3,FALSE)+VLOOKUP(BL$3,'Non-Embedded Emissions'!$A$230:$D$259,2,FALSE)), $C28 = "0", 0), 0)</f>
        <v>0</v>
      </c>
      <c r="BR28" s="45">
        <f>IFERROR(_xlfn.IFS($C28="1",('Inputs-System'!$C$30*'Coincidence Factors'!$B$10*(1+'Inputs-System'!$C$18)*(1+'Inputs-System'!$C$41)*('Inputs-Proposals'!$F$17*'Inputs-Proposals'!$F$19*(1-'Inputs-Proposals'!$F$20^(BR$3-'Inputs-System'!$C$7)))*(VLOOKUP(BR$3,Energy!$A$51:$K$83,5,FALSE))), $C28 = "2",('Inputs-System'!$C$30*'Coincidence Factors'!$B$10)*(1+'Inputs-System'!$C$18)*(1+'Inputs-System'!$C$41)*('Inputs-Proposals'!$F$23*'Inputs-Proposals'!$F$25*(1-'Inputs-Proposals'!$F$26^(BR$3-'Inputs-System'!$C$7)))*(VLOOKUP(BR$3,Energy!$A$51:$K$83,5,FALSE)), $C28= "3", ('Inputs-System'!$C$30*'Coincidence Factors'!$B$10*(1+'Inputs-System'!$C$18)*(1+'Inputs-System'!$C$41)*('Inputs-Proposals'!$F$29*'Inputs-Proposals'!$F$31*(1-'Inputs-Proposals'!$F$32^(BR$3-'Inputs-System'!$C$7)))*(VLOOKUP(BR$3,Energy!$A$51:$K$83,5,FALSE))), $C28= "0", 0), 0)</f>
        <v>0</v>
      </c>
      <c r="BS28" s="44">
        <f>IFERROR(_xlfn.IFS($C28="1",('Inputs-System'!$C$30*'Coincidence Factors'!$B$10*(1+'Inputs-System'!$C$18)*(1+'Inputs-System'!$C$41))*'Inputs-Proposals'!$F$17*'Inputs-Proposals'!$F$19*(1-'Inputs-Proposals'!$F$20^(BR$3-'Inputs-System'!$C$7))*(VLOOKUP(BR$3,'Embedded Emissions'!$A$47:$B$78,2,FALSE)+VLOOKUP(BR$3,'Embedded Emissions'!$A$129:$B$158,2,FALSE)), $C28 = "2",('Inputs-System'!$C$30*'Coincidence Factors'!$B$10*(1+'Inputs-System'!$C$18)*(1+'Inputs-System'!$C$41))*'Inputs-Proposals'!$F$23*'Inputs-Proposals'!$F$25*(1-'Inputs-Proposals'!$F$20^(BR$3-'Inputs-System'!$C$7))*(VLOOKUP(BR$3,'Embedded Emissions'!$A$47:$B$78,2,FALSE)+VLOOKUP(BR$3,'Embedded Emissions'!$A$129:$B$158,2,FALSE)), $C28 = "3", ('Inputs-System'!$C$30*'Coincidence Factors'!$B$10*(1+'Inputs-System'!$C$18)*(1+'Inputs-System'!$C$41))*'Inputs-Proposals'!$F$29*'Inputs-Proposals'!$F$31*(1-'Inputs-Proposals'!$F$20^(BR$3-'Inputs-System'!$C$7))*(VLOOKUP(BR$3,'Embedded Emissions'!$A$47:$B$78,2,FALSE)+VLOOKUP(BR$3,'Embedded Emissions'!$A$129:$B$158,2,FALSE)), $C28 = "0", 0), 0)</f>
        <v>0</v>
      </c>
      <c r="BT28" s="349">
        <f>IFERROR(_xlfn.IFS($C28="1",( 'Inputs-System'!$C$30*'Coincidence Factors'!$B$6*(1+'Inputs-System'!$C$18)*(1+'Inputs-System'!$C$41))*('Inputs-Proposals'!$F$17*'Inputs-Proposals'!$F$19*(1-'Inputs-Proposals'!$F$20)^(BR$3-'Inputs-System'!$C$7))*(VLOOKUP(BR$3,DRIPE!$A$54:$I$82,5,FALSE)+VLOOKUP(BR$3,DRIPE!$A$54:$I$82,9,FALSE))+ ('Inputs-System'!$C$26*'Coincidence Factors'!$B$6*(1+'Inputs-System'!$C$18)*(1+'Inputs-System'!$C$42))*'Inputs-Proposals'!$F$16*VLOOKUP(BR$3,DRIPE!$A$54:$I$82,8,FALSE), $C28 = "2",( 'Inputs-System'!$C$30*'Coincidence Factors'!$B$6*(1+'Inputs-System'!$C$18)*(1+'Inputs-System'!$C$41))*('Inputs-Proposals'!$F$23*'Inputs-Proposals'!$F$25*(1-'Inputs-Proposals'!$F$26)^(BR$3-'Inputs-System'!$C$7))*(VLOOKUP(BR$3,DRIPE!$A$54:$I$82,5,FALSE)+VLOOKUP(BR$3,DRIPE!$A$54:$I$82,9,FALSE))+ ('Inputs-System'!$C$26*'Coincidence Factors'!$B$6*(1+'Inputs-System'!$C$18)*(1+'Inputs-System'!$C$42))*'Inputs-Proposals'!$F$22*VLOOKUP(BR$3,DRIPE!$A$54:$I$82,8,FALSE), $C28= "3", ( 'Inputs-System'!$C$30*'Coincidence Factors'!$B$6*(1+'Inputs-System'!$C$18)*(1+'Inputs-System'!$C$41))*('Inputs-Proposals'!$F$29*'Inputs-Proposals'!$F$31*(1-'Inputs-Proposals'!$F$32)^(BR$3-'Inputs-System'!$C$7))*(VLOOKUP(BR$3,DRIPE!$A$54:$I$82,5,FALSE)+VLOOKUP(BR$3,DRIPE!$A$54:$I$82,9,FALSE))+ ('Inputs-System'!$C$26*'Coincidence Factors'!$B$6*(1+'Inputs-System'!$C$18)*(1+'Inputs-System'!$C$42))*'Inputs-Proposals'!$F$28*VLOOKUP(BR$3,DRIPE!$A$54:$I$82,8,FALSE), $C28 = "0", 0), 0)</f>
        <v>0</v>
      </c>
      <c r="BU28" s="350">
        <f>IFERROR(_xlfn.IFS($C28="1",('Inputs-System'!$C$26*'Coincidence Factors'!$B$5*(1+'Inputs-System'!$C$18)*(1+'Inputs-System'!$C$42))*'Inputs-Proposals'!$D$16*(VLOOKUP(BR$3,Capacity!$A$53:$E$85,4,FALSE)*(1+'Inputs-System'!$C$42)+VLOOKUP(BR$3,Capacity!$A$53:$E$85,5,FALSE)*(1+'Inputs-System'!$C$43)*'Inputs-System'!$C$29), $C28 = "2", ('Inputs-System'!$C$26*'Coincidence Factors'!$B$5*(1+'Inputs-System'!$C$18))*'Inputs-Proposals'!$D$22*(VLOOKUP(BR$3,Capacity!$A$53:$E$85,4,FALSE)*(1+'Inputs-System'!$C$42)+VLOOKUP(BR$3,Capacity!$A$53:$E$85,5,FALSE)*'Inputs-System'!$C$29*(1+'Inputs-System'!$C$43)), $C28 = "3", ('Inputs-System'!$C$26*'Coincidence Factors'!$B$5*(1+'Inputs-System'!$C$18))*'Inputs-Proposals'!$D$28*(VLOOKUP(BR$3,Capacity!$A$53:$E$85,4,FALSE)*(1+'Inputs-System'!$C$42)+VLOOKUP(BR$3,Capacity!$A$53:$E$85,5,FALSE)*'Inputs-System'!$C$29*(1+'Inputs-System'!$C$43)), $C28 = "0", 0), 0)</f>
        <v>0</v>
      </c>
      <c r="BV28" s="44">
        <v>0</v>
      </c>
      <c r="BW28" s="342">
        <f>IFERROR(_xlfn.IFS($C28="1", 'Inputs-System'!$C$30*'Coincidence Factors'!$B$10*'Inputs-Proposals'!$F$17*'Inputs-Proposals'!$F$19*(VLOOKUP(BR$3,'Non-Embedded Emissions'!$A$56:$D$90,2,FALSE)-VLOOKUP(BR$3,'Non-Embedded Emissions'!$F$57:$H$88,3,FALSE)+VLOOKUP(BR$3,'Non-Embedded Emissions'!$A$143:$D$174,2,FALSE)-VLOOKUP(BR$3,'Non-Embedded Emissions'!$F$143:$H$174,3,FALSE)+VLOOKUP(BR$3,'Non-Embedded Emissions'!$A$230:$D$259,2,FALSE)), $C28 = "2", 'Inputs-System'!$C$30*'Coincidence Factors'!$B$10*'Inputs-Proposals'!$F$23*'Inputs-Proposals'!$F$25*(VLOOKUP(BR$3,'Non-Embedded Emissions'!$A$56:$D$90,2,FALSE)-VLOOKUP(BR$3,'Non-Embedded Emissions'!$F$57:$H$88,3,FALSE)+VLOOKUP(BR$3,'Non-Embedded Emissions'!$A$143:$D$174,2,FALSE)-VLOOKUP(BR$3,'Non-Embedded Emissions'!$F$143:$H$174,3,FALSE)+VLOOKUP(BR$3,'Non-Embedded Emissions'!$A$230:$D$259,2,FALSE)), $C28 = "3", 'Inputs-System'!$C$30*'Coincidence Factors'!$B$10*'Inputs-Proposals'!$F$29*'Inputs-Proposals'!$F$31*(VLOOKUP(BR$3,'Non-Embedded Emissions'!$A$56:$D$90,2,FALSE)-VLOOKUP(BR$3,'Non-Embedded Emissions'!$F$57:$H$88,3,FALSE)+VLOOKUP(BR$3,'Non-Embedded Emissions'!$A$143:$D$174,2,FALSE)-VLOOKUP(BR$3,'Non-Embedded Emissions'!$F$143:$H$174,3,FALSE)+VLOOKUP(BR$3,'Non-Embedded Emissions'!$A$230:$D$259,2,FALSE)), $C28 = "0", 0), 0)</f>
        <v>0</v>
      </c>
      <c r="BX28" s="45">
        <f>IFERROR(_xlfn.IFS($C28="1",('Inputs-System'!$C$30*'Coincidence Factors'!$B$10*(1+'Inputs-System'!$C$18)*(1+'Inputs-System'!$C$41)*('Inputs-Proposals'!$F$17*'Inputs-Proposals'!$F$19*(1-'Inputs-Proposals'!$F$20^(BX$3-'Inputs-System'!$C$7)))*(VLOOKUP(BX$3,Energy!$A$51:$K$83,5,FALSE))), $C28 = "2",('Inputs-System'!$C$30*'Coincidence Factors'!$B$10)*(1+'Inputs-System'!$C$18)*(1+'Inputs-System'!$C$41)*('Inputs-Proposals'!$F$23*'Inputs-Proposals'!$F$25*(1-'Inputs-Proposals'!$F$26^(BX$3-'Inputs-System'!$C$7)))*(VLOOKUP(BX$3,Energy!$A$51:$K$83,5,FALSE)), $C28= "3", ('Inputs-System'!$C$30*'Coincidence Factors'!$B$10*(1+'Inputs-System'!$C$18)*(1+'Inputs-System'!$C$41)*('Inputs-Proposals'!$F$29*'Inputs-Proposals'!$F$31*(1-'Inputs-Proposals'!$F$32^(BX$3-'Inputs-System'!$C$7)))*(VLOOKUP(BX$3,Energy!$A$51:$K$83,5,FALSE))), $C28= "0", 0), 0)</f>
        <v>0</v>
      </c>
      <c r="BY28" s="44">
        <f>IFERROR(_xlfn.IFS($C28="1",('Inputs-System'!$C$30*'Coincidence Factors'!$B$10*(1+'Inputs-System'!$C$18)*(1+'Inputs-System'!$C$41))*'Inputs-Proposals'!$F$17*'Inputs-Proposals'!$F$19*(1-'Inputs-Proposals'!$F$20^(BX$3-'Inputs-System'!$C$7))*(VLOOKUP(BX$3,'Embedded Emissions'!$A$47:$B$78,2,FALSE)+VLOOKUP(BX$3,'Embedded Emissions'!$A$129:$B$158,2,FALSE)), $C28 = "2",('Inputs-System'!$C$30*'Coincidence Factors'!$B$10*(1+'Inputs-System'!$C$18)*(1+'Inputs-System'!$C$41))*'Inputs-Proposals'!$F$23*'Inputs-Proposals'!$F$25*(1-'Inputs-Proposals'!$F$20^(BX$3-'Inputs-System'!$C$7))*(VLOOKUP(BX$3,'Embedded Emissions'!$A$47:$B$78,2,FALSE)+VLOOKUP(BX$3,'Embedded Emissions'!$A$129:$B$158,2,FALSE)), $C28 = "3", ('Inputs-System'!$C$30*'Coincidence Factors'!$B$10*(1+'Inputs-System'!$C$18)*(1+'Inputs-System'!$C$41))*'Inputs-Proposals'!$F$29*'Inputs-Proposals'!$F$31*(1-'Inputs-Proposals'!$F$20^(BX$3-'Inputs-System'!$C$7))*(VLOOKUP(BX$3,'Embedded Emissions'!$A$47:$B$78,2,FALSE)+VLOOKUP(BX$3,'Embedded Emissions'!$A$129:$B$158,2,FALSE)), $C28 = "0", 0), 0)</f>
        <v>0</v>
      </c>
      <c r="BZ28" s="349">
        <f>IFERROR(_xlfn.IFS($C28="1",( 'Inputs-System'!$C$30*'Coincidence Factors'!$B$6*(1+'Inputs-System'!$C$18)*(1+'Inputs-System'!$C$41))*('Inputs-Proposals'!$F$17*'Inputs-Proposals'!$F$19*(1-'Inputs-Proposals'!$F$20)^(BX$3-'Inputs-System'!$C$7))*(VLOOKUP(BX$3,DRIPE!$A$54:$I$82,5,FALSE)+VLOOKUP(BX$3,DRIPE!$A$54:$I$82,9,FALSE))+ ('Inputs-System'!$C$26*'Coincidence Factors'!$B$6*(1+'Inputs-System'!$C$18)*(1+'Inputs-System'!$C$42))*'Inputs-Proposals'!$F$16*VLOOKUP(BX$3,DRIPE!$A$54:$I$82,8,FALSE), $C28 = "2",( 'Inputs-System'!$C$30*'Coincidence Factors'!$B$6*(1+'Inputs-System'!$C$18)*(1+'Inputs-System'!$C$41))*('Inputs-Proposals'!$F$23*'Inputs-Proposals'!$F$25*(1-'Inputs-Proposals'!$F$26)^(BX$3-'Inputs-System'!$C$7))*(VLOOKUP(BX$3,DRIPE!$A$54:$I$82,5,FALSE)+VLOOKUP(BX$3,DRIPE!$A$54:$I$82,9,FALSE))+ ('Inputs-System'!$C$26*'Coincidence Factors'!$B$6*(1+'Inputs-System'!$C$18)*(1+'Inputs-System'!$C$42))*'Inputs-Proposals'!$F$22*VLOOKUP(BX$3,DRIPE!$A$54:$I$82,8,FALSE), $C28= "3", ( 'Inputs-System'!$C$30*'Coincidence Factors'!$B$6*(1+'Inputs-System'!$C$18)*(1+'Inputs-System'!$C$41))*('Inputs-Proposals'!$F$29*'Inputs-Proposals'!$F$31*(1-'Inputs-Proposals'!$F$32)^(BX$3-'Inputs-System'!$C$7))*(VLOOKUP(BX$3,DRIPE!$A$54:$I$82,5,FALSE)+VLOOKUP(BX$3,DRIPE!$A$54:$I$82,9,FALSE))+ ('Inputs-System'!$C$26*'Coincidence Factors'!$B$6*(1+'Inputs-System'!$C$18)*(1+'Inputs-System'!$C$42))*'Inputs-Proposals'!$F$28*VLOOKUP(BX$3,DRIPE!$A$54:$I$82,8,FALSE), $C28 = "0", 0), 0)</f>
        <v>0</v>
      </c>
      <c r="CA28" s="350">
        <f>IFERROR(_xlfn.IFS($C28="1",('Inputs-System'!$C$26*'Coincidence Factors'!$B$5*(1+'Inputs-System'!$C$18)*(1+'Inputs-System'!$C$42))*'Inputs-Proposals'!$D$16*(VLOOKUP(BX$3,Capacity!$A$53:$E$85,4,FALSE)*(1+'Inputs-System'!$C$42)+VLOOKUP(BX$3,Capacity!$A$53:$E$85,5,FALSE)*(1+'Inputs-System'!$C$43)*'Inputs-System'!$C$29), $C28 = "2", ('Inputs-System'!$C$26*'Coincidence Factors'!$B$5*(1+'Inputs-System'!$C$18))*'Inputs-Proposals'!$D$22*(VLOOKUP(BX$3,Capacity!$A$53:$E$85,4,FALSE)*(1+'Inputs-System'!$C$42)+VLOOKUP(BX$3,Capacity!$A$53:$E$85,5,FALSE)*'Inputs-System'!$C$29*(1+'Inputs-System'!$C$43)), $C28 = "3", ('Inputs-System'!$C$26*'Coincidence Factors'!$B$5*(1+'Inputs-System'!$C$18))*'Inputs-Proposals'!$D$28*(VLOOKUP(BX$3,Capacity!$A$53:$E$85,4,FALSE)*(1+'Inputs-System'!$C$42)+VLOOKUP(BX$3,Capacity!$A$53:$E$85,5,FALSE)*'Inputs-System'!$C$29*(1+'Inputs-System'!$C$43)), $C28 = "0", 0), 0)</f>
        <v>0</v>
      </c>
      <c r="CB28" s="44">
        <v>0</v>
      </c>
      <c r="CC28" s="342">
        <f>IFERROR(_xlfn.IFS($C28="1", 'Inputs-System'!$C$30*'Coincidence Factors'!$B$10*'Inputs-Proposals'!$F$17*'Inputs-Proposals'!$F$19*(VLOOKUP(BX$3,'Non-Embedded Emissions'!$A$56:$D$90,2,FALSE)-VLOOKUP(BX$3,'Non-Embedded Emissions'!$F$57:$H$88,3,FALSE)+VLOOKUP(BX$3,'Non-Embedded Emissions'!$A$143:$D$174,2,FALSE)-VLOOKUP(BX$3,'Non-Embedded Emissions'!$F$143:$H$174,3,FALSE)+VLOOKUP(BX$3,'Non-Embedded Emissions'!$A$230:$D$259,2,FALSE)), $C28 = "2", 'Inputs-System'!$C$30*'Coincidence Factors'!$B$10*'Inputs-Proposals'!$F$23*'Inputs-Proposals'!$F$25*(VLOOKUP(BX$3,'Non-Embedded Emissions'!$A$56:$D$90,2,FALSE)-VLOOKUP(BX$3,'Non-Embedded Emissions'!$F$57:$H$88,3,FALSE)+VLOOKUP(BX$3,'Non-Embedded Emissions'!$A$143:$D$174,2,FALSE)-VLOOKUP(BX$3,'Non-Embedded Emissions'!$F$143:$H$174,3,FALSE)+VLOOKUP(BX$3,'Non-Embedded Emissions'!$A$230:$D$259,2,FALSE)), $C28 = "3", 'Inputs-System'!$C$30*'Coincidence Factors'!$B$10*'Inputs-Proposals'!$F$29*'Inputs-Proposals'!$F$31*(VLOOKUP(BX$3,'Non-Embedded Emissions'!$A$56:$D$90,2,FALSE)-VLOOKUP(BX$3,'Non-Embedded Emissions'!$F$57:$H$88,3,FALSE)+VLOOKUP(BX$3,'Non-Embedded Emissions'!$A$143:$D$174,2,FALSE)-VLOOKUP(BX$3,'Non-Embedded Emissions'!$F$143:$H$174,3,FALSE)+VLOOKUP(BX$3,'Non-Embedded Emissions'!$A$230:$D$259,2,FALSE)), $C28 = "0", 0), 0)</f>
        <v>0</v>
      </c>
      <c r="CD28" s="45">
        <f>IFERROR(_xlfn.IFS($C28="1",('Inputs-System'!$C$30*'Coincidence Factors'!$B$10*(1+'Inputs-System'!$C$18)*(1+'Inputs-System'!$C$41)*('Inputs-Proposals'!$F$17*'Inputs-Proposals'!$F$19*(1-'Inputs-Proposals'!$F$20^(CD$3-'Inputs-System'!$C$7)))*(VLOOKUP(CD$3,Energy!$A$51:$K$83,5,FALSE))), $C28 = "2",('Inputs-System'!$C$30*'Coincidence Factors'!$B$10)*(1+'Inputs-System'!$C$18)*(1+'Inputs-System'!$C$41)*('Inputs-Proposals'!$F$23*'Inputs-Proposals'!$F$25*(1-'Inputs-Proposals'!$F$26^(CD$3-'Inputs-System'!$C$7)))*(VLOOKUP(CD$3,Energy!$A$51:$K$83,5,FALSE)), $C28= "3", ('Inputs-System'!$C$30*'Coincidence Factors'!$B$10*(1+'Inputs-System'!$C$18)*(1+'Inputs-System'!$C$41)*('Inputs-Proposals'!$F$29*'Inputs-Proposals'!$F$31*(1-'Inputs-Proposals'!$F$32^(CD$3-'Inputs-System'!$C$7)))*(VLOOKUP(CD$3,Energy!$A$51:$K$83,5,FALSE))), $C28= "0", 0), 0)</f>
        <v>0</v>
      </c>
      <c r="CE28" s="44">
        <f>IFERROR(_xlfn.IFS($C28="1",('Inputs-System'!$C$30*'Coincidence Factors'!$B$10*(1+'Inputs-System'!$C$18)*(1+'Inputs-System'!$C$41))*'Inputs-Proposals'!$F$17*'Inputs-Proposals'!$F$19*(1-'Inputs-Proposals'!$F$20^(CD$3-'Inputs-System'!$C$7))*(VLOOKUP(CD$3,'Embedded Emissions'!$A$47:$B$78,2,FALSE)+VLOOKUP(CD$3,'Embedded Emissions'!$A$129:$B$158,2,FALSE)), $C28 = "2",('Inputs-System'!$C$30*'Coincidence Factors'!$B$10*(1+'Inputs-System'!$C$18)*(1+'Inputs-System'!$C$41))*'Inputs-Proposals'!$F$23*'Inputs-Proposals'!$F$25*(1-'Inputs-Proposals'!$F$20^(CD$3-'Inputs-System'!$C$7))*(VLOOKUP(CD$3,'Embedded Emissions'!$A$47:$B$78,2,FALSE)+VLOOKUP(CD$3,'Embedded Emissions'!$A$129:$B$158,2,FALSE)), $C28 = "3", ('Inputs-System'!$C$30*'Coincidence Factors'!$B$10*(1+'Inputs-System'!$C$18)*(1+'Inputs-System'!$C$41))*'Inputs-Proposals'!$F$29*'Inputs-Proposals'!$F$31*(1-'Inputs-Proposals'!$F$20^(CD$3-'Inputs-System'!$C$7))*(VLOOKUP(CD$3,'Embedded Emissions'!$A$47:$B$78,2,FALSE)+VLOOKUP(CD$3,'Embedded Emissions'!$A$129:$B$158,2,FALSE)), $C28 = "0", 0), 0)</f>
        <v>0</v>
      </c>
      <c r="CF28" s="349">
        <f>IFERROR(_xlfn.IFS($C28="1",( 'Inputs-System'!$C$30*'Coincidence Factors'!$B$6*(1+'Inputs-System'!$C$18)*(1+'Inputs-System'!$C$41))*('Inputs-Proposals'!$F$17*'Inputs-Proposals'!$F$19*(1-'Inputs-Proposals'!$F$20)^(CD$3-'Inputs-System'!$C$7))*(VLOOKUP(CD$3,DRIPE!$A$54:$I$82,5,FALSE)+VLOOKUP(CD$3,DRIPE!$A$54:$I$82,9,FALSE))+ ('Inputs-System'!$C$26*'Coincidence Factors'!$B$6*(1+'Inputs-System'!$C$18)*(1+'Inputs-System'!$C$42))*'Inputs-Proposals'!$F$16*VLOOKUP(CD$3,DRIPE!$A$54:$I$82,8,FALSE), $C28 = "2",( 'Inputs-System'!$C$30*'Coincidence Factors'!$B$6*(1+'Inputs-System'!$C$18)*(1+'Inputs-System'!$C$41))*('Inputs-Proposals'!$F$23*'Inputs-Proposals'!$F$25*(1-'Inputs-Proposals'!$F$26)^(CD$3-'Inputs-System'!$C$7))*(VLOOKUP(CD$3,DRIPE!$A$54:$I$82,5,FALSE)+VLOOKUP(CD$3,DRIPE!$A$54:$I$82,9,FALSE))+ ('Inputs-System'!$C$26*'Coincidence Factors'!$B$6*(1+'Inputs-System'!$C$18)*(1+'Inputs-System'!$C$42))*'Inputs-Proposals'!$F$22*VLOOKUP(CD$3,DRIPE!$A$54:$I$82,8,FALSE), $C28= "3", ( 'Inputs-System'!$C$30*'Coincidence Factors'!$B$6*(1+'Inputs-System'!$C$18)*(1+'Inputs-System'!$C$41))*('Inputs-Proposals'!$F$29*'Inputs-Proposals'!$F$31*(1-'Inputs-Proposals'!$F$32)^(CD$3-'Inputs-System'!$C$7))*(VLOOKUP(CD$3,DRIPE!$A$54:$I$82,5,FALSE)+VLOOKUP(CD$3,DRIPE!$A$54:$I$82,9,FALSE))+ ('Inputs-System'!$C$26*'Coincidence Factors'!$B$6*(1+'Inputs-System'!$C$18)*(1+'Inputs-System'!$C$42))*'Inputs-Proposals'!$F$28*VLOOKUP(CD$3,DRIPE!$A$54:$I$82,8,FALSE), $C28 = "0", 0), 0)</f>
        <v>0</v>
      </c>
      <c r="CG28" s="350">
        <f>IFERROR(_xlfn.IFS($C28="1",('Inputs-System'!$C$26*'Coincidence Factors'!$B$5*(1+'Inputs-System'!$C$18)*(1+'Inputs-System'!$C$42))*'Inputs-Proposals'!$D$16*(VLOOKUP(CD$3,Capacity!$A$53:$E$85,4,FALSE)*(1+'Inputs-System'!$C$42)+VLOOKUP(CD$3,Capacity!$A$53:$E$85,5,FALSE)*(1+'Inputs-System'!$C$43)*'Inputs-System'!$C$29), $C28 = "2", ('Inputs-System'!$C$26*'Coincidence Factors'!$B$5*(1+'Inputs-System'!$C$18))*'Inputs-Proposals'!$D$22*(VLOOKUP(CD$3,Capacity!$A$53:$E$85,4,FALSE)*(1+'Inputs-System'!$C$42)+VLOOKUP(CD$3,Capacity!$A$53:$E$85,5,FALSE)*'Inputs-System'!$C$29*(1+'Inputs-System'!$C$43)), $C28 = "3", ('Inputs-System'!$C$26*'Coincidence Factors'!$B$5*(1+'Inputs-System'!$C$18))*'Inputs-Proposals'!$D$28*(VLOOKUP(CD$3,Capacity!$A$53:$E$85,4,FALSE)*(1+'Inputs-System'!$C$42)+VLOOKUP(CD$3,Capacity!$A$53:$E$85,5,FALSE)*'Inputs-System'!$C$29*(1+'Inputs-System'!$C$43)), $C28 = "0", 0), 0)</f>
        <v>0</v>
      </c>
      <c r="CH28" s="44">
        <v>0</v>
      </c>
      <c r="CI28" s="342">
        <f>IFERROR(_xlfn.IFS($C28="1", 'Inputs-System'!$C$30*'Coincidence Factors'!$B$10*'Inputs-Proposals'!$F$17*'Inputs-Proposals'!$F$19*(VLOOKUP(CD$3,'Non-Embedded Emissions'!$A$56:$D$90,2,FALSE)-VLOOKUP(CD$3,'Non-Embedded Emissions'!$F$57:$H$88,3,FALSE)+VLOOKUP(CD$3,'Non-Embedded Emissions'!$A$143:$D$174,2,FALSE)-VLOOKUP(CD$3,'Non-Embedded Emissions'!$F$143:$H$174,3,FALSE)+VLOOKUP(CD$3,'Non-Embedded Emissions'!$A$230:$D$259,2,FALSE)), $C28 = "2", 'Inputs-System'!$C$30*'Coincidence Factors'!$B$10*'Inputs-Proposals'!$F$23*'Inputs-Proposals'!$F$25*(VLOOKUP(CD$3,'Non-Embedded Emissions'!$A$56:$D$90,2,FALSE)-VLOOKUP(CD$3,'Non-Embedded Emissions'!$F$57:$H$88,3,FALSE)+VLOOKUP(CD$3,'Non-Embedded Emissions'!$A$143:$D$174,2,FALSE)-VLOOKUP(CD$3,'Non-Embedded Emissions'!$F$143:$H$174,3,FALSE)+VLOOKUP(CD$3,'Non-Embedded Emissions'!$A$230:$D$259,2,FALSE)), $C28 = "3", 'Inputs-System'!$C$30*'Coincidence Factors'!$B$10*'Inputs-Proposals'!$F$29*'Inputs-Proposals'!$F$31*(VLOOKUP(CD$3,'Non-Embedded Emissions'!$A$56:$D$90,2,FALSE)-VLOOKUP(CD$3,'Non-Embedded Emissions'!$F$57:$H$88,3,FALSE)+VLOOKUP(CD$3,'Non-Embedded Emissions'!$A$143:$D$174,2,FALSE)-VLOOKUP(CD$3,'Non-Embedded Emissions'!$F$143:$H$174,3,FALSE)+VLOOKUP(CD$3,'Non-Embedded Emissions'!$A$230:$D$259,2,FALSE)), $C28 = "0", 0), 0)</f>
        <v>0</v>
      </c>
      <c r="CJ28" s="45">
        <f>IFERROR(_xlfn.IFS($C28="1",('Inputs-System'!$C$30*'Coincidence Factors'!$B$10*(1+'Inputs-System'!$C$18)*(1+'Inputs-System'!$C$41)*('Inputs-Proposals'!$F$17*'Inputs-Proposals'!$F$19*(1-'Inputs-Proposals'!$F$20^(CJ$3-'Inputs-System'!$C$7)))*(VLOOKUP(CJ$3,Energy!$A$51:$K$83,5,FALSE))), $C28 = "2",('Inputs-System'!$C$30*'Coincidence Factors'!$B$10)*(1+'Inputs-System'!$C$18)*(1+'Inputs-System'!$C$41)*('Inputs-Proposals'!$F$23*'Inputs-Proposals'!$F$25*(1-'Inputs-Proposals'!$F$26^(CJ$3-'Inputs-System'!$C$7)))*(VLOOKUP(CJ$3,Energy!$A$51:$K$83,5,FALSE)), $C28= "3", ('Inputs-System'!$C$30*'Coincidence Factors'!$B$10*(1+'Inputs-System'!$C$18)*(1+'Inputs-System'!$C$41)*('Inputs-Proposals'!$F$29*'Inputs-Proposals'!$F$31*(1-'Inputs-Proposals'!$F$32^(CJ$3-'Inputs-System'!$C$7)))*(VLOOKUP(CJ$3,Energy!$A$51:$K$83,5,FALSE))), $C28= "0", 0), 0)</f>
        <v>0</v>
      </c>
      <c r="CK28" s="44">
        <f>IFERROR(_xlfn.IFS($C28="1",('Inputs-System'!$C$30*'Coincidence Factors'!$B$10*(1+'Inputs-System'!$C$18)*(1+'Inputs-System'!$C$41))*'Inputs-Proposals'!$F$17*'Inputs-Proposals'!$F$19*(1-'Inputs-Proposals'!$F$20^(CJ$3-'Inputs-System'!$C$7))*(VLOOKUP(CJ$3,'Embedded Emissions'!$A$47:$B$78,2,FALSE)+VLOOKUP(CJ$3,'Embedded Emissions'!$A$129:$B$158,2,FALSE)), $C28 = "2",('Inputs-System'!$C$30*'Coincidence Factors'!$B$10*(1+'Inputs-System'!$C$18)*(1+'Inputs-System'!$C$41))*'Inputs-Proposals'!$F$23*'Inputs-Proposals'!$F$25*(1-'Inputs-Proposals'!$F$20^(CJ$3-'Inputs-System'!$C$7))*(VLOOKUP(CJ$3,'Embedded Emissions'!$A$47:$B$78,2,FALSE)+VLOOKUP(CJ$3,'Embedded Emissions'!$A$129:$B$158,2,FALSE)), $C28 = "3", ('Inputs-System'!$C$30*'Coincidence Factors'!$B$10*(1+'Inputs-System'!$C$18)*(1+'Inputs-System'!$C$41))*'Inputs-Proposals'!$F$29*'Inputs-Proposals'!$F$31*(1-'Inputs-Proposals'!$F$20^(CJ$3-'Inputs-System'!$C$7))*(VLOOKUP(CJ$3,'Embedded Emissions'!$A$47:$B$78,2,FALSE)+VLOOKUP(CJ$3,'Embedded Emissions'!$A$129:$B$158,2,FALSE)), $C28 = "0", 0), 0)</f>
        <v>0</v>
      </c>
      <c r="CL28" s="349">
        <f>IFERROR(_xlfn.IFS($C28="1",( 'Inputs-System'!$C$30*'Coincidence Factors'!$B$6*(1+'Inputs-System'!$C$18)*(1+'Inputs-System'!$C$41))*('Inputs-Proposals'!$F$17*'Inputs-Proposals'!$F$19*(1-'Inputs-Proposals'!$F$20)^(CJ$3-'Inputs-System'!$C$7))*(VLOOKUP(CJ$3,DRIPE!$A$54:$I$82,5,FALSE)+VLOOKUP(CJ$3,DRIPE!$A$54:$I$82,9,FALSE))+ ('Inputs-System'!$C$26*'Coincidence Factors'!$B$6*(1+'Inputs-System'!$C$18)*(1+'Inputs-System'!$C$42))*'Inputs-Proposals'!$F$16*VLOOKUP(CJ$3,DRIPE!$A$54:$I$82,8,FALSE), $C28 = "2",( 'Inputs-System'!$C$30*'Coincidence Factors'!$B$6*(1+'Inputs-System'!$C$18)*(1+'Inputs-System'!$C$41))*('Inputs-Proposals'!$F$23*'Inputs-Proposals'!$F$25*(1-'Inputs-Proposals'!$F$26)^(CJ$3-'Inputs-System'!$C$7))*(VLOOKUP(CJ$3,DRIPE!$A$54:$I$82,5,FALSE)+VLOOKUP(CJ$3,DRIPE!$A$54:$I$82,9,FALSE))+ ('Inputs-System'!$C$26*'Coincidence Factors'!$B$6*(1+'Inputs-System'!$C$18)*(1+'Inputs-System'!$C$42))*'Inputs-Proposals'!$F$22*VLOOKUP(CJ$3,DRIPE!$A$54:$I$82,8,FALSE), $C28= "3", ( 'Inputs-System'!$C$30*'Coincidence Factors'!$B$6*(1+'Inputs-System'!$C$18)*(1+'Inputs-System'!$C$41))*('Inputs-Proposals'!$F$29*'Inputs-Proposals'!$F$31*(1-'Inputs-Proposals'!$F$32)^(CJ$3-'Inputs-System'!$C$7))*(VLOOKUP(CJ$3,DRIPE!$A$54:$I$82,5,FALSE)+VLOOKUP(CJ$3,DRIPE!$A$54:$I$82,9,FALSE))+ ('Inputs-System'!$C$26*'Coincidence Factors'!$B$6*(1+'Inputs-System'!$C$18)*(1+'Inputs-System'!$C$42))*'Inputs-Proposals'!$F$28*VLOOKUP(CJ$3,DRIPE!$A$54:$I$82,8,FALSE), $C28 = "0", 0), 0)</f>
        <v>0</v>
      </c>
      <c r="CM28" s="350">
        <f>IFERROR(_xlfn.IFS($C28="1",('Inputs-System'!$C$26*'Coincidence Factors'!$B$5*(1+'Inputs-System'!$C$18)*(1+'Inputs-System'!$C$42))*'Inputs-Proposals'!$D$16*(VLOOKUP(CJ$3,Capacity!$A$53:$E$85,4,FALSE)*(1+'Inputs-System'!$C$42)+VLOOKUP(CJ$3,Capacity!$A$53:$E$85,5,FALSE)*(1+'Inputs-System'!$C$43)*'Inputs-System'!$C$29), $C28 = "2", ('Inputs-System'!$C$26*'Coincidence Factors'!$B$5*(1+'Inputs-System'!$C$18))*'Inputs-Proposals'!$D$22*(VLOOKUP(CJ$3,Capacity!$A$53:$E$85,4,FALSE)*(1+'Inputs-System'!$C$42)+VLOOKUP(CJ$3,Capacity!$A$53:$E$85,5,FALSE)*'Inputs-System'!$C$29*(1+'Inputs-System'!$C$43)), $C28 = "3", ('Inputs-System'!$C$26*'Coincidence Factors'!$B$5*(1+'Inputs-System'!$C$18))*'Inputs-Proposals'!$D$28*(VLOOKUP(CJ$3,Capacity!$A$53:$E$85,4,FALSE)*(1+'Inputs-System'!$C$42)+VLOOKUP(CJ$3,Capacity!$A$53:$E$85,5,FALSE)*'Inputs-System'!$C$29*(1+'Inputs-System'!$C$43)), $C28 = "0", 0), 0)</f>
        <v>0</v>
      </c>
      <c r="CN28" s="44">
        <v>0</v>
      </c>
      <c r="CO28" s="342">
        <f>IFERROR(_xlfn.IFS($C28="1", 'Inputs-System'!$C$30*'Coincidence Factors'!$B$10*'Inputs-Proposals'!$F$17*'Inputs-Proposals'!$F$19*(VLOOKUP(CJ$3,'Non-Embedded Emissions'!$A$56:$D$90,2,FALSE)-VLOOKUP(CJ$3,'Non-Embedded Emissions'!$F$57:$H$88,3,FALSE)+VLOOKUP(CJ$3,'Non-Embedded Emissions'!$A$143:$D$174,2,FALSE)-VLOOKUP(CJ$3,'Non-Embedded Emissions'!$F$143:$H$174,3,FALSE)+VLOOKUP(CJ$3,'Non-Embedded Emissions'!$A$230:$D$259,2,FALSE)), $C28 = "2", 'Inputs-System'!$C$30*'Coincidence Factors'!$B$10*'Inputs-Proposals'!$F$23*'Inputs-Proposals'!$F$25*(VLOOKUP(CJ$3,'Non-Embedded Emissions'!$A$56:$D$90,2,FALSE)-VLOOKUP(CJ$3,'Non-Embedded Emissions'!$F$57:$H$88,3,FALSE)+VLOOKUP(CJ$3,'Non-Embedded Emissions'!$A$143:$D$174,2,FALSE)-VLOOKUP(CJ$3,'Non-Embedded Emissions'!$F$143:$H$174,3,FALSE)+VLOOKUP(CJ$3,'Non-Embedded Emissions'!$A$230:$D$259,2,FALSE)), $C28 = "3", 'Inputs-System'!$C$30*'Coincidence Factors'!$B$10*'Inputs-Proposals'!$F$29*'Inputs-Proposals'!$F$31*(VLOOKUP(CJ$3,'Non-Embedded Emissions'!$A$56:$D$90,2,FALSE)-VLOOKUP(CJ$3,'Non-Embedded Emissions'!$F$57:$H$88,3,FALSE)+VLOOKUP(CJ$3,'Non-Embedded Emissions'!$A$143:$D$174,2,FALSE)-VLOOKUP(CJ$3,'Non-Embedded Emissions'!$F$143:$H$174,3,FALSE)+VLOOKUP(CJ$3,'Non-Embedded Emissions'!$A$230:$D$259,2,FALSE)), $C28 = "0", 0), 0)</f>
        <v>0</v>
      </c>
      <c r="CP28" s="45">
        <f>IFERROR(_xlfn.IFS($C28="1",('Inputs-System'!$C$30*'Coincidence Factors'!$B$10*(1+'Inputs-System'!$C$18)*(1+'Inputs-System'!$C$41)*('Inputs-Proposals'!$F$17*'Inputs-Proposals'!$F$19*(1-'Inputs-Proposals'!$F$20^(CP$3-'Inputs-System'!$C$7)))*(VLOOKUP(CP$3,Energy!$A$51:$K$83,5,FALSE))), $C28 = "2",('Inputs-System'!$C$30*'Coincidence Factors'!$B$10)*(1+'Inputs-System'!$C$18)*(1+'Inputs-System'!$C$41)*('Inputs-Proposals'!$F$23*'Inputs-Proposals'!$F$25*(1-'Inputs-Proposals'!$F$26^(CP$3-'Inputs-System'!$C$7)))*(VLOOKUP(CP$3,Energy!$A$51:$K$83,5,FALSE)), $C28= "3", ('Inputs-System'!$C$30*'Coincidence Factors'!$B$10*(1+'Inputs-System'!$C$18)*(1+'Inputs-System'!$C$41)*('Inputs-Proposals'!$F$29*'Inputs-Proposals'!$F$31*(1-'Inputs-Proposals'!$F$32^(CP$3-'Inputs-System'!$C$7)))*(VLOOKUP(CP$3,Energy!$A$51:$K$83,5,FALSE))), $C28= "0", 0), 0)</f>
        <v>0</v>
      </c>
      <c r="CQ28" s="44">
        <f>IFERROR(_xlfn.IFS($C28="1",('Inputs-System'!$C$30*'Coincidence Factors'!$B$10*(1+'Inputs-System'!$C$18)*(1+'Inputs-System'!$C$41))*'Inputs-Proposals'!$F$17*'Inputs-Proposals'!$F$19*(1-'Inputs-Proposals'!$F$20^(CP$3-'Inputs-System'!$C$7))*(VLOOKUP(CP$3,'Embedded Emissions'!$A$47:$B$78,2,FALSE)+VLOOKUP(CP$3,'Embedded Emissions'!$A$129:$B$158,2,FALSE)), $C28 = "2",('Inputs-System'!$C$30*'Coincidence Factors'!$B$10*(1+'Inputs-System'!$C$18)*(1+'Inputs-System'!$C$41))*'Inputs-Proposals'!$F$23*'Inputs-Proposals'!$F$25*(1-'Inputs-Proposals'!$F$20^(CP$3-'Inputs-System'!$C$7))*(VLOOKUP(CP$3,'Embedded Emissions'!$A$47:$B$78,2,FALSE)+VLOOKUP(CP$3,'Embedded Emissions'!$A$129:$B$158,2,FALSE)), $C28 = "3", ('Inputs-System'!$C$30*'Coincidence Factors'!$B$10*(1+'Inputs-System'!$C$18)*(1+'Inputs-System'!$C$41))*'Inputs-Proposals'!$F$29*'Inputs-Proposals'!$F$31*(1-'Inputs-Proposals'!$F$20^(CP$3-'Inputs-System'!$C$7))*(VLOOKUP(CP$3,'Embedded Emissions'!$A$47:$B$78,2,FALSE)+VLOOKUP(CP$3,'Embedded Emissions'!$A$129:$B$158,2,FALSE)), $C28 = "0", 0), 0)</f>
        <v>0</v>
      </c>
      <c r="CR28" s="349">
        <f>IFERROR(_xlfn.IFS($C28="1",( 'Inputs-System'!$C$30*'Coincidence Factors'!$B$6*(1+'Inputs-System'!$C$18)*(1+'Inputs-System'!$C$41))*('Inputs-Proposals'!$F$17*'Inputs-Proposals'!$F$19*(1-'Inputs-Proposals'!$F$20)^(CP$3-'Inputs-System'!$C$7))*(VLOOKUP(CP$3,DRIPE!$A$54:$I$82,5,FALSE)+VLOOKUP(CP$3,DRIPE!$A$54:$I$82,9,FALSE))+ ('Inputs-System'!$C$26*'Coincidence Factors'!$B$6*(1+'Inputs-System'!$C$18)*(1+'Inputs-System'!$C$42))*'Inputs-Proposals'!$F$16*VLOOKUP(CP$3,DRIPE!$A$54:$I$82,8,FALSE), $C28 = "2",( 'Inputs-System'!$C$30*'Coincidence Factors'!$B$6*(1+'Inputs-System'!$C$18)*(1+'Inputs-System'!$C$41))*('Inputs-Proposals'!$F$23*'Inputs-Proposals'!$F$25*(1-'Inputs-Proposals'!$F$26)^(CP$3-'Inputs-System'!$C$7))*(VLOOKUP(CP$3,DRIPE!$A$54:$I$82,5,FALSE)+VLOOKUP(CP$3,DRIPE!$A$54:$I$82,9,FALSE))+ ('Inputs-System'!$C$26*'Coincidence Factors'!$B$6*(1+'Inputs-System'!$C$18)*(1+'Inputs-System'!$C$42))*'Inputs-Proposals'!$F$22*VLOOKUP(CP$3,DRIPE!$A$54:$I$82,8,FALSE), $C28= "3", ( 'Inputs-System'!$C$30*'Coincidence Factors'!$B$6*(1+'Inputs-System'!$C$18)*(1+'Inputs-System'!$C$41))*('Inputs-Proposals'!$F$29*'Inputs-Proposals'!$F$31*(1-'Inputs-Proposals'!$F$32)^(CP$3-'Inputs-System'!$C$7))*(VLOOKUP(CP$3,DRIPE!$A$54:$I$82,5,FALSE)+VLOOKUP(CP$3,DRIPE!$A$54:$I$82,9,FALSE))+ ('Inputs-System'!$C$26*'Coincidence Factors'!$B$6*(1+'Inputs-System'!$C$18)*(1+'Inputs-System'!$C$42))*'Inputs-Proposals'!$F$28*VLOOKUP(CP$3,DRIPE!$A$54:$I$82,8,FALSE), $C28 = "0", 0), 0)</f>
        <v>0</v>
      </c>
      <c r="CS28" s="350">
        <f>IFERROR(_xlfn.IFS($C28="1",('Inputs-System'!$C$26*'Coincidence Factors'!$B$5*(1+'Inputs-System'!$C$18)*(1+'Inputs-System'!$C$42))*'Inputs-Proposals'!$D$16*(VLOOKUP(CP$3,Capacity!$A$53:$E$85,4,FALSE)*(1+'Inputs-System'!$C$42)+VLOOKUP(CP$3,Capacity!$A$53:$E$85,5,FALSE)*(1+'Inputs-System'!$C$43)*'Inputs-System'!$C$29), $C28 = "2", ('Inputs-System'!$C$26*'Coincidence Factors'!$B$5*(1+'Inputs-System'!$C$18))*'Inputs-Proposals'!$D$22*(VLOOKUP(CP$3,Capacity!$A$53:$E$85,4,FALSE)*(1+'Inputs-System'!$C$42)+VLOOKUP(CP$3,Capacity!$A$53:$E$85,5,FALSE)*'Inputs-System'!$C$29*(1+'Inputs-System'!$C$43)), $C28 = "3", ('Inputs-System'!$C$26*'Coincidence Factors'!$B$5*(1+'Inputs-System'!$C$18))*'Inputs-Proposals'!$D$28*(VLOOKUP(CP$3,Capacity!$A$53:$E$85,4,FALSE)*(1+'Inputs-System'!$C$42)+VLOOKUP(CP$3,Capacity!$A$53:$E$85,5,FALSE)*'Inputs-System'!$C$29*(1+'Inputs-System'!$C$43)), $C28 = "0", 0), 0)</f>
        <v>0</v>
      </c>
      <c r="CT28" s="44">
        <v>0</v>
      </c>
      <c r="CU28" s="342">
        <f>IFERROR(_xlfn.IFS($C28="1", 'Inputs-System'!$C$30*'Coincidence Factors'!$B$10*'Inputs-Proposals'!$F$17*'Inputs-Proposals'!$F$19*(VLOOKUP(CP$3,'Non-Embedded Emissions'!$A$56:$D$90,2,FALSE)-VLOOKUP(CP$3,'Non-Embedded Emissions'!$F$57:$H$88,3,FALSE)+VLOOKUP(CP$3,'Non-Embedded Emissions'!$A$143:$D$174,2,FALSE)-VLOOKUP(CP$3,'Non-Embedded Emissions'!$F$143:$H$174,3,FALSE)+VLOOKUP(CP$3,'Non-Embedded Emissions'!$A$230:$D$259,2,FALSE)), $C28 = "2", 'Inputs-System'!$C$30*'Coincidence Factors'!$B$10*'Inputs-Proposals'!$F$23*'Inputs-Proposals'!$F$25*(VLOOKUP(CP$3,'Non-Embedded Emissions'!$A$56:$D$90,2,FALSE)-VLOOKUP(CP$3,'Non-Embedded Emissions'!$F$57:$H$88,3,FALSE)+VLOOKUP(CP$3,'Non-Embedded Emissions'!$A$143:$D$174,2,FALSE)-VLOOKUP(CP$3,'Non-Embedded Emissions'!$F$143:$H$174,3,FALSE)+VLOOKUP(CP$3,'Non-Embedded Emissions'!$A$230:$D$259,2,FALSE)), $C28 = "3", 'Inputs-System'!$C$30*'Coincidence Factors'!$B$10*'Inputs-Proposals'!$F$29*'Inputs-Proposals'!$F$31*(VLOOKUP(CP$3,'Non-Embedded Emissions'!$A$56:$D$90,2,FALSE)-VLOOKUP(CP$3,'Non-Embedded Emissions'!$F$57:$H$88,3,FALSE)+VLOOKUP(CP$3,'Non-Embedded Emissions'!$A$143:$D$174,2,FALSE)-VLOOKUP(CP$3,'Non-Embedded Emissions'!$F$143:$H$174,3,FALSE)+VLOOKUP(CP$3,'Non-Embedded Emissions'!$A$230:$D$259,2,FALSE)), $C28 = "0", 0), 0)</f>
        <v>0</v>
      </c>
      <c r="CV28" s="45">
        <f>IFERROR(_xlfn.IFS($C28="1",('Inputs-System'!$C$30*'Coincidence Factors'!$B$10*(1+'Inputs-System'!$C$18)*(1+'Inputs-System'!$C$41)*('Inputs-Proposals'!$F$17*'Inputs-Proposals'!$F$19*(1-'Inputs-Proposals'!$F$20^(CV$3-'Inputs-System'!$C$7)))*(VLOOKUP(CV$3,Energy!$A$51:$K$83,5,FALSE))), $C28 = "2",('Inputs-System'!$C$30*'Coincidence Factors'!$B$10)*(1+'Inputs-System'!$C$18)*(1+'Inputs-System'!$C$41)*('Inputs-Proposals'!$F$23*'Inputs-Proposals'!$F$25*(1-'Inputs-Proposals'!$F$26^(CV$3-'Inputs-System'!$C$7)))*(VLOOKUP(CV$3,Energy!$A$51:$K$83,5,FALSE)), $C28= "3", ('Inputs-System'!$C$30*'Coincidence Factors'!$B$10*(1+'Inputs-System'!$C$18)*(1+'Inputs-System'!$C$41)*('Inputs-Proposals'!$F$29*'Inputs-Proposals'!$F$31*(1-'Inputs-Proposals'!$F$32^(CV$3-'Inputs-System'!$C$7)))*(VLOOKUP(CV$3,Energy!$A$51:$K$83,5,FALSE))), $C28= "0", 0), 0)</f>
        <v>0</v>
      </c>
      <c r="CW28" s="44">
        <f>IFERROR(_xlfn.IFS($C28="1",('Inputs-System'!$C$30*'Coincidence Factors'!$B$10*(1+'Inputs-System'!$C$18)*(1+'Inputs-System'!$C$41))*'Inputs-Proposals'!$F$17*'Inputs-Proposals'!$F$19*(1-'Inputs-Proposals'!$F$20^(CV$3-'Inputs-System'!$C$7))*(VLOOKUP(CV$3,'Embedded Emissions'!$A$47:$B$78,2,FALSE)+VLOOKUP(CV$3,'Embedded Emissions'!$A$129:$B$158,2,FALSE)), $C28 = "2",('Inputs-System'!$C$30*'Coincidence Factors'!$B$10*(1+'Inputs-System'!$C$18)*(1+'Inputs-System'!$C$41))*'Inputs-Proposals'!$F$23*'Inputs-Proposals'!$F$25*(1-'Inputs-Proposals'!$F$20^(CV$3-'Inputs-System'!$C$7))*(VLOOKUP(CV$3,'Embedded Emissions'!$A$47:$B$78,2,FALSE)+VLOOKUP(CV$3,'Embedded Emissions'!$A$129:$B$158,2,FALSE)), $C28 = "3", ('Inputs-System'!$C$30*'Coincidence Factors'!$B$10*(1+'Inputs-System'!$C$18)*(1+'Inputs-System'!$C$41))*'Inputs-Proposals'!$F$29*'Inputs-Proposals'!$F$31*(1-'Inputs-Proposals'!$F$20^(CV$3-'Inputs-System'!$C$7))*(VLOOKUP(CV$3,'Embedded Emissions'!$A$47:$B$78,2,FALSE)+VLOOKUP(CV$3,'Embedded Emissions'!$A$129:$B$158,2,FALSE)), $C28 = "0", 0), 0)</f>
        <v>0</v>
      </c>
      <c r="CX28" s="349">
        <f>IFERROR(_xlfn.IFS($C28="1",( 'Inputs-System'!$C$30*'Coincidence Factors'!$B$6*(1+'Inputs-System'!$C$18)*(1+'Inputs-System'!$C$41))*('Inputs-Proposals'!$F$17*'Inputs-Proposals'!$F$19*(1-'Inputs-Proposals'!$F$20)^(CV$3-'Inputs-System'!$C$7))*(VLOOKUP(CV$3,DRIPE!$A$54:$I$82,5,FALSE)+VLOOKUP(CV$3,DRIPE!$A$54:$I$82,9,FALSE))+ ('Inputs-System'!$C$26*'Coincidence Factors'!$B$6*(1+'Inputs-System'!$C$18)*(1+'Inputs-System'!$C$42))*'Inputs-Proposals'!$F$16*VLOOKUP(CV$3,DRIPE!$A$54:$I$82,8,FALSE), $C28 = "2",( 'Inputs-System'!$C$30*'Coincidence Factors'!$B$6*(1+'Inputs-System'!$C$18)*(1+'Inputs-System'!$C$41))*('Inputs-Proposals'!$F$23*'Inputs-Proposals'!$F$25*(1-'Inputs-Proposals'!$F$26)^(CV$3-'Inputs-System'!$C$7))*(VLOOKUP(CV$3,DRIPE!$A$54:$I$82,5,FALSE)+VLOOKUP(CV$3,DRIPE!$A$54:$I$82,9,FALSE))+ ('Inputs-System'!$C$26*'Coincidence Factors'!$B$6*(1+'Inputs-System'!$C$18)*(1+'Inputs-System'!$C$42))*'Inputs-Proposals'!$F$22*VLOOKUP(CV$3,DRIPE!$A$54:$I$82,8,FALSE), $C28= "3", ( 'Inputs-System'!$C$30*'Coincidence Factors'!$B$6*(1+'Inputs-System'!$C$18)*(1+'Inputs-System'!$C$41))*('Inputs-Proposals'!$F$29*'Inputs-Proposals'!$F$31*(1-'Inputs-Proposals'!$F$32)^(CV$3-'Inputs-System'!$C$7))*(VLOOKUP(CV$3,DRIPE!$A$54:$I$82,5,FALSE)+VLOOKUP(CV$3,DRIPE!$A$54:$I$82,9,FALSE))+ ('Inputs-System'!$C$26*'Coincidence Factors'!$B$6*(1+'Inputs-System'!$C$18)*(1+'Inputs-System'!$C$42))*'Inputs-Proposals'!$F$28*VLOOKUP(CV$3,DRIPE!$A$54:$I$82,8,FALSE), $C28 = "0", 0), 0)</f>
        <v>0</v>
      </c>
      <c r="CY28" s="350">
        <f>IFERROR(_xlfn.IFS($C28="1",('Inputs-System'!$C$26*'Coincidence Factors'!$B$5*(1+'Inputs-System'!$C$18)*(1+'Inputs-System'!$C$42))*'Inputs-Proposals'!$D$16*(VLOOKUP(CV$3,Capacity!$A$53:$E$85,4,FALSE)*(1+'Inputs-System'!$C$42)+VLOOKUP(CV$3,Capacity!$A$53:$E$85,5,FALSE)*(1+'Inputs-System'!$C$43)*'Inputs-System'!$C$29), $C28 = "2", ('Inputs-System'!$C$26*'Coincidence Factors'!$B$5*(1+'Inputs-System'!$C$18))*'Inputs-Proposals'!$D$22*(VLOOKUP(CV$3,Capacity!$A$53:$E$85,4,FALSE)*(1+'Inputs-System'!$C$42)+VLOOKUP(CV$3,Capacity!$A$53:$E$85,5,FALSE)*'Inputs-System'!$C$29*(1+'Inputs-System'!$C$43)), $C28 = "3", ('Inputs-System'!$C$26*'Coincidence Factors'!$B$5*(1+'Inputs-System'!$C$18))*'Inputs-Proposals'!$D$28*(VLOOKUP(CV$3,Capacity!$A$53:$E$85,4,FALSE)*(1+'Inputs-System'!$C$42)+VLOOKUP(CV$3,Capacity!$A$53:$E$85,5,FALSE)*'Inputs-System'!$C$29*(1+'Inputs-System'!$C$43)), $C28 = "0", 0), 0)</f>
        <v>0</v>
      </c>
      <c r="CZ28" s="44">
        <v>0</v>
      </c>
      <c r="DA28" s="342">
        <f>IFERROR(_xlfn.IFS($C28="1", 'Inputs-System'!$C$30*'Coincidence Factors'!$B$10*'Inputs-Proposals'!$F$17*'Inputs-Proposals'!$F$19*(VLOOKUP(CV$3,'Non-Embedded Emissions'!$A$56:$D$90,2,FALSE)-VLOOKUP(CV$3,'Non-Embedded Emissions'!$F$57:$H$88,3,FALSE)+VLOOKUP(CV$3,'Non-Embedded Emissions'!$A$143:$D$174,2,FALSE)-VLOOKUP(CV$3,'Non-Embedded Emissions'!$F$143:$H$174,3,FALSE)+VLOOKUP(CV$3,'Non-Embedded Emissions'!$A$230:$D$259,2,FALSE)), $C28 = "2", 'Inputs-System'!$C$30*'Coincidence Factors'!$B$10*'Inputs-Proposals'!$F$23*'Inputs-Proposals'!$F$25*(VLOOKUP(CV$3,'Non-Embedded Emissions'!$A$56:$D$90,2,FALSE)-VLOOKUP(CV$3,'Non-Embedded Emissions'!$F$57:$H$88,3,FALSE)+VLOOKUP(CV$3,'Non-Embedded Emissions'!$A$143:$D$174,2,FALSE)-VLOOKUP(CV$3,'Non-Embedded Emissions'!$F$143:$H$174,3,FALSE)+VLOOKUP(CV$3,'Non-Embedded Emissions'!$A$230:$D$259,2,FALSE)), $C28 = "3", 'Inputs-System'!$C$30*'Coincidence Factors'!$B$10*'Inputs-Proposals'!$F$29*'Inputs-Proposals'!$F$31*(VLOOKUP(CV$3,'Non-Embedded Emissions'!$A$56:$D$90,2,FALSE)-VLOOKUP(CV$3,'Non-Embedded Emissions'!$F$57:$H$88,3,FALSE)+VLOOKUP(CV$3,'Non-Embedded Emissions'!$A$143:$D$174,2,FALSE)-VLOOKUP(CV$3,'Non-Embedded Emissions'!$F$143:$H$174,3,FALSE)+VLOOKUP(CV$3,'Non-Embedded Emissions'!$A$230:$D$259,2,FALSE)), $C28 = "0", 0), 0)</f>
        <v>0</v>
      </c>
      <c r="DB28" s="45">
        <f>IFERROR(_xlfn.IFS($C28="1",('Inputs-System'!$C$30*'Coincidence Factors'!$B$10*(1+'Inputs-System'!$C$18)*(1+'Inputs-System'!$C$41)*('Inputs-Proposals'!$F$17*'Inputs-Proposals'!$F$19*(1-'Inputs-Proposals'!$F$20^(DB$3-'Inputs-System'!$C$7)))*(VLOOKUP(DB$3,Energy!$A$51:$K$83,5,FALSE))), $C28 = "2",('Inputs-System'!$C$30*'Coincidence Factors'!$B$10)*(1+'Inputs-System'!$C$18)*(1+'Inputs-System'!$C$41)*('Inputs-Proposals'!$F$23*'Inputs-Proposals'!$F$25*(1-'Inputs-Proposals'!$F$26^(DB$3-'Inputs-System'!$C$7)))*(VLOOKUP(DB$3,Energy!$A$51:$K$83,5,FALSE)), $C28= "3", ('Inputs-System'!$C$30*'Coincidence Factors'!$B$10*(1+'Inputs-System'!$C$18)*(1+'Inputs-System'!$C$41)*('Inputs-Proposals'!$F$29*'Inputs-Proposals'!$F$31*(1-'Inputs-Proposals'!$F$32^(DB$3-'Inputs-System'!$C$7)))*(VLOOKUP(DB$3,Energy!$A$51:$K$83,5,FALSE))), $C28= "0", 0), 0)</f>
        <v>0</v>
      </c>
      <c r="DC28" s="44">
        <f>IFERROR(_xlfn.IFS($C28="1",('Inputs-System'!$C$30*'Coincidence Factors'!$B$10*(1+'Inputs-System'!$C$18)*(1+'Inputs-System'!$C$41))*'Inputs-Proposals'!$F$17*'Inputs-Proposals'!$F$19*(1-'Inputs-Proposals'!$F$20^(DB$3-'Inputs-System'!$C$7))*(VLOOKUP(DB$3,'Embedded Emissions'!$A$47:$B$78,2,FALSE)+VLOOKUP(DB$3,'Embedded Emissions'!$A$129:$B$158,2,FALSE)), $C28 = "2",('Inputs-System'!$C$30*'Coincidence Factors'!$B$10*(1+'Inputs-System'!$C$18)*(1+'Inputs-System'!$C$41))*'Inputs-Proposals'!$F$23*'Inputs-Proposals'!$F$25*(1-'Inputs-Proposals'!$F$20^(DB$3-'Inputs-System'!$C$7))*(VLOOKUP(DB$3,'Embedded Emissions'!$A$47:$B$78,2,FALSE)+VLOOKUP(DB$3,'Embedded Emissions'!$A$129:$B$158,2,FALSE)), $C28 = "3", ('Inputs-System'!$C$30*'Coincidence Factors'!$B$10*(1+'Inputs-System'!$C$18)*(1+'Inputs-System'!$C$41))*'Inputs-Proposals'!$F$29*'Inputs-Proposals'!$F$31*(1-'Inputs-Proposals'!$F$20^(DB$3-'Inputs-System'!$C$7))*(VLOOKUP(DB$3,'Embedded Emissions'!$A$47:$B$78,2,FALSE)+VLOOKUP(DB$3,'Embedded Emissions'!$A$129:$B$158,2,FALSE)), $C28 = "0", 0), 0)</f>
        <v>0</v>
      </c>
      <c r="DD28" s="349">
        <f>IFERROR(_xlfn.IFS($C28="1",( 'Inputs-System'!$C$30*'Coincidence Factors'!$B$6*(1+'Inputs-System'!$C$18)*(1+'Inputs-System'!$C$41))*('Inputs-Proposals'!$F$17*'Inputs-Proposals'!$F$19*(1-'Inputs-Proposals'!$F$20)^(DB$3-'Inputs-System'!$C$7))*(VLOOKUP(DB$3,DRIPE!$A$54:$I$82,5,FALSE)+VLOOKUP(DB$3,DRIPE!$A$54:$I$82,9,FALSE))+ ('Inputs-System'!$C$26*'Coincidence Factors'!$B$6*(1+'Inputs-System'!$C$18)*(1+'Inputs-System'!$C$42))*'Inputs-Proposals'!$F$16*VLOOKUP(DB$3,DRIPE!$A$54:$I$82,8,FALSE), $C28 = "2",( 'Inputs-System'!$C$30*'Coincidence Factors'!$B$6*(1+'Inputs-System'!$C$18)*(1+'Inputs-System'!$C$41))*('Inputs-Proposals'!$F$23*'Inputs-Proposals'!$F$25*(1-'Inputs-Proposals'!$F$26)^(DB$3-'Inputs-System'!$C$7))*(VLOOKUP(DB$3,DRIPE!$A$54:$I$82,5,FALSE)+VLOOKUP(DB$3,DRIPE!$A$54:$I$82,9,FALSE))+ ('Inputs-System'!$C$26*'Coincidence Factors'!$B$6*(1+'Inputs-System'!$C$18)*(1+'Inputs-System'!$C$42))*'Inputs-Proposals'!$F$22*VLOOKUP(DB$3,DRIPE!$A$54:$I$82,8,FALSE), $C28= "3", ( 'Inputs-System'!$C$30*'Coincidence Factors'!$B$6*(1+'Inputs-System'!$C$18)*(1+'Inputs-System'!$C$41))*('Inputs-Proposals'!$F$29*'Inputs-Proposals'!$F$31*(1-'Inputs-Proposals'!$F$32)^(DB$3-'Inputs-System'!$C$7))*(VLOOKUP(DB$3,DRIPE!$A$54:$I$82,5,FALSE)+VLOOKUP(DB$3,DRIPE!$A$54:$I$82,9,FALSE))+ ('Inputs-System'!$C$26*'Coincidence Factors'!$B$6*(1+'Inputs-System'!$C$18)*(1+'Inputs-System'!$C$42))*'Inputs-Proposals'!$F$28*VLOOKUP(DB$3,DRIPE!$A$54:$I$82,8,FALSE), $C28 = "0", 0), 0)</f>
        <v>0</v>
      </c>
      <c r="DE28" s="350">
        <f>IFERROR(_xlfn.IFS($C28="1",('Inputs-System'!$C$26*'Coincidence Factors'!$B$5*(1+'Inputs-System'!$C$18)*(1+'Inputs-System'!$C$42))*'Inputs-Proposals'!$D$16*(VLOOKUP(DB$3,Capacity!$A$53:$E$85,4,FALSE)*(1+'Inputs-System'!$C$42)+VLOOKUP(DB$3,Capacity!$A$53:$E$85,5,FALSE)*(1+'Inputs-System'!$C$43)*'Inputs-System'!$C$29), $C28 = "2", ('Inputs-System'!$C$26*'Coincidence Factors'!$B$5*(1+'Inputs-System'!$C$18))*'Inputs-Proposals'!$D$22*(VLOOKUP(DB$3,Capacity!$A$53:$E$85,4,FALSE)*(1+'Inputs-System'!$C$42)+VLOOKUP(DB$3,Capacity!$A$53:$E$85,5,FALSE)*'Inputs-System'!$C$29*(1+'Inputs-System'!$C$43)), $C28 = "3", ('Inputs-System'!$C$26*'Coincidence Factors'!$B$5*(1+'Inputs-System'!$C$18))*'Inputs-Proposals'!$D$28*(VLOOKUP(DB$3,Capacity!$A$53:$E$85,4,FALSE)*(1+'Inputs-System'!$C$42)+VLOOKUP(DB$3,Capacity!$A$53:$E$85,5,FALSE)*'Inputs-System'!$C$29*(1+'Inputs-System'!$C$43)), $C28 = "0", 0), 0)</f>
        <v>0</v>
      </c>
      <c r="DF28" s="44">
        <v>0</v>
      </c>
      <c r="DG28" s="342">
        <f>IFERROR(_xlfn.IFS($C28="1", 'Inputs-System'!$C$30*'Coincidence Factors'!$B$10*'Inputs-Proposals'!$F$17*'Inputs-Proposals'!$F$19*(VLOOKUP(DB$3,'Non-Embedded Emissions'!$A$56:$D$90,2,FALSE)-VLOOKUP(DB$3,'Non-Embedded Emissions'!$F$57:$H$88,3,FALSE)+VLOOKUP(DB$3,'Non-Embedded Emissions'!$A$143:$D$174,2,FALSE)-VLOOKUP(DB$3,'Non-Embedded Emissions'!$F$143:$H$174,3,FALSE)+VLOOKUP(DB$3,'Non-Embedded Emissions'!$A$230:$D$259,2,FALSE)), $C28 = "2", 'Inputs-System'!$C$30*'Coincidence Factors'!$B$10*'Inputs-Proposals'!$F$23*'Inputs-Proposals'!$F$25*(VLOOKUP(DB$3,'Non-Embedded Emissions'!$A$56:$D$90,2,FALSE)-VLOOKUP(DB$3,'Non-Embedded Emissions'!$F$57:$H$88,3,FALSE)+VLOOKUP(DB$3,'Non-Embedded Emissions'!$A$143:$D$174,2,FALSE)-VLOOKUP(DB$3,'Non-Embedded Emissions'!$F$143:$H$174,3,FALSE)+VLOOKUP(DB$3,'Non-Embedded Emissions'!$A$230:$D$259,2,FALSE)), $C28 = "3", 'Inputs-System'!$C$30*'Coincidence Factors'!$B$10*'Inputs-Proposals'!$F$29*'Inputs-Proposals'!$F$31*(VLOOKUP(DB$3,'Non-Embedded Emissions'!$A$56:$D$90,2,FALSE)-VLOOKUP(DB$3,'Non-Embedded Emissions'!$F$57:$H$88,3,FALSE)+VLOOKUP(DB$3,'Non-Embedded Emissions'!$A$143:$D$174,2,FALSE)-VLOOKUP(DB$3,'Non-Embedded Emissions'!$F$143:$H$174,3,FALSE)+VLOOKUP(DB$3,'Non-Embedded Emissions'!$A$230:$D$259,2,FALSE)), $C28 = "0", 0), 0)</f>
        <v>0</v>
      </c>
      <c r="DH28" s="45">
        <f>IFERROR(_xlfn.IFS($C28="1",('Inputs-System'!$C$30*'Coincidence Factors'!$B$10*(1+'Inputs-System'!$C$18)*(1+'Inputs-System'!$C$41)*('Inputs-Proposals'!$F$17*'Inputs-Proposals'!$F$19*(1-'Inputs-Proposals'!$F$20^(DH$3-'Inputs-System'!$C$7)))*(VLOOKUP(DH$3,Energy!$A$51:$K$83,5,FALSE))), $C28 = "2",('Inputs-System'!$C$30*'Coincidence Factors'!$B$10)*(1+'Inputs-System'!$C$18)*(1+'Inputs-System'!$C$41)*('Inputs-Proposals'!$F$23*'Inputs-Proposals'!$F$25*(1-'Inputs-Proposals'!$F$26^(DH$3-'Inputs-System'!$C$7)))*(VLOOKUP(DH$3,Energy!$A$51:$K$83,5,FALSE)), $C28= "3", ('Inputs-System'!$C$30*'Coincidence Factors'!$B$10*(1+'Inputs-System'!$C$18)*(1+'Inputs-System'!$C$41)*('Inputs-Proposals'!$F$29*'Inputs-Proposals'!$F$31*(1-'Inputs-Proposals'!$F$32^(DH$3-'Inputs-System'!$C$7)))*(VLOOKUP(DH$3,Energy!$A$51:$K$83,5,FALSE))), $C28= "0", 0), 0)</f>
        <v>0</v>
      </c>
      <c r="DI28" s="44">
        <f>IFERROR(_xlfn.IFS($C28="1",('Inputs-System'!$C$30*'Coincidence Factors'!$B$10*(1+'Inputs-System'!$C$18)*(1+'Inputs-System'!$C$41))*'Inputs-Proposals'!$F$17*'Inputs-Proposals'!$F$19*(1-'Inputs-Proposals'!$F$20^(DH$3-'Inputs-System'!$C$7))*(VLOOKUP(DH$3,'Embedded Emissions'!$A$47:$B$78,2,FALSE)+VLOOKUP(DH$3,'Embedded Emissions'!$A$129:$B$158,2,FALSE)), $C28 = "2",('Inputs-System'!$C$30*'Coincidence Factors'!$B$10*(1+'Inputs-System'!$C$18)*(1+'Inputs-System'!$C$41))*'Inputs-Proposals'!$F$23*'Inputs-Proposals'!$F$25*(1-'Inputs-Proposals'!$F$20^(DH$3-'Inputs-System'!$C$7))*(VLOOKUP(DH$3,'Embedded Emissions'!$A$47:$B$78,2,FALSE)+VLOOKUP(DH$3,'Embedded Emissions'!$A$129:$B$158,2,FALSE)), $C28 = "3", ('Inputs-System'!$C$30*'Coincidence Factors'!$B$10*(1+'Inputs-System'!$C$18)*(1+'Inputs-System'!$C$41))*'Inputs-Proposals'!$F$29*'Inputs-Proposals'!$F$31*(1-'Inputs-Proposals'!$F$20^(DH$3-'Inputs-System'!$C$7))*(VLOOKUP(DH$3,'Embedded Emissions'!$A$47:$B$78,2,FALSE)+VLOOKUP(DH$3,'Embedded Emissions'!$A$129:$B$158,2,FALSE)), $C28 = "0", 0), 0)</f>
        <v>0</v>
      </c>
      <c r="DJ28" s="349">
        <f>IFERROR(_xlfn.IFS($C28="1",( 'Inputs-System'!$C$30*'Coincidence Factors'!$B$6*(1+'Inputs-System'!$C$18)*(1+'Inputs-System'!$C$41))*('Inputs-Proposals'!$F$17*'Inputs-Proposals'!$F$19*(1-'Inputs-Proposals'!$F$20)^(DH$3-'Inputs-System'!$C$7))*(VLOOKUP(DH$3,DRIPE!$A$54:$I$82,5,FALSE)+VLOOKUP(DH$3,DRIPE!$A$54:$I$82,9,FALSE))+ ('Inputs-System'!$C$26*'Coincidence Factors'!$B$6*(1+'Inputs-System'!$C$18)*(1+'Inputs-System'!$C$42))*'Inputs-Proposals'!$F$16*VLOOKUP(DH$3,DRIPE!$A$54:$I$82,8,FALSE), $C28 = "2",( 'Inputs-System'!$C$30*'Coincidence Factors'!$B$6*(1+'Inputs-System'!$C$18)*(1+'Inputs-System'!$C$41))*('Inputs-Proposals'!$F$23*'Inputs-Proposals'!$F$25*(1-'Inputs-Proposals'!$F$26)^(DH$3-'Inputs-System'!$C$7))*(VLOOKUP(DH$3,DRIPE!$A$54:$I$82,5,FALSE)+VLOOKUP(DH$3,DRIPE!$A$54:$I$82,9,FALSE))+ ('Inputs-System'!$C$26*'Coincidence Factors'!$B$6*(1+'Inputs-System'!$C$18)*(1+'Inputs-System'!$C$42))*'Inputs-Proposals'!$F$22*VLOOKUP(DH$3,DRIPE!$A$54:$I$82,8,FALSE), $C28= "3", ( 'Inputs-System'!$C$30*'Coincidence Factors'!$B$6*(1+'Inputs-System'!$C$18)*(1+'Inputs-System'!$C$41))*('Inputs-Proposals'!$F$29*'Inputs-Proposals'!$F$31*(1-'Inputs-Proposals'!$F$32)^(DH$3-'Inputs-System'!$C$7))*(VLOOKUP(DH$3,DRIPE!$A$54:$I$82,5,FALSE)+VLOOKUP(DH$3,DRIPE!$A$54:$I$82,9,FALSE))+ ('Inputs-System'!$C$26*'Coincidence Factors'!$B$6*(1+'Inputs-System'!$C$18)*(1+'Inputs-System'!$C$42))*'Inputs-Proposals'!$F$28*VLOOKUP(DH$3,DRIPE!$A$54:$I$82,8,FALSE), $C28 = "0", 0), 0)</f>
        <v>0</v>
      </c>
      <c r="DK28" s="350">
        <f>IFERROR(_xlfn.IFS($C28="1",('Inputs-System'!$C$26*'Coincidence Factors'!$B$5*(1+'Inputs-System'!$C$18)*(1+'Inputs-System'!$C$42))*'Inputs-Proposals'!$D$16*(VLOOKUP(DH$3,Capacity!$A$53:$E$85,4,FALSE)*(1+'Inputs-System'!$C$42)+VLOOKUP(DH$3,Capacity!$A$53:$E$85,5,FALSE)*(1+'Inputs-System'!$C$43)*'Inputs-System'!$C$29), $C28 = "2", ('Inputs-System'!$C$26*'Coincidence Factors'!$B$5*(1+'Inputs-System'!$C$18))*'Inputs-Proposals'!$D$22*(VLOOKUP(DH$3,Capacity!$A$53:$E$85,4,FALSE)*(1+'Inputs-System'!$C$42)+VLOOKUP(DH$3,Capacity!$A$53:$E$85,5,FALSE)*'Inputs-System'!$C$29*(1+'Inputs-System'!$C$43)), $C28 = "3", ('Inputs-System'!$C$26*'Coincidence Factors'!$B$5*(1+'Inputs-System'!$C$18))*'Inputs-Proposals'!$D$28*(VLOOKUP(DH$3,Capacity!$A$53:$E$85,4,FALSE)*(1+'Inputs-System'!$C$42)+VLOOKUP(DH$3,Capacity!$A$53:$E$85,5,FALSE)*'Inputs-System'!$C$29*(1+'Inputs-System'!$C$43)), $C28 = "0", 0), 0)</f>
        <v>0</v>
      </c>
      <c r="DL28" s="44">
        <v>0</v>
      </c>
      <c r="DM28" s="342">
        <f>IFERROR(_xlfn.IFS($C28="1", 'Inputs-System'!$C$30*'Coincidence Factors'!$B$10*'Inputs-Proposals'!$F$17*'Inputs-Proposals'!$F$19*(VLOOKUP(DH$3,'Non-Embedded Emissions'!$A$56:$D$90,2,FALSE)-VLOOKUP(DH$3,'Non-Embedded Emissions'!$F$57:$H$88,3,FALSE)+VLOOKUP(DH$3,'Non-Embedded Emissions'!$A$143:$D$174,2,FALSE)-VLOOKUP(DH$3,'Non-Embedded Emissions'!$F$143:$H$174,3,FALSE)+VLOOKUP(DH$3,'Non-Embedded Emissions'!$A$230:$D$259,2,FALSE)), $C28 = "2", 'Inputs-System'!$C$30*'Coincidence Factors'!$B$10*'Inputs-Proposals'!$F$23*'Inputs-Proposals'!$F$25*(VLOOKUP(DH$3,'Non-Embedded Emissions'!$A$56:$D$90,2,FALSE)-VLOOKUP(DH$3,'Non-Embedded Emissions'!$F$57:$H$88,3,FALSE)+VLOOKUP(DH$3,'Non-Embedded Emissions'!$A$143:$D$174,2,FALSE)-VLOOKUP(DH$3,'Non-Embedded Emissions'!$F$143:$H$174,3,FALSE)+VLOOKUP(DH$3,'Non-Embedded Emissions'!$A$230:$D$259,2,FALSE)), $C28 = "3", 'Inputs-System'!$C$30*'Coincidence Factors'!$B$10*'Inputs-Proposals'!$F$29*'Inputs-Proposals'!$F$31*(VLOOKUP(DH$3,'Non-Embedded Emissions'!$A$56:$D$90,2,FALSE)-VLOOKUP(DH$3,'Non-Embedded Emissions'!$F$57:$H$88,3,FALSE)+VLOOKUP(DH$3,'Non-Embedded Emissions'!$A$143:$D$174,2,FALSE)-VLOOKUP(DH$3,'Non-Embedded Emissions'!$F$143:$H$174,3,FALSE)+VLOOKUP(DH$3,'Non-Embedded Emissions'!$A$230:$D$259,2,FALSE)), $C28 = "0", 0), 0)</f>
        <v>0</v>
      </c>
      <c r="DN28" s="45">
        <f>IFERROR(_xlfn.IFS($C28="1",('Inputs-System'!$C$30*'Coincidence Factors'!$B$10*(1+'Inputs-System'!$C$18)*(1+'Inputs-System'!$C$41)*('Inputs-Proposals'!$F$17*'Inputs-Proposals'!$F$19*(1-'Inputs-Proposals'!$F$20^(DN$3-'Inputs-System'!$C$7)))*(VLOOKUP(DN$3,Energy!$A$51:$K$83,5,FALSE))), $C28 = "2",('Inputs-System'!$C$30*'Coincidence Factors'!$B$10)*(1+'Inputs-System'!$C$18)*(1+'Inputs-System'!$C$41)*('Inputs-Proposals'!$F$23*'Inputs-Proposals'!$F$25*(1-'Inputs-Proposals'!$F$26^(DN$3-'Inputs-System'!$C$7)))*(VLOOKUP(DN$3,Energy!$A$51:$K$83,5,FALSE)), $C28= "3", ('Inputs-System'!$C$30*'Coincidence Factors'!$B$10*(1+'Inputs-System'!$C$18)*(1+'Inputs-System'!$C$41)*('Inputs-Proposals'!$F$29*'Inputs-Proposals'!$F$31*(1-'Inputs-Proposals'!$F$32^(DN$3-'Inputs-System'!$C$7)))*(VLOOKUP(DN$3,Energy!$A$51:$K$83,5,FALSE))), $C28= "0", 0), 0)</f>
        <v>0</v>
      </c>
      <c r="DO28" s="44">
        <f>IFERROR(_xlfn.IFS($C28="1",('Inputs-System'!$C$30*'Coincidence Factors'!$B$10*(1+'Inputs-System'!$C$18)*(1+'Inputs-System'!$C$41))*'Inputs-Proposals'!$F$17*'Inputs-Proposals'!$F$19*(1-'Inputs-Proposals'!$F$20^(DN$3-'Inputs-System'!$C$7))*(VLOOKUP(DN$3,'Embedded Emissions'!$A$47:$B$78,2,FALSE)+VLOOKUP(DN$3,'Embedded Emissions'!$A$129:$B$158,2,FALSE)), $C28 = "2",('Inputs-System'!$C$30*'Coincidence Factors'!$B$10*(1+'Inputs-System'!$C$18)*(1+'Inputs-System'!$C$41))*'Inputs-Proposals'!$F$23*'Inputs-Proposals'!$F$25*(1-'Inputs-Proposals'!$F$20^(DN$3-'Inputs-System'!$C$7))*(VLOOKUP(DN$3,'Embedded Emissions'!$A$47:$B$78,2,FALSE)+VLOOKUP(DN$3,'Embedded Emissions'!$A$129:$B$158,2,FALSE)), $C28 = "3", ('Inputs-System'!$C$30*'Coincidence Factors'!$B$10*(1+'Inputs-System'!$C$18)*(1+'Inputs-System'!$C$41))*'Inputs-Proposals'!$F$29*'Inputs-Proposals'!$F$31*(1-'Inputs-Proposals'!$F$20^(DN$3-'Inputs-System'!$C$7))*(VLOOKUP(DN$3,'Embedded Emissions'!$A$47:$B$78,2,FALSE)+VLOOKUP(DN$3,'Embedded Emissions'!$A$129:$B$158,2,FALSE)), $C28 = "0", 0), 0)</f>
        <v>0</v>
      </c>
      <c r="DP28" s="349">
        <f>IFERROR(_xlfn.IFS($C28="1",( 'Inputs-System'!$C$30*'Coincidence Factors'!$B$6*(1+'Inputs-System'!$C$18)*(1+'Inputs-System'!$C$41))*('Inputs-Proposals'!$F$17*'Inputs-Proposals'!$F$19*(1-'Inputs-Proposals'!$F$20)^(DN$3-'Inputs-System'!$C$7))*(VLOOKUP(DN$3,DRIPE!$A$54:$I$82,5,FALSE)+VLOOKUP(DN$3,DRIPE!$A$54:$I$82,9,FALSE))+ ('Inputs-System'!$C$26*'Coincidence Factors'!$B$6*(1+'Inputs-System'!$C$18)*(1+'Inputs-System'!$C$42))*'Inputs-Proposals'!$F$16*VLOOKUP(DN$3,DRIPE!$A$54:$I$82,8,FALSE), $C28 = "2",( 'Inputs-System'!$C$30*'Coincidence Factors'!$B$6*(1+'Inputs-System'!$C$18)*(1+'Inputs-System'!$C$41))*('Inputs-Proposals'!$F$23*'Inputs-Proposals'!$F$25*(1-'Inputs-Proposals'!$F$26)^(DN$3-'Inputs-System'!$C$7))*(VLOOKUP(DN$3,DRIPE!$A$54:$I$82,5,FALSE)+VLOOKUP(DN$3,DRIPE!$A$54:$I$82,9,FALSE))+ ('Inputs-System'!$C$26*'Coincidence Factors'!$B$6*(1+'Inputs-System'!$C$18)*(1+'Inputs-System'!$C$42))*'Inputs-Proposals'!$F$22*VLOOKUP(DN$3,DRIPE!$A$54:$I$82,8,FALSE), $C28= "3", ( 'Inputs-System'!$C$30*'Coincidence Factors'!$B$6*(1+'Inputs-System'!$C$18)*(1+'Inputs-System'!$C$41))*('Inputs-Proposals'!$F$29*'Inputs-Proposals'!$F$31*(1-'Inputs-Proposals'!$F$32)^(DN$3-'Inputs-System'!$C$7))*(VLOOKUP(DN$3,DRIPE!$A$54:$I$82,5,FALSE)+VLOOKUP(DN$3,DRIPE!$A$54:$I$82,9,FALSE))+ ('Inputs-System'!$C$26*'Coincidence Factors'!$B$6*(1+'Inputs-System'!$C$18)*(1+'Inputs-System'!$C$42))*'Inputs-Proposals'!$F$28*VLOOKUP(DN$3,DRIPE!$A$54:$I$82,8,FALSE), $C28 = "0", 0), 0)</f>
        <v>0</v>
      </c>
      <c r="DQ28" s="350">
        <f>IFERROR(_xlfn.IFS($C28="1",('Inputs-System'!$C$26*'Coincidence Factors'!$B$5*(1+'Inputs-System'!$C$18)*(1+'Inputs-System'!$C$42))*'Inputs-Proposals'!$D$16*(VLOOKUP(DN$3,Capacity!$A$53:$E$85,4,FALSE)*(1+'Inputs-System'!$C$42)+VLOOKUP(DN$3,Capacity!$A$53:$E$85,5,FALSE)*(1+'Inputs-System'!$C$43)*'Inputs-System'!$C$29), $C28 = "2", ('Inputs-System'!$C$26*'Coincidence Factors'!$B$5*(1+'Inputs-System'!$C$18))*'Inputs-Proposals'!$D$22*(VLOOKUP(DN$3,Capacity!$A$53:$E$85,4,FALSE)*(1+'Inputs-System'!$C$42)+VLOOKUP(DN$3,Capacity!$A$53:$E$85,5,FALSE)*'Inputs-System'!$C$29*(1+'Inputs-System'!$C$43)), $C28 = "3", ('Inputs-System'!$C$26*'Coincidence Factors'!$B$5*(1+'Inputs-System'!$C$18))*'Inputs-Proposals'!$D$28*(VLOOKUP(DN$3,Capacity!$A$53:$E$85,4,FALSE)*(1+'Inputs-System'!$C$42)+VLOOKUP(DN$3,Capacity!$A$53:$E$85,5,FALSE)*'Inputs-System'!$C$29*(1+'Inputs-System'!$C$43)), $C28 = "0", 0), 0)</f>
        <v>0</v>
      </c>
      <c r="DR28" s="44">
        <v>0</v>
      </c>
      <c r="DS28" s="342">
        <f>IFERROR(_xlfn.IFS($C28="1", 'Inputs-System'!$C$30*'Coincidence Factors'!$B$10*'Inputs-Proposals'!$F$17*'Inputs-Proposals'!$F$19*(VLOOKUP(DN$3,'Non-Embedded Emissions'!$A$56:$D$90,2,FALSE)-VLOOKUP(DN$3,'Non-Embedded Emissions'!$F$57:$H$88,3,FALSE)+VLOOKUP(DN$3,'Non-Embedded Emissions'!$A$143:$D$174,2,FALSE)-VLOOKUP(DN$3,'Non-Embedded Emissions'!$F$143:$H$174,3,FALSE)+VLOOKUP(DN$3,'Non-Embedded Emissions'!$A$230:$D$259,2,FALSE)), $C28 = "2", 'Inputs-System'!$C$30*'Coincidence Factors'!$B$10*'Inputs-Proposals'!$F$23*'Inputs-Proposals'!$F$25*(VLOOKUP(DN$3,'Non-Embedded Emissions'!$A$56:$D$90,2,FALSE)-VLOOKUP(DN$3,'Non-Embedded Emissions'!$F$57:$H$88,3,FALSE)+VLOOKUP(DN$3,'Non-Embedded Emissions'!$A$143:$D$174,2,FALSE)-VLOOKUP(DN$3,'Non-Embedded Emissions'!$F$143:$H$174,3,FALSE)+VLOOKUP(DN$3,'Non-Embedded Emissions'!$A$230:$D$259,2,FALSE)), $C28 = "3", 'Inputs-System'!$C$30*'Coincidence Factors'!$B$10*'Inputs-Proposals'!$F$29*'Inputs-Proposals'!$F$31*(VLOOKUP(DN$3,'Non-Embedded Emissions'!$A$56:$D$90,2,FALSE)-VLOOKUP(DN$3,'Non-Embedded Emissions'!$F$57:$H$88,3,FALSE)+VLOOKUP(DN$3,'Non-Embedded Emissions'!$A$143:$D$174,2,FALSE)-VLOOKUP(DN$3,'Non-Embedded Emissions'!$F$143:$H$174,3,FALSE)+VLOOKUP(DN$3,'Non-Embedded Emissions'!$A$230:$D$259,2,FALSE)), $C28 = "0", 0), 0)</f>
        <v>0</v>
      </c>
      <c r="DT28" s="45">
        <f>IFERROR(_xlfn.IFS($C28="1",('Inputs-System'!$C$30*'Coincidence Factors'!$B$10*(1+'Inputs-System'!$C$18)*(1+'Inputs-System'!$C$41)*('Inputs-Proposals'!$F$17*'Inputs-Proposals'!$F$19*(1-'Inputs-Proposals'!$F$20^(DT$3-'Inputs-System'!$C$7)))*(VLOOKUP(DT$3,Energy!$A$51:$K$83,5,FALSE))), $C28 = "2",('Inputs-System'!$C$30*'Coincidence Factors'!$B$10)*(1+'Inputs-System'!$C$18)*(1+'Inputs-System'!$C$41)*('Inputs-Proposals'!$F$23*'Inputs-Proposals'!$F$25*(1-'Inputs-Proposals'!$F$26^(DT$3-'Inputs-System'!$C$7)))*(VLOOKUP(DT$3,Energy!$A$51:$K$83,5,FALSE)), $C28= "3", ('Inputs-System'!$C$30*'Coincidence Factors'!$B$10*(1+'Inputs-System'!$C$18)*(1+'Inputs-System'!$C$41)*('Inputs-Proposals'!$F$29*'Inputs-Proposals'!$F$31*(1-'Inputs-Proposals'!$F$32^(DT$3-'Inputs-System'!$C$7)))*(VLOOKUP(DT$3,Energy!$A$51:$K$83,5,FALSE))), $C28= "0", 0), 0)</f>
        <v>0</v>
      </c>
      <c r="DU28" s="44">
        <f>IFERROR(_xlfn.IFS($C28="1",('Inputs-System'!$C$30*'Coincidence Factors'!$B$10*(1+'Inputs-System'!$C$18)*(1+'Inputs-System'!$C$41))*'Inputs-Proposals'!$F$17*'Inputs-Proposals'!$F$19*(1-'Inputs-Proposals'!$F$20^(DT$3-'Inputs-System'!$C$7))*(VLOOKUP(DT$3,'Embedded Emissions'!$A$47:$B$78,2,FALSE)+VLOOKUP(DT$3,'Embedded Emissions'!$A$129:$B$158,2,FALSE)), $C28 = "2",('Inputs-System'!$C$30*'Coincidence Factors'!$B$10*(1+'Inputs-System'!$C$18)*(1+'Inputs-System'!$C$41))*'Inputs-Proposals'!$F$23*'Inputs-Proposals'!$F$25*(1-'Inputs-Proposals'!$F$20^(DT$3-'Inputs-System'!$C$7))*(VLOOKUP(DT$3,'Embedded Emissions'!$A$47:$B$78,2,FALSE)+VLOOKUP(DT$3,'Embedded Emissions'!$A$129:$B$158,2,FALSE)), $C28 = "3", ('Inputs-System'!$C$30*'Coincidence Factors'!$B$10*(1+'Inputs-System'!$C$18)*(1+'Inputs-System'!$C$41))*'Inputs-Proposals'!$F$29*'Inputs-Proposals'!$F$31*(1-'Inputs-Proposals'!$F$20^(DT$3-'Inputs-System'!$C$7))*(VLOOKUP(DT$3,'Embedded Emissions'!$A$47:$B$78,2,FALSE)+VLOOKUP(DT$3,'Embedded Emissions'!$A$129:$B$158,2,FALSE)), $C28 = "0", 0), 0)</f>
        <v>0</v>
      </c>
      <c r="DV28" s="349">
        <f>IFERROR(_xlfn.IFS($C28="1",( 'Inputs-System'!$C$30*'Coincidence Factors'!$B$6*(1+'Inputs-System'!$C$18)*(1+'Inputs-System'!$C$41))*('Inputs-Proposals'!$F$17*'Inputs-Proposals'!$F$19*(1-'Inputs-Proposals'!$F$20)^(DT$3-'Inputs-System'!$C$7))*(VLOOKUP(DT$3,DRIPE!$A$54:$I$82,5,FALSE)+VLOOKUP(DT$3,DRIPE!$A$54:$I$82,9,FALSE))+ ('Inputs-System'!$C$26*'Coincidence Factors'!$B$6*(1+'Inputs-System'!$C$18)*(1+'Inputs-System'!$C$42))*'Inputs-Proposals'!$F$16*VLOOKUP(DT$3,DRIPE!$A$54:$I$82,8,FALSE), $C28 = "2",( 'Inputs-System'!$C$30*'Coincidence Factors'!$B$6*(1+'Inputs-System'!$C$18)*(1+'Inputs-System'!$C$41))*('Inputs-Proposals'!$F$23*'Inputs-Proposals'!$F$25*(1-'Inputs-Proposals'!$F$26)^(DT$3-'Inputs-System'!$C$7))*(VLOOKUP(DT$3,DRIPE!$A$54:$I$82,5,FALSE)+VLOOKUP(DT$3,DRIPE!$A$54:$I$82,9,FALSE))+ ('Inputs-System'!$C$26*'Coincidence Factors'!$B$6*(1+'Inputs-System'!$C$18)*(1+'Inputs-System'!$C$42))*'Inputs-Proposals'!$F$22*VLOOKUP(DT$3,DRIPE!$A$54:$I$82,8,FALSE), $C28= "3", ( 'Inputs-System'!$C$30*'Coincidence Factors'!$B$6*(1+'Inputs-System'!$C$18)*(1+'Inputs-System'!$C$41))*('Inputs-Proposals'!$F$29*'Inputs-Proposals'!$F$31*(1-'Inputs-Proposals'!$F$32)^(DT$3-'Inputs-System'!$C$7))*(VLOOKUP(DT$3,DRIPE!$A$54:$I$82,5,FALSE)+VLOOKUP(DT$3,DRIPE!$A$54:$I$82,9,FALSE))+ ('Inputs-System'!$C$26*'Coincidence Factors'!$B$6*(1+'Inputs-System'!$C$18)*(1+'Inputs-System'!$C$42))*'Inputs-Proposals'!$F$28*VLOOKUP(DT$3,DRIPE!$A$54:$I$82,8,FALSE), $C28 = "0", 0), 0)</f>
        <v>0</v>
      </c>
      <c r="DW28" s="350">
        <f>IFERROR(_xlfn.IFS($C28="1",('Inputs-System'!$C$26*'Coincidence Factors'!$B$5*(1+'Inputs-System'!$C$18)*(1+'Inputs-System'!$C$42))*'Inputs-Proposals'!$D$16*(VLOOKUP(DT$3,Capacity!$A$53:$E$85,4,FALSE)*(1+'Inputs-System'!$C$42)+VLOOKUP(DT$3,Capacity!$A$53:$E$85,5,FALSE)*(1+'Inputs-System'!$C$43)*'Inputs-System'!$C$29), $C28 = "2", ('Inputs-System'!$C$26*'Coincidence Factors'!$B$5*(1+'Inputs-System'!$C$18))*'Inputs-Proposals'!$D$22*(VLOOKUP(DT$3,Capacity!$A$53:$E$85,4,FALSE)*(1+'Inputs-System'!$C$42)+VLOOKUP(DT$3,Capacity!$A$53:$E$85,5,FALSE)*'Inputs-System'!$C$29*(1+'Inputs-System'!$C$43)), $C28 = "3", ('Inputs-System'!$C$26*'Coincidence Factors'!$B$5*(1+'Inputs-System'!$C$18))*'Inputs-Proposals'!$D$28*(VLOOKUP(DT$3,Capacity!$A$53:$E$85,4,FALSE)*(1+'Inputs-System'!$C$42)+VLOOKUP(DT$3,Capacity!$A$53:$E$85,5,FALSE)*'Inputs-System'!$C$29*(1+'Inputs-System'!$C$43)), $C28 = "0", 0), 0)</f>
        <v>0</v>
      </c>
      <c r="DX28" s="44">
        <v>0</v>
      </c>
      <c r="DY28" s="342">
        <f>IFERROR(_xlfn.IFS($C28="1", 'Inputs-System'!$C$30*'Coincidence Factors'!$B$10*'Inputs-Proposals'!$F$17*'Inputs-Proposals'!$F$19*(VLOOKUP(DT$3,'Non-Embedded Emissions'!$A$56:$D$90,2,FALSE)-VLOOKUP(DT$3,'Non-Embedded Emissions'!$F$57:$H$88,3,FALSE)+VLOOKUP(DT$3,'Non-Embedded Emissions'!$A$143:$D$174,2,FALSE)-VLOOKUP(DT$3,'Non-Embedded Emissions'!$F$143:$H$174,3,FALSE)+VLOOKUP(DT$3,'Non-Embedded Emissions'!$A$230:$D$259,2,FALSE)), $C28 = "2", 'Inputs-System'!$C$30*'Coincidence Factors'!$B$10*'Inputs-Proposals'!$F$23*'Inputs-Proposals'!$F$25*(VLOOKUP(DT$3,'Non-Embedded Emissions'!$A$56:$D$90,2,FALSE)-VLOOKUP(DT$3,'Non-Embedded Emissions'!$F$57:$H$88,3,FALSE)+VLOOKUP(DT$3,'Non-Embedded Emissions'!$A$143:$D$174,2,FALSE)-VLOOKUP(DT$3,'Non-Embedded Emissions'!$F$143:$H$174,3,FALSE)+VLOOKUP(DT$3,'Non-Embedded Emissions'!$A$230:$D$259,2,FALSE)), $C28 = "3", 'Inputs-System'!$C$30*'Coincidence Factors'!$B$10*'Inputs-Proposals'!$F$29*'Inputs-Proposals'!$F$31*(VLOOKUP(DT$3,'Non-Embedded Emissions'!$A$56:$D$90,2,FALSE)-VLOOKUP(DT$3,'Non-Embedded Emissions'!$F$57:$H$88,3,FALSE)+VLOOKUP(DT$3,'Non-Embedded Emissions'!$A$143:$D$174,2,FALSE)-VLOOKUP(DT$3,'Non-Embedded Emissions'!$F$143:$H$174,3,FALSE)+VLOOKUP(DT$3,'Non-Embedded Emissions'!$A$230:$D$259,2,FALSE)), $C28 = "0", 0), 0)</f>
        <v>0</v>
      </c>
      <c r="DZ28" s="45">
        <f>IFERROR(_xlfn.IFS($C28="1",('Inputs-System'!$C$30*'Coincidence Factors'!$B$10*(1+'Inputs-System'!$C$18)*(1+'Inputs-System'!$C$41)*('Inputs-Proposals'!$F$17*'Inputs-Proposals'!$F$19*(1-'Inputs-Proposals'!$F$20^(DZ$3-'Inputs-System'!$C$7)))*(VLOOKUP(DZ$3,Energy!$A$51:$K$83,5,FALSE))), $C28 = "2",('Inputs-System'!$C$30*'Coincidence Factors'!$B$10)*(1+'Inputs-System'!$C$18)*(1+'Inputs-System'!$C$41)*('Inputs-Proposals'!$F$23*'Inputs-Proposals'!$F$25*(1-'Inputs-Proposals'!$F$26^(DZ$3-'Inputs-System'!$C$7)))*(VLOOKUP(DZ$3,Energy!$A$51:$K$83,5,FALSE)), $C28= "3", ('Inputs-System'!$C$30*'Coincidence Factors'!$B$10*(1+'Inputs-System'!$C$18)*(1+'Inputs-System'!$C$41)*('Inputs-Proposals'!$F$29*'Inputs-Proposals'!$F$31*(1-'Inputs-Proposals'!$F$32^(DZ$3-'Inputs-System'!$C$7)))*(VLOOKUP(DZ$3,Energy!$A$51:$K$83,5,FALSE))), $C28= "0", 0), 0)</f>
        <v>0</v>
      </c>
      <c r="EA28" s="44">
        <f>IFERROR(_xlfn.IFS($C28="1",('Inputs-System'!$C$30*'Coincidence Factors'!$B$10*(1+'Inputs-System'!$C$18)*(1+'Inputs-System'!$C$41))*'Inputs-Proposals'!$F$17*'Inputs-Proposals'!$F$19*(1-'Inputs-Proposals'!$F$20^(DZ$3-'Inputs-System'!$C$7))*(VLOOKUP(DZ$3,'Embedded Emissions'!$A$47:$B$78,2,FALSE)+VLOOKUP(DZ$3,'Embedded Emissions'!$A$129:$B$158,2,FALSE)), $C28 = "2",('Inputs-System'!$C$30*'Coincidence Factors'!$B$10*(1+'Inputs-System'!$C$18)*(1+'Inputs-System'!$C$41))*'Inputs-Proposals'!$F$23*'Inputs-Proposals'!$F$25*(1-'Inputs-Proposals'!$F$20^(DZ$3-'Inputs-System'!$C$7))*(VLOOKUP(DZ$3,'Embedded Emissions'!$A$47:$B$78,2,FALSE)+VLOOKUP(DZ$3,'Embedded Emissions'!$A$129:$B$158,2,FALSE)), $C28 = "3", ('Inputs-System'!$C$30*'Coincidence Factors'!$B$10*(1+'Inputs-System'!$C$18)*(1+'Inputs-System'!$C$41))*'Inputs-Proposals'!$F$29*'Inputs-Proposals'!$F$31*(1-'Inputs-Proposals'!$F$20^(DZ$3-'Inputs-System'!$C$7))*(VLOOKUP(DZ$3,'Embedded Emissions'!$A$47:$B$78,2,FALSE)+VLOOKUP(DZ$3,'Embedded Emissions'!$A$129:$B$158,2,FALSE)), $C28 = "0", 0), 0)</f>
        <v>0</v>
      </c>
      <c r="EB28" s="349">
        <f>IFERROR(_xlfn.IFS($C28="1",( 'Inputs-System'!$C$30*'Coincidence Factors'!$B$6*(1+'Inputs-System'!$C$18)*(1+'Inputs-System'!$C$41))*('Inputs-Proposals'!$F$17*'Inputs-Proposals'!$F$19*(1-'Inputs-Proposals'!$F$20)^(DZ$3-'Inputs-System'!$C$7))*(VLOOKUP(DZ$3,DRIPE!$A$54:$I$82,5,FALSE)+VLOOKUP(DZ$3,DRIPE!$A$54:$I$82,9,FALSE))+ ('Inputs-System'!$C$26*'Coincidence Factors'!$B$6*(1+'Inputs-System'!$C$18)*(1+'Inputs-System'!$C$42))*'Inputs-Proposals'!$F$16*VLOOKUP(DZ$3,DRIPE!$A$54:$I$82,8,FALSE), $C28 = "2",( 'Inputs-System'!$C$30*'Coincidence Factors'!$B$6*(1+'Inputs-System'!$C$18)*(1+'Inputs-System'!$C$41))*('Inputs-Proposals'!$F$23*'Inputs-Proposals'!$F$25*(1-'Inputs-Proposals'!$F$26)^(DZ$3-'Inputs-System'!$C$7))*(VLOOKUP(DZ$3,DRIPE!$A$54:$I$82,5,FALSE)+VLOOKUP(DZ$3,DRIPE!$A$54:$I$82,9,FALSE))+ ('Inputs-System'!$C$26*'Coincidence Factors'!$B$6*(1+'Inputs-System'!$C$18)*(1+'Inputs-System'!$C$42))*'Inputs-Proposals'!$F$22*VLOOKUP(DZ$3,DRIPE!$A$54:$I$82,8,FALSE), $C28= "3", ( 'Inputs-System'!$C$30*'Coincidence Factors'!$B$6*(1+'Inputs-System'!$C$18)*(1+'Inputs-System'!$C$41))*('Inputs-Proposals'!$F$29*'Inputs-Proposals'!$F$31*(1-'Inputs-Proposals'!$F$32)^(DZ$3-'Inputs-System'!$C$7))*(VLOOKUP(DZ$3,DRIPE!$A$54:$I$82,5,FALSE)+VLOOKUP(DZ$3,DRIPE!$A$54:$I$82,9,FALSE))+ ('Inputs-System'!$C$26*'Coincidence Factors'!$B$6*(1+'Inputs-System'!$C$18)*(1+'Inputs-System'!$C$42))*'Inputs-Proposals'!$F$28*VLOOKUP(DZ$3,DRIPE!$A$54:$I$82,8,FALSE), $C28 = "0", 0), 0)</f>
        <v>0</v>
      </c>
      <c r="EC28" s="350">
        <f>IFERROR(_xlfn.IFS($C28="1",('Inputs-System'!$C$26*'Coincidence Factors'!$B$5*(1+'Inputs-System'!$C$18)*(1+'Inputs-System'!$C$42))*'Inputs-Proposals'!$D$16*(VLOOKUP(DZ$3,Capacity!$A$53:$E$85,4,FALSE)*(1+'Inputs-System'!$C$42)+VLOOKUP(DZ$3,Capacity!$A$53:$E$85,5,FALSE)*(1+'Inputs-System'!$C$43)*'Inputs-System'!$C$29), $C28 = "2", ('Inputs-System'!$C$26*'Coincidence Factors'!$B$5*(1+'Inputs-System'!$C$18))*'Inputs-Proposals'!$D$22*(VLOOKUP(DZ$3,Capacity!$A$53:$E$85,4,FALSE)*(1+'Inputs-System'!$C$42)+VLOOKUP(DZ$3,Capacity!$A$53:$E$85,5,FALSE)*'Inputs-System'!$C$29*(1+'Inputs-System'!$C$43)), $C28 = "3", ('Inputs-System'!$C$26*'Coincidence Factors'!$B$5*(1+'Inputs-System'!$C$18))*'Inputs-Proposals'!$D$28*(VLOOKUP(DZ$3,Capacity!$A$53:$E$85,4,FALSE)*(1+'Inputs-System'!$C$42)+VLOOKUP(DZ$3,Capacity!$A$53:$E$85,5,FALSE)*'Inputs-System'!$C$29*(1+'Inputs-System'!$C$43)), $C28 = "0", 0), 0)</f>
        <v>0</v>
      </c>
      <c r="ED28" s="44">
        <v>0</v>
      </c>
      <c r="EE28" s="342">
        <f>IFERROR(_xlfn.IFS($C28="1", 'Inputs-System'!$C$30*'Coincidence Factors'!$B$10*'Inputs-Proposals'!$F$17*'Inputs-Proposals'!$F$19*(VLOOKUP(DZ$3,'Non-Embedded Emissions'!$A$56:$D$90,2,FALSE)-VLOOKUP(DZ$3,'Non-Embedded Emissions'!$F$57:$H$88,3,FALSE)+VLOOKUP(DZ$3,'Non-Embedded Emissions'!$A$143:$D$174,2,FALSE)-VLOOKUP(DZ$3,'Non-Embedded Emissions'!$F$143:$H$174,3,FALSE)+VLOOKUP(DZ$3,'Non-Embedded Emissions'!$A$230:$D$259,2,FALSE)), $C28 = "2", 'Inputs-System'!$C$30*'Coincidence Factors'!$B$10*'Inputs-Proposals'!$F$23*'Inputs-Proposals'!$F$25*(VLOOKUP(DZ$3,'Non-Embedded Emissions'!$A$56:$D$90,2,FALSE)-VLOOKUP(DZ$3,'Non-Embedded Emissions'!$F$57:$H$88,3,FALSE)+VLOOKUP(DZ$3,'Non-Embedded Emissions'!$A$143:$D$174,2,FALSE)-VLOOKUP(DZ$3,'Non-Embedded Emissions'!$F$143:$H$174,3,FALSE)+VLOOKUP(DZ$3,'Non-Embedded Emissions'!$A$230:$D$259,2,FALSE)), $C28 = "3", 'Inputs-System'!$C$30*'Coincidence Factors'!$B$10*'Inputs-Proposals'!$F$29*'Inputs-Proposals'!$F$31*(VLOOKUP(DZ$3,'Non-Embedded Emissions'!$A$56:$D$90,2,FALSE)-VLOOKUP(DZ$3,'Non-Embedded Emissions'!$F$57:$H$88,3,FALSE)+VLOOKUP(DZ$3,'Non-Embedded Emissions'!$A$143:$D$174,2,FALSE)-VLOOKUP(DZ$3,'Non-Embedded Emissions'!$F$143:$H$174,3,FALSE)+VLOOKUP(DZ$3,'Non-Embedded Emissions'!$A$230:$D$259,2,FALSE)), $C28 = "0", 0), 0)</f>
        <v>0</v>
      </c>
    </row>
    <row r="29" spans="1:135" x14ac:dyDescent="0.35">
      <c r="A29" s="707">
        <f>'Inputs-Proposals'!G2</f>
        <v>0</v>
      </c>
      <c r="B29" s="52" t="s">
        <v>90</v>
      </c>
      <c r="C29" s="52" t="str">
        <f>IFERROR(_xlfn.IFS('Benefits Calc'!B29='Inputs-Proposals'!$G$15, "1", 'Benefits Calc'!B29='Inputs-Proposals'!$G$21, "2", 'Benefits Calc'!B29='Inputs-Proposals'!$G$27, "3"), "0")</f>
        <v>0</v>
      </c>
      <c r="D29" s="323">
        <f t="shared" si="0"/>
        <v>0</v>
      </c>
      <c r="E29" s="44">
        <f t="shared" si="1"/>
        <v>0</v>
      </c>
      <c r="F29" s="44">
        <f t="shared" si="2"/>
        <v>0</v>
      </c>
      <c r="G29" s="44">
        <f t="shared" si="3"/>
        <v>0</v>
      </c>
      <c r="H29" s="44">
        <f t="shared" si="4"/>
        <v>0</v>
      </c>
      <c r="I29" s="44">
        <f t="shared" si="5"/>
        <v>0</v>
      </c>
      <c r="J29" s="322">
        <f>NPV('Inputs-System'!$C$20,P29+V29+AB29+AH29+AN29+AT29+AZ29+BF29+BL29+BR29+BX29+CD29+CJ29+CP29+CV29+DB29+DH29+DN29+DT29+DZ29)</f>
        <v>0</v>
      </c>
      <c r="K29" s="318">
        <f>NPV('Inputs-System'!$C$20,Q29+W29+AC29+AI29+AO29+AU29+BA29+BG29+BM29+BS29+BY29+CE29+CK29+CQ29+CW29+DC29+DI29+DO29+DU29+EA29)</f>
        <v>0</v>
      </c>
      <c r="L29" s="318">
        <f>NPV('Inputs-System'!$C$20,R29+X29+AD29+AJ29+AP29+AV29+BB29+BH29+BN29+BT29+BZ29+CF29+CL29+CR29+CX29+DD29+DJ29+DP29+DV29+EB29)</f>
        <v>0</v>
      </c>
      <c r="M29" s="318">
        <f>NPV('Inputs-System'!$C$20,S29+Y29+AE29+AK29+AQ29+AW29+BC29+BI29+BO29+BU29+CA29+CG29+CM29+CS29+CY29+DE29+DK29+DQ29+DW29+EC29)</f>
        <v>0</v>
      </c>
      <c r="N29" s="318">
        <f>NPV('Inputs-System'!$C$20,T29+Z29+AF29+AL29+AR29+AX29+BD29+BJ29+BP29+BV29+CB29+CH29+CN29+CT29+CZ29+DF29+DL29+DR29+DX29+ED29)</f>
        <v>0</v>
      </c>
      <c r="O29" s="319">
        <f>NPV('Inputs-System'!$C$20,U29+AA29+AG29+AM29+AS29+AY29+BE29+BK29+BQ29+BW29+CC29+CI29+CO29+CU29+DA29+DG29+DM29+DS29+DY29+EE29)</f>
        <v>0</v>
      </c>
      <c r="P29" s="45">
        <f>IFERROR(_xlfn.IFS($C29="1",('Inputs-System'!$C$30*'Coincidence Factors'!$B$5*(1+'Inputs-System'!$C$18)*(1+'Inputs-System'!$C$41)*('Inputs-Proposals'!$G$17*'Inputs-Proposals'!$G$19*(1-'Inputs-Proposals'!$G$20))*(VLOOKUP(P$3,Energy!$A$51:$K$83,5,FALSE)-VLOOKUP(P$3,Energy!$A$51:$K$83,6,FALSE))), $C29 = "2",('Inputs-System'!$C$30*'Coincidence Factors'!$B$5)*(1+'Inputs-System'!$C$18)*(1+'Inputs-System'!$C$41)*('Inputs-Proposals'!$G$23*'Inputs-Proposals'!$G$25*(1-'Inputs-Proposals'!$G$26))*(VLOOKUP(P$3,Energy!$A$51:$K$83,5,FALSE)-VLOOKUP(P$3,Energy!$A$51:$K$83,6,FALSE)), $C29= "3", ('Inputs-System'!$C$30*'Coincidence Factors'!$B$5*(1+'Inputs-System'!$C$18)*(1+'Inputs-System'!$C$41)*('Inputs-Proposals'!$G$29*'Inputs-Proposals'!$G$31*(1-'Inputs-Proposals'!$G$32))*(VLOOKUP(P$3,Energy!$A$51:$K$83,5,FALSE)-VLOOKUP(P$3,Energy!$A$51:$K$83,6,FALSE))), $C29= "0", 0), 0)</f>
        <v>0</v>
      </c>
      <c r="Q29" s="44">
        <f>IFERROR(_xlfn.IFS($C29="1", 'Inputs-System'!$C$30*'Coincidence Factors'!$B$5*(1+'Inputs-System'!$C$18)*(1+'Inputs-System'!$C$41)*'Inputs-Proposals'!$G$17*'Inputs-Proposals'!$G$19*(1-'Inputs-Proposals'!$G$20)*(VLOOKUP(P$3,'Embedded Emissions'!$A$47:$B$78,2,FALSE)+VLOOKUP(P$3,'Embedded Emissions'!$A$129:$B$158,2,FALSE)), $C29 = "2",'Inputs-System'!$C$30*'Coincidence Factors'!$B$5*(1+'Inputs-System'!$C$18)*(1+'Inputs-System'!$C$41)*'Inputs-Proposals'!$G$23*'Inputs-Proposals'!$G$25*(1-'Inputs-Proposals'!$G$20)*(VLOOKUP(P$3,'Embedded Emissions'!$A$47:$B$78,2,FALSE)+VLOOKUP(P$3,'Embedded Emissions'!$A$129:$B$158,2,FALSE)), $C29 = "3", 'Inputs-System'!$C$30*'Coincidence Factors'!$B$5*(1+'Inputs-System'!$C$18)*(1+'Inputs-System'!$C$41)*'Inputs-Proposals'!$G$29*'Inputs-Proposals'!$G$31*(1-'Inputs-Proposals'!$G$20)*(VLOOKUP(P$3,'Embedded Emissions'!$A$47:$B$78,2,FALSE)+VLOOKUP(P$3,'Embedded Emissions'!$A$129:$B$158,2,FALSE)), $C29 = "0", 0), 0)</f>
        <v>0</v>
      </c>
      <c r="R29" s="44">
        <f>IFERROR(_xlfn.IFS($C29="1",( 'Inputs-System'!$C$30*'Coincidence Factors'!$B$5*(1+'Inputs-System'!$C$18)*(1+'Inputs-System'!$C$41))*('Inputs-Proposals'!$G$17*'Inputs-Proposals'!$G$19*(1-'Inputs-Proposals'!$G$20))*(VLOOKUP(P$3,DRIPE!$A$54:$I$82,5,FALSE)-VLOOKUP(P$3,DRIPE!$A$54:$I$82,6,FALSE)+VLOOKUP(P$3,DRIPE!$A$54:$I$82,9,FALSE))+ ('Inputs-System'!$C$26*'Coincidence Factors'!$B$5*(1+'Inputs-System'!$C$18)*(1+'Inputs-System'!$C$42))*'Inputs-Proposals'!$G$16*VLOOKUP(P$3,DRIPE!$A$54:$I$80,8,FALSE), $C29 = "2",( 'Inputs-System'!$C$30*'Coincidence Factors'!$B$5*(1+'Inputs-System'!$C$18)*(1+'Inputs-System'!$C$41))*('Inputs-Proposals'!$G$23*'Inputs-Proposals'!$G$25*(1-'Inputs-Proposals'!$G$26))*(VLOOKUP(P$3,DRIPE!$A$54:$I$82,5,FALSE)-VLOOKUP(P$3,DRIPE!$A$54:$I$82,6,FALSE)+VLOOKUP(P$3,DRIPE!$A$54:$I$82,9,FALSE))+ ('Inputs-System'!$C$26*'Coincidence Factors'!$B$5*(1+'Inputs-System'!$C$18)*(1+'Inputs-System'!$C$41))+ ('Inputs-System'!$C$26*'Coincidence Factors'!$B$5)*'Inputs-Proposals'!$G$22*VLOOKUP(P$3,DRIPE!$A$54:$I$80,8,FALSE), $C29= "3", ('Inputs-System'!$C$30*'Coincidence Factors'!$B$5)*('Inputs-Proposals'!$G$29*'Inputs-Proposals'!$G$31*(1-'Inputs-Proposals'!$G$32))*(VLOOKUP(P$3,DRIPE!$A$54:$I$80,5,FALSE)-VLOOKUP(P$3,DRIPE!$A$54:$I$80,6,FALSE)+VLOOKUP(P$3,DRIPE!$A$54:$I$80,9,FALSE))+ ('Inputs-System'!$C$26*'Coincidence Factors'!$B$5*(1+'Inputs-System'!$C$18)*(1+'Inputs-System'!$C$42))*'Inputs-Proposals'!$G$28*VLOOKUP(P$3,DRIPE!$A$54:$I$80,8,FALSE), $C29 = "0", 0), 0)</f>
        <v>0</v>
      </c>
      <c r="S29" s="45">
        <f>IFERROR(_xlfn.IFS($C29="1",('Inputs-System'!$C$26*'Coincidence Factors'!$B$5*(1+'Inputs-System'!$C$18)*(1+'Inputs-System'!$C$42))*'Inputs-Proposals'!$G$16*(VLOOKUP(P$3,Capacity!$A$53:$E$85,4,FALSE)*(1+'Inputs-System'!$C$42)+VLOOKUP(P$3,Capacity!$A$53:$E$85,5,FALSE)*(1+'Inputs-System'!$C$43)*'Inputs-System'!$C$29), $C29 = "2", ('Inputs-System'!$C$26*'Coincidence Factors'!$B$5*(1+'Inputs-System'!$C$18))*'Inputs-Proposals'!$G$22*(VLOOKUP(P$3,Capacity!$A$53:$E$85,4,FALSE)*(1+'Inputs-System'!$C$42)+VLOOKUP(P$3,Capacity!$A$53:$E$85,5,FALSE)*'Inputs-System'!$C$29*(1+'Inputs-System'!$C$43)), $C29 = "3", ('Inputs-System'!$C$26*'Coincidence Factors'!$B$5*(1+'Inputs-System'!$C$18))*'Inputs-Proposals'!$G$28*(VLOOKUP(P$3,Capacity!$A$53:$E$85,4,FALSE)*(1+'Inputs-System'!$C$42)+VLOOKUP(P$3,Capacity!$A$53:$E$85,5,FALSE)*'Inputs-System'!$C$29*(1+'Inputs-System'!$C$43)), $C29 = "0", 0), 0)</f>
        <v>0</v>
      </c>
      <c r="T29" s="44">
        <v>0</v>
      </c>
      <c r="U29" s="44">
        <f>IFERROR(_xlfn.IFS($C29="1", 'Inputs-System'!$C$30*'Coincidence Factors'!$B$5*'Inputs-Proposals'!$G$17*'Inputs-Proposals'!$G$19*(VLOOKUP(P$3,'Non-Embedded Emissions'!$A$56:$D$90,2,FALSE)+VLOOKUP(P$3,'Non-Embedded Emissions'!$A$143:$D$174,2,FALSE)+VLOOKUP(P$3,'Non-Embedded Emissions'!$A$230:$D$259,2,FALSE)-VLOOKUP(P$3,'Non-Embedded Emissions'!$A$56:$D$90,3,FALSE)-VLOOKUP(P$3,'Non-Embedded Emissions'!$A$143:$D$174,3,FALSE)-VLOOKUP(P$3,'Non-Embedded Emissions'!$A$230:$D$259,3,FALSE)), $C29 = "2", 'Inputs-System'!$C$30*'Coincidence Factors'!$B$5*'Inputs-Proposals'!$G$23*'Inputs-Proposals'!$G$25*(VLOOKUP(P$3,'Non-Embedded Emissions'!$A$56:$D$90,2,FALSE)+VLOOKUP(P$3,'Non-Embedded Emissions'!$A$143:$D$174,2,FALSE)+VLOOKUP(P$3,'Non-Embedded Emissions'!$A$230:$D$259,2,FALSE)-VLOOKUP(P$3,'Non-Embedded Emissions'!$A$56:$D$90,3,FALSE)-VLOOKUP(P$3,'Non-Embedded Emissions'!$A$143:$D$174,3,FALSE)-VLOOKUP(P$3,'Non-Embedded Emissions'!$A$230:$D$259,3,FALSE)), $C29 = "3", 'Inputs-System'!$C$30*'Coincidence Factors'!$B$5*'Inputs-Proposals'!$G$29*'Inputs-Proposals'!$G$31*(VLOOKUP(P$3,'Non-Embedded Emissions'!$A$56:$D$90,2,FALSE)+VLOOKUP(P$3,'Non-Embedded Emissions'!$A$143:$D$174,2,FALSE)+VLOOKUP(P$3,'Non-Embedded Emissions'!$A$230:$D$259,2,FALSE)-VLOOKUP(P$3,'Non-Embedded Emissions'!$A$56:$D$90,3,FALSE)-VLOOKUP(P$3,'Non-Embedded Emissions'!$A$143:$D$174,3,FALSE)-VLOOKUP(P$3,'Non-Embedded Emissions'!$A$230:$D$259,3,FALSE)), $C29 = "0", 0), 0)</f>
        <v>0</v>
      </c>
      <c r="V29" s="344">
        <f>IFERROR(_xlfn.IFS($C29="1",('Inputs-System'!$C$30*'Coincidence Factors'!$B$5*(1+'Inputs-System'!$C$18)*(1+'Inputs-System'!$C$41)*('Inputs-Proposals'!$G$17*'Inputs-Proposals'!$G$19*(1-'Inputs-Proposals'!$G$20))*(VLOOKUP(V$3,Energy!$A$51:$K$83,5,FALSE)-VLOOKUP(V$3,Energy!$A$51:$K$83,6,FALSE))), $C29 = "2",('Inputs-System'!$C$30*'Coincidence Factors'!$B$5)*(1+'Inputs-System'!$C$18)*(1+'Inputs-System'!$C$41)*('Inputs-Proposals'!$G$23*'Inputs-Proposals'!$G$25*(1-'Inputs-Proposals'!$G$26))*(VLOOKUP(V$3,Energy!$A$51:$K$83,5,FALSE)-VLOOKUP(V$3,Energy!$A$51:$K$83,6,FALSE)), $C29= "3", ('Inputs-System'!$C$30*'Coincidence Factors'!$B$5*(1+'Inputs-System'!$C$18)*(1+'Inputs-System'!$C$41)*('Inputs-Proposals'!$G$29*'Inputs-Proposals'!$G$31*(1-'Inputs-Proposals'!$G$32))*(VLOOKUP(V$3,Energy!$A$51:$K$83,5,FALSE)-VLOOKUP(V$3,Energy!$A$51:$K$83,6,FALSE))), $C29= "0", 0), 0)</f>
        <v>0</v>
      </c>
      <c r="W29" s="100">
        <f>IFERROR(_xlfn.IFS($C29="1", 'Inputs-System'!$C$30*'Coincidence Factors'!$B$5*(1+'Inputs-System'!$C$18)*(1+'Inputs-System'!$C$41)*'Inputs-Proposals'!$G$17*'Inputs-Proposals'!$G$19*(1-'Inputs-Proposals'!$G$20)*(VLOOKUP(V$3,'Embedded Emissions'!$A$47:$B$78,2,FALSE)+VLOOKUP(V$3,'Embedded Emissions'!$A$129:$B$158,2,FALSE)), $C29 = "2",'Inputs-System'!$C$30*'Coincidence Factors'!$B$5*(1+'Inputs-System'!$C$18)*(1+'Inputs-System'!$C$41)*'Inputs-Proposals'!$G$23*'Inputs-Proposals'!$G$25*(1-'Inputs-Proposals'!$G$20)*(VLOOKUP(V$3,'Embedded Emissions'!$A$47:$B$78,2,FALSE)+VLOOKUP(V$3,'Embedded Emissions'!$A$129:$B$158,2,FALSE)), $C29 = "3", 'Inputs-System'!$C$30*'Coincidence Factors'!$B$5*(1+'Inputs-System'!$C$18)*(1+'Inputs-System'!$C$41)*'Inputs-Proposals'!$G$29*'Inputs-Proposals'!$G$31*(1-'Inputs-Proposals'!$G$20)*(VLOOKUP(V$3,'Embedded Emissions'!$A$47:$B$78,2,FALSE)+VLOOKUP(V$3,'Embedded Emissions'!$A$129:$B$158,2,FALSE)), $C29 = "0", 0), 0)</f>
        <v>0</v>
      </c>
      <c r="X29" s="44">
        <f>IFERROR(_xlfn.IFS($C29="1",( 'Inputs-System'!$C$30*'Coincidence Factors'!$B$5*(1+'Inputs-System'!$C$18)*(1+'Inputs-System'!$C$41))*('Inputs-Proposals'!$G$17*'Inputs-Proposals'!$G$19*(1-'Inputs-Proposals'!$G$20))*(VLOOKUP(V$3,DRIPE!$A$54:$I$82,5,FALSE)-VLOOKUP(V$3,DRIPE!$A$54:$I$82,6,FALSE)+VLOOKUP(V$3,DRIPE!$A$54:$I$82,9,FALSE))+ ('Inputs-System'!$C$26*'Coincidence Factors'!$B$5*(1+'Inputs-System'!$C$18)*(1+'Inputs-System'!$C$42))*'Inputs-Proposals'!$G$16*VLOOKUP(V$3,DRIPE!$A$54:$I$80,8,FALSE), $C29 = "2",( 'Inputs-System'!$C$30*'Coincidence Factors'!$B$5*(1+'Inputs-System'!$C$18)*(1+'Inputs-System'!$C$41))*('Inputs-Proposals'!$G$23*'Inputs-Proposals'!$G$25*(1-'Inputs-Proposals'!$G$26))*(VLOOKUP(V$3,DRIPE!$A$54:$I$82,5,FALSE)-VLOOKUP(V$3,DRIPE!$A$54:$I$82,6,FALSE)+VLOOKUP(V$3,DRIPE!$A$54:$I$82,9,FALSE))+ ('Inputs-System'!$C$26*'Coincidence Factors'!$B$5*(1+'Inputs-System'!$C$18)*(1+'Inputs-System'!$C$41))+ ('Inputs-System'!$C$26*'Coincidence Factors'!$B$5)*'Inputs-Proposals'!$G$22*VLOOKUP(V$3,DRIPE!$A$54:$I$80,8,FALSE), $C29= "3", ('Inputs-System'!$C$30*'Coincidence Factors'!$B$5)*('Inputs-Proposals'!$G$29*'Inputs-Proposals'!$G$31*(1-'Inputs-Proposals'!$G$32))*(VLOOKUP(V$3,DRIPE!$A$54:$I$80,5,FALSE)-VLOOKUP(V$3,DRIPE!$A$54:$I$80,6,FALSE)+VLOOKUP(V$3,DRIPE!$A$54:$I$80,9,FALSE))+ ('Inputs-System'!$C$26*'Coincidence Factors'!$B$5*(1+'Inputs-System'!$C$18)*(1+'Inputs-System'!$C$42))*'Inputs-Proposals'!$G$28*VLOOKUP(V$3,DRIPE!$A$54:$I$80,8,FALSE), $C29 = "0", 0), 0)</f>
        <v>0</v>
      </c>
      <c r="Y29" s="45">
        <f>IFERROR(_xlfn.IFS($C29="1",('Inputs-System'!$C$26*'Coincidence Factors'!$B$5*(1+'Inputs-System'!$C$18)*(1+'Inputs-System'!$C$42))*'Inputs-Proposals'!$G$16*(VLOOKUP(V$3,Capacity!$A$53:$E$85,4,FALSE)*(1+'Inputs-System'!$C$42)+VLOOKUP(V$3,Capacity!$A$53:$E$85,5,FALSE)*(1+'Inputs-System'!$C$43)*'Inputs-System'!$C$29), $C29 = "2", ('Inputs-System'!$C$26*'Coincidence Factors'!$B$5*(1+'Inputs-System'!$C$18))*'Inputs-Proposals'!$G$22*(VLOOKUP(V$3,Capacity!$A$53:$E$85,4,FALSE)*(1+'Inputs-System'!$C$42)+VLOOKUP(V$3,Capacity!$A$53:$E$85,5,FALSE)*'Inputs-System'!$C$29*(1+'Inputs-System'!$C$43)), $C29 = "3", ('Inputs-System'!$C$26*'Coincidence Factors'!$B$5*(1+'Inputs-System'!$C$18))*'Inputs-Proposals'!$G$28*(VLOOKUP(V$3,Capacity!$A$53:$E$85,4,FALSE)*(1+'Inputs-System'!$C$42)+VLOOKUP(V$3,Capacity!$A$53:$E$85,5,FALSE)*'Inputs-System'!$C$29*(1+'Inputs-System'!$C$43)), $C29 = "0", 0), 0)</f>
        <v>0</v>
      </c>
      <c r="Z29" s="100">
        <v>0</v>
      </c>
      <c r="AA29" s="346">
        <f>IFERROR(_xlfn.IFS($C29="1", 'Inputs-System'!$C$30*'Coincidence Factors'!$B$5*'Inputs-Proposals'!$G$17*'Inputs-Proposals'!$G$19*(VLOOKUP(V$3,'Non-Embedded Emissions'!$A$56:$D$90,2,FALSE)+VLOOKUP(V$3,'Non-Embedded Emissions'!$A$143:$D$174,2,FALSE)+VLOOKUP(V$3,'Non-Embedded Emissions'!$A$230:$D$259,2,FALSE)-VLOOKUP(V$3,'Non-Embedded Emissions'!$A$56:$D$90,3,FALSE)-VLOOKUP(V$3,'Non-Embedded Emissions'!$A$143:$D$174,3,FALSE)-VLOOKUP(V$3,'Non-Embedded Emissions'!$A$230:$D$259,3,FALSE)), $C29 = "2", 'Inputs-System'!$C$30*'Coincidence Factors'!$B$5*'Inputs-Proposals'!$G$23*'Inputs-Proposals'!$G$25*(VLOOKUP(V$3,'Non-Embedded Emissions'!$A$56:$D$90,2,FALSE)+VLOOKUP(V$3,'Non-Embedded Emissions'!$A$143:$D$174,2,FALSE)+VLOOKUP(V$3,'Non-Embedded Emissions'!$A$230:$D$259,2,FALSE)-VLOOKUP(V$3,'Non-Embedded Emissions'!$A$56:$D$90,3,FALSE)-VLOOKUP(V$3,'Non-Embedded Emissions'!$A$143:$D$174,3,FALSE)-VLOOKUP(V$3,'Non-Embedded Emissions'!$A$230:$D$259,3,FALSE)), $C29 = "3", 'Inputs-System'!$C$30*'Coincidence Factors'!$B$5*'Inputs-Proposals'!$G$29*'Inputs-Proposals'!$G$31*(VLOOKUP(V$3,'Non-Embedded Emissions'!$A$56:$D$90,2,FALSE)+VLOOKUP(V$3,'Non-Embedded Emissions'!$A$143:$D$174,2,FALSE)+VLOOKUP(V$3,'Non-Embedded Emissions'!$A$230:$D$259,2,FALSE)-VLOOKUP(V$3,'Non-Embedded Emissions'!$A$56:$D$90,3,FALSE)-VLOOKUP(V$3,'Non-Embedded Emissions'!$A$143:$D$174,3,FALSE)-VLOOKUP(V$3,'Non-Embedded Emissions'!$A$230:$D$259,3,FALSE)), $C29 = "0", 0), 0)</f>
        <v>0</v>
      </c>
      <c r="AB29" s="344">
        <f>IFERROR(_xlfn.IFS($C29="1",('Inputs-System'!$C$30*'Coincidence Factors'!$B$5*(1+'Inputs-System'!$C$18)*(1+'Inputs-System'!$C$41)*('Inputs-Proposals'!$G$17*'Inputs-Proposals'!$G$19*(1-'Inputs-Proposals'!$G$20))*(VLOOKUP(AB$3,Energy!$A$51:$K$83,5,FALSE)-VLOOKUP(AB$3,Energy!$A$51:$K$83,6,FALSE))), $C29 = "2",('Inputs-System'!$C$30*'Coincidence Factors'!$B$5)*(1+'Inputs-System'!$C$18)*(1+'Inputs-System'!$C$41)*('Inputs-Proposals'!$G$23*'Inputs-Proposals'!$G$25*(1-'Inputs-Proposals'!$G$26))*(VLOOKUP(AB$3,Energy!$A$51:$K$83,5,FALSE)-VLOOKUP(AB$3,Energy!$A$51:$K$83,6,FALSE)), $C29= "3", ('Inputs-System'!$C$30*'Coincidence Factors'!$B$5*(1+'Inputs-System'!$C$18)*(1+'Inputs-System'!$C$41)*('Inputs-Proposals'!$G$29*'Inputs-Proposals'!$G$31*(1-'Inputs-Proposals'!$G$32))*(VLOOKUP(AB$3,Energy!$A$51:$K$83,5,FALSE)-VLOOKUP(AB$3,Energy!$A$51:$K$83,6,FALSE))), $C29= "0", 0), 0)</f>
        <v>0</v>
      </c>
      <c r="AC29" s="100">
        <f>IFERROR(_xlfn.IFS($C29="1", 'Inputs-System'!$C$30*'Coincidence Factors'!$B$5*(1+'Inputs-System'!$C$18)*(1+'Inputs-System'!$C$41)*'Inputs-Proposals'!$G$17*'Inputs-Proposals'!$G$19*(1-'Inputs-Proposals'!$G$20)*(VLOOKUP(AB$3,'Embedded Emissions'!$A$47:$B$78,2,FALSE)+VLOOKUP(AB$3,'Embedded Emissions'!$A$129:$B$158,2,FALSE)), $C29 = "2",'Inputs-System'!$C$30*'Coincidence Factors'!$B$5*(1+'Inputs-System'!$C$18)*(1+'Inputs-System'!$C$41)*'Inputs-Proposals'!$G$23*'Inputs-Proposals'!$G$25*(1-'Inputs-Proposals'!$G$20)*(VLOOKUP(AB$3,'Embedded Emissions'!$A$47:$B$78,2,FALSE)+VLOOKUP(AB$3,'Embedded Emissions'!$A$129:$B$158,2,FALSE)), $C29 = "3", 'Inputs-System'!$C$30*'Coincidence Factors'!$B$5*(1+'Inputs-System'!$C$18)*(1+'Inputs-System'!$C$41)*'Inputs-Proposals'!$G$29*'Inputs-Proposals'!$G$31*(1-'Inputs-Proposals'!$G$20)*(VLOOKUP(AB$3,'Embedded Emissions'!$A$47:$B$78,2,FALSE)+VLOOKUP(AB$3,'Embedded Emissions'!$A$129:$B$158,2,FALSE)), $C29 = "0", 0), 0)</f>
        <v>0</v>
      </c>
      <c r="AD29" s="44">
        <f>IFERROR(_xlfn.IFS($C29="1",( 'Inputs-System'!$C$30*'Coincidence Factors'!$B$5*(1+'Inputs-System'!$C$18)*(1+'Inputs-System'!$C$41))*('Inputs-Proposals'!$G$17*'Inputs-Proposals'!$G$19*(1-'Inputs-Proposals'!$G$20))*(VLOOKUP(AB$3,DRIPE!$A$54:$I$82,5,FALSE)-VLOOKUP(AB$3,DRIPE!$A$54:$I$82,6,FALSE)+VLOOKUP(AB$3,DRIPE!$A$54:$I$82,9,FALSE))+ ('Inputs-System'!$C$26*'Coincidence Factors'!$B$5*(1+'Inputs-System'!$C$18)*(1+'Inputs-System'!$C$42))*'Inputs-Proposals'!$G$16*VLOOKUP(AB$3,DRIPE!$A$54:$I$80,8,FALSE), $C29 = "2",( 'Inputs-System'!$C$30*'Coincidence Factors'!$B$5*(1+'Inputs-System'!$C$18)*(1+'Inputs-System'!$C$41))*('Inputs-Proposals'!$G$23*'Inputs-Proposals'!$G$25*(1-'Inputs-Proposals'!$G$26))*(VLOOKUP(AB$3,DRIPE!$A$54:$I$82,5,FALSE)-VLOOKUP(AB$3,DRIPE!$A$54:$I$82,6,FALSE)+VLOOKUP(AB$3,DRIPE!$A$54:$I$82,9,FALSE))+ ('Inputs-System'!$C$26*'Coincidence Factors'!$B$5*(1+'Inputs-System'!$C$18)*(1+'Inputs-System'!$C$41))+ ('Inputs-System'!$C$26*'Coincidence Factors'!$B$5)*'Inputs-Proposals'!$G$22*VLOOKUP(AB$3,DRIPE!$A$54:$I$80,8,FALSE), $C29= "3", ('Inputs-System'!$C$30*'Coincidence Factors'!$B$5)*('Inputs-Proposals'!$G$29*'Inputs-Proposals'!$G$31*(1-'Inputs-Proposals'!$G$32))*(VLOOKUP(AB$3,DRIPE!$A$54:$I$80,5,FALSE)-VLOOKUP(AB$3,DRIPE!$A$54:$I$80,6,FALSE)+VLOOKUP(AB$3,DRIPE!$A$54:$I$80,9,FALSE))+ ('Inputs-System'!$C$26*'Coincidence Factors'!$B$5*(1+'Inputs-System'!$C$18)*(1+'Inputs-System'!$C$42))*'Inputs-Proposals'!$G$28*VLOOKUP(AB$3,DRIPE!$A$54:$I$80,8,FALSE), $C29 = "0", 0), 0)</f>
        <v>0</v>
      </c>
      <c r="AE29" s="45">
        <f>IFERROR(_xlfn.IFS($C29="1",('Inputs-System'!$C$26*'Coincidence Factors'!$B$5*(1+'Inputs-System'!$C$18)*(1+'Inputs-System'!$C$42))*'Inputs-Proposals'!$G$16*(VLOOKUP(AB$3,Capacity!$A$53:$E$85,4,FALSE)*(1+'Inputs-System'!$C$42)+VLOOKUP(AB$3,Capacity!$A$53:$E$85,5,FALSE)*(1+'Inputs-System'!$C$43)*'Inputs-System'!$C$29), $C29 = "2", ('Inputs-System'!$C$26*'Coincidence Factors'!$B$5*(1+'Inputs-System'!$C$18))*'Inputs-Proposals'!$G$22*(VLOOKUP(AB$3,Capacity!$A$53:$E$85,4,FALSE)*(1+'Inputs-System'!$C$42)+VLOOKUP(AB$3,Capacity!$A$53:$E$85,5,FALSE)*'Inputs-System'!$C$29*(1+'Inputs-System'!$C$43)), $C29 = "3", ('Inputs-System'!$C$26*'Coincidence Factors'!$B$5*(1+'Inputs-System'!$C$18))*'Inputs-Proposals'!$G$28*(VLOOKUP(AB$3,Capacity!$A$53:$E$85,4,FALSE)*(1+'Inputs-System'!$C$42)+VLOOKUP(AB$3,Capacity!$A$53:$E$85,5,FALSE)*'Inputs-System'!$C$29*(1+'Inputs-System'!$C$43)), $C29 = "0", 0), 0)</f>
        <v>0</v>
      </c>
      <c r="AF29" s="100">
        <v>0</v>
      </c>
      <c r="AG29" s="346">
        <f>IFERROR(_xlfn.IFS($C29="1", 'Inputs-System'!$C$30*'Coincidence Factors'!$B$5*'Inputs-Proposals'!$G$17*'Inputs-Proposals'!$G$19*(VLOOKUP(AB$3,'Non-Embedded Emissions'!$A$56:$D$90,2,FALSE)+VLOOKUP(AB$3,'Non-Embedded Emissions'!$A$143:$D$174,2,FALSE)+VLOOKUP(AB$3,'Non-Embedded Emissions'!$A$230:$D$259,2,FALSE)-VLOOKUP(AB$3,'Non-Embedded Emissions'!$A$56:$D$90,3,FALSE)-VLOOKUP(AB$3,'Non-Embedded Emissions'!$A$143:$D$174,3,FALSE)-VLOOKUP(AB$3,'Non-Embedded Emissions'!$A$230:$D$259,3,FALSE)), $C29 = "2", 'Inputs-System'!$C$30*'Coincidence Factors'!$B$5*'Inputs-Proposals'!$G$23*'Inputs-Proposals'!$G$25*(VLOOKUP(AB$3,'Non-Embedded Emissions'!$A$56:$D$90,2,FALSE)+VLOOKUP(AB$3,'Non-Embedded Emissions'!$A$143:$D$174,2,FALSE)+VLOOKUP(AB$3,'Non-Embedded Emissions'!$A$230:$D$259,2,FALSE)-VLOOKUP(AB$3,'Non-Embedded Emissions'!$A$56:$D$90,3,FALSE)-VLOOKUP(AB$3,'Non-Embedded Emissions'!$A$143:$D$174,3,FALSE)-VLOOKUP(AB$3,'Non-Embedded Emissions'!$A$230:$D$259,3,FALSE)), $C29 = "3", 'Inputs-System'!$C$30*'Coincidence Factors'!$B$5*'Inputs-Proposals'!$G$29*'Inputs-Proposals'!$G$31*(VLOOKUP(AB$3,'Non-Embedded Emissions'!$A$56:$D$90,2,FALSE)+VLOOKUP(AB$3,'Non-Embedded Emissions'!$A$143:$D$174,2,FALSE)+VLOOKUP(AB$3,'Non-Embedded Emissions'!$A$230:$D$259,2,FALSE)-VLOOKUP(AB$3,'Non-Embedded Emissions'!$A$56:$D$90,3,FALSE)-VLOOKUP(AB$3,'Non-Embedded Emissions'!$A$143:$D$174,3,FALSE)-VLOOKUP(AB$3,'Non-Embedded Emissions'!$A$230:$D$259,3,FALSE)), $C29 = "0", 0), 0)</f>
        <v>0</v>
      </c>
      <c r="AH29" s="344">
        <f>IFERROR(_xlfn.IFS($C29="1",('Inputs-System'!$C$30*'Coincidence Factors'!$B$5*(1+'Inputs-System'!$C$18)*(1+'Inputs-System'!$C$41)*('Inputs-Proposals'!$G$17*'Inputs-Proposals'!$G$19*(1-'Inputs-Proposals'!$G$20))*(VLOOKUP(AH$3,Energy!$A$51:$K$83,5,FALSE)-VLOOKUP(AH$3,Energy!$A$51:$K$83,6,FALSE))), $C29 = "2",('Inputs-System'!$C$30*'Coincidence Factors'!$B$5)*(1+'Inputs-System'!$C$18)*(1+'Inputs-System'!$C$41)*('Inputs-Proposals'!$G$23*'Inputs-Proposals'!$G$25*(1-'Inputs-Proposals'!$G$26))*(VLOOKUP(AH$3,Energy!$A$51:$K$83,5,FALSE)-VLOOKUP(AH$3,Energy!$A$51:$K$83,6,FALSE)), $C29= "3", ('Inputs-System'!$C$30*'Coincidence Factors'!$B$5*(1+'Inputs-System'!$C$18)*(1+'Inputs-System'!$C$41)*('Inputs-Proposals'!$G$29*'Inputs-Proposals'!$G$31*(1-'Inputs-Proposals'!$G$32))*(VLOOKUP(AH$3,Energy!$A$51:$K$83,5,FALSE)-VLOOKUP(AH$3,Energy!$A$51:$K$83,6,FALSE))), $C29= "0", 0), 0)</f>
        <v>0</v>
      </c>
      <c r="AI29" s="100">
        <f>IFERROR(_xlfn.IFS($C29="1", 'Inputs-System'!$C$30*'Coincidence Factors'!$B$5*(1+'Inputs-System'!$C$18)*(1+'Inputs-System'!$C$41)*'Inputs-Proposals'!$G$17*'Inputs-Proposals'!$G$19*(1-'Inputs-Proposals'!$G$20)*(VLOOKUP(AH$3,'Embedded Emissions'!$A$47:$B$78,2,FALSE)+VLOOKUP(AH$3,'Embedded Emissions'!$A$129:$B$158,2,FALSE)), $C29 = "2",'Inputs-System'!$C$30*'Coincidence Factors'!$B$5*(1+'Inputs-System'!$C$18)*(1+'Inputs-System'!$C$41)*'Inputs-Proposals'!$G$23*'Inputs-Proposals'!$G$25*(1-'Inputs-Proposals'!$G$20)*(VLOOKUP(AH$3,'Embedded Emissions'!$A$47:$B$78,2,FALSE)+VLOOKUP(AH$3,'Embedded Emissions'!$A$129:$B$158,2,FALSE)), $C29 = "3", 'Inputs-System'!$C$30*'Coincidence Factors'!$B$5*(1+'Inputs-System'!$C$18)*(1+'Inputs-System'!$C$41)*'Inputs-Proposals'!$G$29*'Inputs-Proposals'!$G$31*(1-'Inputs-Proposals'!$G$20)*(VLOOKUP(AH$3,'Embedded Emissions'!$A$47:$B$78,2,FALSE)+VLOOKUP(AH$3,'Embedded Emissions'!$A$129:$B$158,2,FALSE)), $C29 = "0", 0), 0)</f>
        <v>0</v>
      </c>
      <c r="AJ29" s="44">
        <f>IFERROR(_xlfn.IFS($C29="1",( 'Inputs-System'!$C$30*'Coincidence Factors'!$B$5*(1+'Inputs-System'!$C$18)*(1+'Inputs-System'!$C$41))*('Inputs-Proposals'!$G$17*'Inputs-Proposals'!$G$19*(1-'Inputs-Proposals'!$G$20))*(VLOOKUP(AH$3,DRIPE!$A$54:$I$82,5,FALSE)-VLOOKUP(AH$3,DRIPE!$A$54:$I$82,6,FALSE)+VLOOKUP(AH$3,DRIPE!$A$54:$I$82,9,FALSE))+ ('Inputs-System'!$C$26*'Coincidence Factors'!$B$5*(1+'Inputs-System'!$C$18)*(1+'Inputs-System'!$C$42))*'Inputs-Proposals'!$G$16*VLOOKUP(AH$3,DRIPE!$A$54:$I$80,8,FALSE), $C29 = "2",( 'Inputs-System'!$C$30*'Coincidence Factors'!$B$5*(1+'Inputs-System'!$C$18)*(1+'Inputs-System'!$C$41))*('Inputs-Proposals'!$G$23*'Inputs-Proposals'!$G$25*(1-'Inputs-Proposals'!$G$26))*(VLOOKUP(AH$3,DRIPE!$A$54:$I$82,5,FALSE)-VLOOKUP(AH$3,DRIPE!$A$54:$I$82,6,FALSE)+VLOOKUP(AH$3,DRIPE!$A$54:$I$82,9,FALSE))+ ('Inputs-System'!$C$26*'Coincidence Factors'!$B$5*(1+'Inputs-System'!$C$18)*(1+'Inputs-System'!$C$41))+ ('Inputs-System'!$C$26*'Coincidence Factors'!$B$5)*'Inputs-Proposals'!$G$22*VLOOKUP(AH$3,DRIPE!$A$54:$I$80,8,FALSE), $C29= "3", ('Inputs-System'!$C$30*'Coincidence Factors'!$B$5)*('Inputs-Proposals'!$G$29*'Inputs-Proposals'!$G$31*(1-'Inputs-Proposals'!$G$32))*(VLOOKUP(AH$3,DRIPE!$A$54:$I$80,5,FALSE)-VLOOKUP(AH$3,DRIPE!$A$54:$I$80,6,FALSE)+VLOOKUP(AH$3,DRIPE!$A$54:$I$80,9,FALSE))+ ('Inputs-System'!$C$26*'Coincidence Factors'!$B$5*(1+'Inputs-System'!$C$18)*(1+'Inputs-System'!$C$42))*'Inputs-Proposals'!$G$28*VLOOKUP(AH$3,DRIPE!$A$54:$I$80,8,FALSE), $C29 = "0", 0), 0)</f>
        <v>0</v>
      </c>
      <c r="AK29" s="45">
        <f>IFERROR(_xlfn.IFS($C29="1",('Inputs-System'!$C$26*'Coincidence Factors'!$B$5*(1+'Inputs-System'!$C$18)*(1+'Inputs-System'!$C$42))*'Inputs-Proposals'!$G$16*(VLOOKUP(AH$3,Capacity!$A$53:$E$85,4,FALSE)*(1+'Inputs-System'!$C$42)+VLOOKUP(AH$3,Capacity!$A$53:$E$85,5,FALSE)*(1+'Inputs-System'!$C$43)*'Inputs-System'!$C$29), $C29 = "2", ('Inputs-System'!$C$26*'Coincidence Factors'!$B$5*(1+'Inputs-System'!$C$18))*'Inputs-Proposals'!$G$22*(VLOOKUP(AH$3,Capacity!$A$53:$E$85,4,FALSE)*(1+'Inputs-System'!$C$42)+VLOOKUP(AH$3,Capacity!$A$53:$E$85,5,FALSE)*'Inputs-System'!$C$29*(1+'Inputs-System'!$C$43)), $C29 = "3", ('Inputs-System'!$C$26*'Coincidence Factors'!$B$5*(1+'Inputs-System'!$C$18))*'Inputs-Proposals'!$G$28*(VLOOKUP(AH$3,Capacity!$A$53:$E$85,4,FALSE)*(1+'Inputs-System'!$C$42)+VLOOKUP(AH$3,Capacity!$A$53:$E$85,5,FALSE)*'Inputs-System'!$C$29*(1+'Inputs-System'!$C$43)), $C29 = "0", 0), 0)</f>
        <v>0</v>
      </c>
      <c r="AL29" s="100">
        <v>0</v>
      </c>
      <c r="AM29" s="346">
        <f>IFERROR(_xlfn.IFS($C29="1", 'Inputs-System'!$C$30*'Coincidence Factors'!$B$5*'Inputs-Proposals'!$G$17*'Inputs-Proposals'!$G$19*(VLOOKUP(AH$3,'Non-Embedded Emissions'!$A$56:$D$90,2,FALSE)+VLOOKUP(AH$3,'Non-Embedded Emissions'!$A$143:$D$174,2,FALSE)+VLOOKUP(AH$3,'Non-Embedded Emissions'!$A$230:$D$259,2,FALSE)-VLOOKUP(AH$3,'Non-Embedded Emissions'!$A$56:$D$90,3,FALSE)-VLOOKUP(AH$3,'Non-Embedded Emissions'!$A$143:$D$174,3,FALSE)-VLOOKUP(AH$3,'Non-Embedded Emissions'!$A$230:$D$259,3,FALSE)), $C29 = "2", 'Inputs-System'!$C$30*'Coincidence Factors'!$B$5*'Inputs-Proposals'!$G$23*'Inputs-Proposals'!$G$25*(VLOOKUP(AH$3,'Non-Embedded Emissions'!$A$56:$D$90,2,FALSE)+VLOOKUP(AH$3,'Non-Embedded Emissions'!$A$143:$D$174,2,FALSE)+VLOOKUP(AH$3,'Non-Embedded Emissions'!$A$230:$D$259,2,FALSE)-VLOOKUP(AH$3,'Non-Embedded Emissions'!$A$56:$D$90,3,FALSE)-VLOOKUP(AH$3,'Non-Embedded Emissions'!$A$143:$D$174,3,FALSE)-VLOOKUP(AH$3,'Non-Embedded Emissions'!$A$230:$D$259,3,FALSE)), $C29 = "3", 'Inputs-System'!$C$30*'Coincidence Factors'!$B$5*'Inputs-Proposals'!$G$29*'Inputs-Proposals'!$G$31*(VLOOKUP(AH$3,'Non-Embedded Emissions'!$A$56:$D$90,2,FALSE)+VLOOKUP(AH$3,'Non-Embedded Emissions'!$A$143:$D$174,2,FALSE)+VLOOKUP(AH$3,'Non-Embedded Emissions'!$A$230:$D$259,2,FALSE)-VLOOKUP(AH$3,'Non-Embedded Emissions'!$A$56:$D$90,3,FALSE)-VLOOKUP(AH$3,'Non-Embedded Emissions'!$A$143:$D$174,3,FALSE)-VLOOKUP(AH$3,'Non-Embedded Emissions'!$A$230:$D$259,3,FALSE)), $C29 = "0", 0), 0)</f>
        <v>0</v>
      </c>
      <c r="AN29" s="344">
        <f>IFERROR(_xlfn.IFS($C29="1",('Inputs-System'!$C$30*'Coincidence Factors'!$B$5*(1+'Inputs-System'!$C$18)*(1+'Inputs-System'!$C$41)*('Inputs-Proposals'!$G$17*'Inputs-Proposals'!$G$19*(1-'Inputs-Proposals'!$G$20))*(VLOOKUP(AN$3,Energy!$A$51:$K$83,5,FALSE)-VLOOKUP(AN$3,Energy!$A$51:$K$83,6,FALSE))), $C29 = "2",('Inputs-System'!$C$30*'Coincidence Factors'!$B$5)*(1+'Inputs-System'!$C$18)*(1+'Inputs-System'!$C$41)*('Inputs-Proposals'!$G$23*'Inputs-Proposals'!$G$25*(1-'Inputs-Proposals'!$G$26))*(VLOOKUP(AN$3,Energy!$A$51:$K$83,5,FALSE)-VLOOKUP(AN$3,Energy!$A$51:$K$83,6,FALSE)), $C29= "3", ('Inputs-System'!$C$30*'Coincidence Factors'!$B$5*(1+'Inputs-System'!$C$18)*(1+'Inputs-System'!$C$41)*('Inputs-Proposals'!$G$29*'Inputs-Proposals'!$G$31*(1-'Inputs-Proposals'!$G$32))*(VLOOKUP(AN$3,Energy!$A$51:$K$83,5,FALSE)-VLOOKUP(AN$3,Energy!$A$51:$K$83,6,FALSE))), $C29= "0", 0), 0)</f>
        <v>0</v>
      </c>
      <c r="AO29" s="100">
        <f>IFERROR(_xlfn.IFS($C29="1", 'Inputs-System'!$C$30*'Coincidence Factors'!$B$5*(1+'Inputs-System'!$C$18)*(1+'Inputs-System'!$C$41)*'Inputs-Proposals'!$G$17*'Inputs-Proposals'!$G$19*(1-'Inputs-Proposals'!$G$20)*(VLOOKUP(AN$3,'Embedded Emissions'!$A$47:$B$78,2,FALSE)+VLOOKUP(AN$3,'Embedded Emissions'!$A$129:$B$158,2,FALSE)), $C29 = "2",'Inputs-System'!$C$30*'Coincidence Factors'!$B$5*(1+'Inputs-System'!$C$18)*(1+'Inputs-System'!$C$41)*'Inputs-Proposals'!$G$23*'Inputs-Proposals'!$G$25*(1-'Inputs-Proposals'!$G$20)*(VLOOKUP(AN$3,'Embedded Emissions'!$A$47:$B$78,2,FALSE)+VLOOKUP(AN$3,'Embedded Emissions'!$A$129:$B$158,2,FALSE)), $C29 = "3", 'Inputs-System'!$C$30*'Coincidence Factors'!$B$5*(1+'Inputs-System'!$C$18)*(1+'Inputs-System'!$C$41)*'Inputs-Proposals'!$G$29*'Inputs-Proposals'!$G$31*(1-'Inputs-Proposals'!$G$20)*(VLOOKUP(AN$3,'Embedded Emissions'!$A$47:$B$78,2,FALSE)+VLOOKUP(AN$3,'Embedded Emissions'!$A$129:$B$158,2,FALSE)), $C29 = "0", 0), 0)</f>
        <v>0</v>
      </c>
      <c r="AP29" s="44">
        <f>IFERROR(_xlfn.IFS($C29="1",( 'Inputs-System'!$C$30*'Coincidence Factors'!$B$5*(1+'Inputs-System'!$C$18)*(1+'Inputs-System'!$C$41))*('Inputs-Proposals'!$G$17*'Inputs-Proposals'!$G$19*(1-'Inputs-Proposals'!$G$20))*(VLOOKUP(AN$3,DRIPE!$A$54:$I$82,5,FALSE)-VLOOKUP(AN$3,DRIPE!$A$54:$I$82,6,FALSE)+VLOOKUP(AN$3,DRIPE!$A$54:$I$82,9,FALSE))+ ('Inputs-System'!$C$26*'Coincidence Factors'!$B$5*(1+'Inputs-System'!$C$18)*(1+'Inputs-System'!$C$42))*'Inputs-Proposals'!$G$16*VLOOKUP(AN$3,DRIPE!$A$54:$I$80,8,FALSE), $C29 = "2",( 'Inputs-System'!$C$30*'Coincidence Factors'!$B$5*(1+'Inputs-System'!$C$18)*(1+'Inputs-System'!$C$41))*('Inputs-Proposals'!$G$23*'Inputs-Proposals'!$G$25*(1-'Inputs-Proposals'!$G$26))*(VLOOKUP(AN$3,DRIPE!$A$54:$I$82,5,FALSE)-VLOOKUP(AN$3,DRIPE!$A$54:$I$82,6,FALSE)+VLOOKUP(AN$3,DRIPE!$A$54:$I$82,9,FALSE))+ ('Inputs-System'!$C$26*'Coincidence Factors'!$B$5*(1+'Inputs-System'!$C$18)*(1+'Inputs-System'!$C$41))+ ('Inputs-System'!$C$26*'Coincidence Factors'!$B$5)*'Inputs-Proposals'!$G$22*VLOOKUP(AN$3,DRIPE!$A$54:$I$80,8,FALSE), $C29= "3", ('Inputs-System'!$C$30*'Coincidence Factors'!$B$5)*('Inputs-Proposals'!$G$29*'Inputs-Proposals'!$G$31*(1-'Inputs-Proposals'!$G$32))*(VLOOKUP(AN$3,DRIPE!$A$54:$I$80,5,FALSE)-VLOOKUP(AN$3,DRIPE!$A$54:$I$80,6,FALSE)+VLOOKUP(AN$3,DRIPE!$A$54:$I$80,9,FALSE))+ ('Inputs-System'!$C$26*'Coincidence Factors'!$B$5*(1+'Inputs-System'!$C$18)*(1+'Inputs-System'!$C$42))*'Inputs-Proposals'!$G$28*VLOOKUP(AN$3,DRIPE!$A$54:$I$80,8,FALSE), $C29 = "0", 0), 0)</f>
        <v>0</v>
      </c>
      <c r="AQ29" s="45">
        <f>IFERROR(_xlfn.IFS($C29="1",('Inputs-System'!$C$26*'Coincidence Factors'!$B$5*(1+'Inputs-System'!$C$18)*(1+'Inputs-System'!$C$42))*'Inputs-Proposals'!$G$16*(VLOOKUP(AN$3,Capacity!$A$53:$E$85,4,FALSE)*(1+'Inputs-System'!$C$42)+VLOOKUP(AN$3,Capacity!$A$53:$E$85,5,FALSE)*(1+'Inputs-System'!$C$43)*'Inputs-System'!$C$29), $C29 = "2", ('Inputs-System'!$C$26*'Coincidence Factors'!$B$5*(1+'Inputs-System'!$C$18))*'Inputs-Proposals'!$G$22*(VLOOKUP(AN$3,Capacity!$A$53:$E$85,4,FALSE)*(1+'Inputs-System'!$C$42)+VLOOKUP(AN$3,Capacity!$A$53:$E$85,5,FALSE)*'Inputs-System'!$C$29*(1+'Inputs-System'!$C$43)), $C29 = "3", ('Inputs-System'!$C$26*'Coincidence Factors'!$B$5*(1+'Inputs-System'!$C$18))*'Inputs-Proposals'!$G$28*(VLOOKUP(AN$3,Capacity!$A$53:$E$85,4,FALSE)*(1+'Inputs-System'!$C$42)+VLOOKUP(AN$3,Capacity!$A$53:$E$85,5,FALSE)*'Inputs-System'!$C$29*(1+'Inputs-System'!$C$43)), $C29 = "0", 0), 0)</f>
        <v>0</v>
      </c>
      <c r="AR29" s="100">
        <v>0</v>
      </c>
      <c r="AS29" s="346">
        <f>IFERROR(_xlfn.IFS($C29="1", 'Inputs-System'!$C$30*'Coincidence Factors'!$B$5*'Inputs-Proposals'!$G$17*'Inputs-Proposals'!$G$19*(VLOOKUP(AN$3,'Non-Embedded Emissions'!$A$56:$D$90,2,FALSE)+VLOOKUP(AN$3,'Non-Embedded Emissions'!$A$143:$D$174,2,FALSE)+VLOOKUP(AN$3,'Non-Embedded Emissions'!$A$230:$D$259,2,FALSE)-VLOOKUP(AN$3,'Non-Embedded Emissions'!$A$56:$D$90,3,FALSE)-VLOOKUP(AN$3,'Non-Embedded Emissions'!$A$143:$D$174,3,FALSE)-VLOOKUP(AN$3,'Non-Embedded Emissions'!$A$230:$D$259,3,FALSE)), $C29 = "2", 'Inputs-System'!$C$30*'Coincidence Factors'!$B$5*'Inputs-Proposals'!$G$23*'Inputs-Proposals'!$G$25*(VLOOKUP(AN$3,'Non-Embedded Emissions'!$A$56:$D$90,2,FALSE)+VLOOKUP(AN$3,'Non-Embedded Emissions'!$A$143:$D$174,2,FALSE)+VLOOKUP(AN$3,'Non-Embedded Emissions'!$A$230:$D$259,2,FALSE)-VLOOKUP(AN$3,'Non-Embedded Emissions'!$A$56:$D$90,3,FALSE)-VLOOKUP(AN$3,'Non-Embedded Emissions'!$A$143:$D$174,3,FALSE)-VLOOKUP(AN$3,'Non-Embedded Emissions'!$A$230:$D$259,3,FALSE)), $C29 = "3", 'Inputs-System'!$C$30*'Coincidence Factors'!$B$5*'Inputs-Proposals'!$G$29*'Inputs-Proposals'!$G$31*(VLOOKUP(AN$3,'Non-Embedded Emissions'!$A$56:$D$90,2,FALSE)+VLOOKUP(AN$3,'Non-Embedded Emissions'!$A$143:$D$174,2,FALSE)+VLOOKUP(AN$3,'Non-Embedded Emissions'!$A$230:$D$259,2,FALSE)-VLOOKUP(AN$3,'Non-Embedded Emissions'!$A$56:$D$90,3,FALSE)-VLOOKUP(AN$3,'Non-Embedded Emissions'!$A$143:$D$174,3,FALSE)-VLOOKUP(AN$3,'Non-Embedded Emissions'!$A$230:$D$259,3,FALSE)), $C29 = "0", 0), 0)</f>
        <v>0</v>
      </c>
      <c r="AT29" s="344">
        <f>IFERROR(_xlfn.IFS($C29="1",('Inputs-System'!$C$30*'Coincidence Factors'!$B$5*(1+'Inputs-System'!$C$18)*(1+'Inputs-System'!$C$41)*('Inputs-Proposals'!$G$17*'Inputs-Proposals'!$G$19*(1-'Inputs-Proposals'!$G$20))*(VLOOKUP(AT$3,Energy!$A$51:$K$83,5,FALSE)-VLOOKUP(AT$3,Energy!$A$51:$K$83,6,FALSE))), $C29 = "2",('Inputs-System'!$C$30*'Coincidence Factors'!$B$5)*(1+'Inputs-System'!$C$18)*(1+'Inputs-System'!$C$41)*('Inputs-Proposals'!$G$23*'Inputs-Proposals'!$G$25*(1-'Inputs-Proposals'!$G$26))*(VLOOKUP(AT$3,Energy!$A$51:$K$83,5,FALSE)-VLOOKUP(AT$3,Energy!$A$51:$K$83,6,FALSE)), $C29= "3", ('Inputs-System'!$C$30*'Coincidence Factors'!$B$5*(1+'Inputs-System'!$C$18)*(1+'Inputs-System'!$C$41)*('Inputs-Proposals'!$G$29*'Inputs-Proposals'!$G$31*(1-'Inputs-Proposals'!$G$32))*(VLOOKUP(AT$3,Energy!$A$51:$K$83,5,FALSE)-VLOOKUP(AT$3,Energy!$A$51:$K$83,6,FALSE))), $C29= "0", 0), 0)</f>
        <v>0</v>
      </c>
      <c r="AU29" s="100">
        <f>IFERROR(_xlfn.IFS($C29="1", 'Inputs-System'!$C$30*'Coincidence Factors'!$B$5*(1+'Inputs-System'!$C$18)*(1+'Inputs-System'!$C$41)*'Inputs-Proposals'!$G$17*'Inputs-Proposals'!$G$19*(1-'Inputs-Proposals'!$G$20)*(VLOOKUP(AT$3,'Embedded Emissions'!$A$47:$B$78,2,FALSE)+VLOOKUP(AT$3,'Embedded Emissions'!$A$129:$B$158,2,FALSE)), $C29 = "2",'Inputs-System'!$C$30*'Coincidence Factors'!$B$5*(1+'Inputs-System'!$C$18)*(1+'Inputs-System'!$C$41)*'Inputs-Proposals'!$G$23*'Inputs-Proposals'!$G$25*(1-'Inputs-Proposals'!$G$20)*(VLOOKUP(AT$3,'Embedded Emissions'!$A$47:$B$78,2,FALSE)+VLOOKUP(AT$3,'Embedded Emissions'!$A$129:$B$158,2,FALSE)), $C29 = "3", 'Inputs-System'!$C$30*'Coincidence Factors'!$B$5*(1+'Inputs-System'!$C$18)*(1+'Inputs-System'!$C$41)*'Inputs-Proposals'!$G$29*'Inputs-Proposals'!$G$31*(1-'Inputs-Proposals'!$G$20)*(VLOOKUP(AT$3,'Embedded Emissions'!$A$47:$B$78,2,FALSE)+VLOOKUP(AT$3,'Embedded Emissions'!$A$129:$B$158,2,FALSE)), $C29 = "0", 0), 0)</f>
        <v>0</v>
      </c>
      <c r="AV29" s="44">
        <f>IFERROR(_xlfn.IFS($C29="1",( 'Inputs-System'!$C$30*'Coincidence Factors'!$B$5*(1+'Inputs-System'!$C$18)*(1+'Inputs-System'!$C$41))*('Inputs-Proposals'!$G$17*'Inputs-Proposals'!$G$19*(1-'Inputs-Proposals'!$G$20))*(VLOOKUP(AT$3,DRIPE!$A$54:$I$82,5,FALSE)-VLOOKUP(AT$3,DRIPE!$A$54:$I$82,6,FALSE)+VLOOKUP(AT$3,DRIPE!$A$54:$I$82,9,FALSE))+ ('Inputs-System'!$C$26*'Coincidence Factors'!$B$5*(1+'Inputs-System'!$C$18)*(1+'Inputs-System'!$C$42))*'Inputs-Proposals'!$G$16*VLOOKUP(AT$3,DRIPE!$A$54:$I$80,8,FALSE), $C29 = "2",( 'Inputs-System'!$C$30*'Coincidence Factors'!$B$5*(1+'Inputs-System'!$C$18)*(1+'Inputs-System'!$C$41))*('Inputs-Proposals'!$G$23*'Inputs-Proposals'!$G$25*(1-'Inputs-Proposals'!$G$26))*(VLOOKUP(AT$3,DRIPE!$A$54:$I$82,5,FALSE)-VLOOKUP(AT$3,DRIPE!$A$54:$I$82,6,FALSE)+VLOOKUP(AT$3,DRIPE!$A$54:$I$82,9,FALSE))+ ('Inputs-System'!$C$26*'Coincidence Factors'!$B$5*(1+'Inputs-System'!$C$18)*(1+'Inputs-System'!$C$41))+ ('Inputs-System'!$C$26*'Coincidence Factors'!$B$5)*'Inputs-Proposals'!$G$22*VLOOKUP(AT$3,DRIPE!$A$54:$I$80,8,FALSE), $C29= "3", ('Inputs-System'!$C$30*'Coincidence Factors'!$B$5)*('Inputs-Proposals'!$G$29*'Inputs-Proposals'!$G$31*(1-'Inputs-Proposals'!$G$32))*(VLOOKUP(AT$3,DRIPE!$A$54:$I$80,5,FALSE)-VLOOKUP(AT$3,DRIPE!$A$54:$I$80,6,FALSE)+VLOOKUP(AT$3,DRIPE!$A$54:$I$80,9,FALSE))+ ('Inputs-System'!$C$26*'Coincidence Factors'!$B$5*(1+'Inputs-System'!$C$18)*(1+'Inputs-System'!$C$42))*'Inputs-Proposals'!$G$28*VLOOKUP(AT$3,DRIPE!$A$54:$I$80,8,FALSE), $C29 = "0", 0), 0)</f>
        <v>0</v>
      </c>
      <c r="AW29" s="45">
        <f>IFERROR(_xlfn.IFS($C29="1",('Inputs-System'!$C$26*'Coincidence Factors'!$B$5*(1+'Inputs-System'!$C$18)*(1+'Inputs-System'!$C$42))*'Inputs-Proposals'!$G$16*(VLOOKUP(AT$3,Capacity!$A$53:$E$85,4,FALSE)*(1+'Inputs-System'!$C$42)+VLOOKUP(AT$3,Capacity!$A$53:$E$85,5,FALSE)*(1+'Inputs-System'!$C$43)*'Inputs-System'!$C$29), $C29 = "2", ('Inputs-System'!$C$26*'Coincidence Factors'!$B$5*(1+'Inputs-System'!$C$18))*'Inputs-Proposals'!$G$22*(VLOOKUP(AT$3,Capacity!$A$53:$E$85,4,FALSE)*(1+'Inputs-System'!$C$42)+VLOOKUP(AT$3,Capacity!$A$53:$E$85,5,FALSE)*'Inputs-System'!$C$29*(1+'Inputs-System'!$C$43)), $C29 = "3", ('Inputs-System'!$C$26*'Coincidence Factors'!$B$5*(1+'Inputs-System'!$C$18))*'Inputs-Proposals'!$G$28*(VLOOKUP(AT$3,Capacity!$A$53:$E$85,4,FALSE)*(1+'Inputs-System'!$C$42)+VLOOKUP(AT$3,Capacity!$A$53:$E$85,5,FALSE)*'Inputs-System'!$C$29*(1+'Inputs-System'!$C$43)), $C29 = "0", 0), 0)</f>
        <v>0</v>
      </c>
      <c r="AX29" s="100">
        <v>0</v>
      </c>
      <c r="AY29" s="346">
        <f>IFERROR(_xlfn.IFS($C29="1", 'Inputs-System'!$C$30*'Coincidence Factors'!$B$5*'Inputs-Proposals'!$G$17*'Inputs-Proposals'!$G$19*(VLOOKUP(AT$3,'Non-Embedded Emissions'!$A$56:$D$90,2,FALSE)+VLOOKUP(AT$3,'Non-Embedded Emissions'!$A$143:$D$174,2,FALSE)+VLOOKUP(AT$3,'Non-Embedded Emissions'!$A$230:$D$259,2,FALSE)-VLOOKUP(AT$3,'Non-Embedded Emissions'!$A$56:$D$90,3,FALSE)-VLOOKUP(AT$3,'Non-Embedded Emissions'!$A$143:$D$174,3,FALSE)-VLOOKUP(AT$3,'Non-Embedded Emissions'!$A$230:$D$259,3,FALSE)), $C29 = "2", 'Inputs-System'!$C$30*'Coincidence Factors'!$B$5*'Inputs-Proposals'!$G$23*'Inputs-Proposals'!$G$25*(VLOOKUP(AT$3,'Non-Embedded Emissions'!$A$56:$D$90,2,FALSE)+VLOOKUP(AT$3,'Non-Embedded Emissions'!$A$143:$D$174,2,FALSE)+VLOOKUP(AT$3,'Non-Embedded Emissions'!$A$230:$D$259,2,FALSE)-VLOOKUP(AT$3,'Non-Embedded Emissions'!$A$56:$D$90,3,FALSE)-VLOOKUP(AT$3,'Non-Embedded Emissions'!$A$143:$D$174,3,FALSE)-VLOOKUP(AT$3,'Non-Embedded Emissions'!$A$230:$D$259,3,FALSE)), $C29 = "3", 'Inputs-System'!$C$30*'Coincidence Factors'!$B$5*'Inputs-Proposals'!$G$29*'Inputs-Proposals'!$G$31*(VLOOKUP(AT$3,'Non-Embedded Emissions'!$A$56:$D$90,2,FALSE)+VLOOKUP(AT$3,'Non-Embedded Emissions'!$A$143:$D$174,2,FALSE)+VLOOKUP(AT$3,'Non-Embedded Emissions'!$A$230:$D$259,2,FALSE)-VLOOKUP(AT$3,'Non-Embedded Emissions'!$A$56:$D$90,3,FALSE)-VLOOKUP(AT$3,'Non-Embedded Emissions'!$A$143:$D$174,3,FALSE)-VLOOKUP(AT$3,'Non-Embedded Emissions'!$A$230:$D$259,3,FALSE)), $C29 = "0", 0), 0)</f>
        <v>0</v>
      </c>
      <c r="AZ29" s="344">
        <f>IFERROR(_xlfn.IFS($C29="1",('Inputs-System'!$C$30*'Coincidence Factors'!$B$5*(1+'Inputs-System'!$C$18)*(1+'Inputs-System'!$C$41)*('Inputs-Proposals'!$G$17*'Inputs-Proposals'!$G$19*(1-'Inputs-Proposals'!$G$20))*(VLOOKUP(AZ$3,Energy!$A$51:$K$83,5,FALSE)-VLOOKUP(AZ$3,Energy!$A$51:$K$83,6,FALSE))), $C29 = "2",('Inputs-System'!$C$30*'Coincidence Factors'!$B$5)*(1+'Inputs-System'!$C$18)*(1+'Inputs-System'!$C$41)*('Inputs-Proposals'!$G$23*'Inputs-Proposals'!$G$25*(1-'Inputs-Proposals'!$G$26))*(VLOOKUP(AZ$3,Energy!$A$51:$K$83,5,FALSE)-VLOOKUP(AZ$3,Energy!$A$51:$K$83,6,FALSE)), $C29= "3", ('Inputs-System'!$C$30*'Coincidence Factors'!$B$5*(1+'Inputs-System'!$C$18)*(1+'Inputs-System'!$C$41)*('Inputs-Proposals'!$G$29*'Inputs-Proposals'!$G$31*(1-'Inputs-Proposals'!$G$32))*(VLOOKUP(AZ$3,Energy!$A$51:$K$83,5,FALSE)-VLOOKUP(AZ$3,Energy!$A$51:$K$83,6,FALSE))), $C29= "0", 0), 0)</f>
        <v>0</v>
      </c>
      <c r="BA29" s="100">
        <f>IFERROR(_xlfn.IFS($C29="1", 'Inputs-System'!$C$30*'Coincidence Factors'!$B$5*(1+'Inputs-System'!$C$18)*(1+'Inputs-System'!$C$41)*'Inputs-Proposals'!$G$17*'Inputs-Proposals'!$G$19*(1-'Inputs-Proposals'!$G$20)*(VLOOKUP(AZ$3,'Embedded Emissions'!$A$47:$B$78,2,FALSE)+VLOOKUP(AZ$3,'Embedded Emissions'!$A$129:$B$158,2,FALSE)), $C29 = "2",'Inputs-System'!$C$30*'Coincidence Factors'!$B$5*(1+'Inputs-System'!$C$18)*(1+'Inputs-System'!$C$41)*'Inputs-Proposals'!$G$23*'Inputs-Proposals'!$G$25*(1-'Inputs-Proposals'!$G$20)*(VLOOKUP(AZ$3,'Embedded Emissions'!$A$47:$B$78,2,FALSE)+VLOOKUP(AZ$3,'Embedded Emissions'!$A$129:$B$158,2,FALSE)), $C29 = "3", 'Inputs-System'!$C$30*'Coincidence Factors'!$B$5*(1+'Inputs-System'!$C$18)*(1+'Inputs-System'!$C$41)*'Inputs-Proposals'!$G$29*'Inputs-Proposals'!$G$31*(1-'Inputs-Proposals'!$G$20)*(VLOOKUP(AZ$3,'Embedded Emissions'!$A$47:$B$78,2,FALSE)+VLOOKUP(AZ$3,'Embedded Emissions'!$A$129:$B$158,2,FALSE)), $C29 = "0", 0), 0)</f>
        <v>0</v>
      </c>
      <c r="BB29" s="44">
        <f>IFERROR(_xlfn.IFS($C29="1",( 'Inputs-System'!$C$30*'Coincidence Factors'!$B$5*(1+'Inputs-System'!$C$18)*(1+'Inputs-System'!$C$41))*('Inputs-Proposals'!$G$17*'Inputs-Proposals'!$G$19*(1-'Inputs-Proposals'!$G$20))*(VLOOKUP(AZ$3,DRIPE!$A$54:$I$82,5,FALSE)-VLOOKUP(AZ$3,DRIPE!$A$54:$I$82,6,FALSE)+VLOOKUP(AZ$3,DRIPE!$A$54:$I$82,9,FALSE))+ ('Inputs-System'!$C$26*'Coincidence Factors'!$B$5*(1+'Inputs-System'!$C$18)*(1+'Inputs-System'!$C$42))*'Inputs-Proposals'!$G$16*VLOOKUP(AZ$3,DRIPE!$A$54:$I$80,8,FALSE), $C29 = "2",( 'Inputs-System'!$C$30*'Coincidence Factors'!$B$5*(1+'Inputs-System'!$C$18)*(1+'Inputs-System'!$C$41))*('Inputs-Proposals'!$G$23*'Inputs-Proposals'!$G$25*(1-'Inputs-Proposals'!$G$26))*(VLOOKUP(AZ$3,DRIPE!$A$54:$I$82,5,FALSE)-VLOOKUP(AZ$3,DRIPE!$A$54:$I$82,6,FALSE)+VLOOKUP(AZ$3,DRIPE!$A$54:$I$82,9,FALSE))+ ('Inputs-System'!$C$26*'Coincidence Factors'!$B$5*(1+'Inputs-System'!$C$18)*(1+'Inputs-System'!$C$41))+ ('Inputs-System'!$C$26*'Coincidence Factors'!$B$5)*'Inputs-Proposals'!$G$22*VLOOKUP(AZ$3,DRIPE!$A$54:$I$80,8,FALSE), $C29= "3", ('Inputs-System'!$C$30*'Coincidence Factors'!$B$5)*('Inputs-Proposals'!$G$29*'Inputs-Proposals'!$G$31*(1-'Inputs-Proposals'!$G$32))*(VLOOKUP(AZ$3,DRIPE!$A$54:$I$80,5,FALSE)-VLOOKUP(AZ$3,DRIPE!$A$54:$I$80,6,FALSE)+VLOOKUP(AZ$3,DRIPE!$A$54:$I$80,9,FALSE))+ ('Inputs-System'!$C$26*'Coincidence Factors'!$B$5*(1+'Inputs-System'!$C$18)*(1+'Inputs-System'!$C$42))*'Inputs-Proposals'!$G$28*VLOOKUP(AZ$3,DRIPE!$A$54:$I$80,8,FALSE), $C29 = "0", 0), 0)</f>
        <v>0</v>
      </c>
      <c r="BC29" s="45">
        <f>IFERROR(_xlfn.IFS($C29="1",('Inputs-System'!$C$26*'Coincidence Factors'!$B$5*(1+'Inputs-System'!$C$18)*(1+'Inputs-System'!$C$42))*'Inputs-Proposals'!$G$16*(VLOOKUP(AZ$3,Capacity!$A$53:$E$85,4,FALSE)*(1+'Inputs-System'!$C$42)+VLOOKUP(AZ$3,Capacity!$A$53:$E$85,5,FALSE)*(1+'Inputs-System'!$C$43)*'Inputs-System'!$C$29), $C29 = "2", ('Inputs-System'!$C$26*'Coincidence Factors'!$B$5*(1+'Inputs-System'!$C$18))*'Inputs-Proposals'!$G$22*(VLOOKUP(AZ$3,Capacity!$A$53:$E$85,4,FALSE)*(1+'Inputs-System'!$C$42)+VLOOKUP(AZ$3,Capacity!$A$53:$E$85,5,FALSE)*'Inputs-System'!$C$29*(1+'Inputs-System'!$C$43)), $C29 = "3", ('Inputs-System'!$C$26*'Coincidence Factors'!$B$5*(1+'Inputs-System'!$C$18))*'Inputs-Proposals'!$G$28*(VLOOKUP(AZ$3,Capacity!$A$53:$E$85,4,FALSE)*(1+'Inputs-System'!$C$42)+VLOOKUP(AZ$3,Capacity!$A$53:$E$85,5,FALSE)*'Inputs-System'!$C$29*(1+'Inputs-System'!$C$43)), $C29 = "0", 0), 0)</f>
        <v>0</v>
      </c>
      <c r="BD29" s="100">
        <v>0</v>
      </c>
      <c r="BE29" s="346">
        <f>IFERROR(_xlfn.IFS($C29="1", 'Inputs-System'!$C$30*'Coincidence Factors'!$B$5*'Inputs-Proposals'!$G$17*'Inputs-Proposals'!$G$19*(VLOOKUP(AZ$3,'Non-Embedded Emissions'!$A$56:$D$90,2,FALSE)+VLOOKUP(AZ$3,'Non-Embedded Emissions'!$A$143:$D$174,2,FALSE)+VLOOKUP(AZ$3,'Non-Embedded Emissions'!$A$230:$D$259,2,FALSE)-VLOOKUP(AZ$3,'Non-Embedded Emissions'!$A$56:$D$90,3,FALSE)-VLOOKUP(AZ$3,'Non-Embedded Emissions'!$A$143:$D$174,3,FALSE)-VLOOKUP(AZ$3,'Non-Embedded Emissions'!$A$230:$D$259,3,FALSE)), $C29 = "2", 'Inputs-System'!$C$30*'Coincidence Factors'!$B$5*'Inputs-Proposals'!$G$23*'Inputs-Proposals'!$G$25*(VLOOKUP(AZ$3,'Non-Embedded Emissions'!$A$56:$D$90,2,FALSE)+VLOOKUP(AZ$3,'Non-Embedded Emissions'!$A$143:$D$174,2,FALSE)+VLOOKUP(AZ$3,'Non-Embedded Emissions'!$A$230:$D$259,2,FALSE)-VLOOKUP(AZ$3,'Non-Embedded Emissions'!$A$56:$D$90,3,FALSE)-VLOOKUP(AZ$3,'Non-Embedded Emissions'!$A$143:$D$174,3,FALSE)-VLOOKUP(AZ$3,'Non-Embedded Emissions'!$A$230:$D$259,3,FALSE)), $C29 = "3", 'Inputs-System'!$C$30*'Coincidence Factors'!$B$5*'Inputs-Proposals'!$G$29*'Inputs-Proposals'!$G$31*(VLOOKUP(AZ$3,'Non-Embedded Emissions'!$A$56:$D$90,2,FALSE)+VLOOKUP(AZ$3,'Non-Embedded Emissions'!$A$143:$D$174,2,FALSE)+VLOOKUP(AZ$3,'Non-Embedded Emissions'!$A$230:$D$259,2,FALSE)-VLOOKUP(AZ$3,'Non-Embedded Emissions'!$A$56:$D$90,3,FALSE)-VLOOKUP(AZ$3,'Non-Embedded Emissions'!$A$143:$D$174,3,FALSE)-VLOOKUP(AZ$3,'Non-Embedded Emissions'!$A$230:$D$259,3,FALSE)), $C29 = "0", 0), 0)</f>
        <v>0</v>
      </c>
      <c r="BF29" s="344">
        <f>IFERROR(_xlfn.IFS($C29="1",('Inputs-System'!$C$30*'Coincidence Factors'!$B$5*(1+'Inputs-System'!$C$18)*(1+'Inputs-System'!$C$41)*('Inputs-Proposals'!$G$17*'Inputs-Proposals'!$G$19*(1-'Inputs-Proposals'!$G$20))*(VLOOKUP(BF$3,Energy!$A$51:$K$83,5,FALSE)-VLOOKUP(BF$3,Energy!$A$51:$K$83,6,FALSE))), $C29 = "2",('Inputs-System'!$C$30*'Coincidence Factors'!$B$5)*(1+'Inputs-System'!$C$18)*(1+'Inputs-System'!$C$41)*('Inputs-Proposals'!$G$23*'Inputs-Proposals'!$G$25*(1-'Inputs-Proposals'!$G$26))*(VLOOKUP(BF$3,Energy!$A$51:$K$83,5,FALSE)-VLOOKUP(BF$3,Energy!$A$51:$K$83,6,FALSE)), $C29= "3", ('Inputs-System'!$C$30*'Coincidence Factors'!$B$5*(1+'Inputs-System'!$C$18)*(1+'Inputs-System'!$C$41)*('Inputs-Proposals'!$G$29*'Inputs-Proposals'!$G$31*(1-'Inputs-Proposals'!$G$32))*(VLOOKUP(BF$3,Energy!$A$51:$K$83,5,FALSE)-VLOOKUP(BF$3,Energy!$A$51:$K$83,6,FALSE))), $C29= "0", 0), 0)</f>
        <v>0</v>
      </c>
      <c r="BG29" s="100">
        <f>IFERROR(_xlfn.IFS($C29="1", 'Inputs-System'!$C$30*'Coincidence Factors'!$B$5*(1+'Inputs-System'!$C$18)*(1+'Inputs-System'!$C$41)*'Inputs-Proposals'!$G$17*'Inputs-Proposals'!$G$19*(1-'Inputs-Proposals'!$G$20)*(VLOOKUP(BF$3,'Embedded Emissions'!$A$47:$B$78,2,FALSE)+VLOOKUP(BF$3,'Embedded Emissions'!$A$129:$B$158,2,FALSE)), $C29 = "2",'Inputs-System'!$C$30*'Coincidence Factors'!$B$5*(1+'Inputs-System'!$C$18)*(1+'Inputs-System'!$C$41)*'Inputs-Proposals'!$G$23*'Inputs-Proposals'!$G$25*(1-'Inputs-Proposals'!$G$20)*(VLOOKUP(BF$3,'Embedded Emissions'!$A$47:$B$78,2,FALSE)+VLOOKUP(BF$3,'Embedded Emissions'!$A$129:$B$158,2,FALSE)), $C29 = "3", 'Inputs-System'!$C$30*'Coincidence Factors'!$B$5*(1+'Inputs-System'!$C$18)*(1+'Inputs-System'!$C$41)*'Inputs-Proposals'!$G$29*'Inputs-Proposals'!$G$31*(1-'Inputs-Proposals'!$G$20)*(VLOOKUP(BF$3,'Embedded Emissions'!$A$47:$B$78,2,FALSE)+VLOOKUP(BF$3,'Embedded Emissions'!$A$129:$B$158,2,FALSE)), $C29 = "0", 0), 0)</f>
        <v>0</v>
      </c>
      <c r="BH29" s="44">
        <f>IFERROR(_xlfn.IFS($C29="1",( 'Inputs-System'!$C$30*'Coincidence Factors'!$B$5*(1+'Inputs-System'!$C$18)*(1+'Inputs-System'!$C$41))*('Inputs-Proposals'!$G$17*'Inputs-Proposals'!$G$19*(1-'Inputs-Proposals'!$G$20))*(VLOOKUP(BF$3,DRIPE!$A$54:$I$82,5,FALSE)-VLOOKUP(BF$3,DRIPE!$A$54:$I$82,6,FALSE)+VLOOKUP(BF$3,DRIPE!$A$54:$I$82,9,FALSE))+ ('Inputs-System'!$C$26*'Coincidence Factors'!$B$5*(1+'Inputs-System'!$C$18)*(1+'Inputs-System'!$C$42))*'Inputs-Proposals'!$G$16*VLOOKUP(BF$3,DRIPE!$A$54:$I$80,8,FALSE), $C29 = "2",( 'Inputs-System'!$C$30*'Coincidence Factors'!$B$5*(1+'Inputs-System'!$C$18)*(1+'Inputs-System'!$C$41))*('Inputs-Proposals'!$G$23*'Inputs-Proposals'!$G$25*(1-'Inputs-Proposals'!$G$26))*(VLOOKUP(BF$3,DRIPE!$A$54:$I$82,5,FALSE)-VLOOKUP(BF$3,DRIPE!$A$54:$I$82,6,FALSE)+VLOOKUP(BF$3,DRIPE!$A$54:$I$82,9,FALSE))+ ('Inputs-System'!$C$26*'Coincidence Factors'!$B$5*(1+'Inputs-System'!$C$18)*(1+'Inputs-System'!$C$41))+ ('Inputs-System'!$C$26*'Coincidence Factors'!$B$5)*'Inputs-Proposals'!$G$22*VLOOKUP(BF$3,DRIPE!$A$54:$I$80,8,FALSE), $C29= "3", ('Inputs-System'!$C$30*'Coincidence Factors'!$B$5)*('Inputs-Proposals'!$G$29*'Inputs-Proposals'!$G$31*(1-'Inputs-Proposals'!$G$32))*(VLOOKUP(BF$3,DRIPE!$A$54:$I$80,5,FALSE)-VLOOKUP(BF$3,DRIPE!$A$54:$I$80,6,FALSE)+VLOOKUP(BF$3,DRIPE!$A$54:$I$80,9,FALSE))+ ('Inputs-System'!$C$26*'Coincidence Factors'!$B$5*(1+'Inputs-System'!$C$18)*(1+'Inputs-System'!$C$42))*'Inputs-Proposals'!$G$28*VLOOKUP(BF$3,DRIPE!$A$54:$I$80,8,FALSE), $C29 = "0", 0), 0)</f>
        <v>0</v>
      </c>
      <c r="BI29" s="45">
        <f>IFERROR(_xlfn.IFS($C29="1",('Inputs-System'!$C$26*'Coincidence Factors'!$B$5*(1+'Inputs-System'!$C$18)*(1+'Inputs-System'!$C$42))*'Inputs-Proposals'!$G$16*(VLOOKUP(BF$3,Capacity!$A$53:$E$85,4,FALSE)*(1+'Inputs-System'!$C$42)+VLOOKUP(BF$3,Capacity!$A$53:$E$85,5,FALSE)*(1+'Inputs-System'!$C$43)*'Inputs-System'!$C$29), $C29 = "2", ('Inputs-System'!$C$26*'Coincidence Factors'!$B$5*(1+'Inputs-System'!$C$18))*'Inputs-Proposals'!$G$22*(VLOOKUP(BF$3,Capacity!$A$53:$E$85,4,FALSE)*(1+'Inputs-System'!$C$42)+VLOOKUP(BF$3,Capacity!$A$53:$E$85,5,FALSE)*'Inputs-System'!$C$29*(1+'Inputs-System'!$C$43)), $C29 = "3", ('Inputs-System'!$C$26*'Coincidence Factors'!$B$5*(1+'Inputs-System'!$C$18))*'Inputs-Proposals'!$G$28*(VLOOKUP(BF$3,Capacity!$A$53:$E$85,4,FALSE)*(1+'Inputs-System'!$C$42)+VLOOKUP(BF$3,Capacity!$A$53:$E$85,5,FALSE)*'Inputs-System'!$C$29*(1+'Inputs-System'!$C$43)), $C29 = "0", 0), 0)</f>
        <v>0</v>
      </c>
      <c r="BJ29" s="100">
        <v>0</v>
      </c>
      <c r="BK29" s="346">
        <f>IFERROR(_xlfn.IFS($C29="1", 'Inputs-System'!$C$30*'Coincidence Factors'!$B$5*'Inputs-Proposals'!$G$17*'Inputs-Proposals'!$G$19*(VLOOKUP(BF$3,'Non-Embedded Emissions'!$A$56:$D$90,2,FALSE)+VLOOKUP(BF$3,'Non-Embedded Emissions'!$A$143:$D$174,2,FALSE)+VLOOKUP(BF$3,'Non-Embedded Emissions'!$A$230:$D$259,2,FALSE)-VLOOKUP(BF$3,'Non-Embedded Emissions'!$A$56:$D$90,3,FALSE)-VLOOKUP(BF$3,'Non-Embedded Emissions'!$A$143:$D$174,3,FALSE)-VLOOKUP(BF$3,'Non-Embedded Emissions'!$A$230:$D$259,3,FALSE)), $C29 = "2", 'Inputs-System'!$C$30*'Coincidence Factors'!$B$5*'Inputs-Proposals'!$G$23*'Inputs-Proposals'!$G$25*(VLOOKUP(BF$3,'Non-Embedded Emissions'!$A$56:$D$90,2,FALSE)+VLOOKUP(BF$3,'Non-Embedded Emissions'!$A$143:$D$174,2,FALSE)+VLOOKUP(BF$3,'Non-Embedded Emissions'!$A$230:$D$259,2,FALSE)-VLOOKUP(BF$3,'Non-Embedded Emissions'!$A$56:$D$90,3,FALSE)-VLOOKUP(BF$3,'Non-Embedded Emissions'!$A$143:$D$174,3,FALSE)-VLOOKUP(BF$3,'Non-Embedded Emissions'!$A$230:$D$259,3,FALSE)), $C29 = "3", 'Inputs-System'!$C$30*'Coincidence Factors'!$B$5*'Inputs-Proposals'!$G$29*'Inputs-Proposals'!$G$31*(VLOOKUP(BF$3,'Non-Embedded Emissions'!$A$56:$D$90,2,FALSE)+VLOOKUP(BF$3,'Non-Embedded Emissions'!$A$143:$D$174,2,FALSE)+VLOOKUP(BF$3,'Non-Embedded Emissions'!$A$230:$D$259,2,FALSE)-VLOOKUP(BF$3,'Non-Embedded Emissions'!$A$56:$D$90,3,FALSE)-VLOOKUP(BF$3,'Non-Embedded Emissions'!$A$143:$D$174,3,FALSE)-VLOOKUP(BF$3,'Non-Embedded Emissions'!$A$230:$D$259,3,FALSE)), $C29 = "0", 0), 0)</f>
        <v>0</v>
      </c>
      <c r="BL29" s="344">
        <f>IFERROR(_xlfn.IFS($C29="1",('Inputs-System'!$C$30*'Coincidence Factors'!$B$5*(1+'Inputs-System'!$C$18)*(1+'Inputs-System'!$C$41)*('Inputs-Proposals'!$G$17*'Inputs-Proposals'!$G$19*(1-'Inputs-Proposals'!$G$20))*(VLOOKUP(BL$3,Energy!$A$51:$K$83,5,FALSE)-VLOOKUP(BL$3,Energy!$A$51:$K$83,6,FALSE))), $C29 = "2",('Inputs-System'!$C$30*'Coincidence Factors'!$B$5)*(1+'Inputs-System'!$C$18)*(1+'Inputs-System'!$C$41)*('Inputs-Proposals'!$G$23*'Inputs-Proposals'!$G$25*(1-'Inputs-Proposals'!$G$26))*(VLOOKUP(BL$3,Energy!$A$51:$K$83,5,FALSE)-VLOOKUP(BL$3,Energy!$A$51:$K$83,6,FALSE)), $C29= "3", ('Inputs-System'!$C$30*'Coincidence Factors'!$B$5*(1+'Inputs-System'!$C$18)*(1+'Inputs-System'!$C$41)*('Inputs-Proposals'!$G$29*'Inputs-Proposals'!$G$31*(1-'Inputs-Proposals'!$G$32))*(VLOOKUP(BL$3,Energy!$A$51:$K$83,5,FALSE)-VLOOKUP(BL$3,Energy!$A$51:$K$83,6,FALSE))), $C29= "0", 0), 0)</f>
        <v>0</v>
      </c>
      <c r="BM29" s="100">
        <f>IFERROR(_xlfn.IFS($C29="1", 'Inputs-System'!$C$30*'Coincidence Factors'!$B$5*(1+'Inputs-System'!$C$18)*(1+'Inputs-System'!$C$41)*'Inputs-Proposals'!$G$17*'Inputs-Proposals'!$G$19*(1-'Inputs-Proposals'!$G$20)*(VLOOKUP(BL$3,'Embedded Emissions'!$A$47:$B$78,2,FALSE)+VLOOKUP(BL$3,'Embedded Emissions'!$A$129:$B$158,2,FALSE)), $C29 = "2",'Inputs-System'!$C$30*'Coincidence Factors'!$B$5*(1+'Inputs-System'!$C$18)*(1+'Inputs-System'!$C$41)*'Inputs-Proposals'!$G$23*'Inputs-Proposals'!$G$25*(1-'Inputs-Proposals'!$G$20)*(VLOOKUP(BL$3,'Embedded Emissions'!$A$47:$B$78,2,FALSE)+VLOOKUP(BL$3,'Embedded Emissions'!$A$129:$B$158,2,FALSE)), $C29 = "3", 'Inputs-System'!$C$30*'Coincidence Factors'!$B$5*(1+'Inputs-System'!$C$18)*(1+'Inputs-System'!$C$41)*'Inputs-Proposals'!$G$29*'Inputs-Proposals'!$G$31*(1-'Inputs-Proposals'!$G$20)*(VLOOKUP(BL$3,'Embedded Emissions'!$A$47:$B$78,2,FALSE)+VLOOKUP(BL$3,'Embedded Emissions'!$A$129:$B$158,2,FALSE)), $C29 = "0", 0), 0)</f>
        <v>0</v>
      </c>
      <c r="BN29" s="44">
        <f>IFERROR(_xlfn.IFS($C29="1",( 'Inputs-System'!$C$30*'Coincidence Factors'!$B$5*(1+'Inputs-System'!$C$18)*(1+'Inputs-System'!$C$41))*('Inputs-Proposals'!$G$17*'Inputs-Proposals'!$G$19*(1-'Inputs-Proposals'!$G$20))*(VLOOKUP(BL$3,DRIPE!$A$54:$I$82,5,FALSE)-VLOOKUP(BL$3,DRIPE!$A$54:$I$82,6,FALSE)+VLOOKUP(BL$3,DRIPE!$A$54:$I$82,9,FALSE))+ ('Inputs-System'!$C$26*'Coincidence Factors'!$B$5*(1+'Inputs-System'!$C$18)*(1+'Inputs-System'!$C$42))*'Inputs-Proposals'!$G$16*VLOOKUP(BL$3,DRIPE!$A$54:$I$80,8,FALSE), $C29 = "2",( 'Inputs-System'!$C$30*'Coincidence Factors'!$B$5*(1+'Inputs-System'!$C$18)*(1+'Inputs-System'!$C$41))*('Inputs-Proposals'!$G$23*'Inputs-Proposals'!$G$25*(1-'Inputs-Proposals'!$G$26))*(VLOOKUP(BL$3,DRIPE!$A$54:$I$82,5,FALSE)-VLOOKUP(BL$3,DRIPE!$A$54:$I$82,6,FALSE)+VLOOKUP(BL$3,DRIPE!$A$54:$I$82,9,FALSE))+ ('Inputs-System'!$C$26*'Coincidence Factors'!$B$5*(1+'Inputs-System'!$C$18)*(1+'Inputs-System'!$C$41))+ ('Inputs-System'!$C$26*'Coincidence Factors'!$B$5)*'Inputs-Proposals'!$G$22*VLOOKUP(BL$3,DRIPE!$A$54:$I$80,8,FALSE), $C29= "3", ('Inputs-System'!$C$30*'Coincidence Factors'!$B$5)*('Inputs-Proposals'!$G$29*'Inputs-Proposals'!$G$31*(1-'Inputs-Proposals'!$G$32))*(VLOOKUP(BL$3,DRIPE!$A$54:$I$80,5,FALSE)-VLOOKUP(BL$3,DRIPE!$A$54:$I$80,6,FALSE)+VLOOKUP(BL$3,DRIPE!$A$54:$I$80,9,FALSE))+ ('Inputs-System'!$C$26*'Coincidence Factors'!$B$5*(1+'Inputs-System'!$C$18)*(1+'Inputs-System'!$C$42))*'Inputs-Proposals'!$G$28*VLOOKUP(BL$3,DRIPE!$A$54:$I$80,8,FALSE), $C29 = "0", 0), 0)</f>
        <v>0</v>
      </c>
      <c r="BO29" s="45">
        <f>IFERROR(_xlfn.IFS($C29="1",('Inputs-System'!$C$26*'Coincidence Factors'!$B$5*(1+'Inputs-System'!$C$18)*(1+'Inputs-System'!$C$42))*'Inputs-Proposals'!$G$16*(VLOOKUP(BL$3,Capacity!$A$53:$E$85,4,FALSE)*(1+'Inputs-System'!$C$42)+VLOOKUP(BL$3,Capacity!$A$53:$E$85,5,FALSE)*(1+'Inputs-System'!$C$43)*'Inputs-System'!$C$29), $C29 = "2", ('Inputs-System'!$C$26*'Coincidence Factors'!$B$5*(1+'Inputs-System'!$C$18))*'Inputs-Proposals'!$G$22*(VLOOKUP(BL$3,Capacity!$A$53:$E$85,4,FALSE)*(1+'Inputs-System'!$C$42)+VLOOKUP(BL$3,Capacity!$A$53:$E$85,5,FALSE)*'Inputs-System'!$C$29*(1+'Inputs-System'!$C$43)), $C29 = "3", ('Inputs-System'!$C$26*'Coincidence Factors'!$B$5*(1+'Inputs-System'!$C$18))*'Inputs-Proposals'!$G$28*(VLOOKUP(BL$3,Capacity!$A$53:$E$85,4,FALSE)*(1+'Inputs-System'!$C$42)+VLOOKUP(BL$3,Capacity!$A$53:$E$85,5,FALSE)*'Inputs-System'!$C$29*(1+'Inputs-System'!$C$43)), $C29 = "0", 0), 0)</f>
        <v>0</v>
      </c>
      <c r="BP29" s="100">
        <v>0</v>
      </c>
      <c r="BQ29" s="346">
        <f>IFERROR(_xlfn.IFS($C29="1", 'Inputs-System'!$C$30*'Coincidence Factors'!$B$5*'Inputs-Proposals'!$G$17*'Inputs-Proposals'!$G$19*(VLOOKUP(BL$3,'Non-Embedded Emissions'!$A$56:$D$90,2,FALSE)+VLOOKUP(BL$3,'Non-Embedded Emissions'!$A$143:$D$174,2,FALSE)+VLOOKUP(BL$3,'Non-Embedded Emissions'!$A$230:$D$259,2,FALSE)-VLOOKUP(BL$3,'Non-Embedded Emissions'!$A$56:$D$90,3,FALSE)-VLOOKUP(BL$3,'Non-Embedded Emissions'!$A$143:$D$174,3,FALSE)-VLOOKUP(BL$3,'Non-Embedded Emissions'!$A$230:$D$259,3,FALSE)), $C29 = "2", 'Inputs-System'!$C$30*'Coincidence Factors'!$B$5*'Inputs-Proposals'!$G$23*'Inputs-Proposals'!$G$25*(VLOOKUP(BL$3,'Non-Embedded Emissions'!$A$56:$D$90,2,FALSE)+VLOOKUP(BL$3,'Non-Embedded Emissions'!$A$143:$D$174,2,FALSE)+VLOOKUP(BL$3,'Non-Embedded Emissions'!$A$230:$D$259,2,FALSE)-VLOOKUP(BL$3,'Non-Embedded Emissions'!$A$56:$D$90,3,FALSE)-VLOOKUP(BL$3,'Non-Embedded Emissions'!$A$143:$D$174,3,FALSE)-VLOOKUP(BL$3,'Non-Embedded Emissions'!$A$230:$D$259,3,FALSE)), $C29 = "3", 'Inputs-System'!$C$30*'Coincidence Factors'!$B$5*'Inputs-Proposals'!$G$29*'Inputs-Proposals'!$G$31*(VLOOKUP(BL$3,'Non-Embedded Emissions'!$A$56:$D$90,2,FALSE)+VLOOKUP(BL$3,'Non-Embedded Emissions'!$A$143:$D$174,2,FALSE)+VLOOKUP(BL$3,'Non-Embedded Emissions'!$A$230:$D$259,2,FALSE)-VLOOKUP(BL$3,'Non-Embedded Emissions'!$A$56:$D$90,3,FALSE)-VLOOKUP(BL$3,'Non-Embedded Emissions'!$A$143:$D$174,3,FALSE)-VLOOKUP(BL$3,'Non-Embedded Emissions'!$A$230:$D$259,3,FALSE)), $C29 = "0", 0), 0)</f>
        <v>0</v>
      </c>
      <c r="BR29" s="344">
        <f>IFERROR(_xlfn.IFS($C29="1",('Inputs-System'!$C$30*'Coincidence Factors'!$B$5*(1+'Inputs-System'!$C$18)*(1+'Inputs-System'!$C$41)*('Inputs-Proposals'!$G$17*'Inputs-Proposals'!$G$19*(1-'Inputs-Proposals'!$G$20))*(VLOOKUP(BR$3,Energy!$A$51:$K$83,5,FALSE)-VLOOKUP(BR$3,Energy!$A$51:$K$83,6,FALSE))), $C29 = "2",('Inputs-System'!$C$30*'Coincidence Factors'!$B$5)*(1+'Inputs-System'!$C$18)*(1+'Inputs-System'!$C$41)*('Inputs-Proposals'!$G$23*'Inputs-Proposals'!$G$25*(1-'Inputs-Proposals'!$G$26))*(VLOOKUP(BR$3,Energy!$A$51:$K$83,5,FALSE)-VLOOKUP(BR$3,Energy!$A$51:$K$83,6,FALSE)), $C29= "3", ('Inputs-System'!$C$30*'Coincidence Factors'!$B$5*(1+'Inputs-System'!$C$18)*(1+'Inputs-System'!$C$41)*('Inputs-Proposals'!$G$29*'Inputs-Proposals'!$G$31*(1-'Inputs-Proposals'!$G$32))*(VLOOKUP(BR$3,Energy!$A$51:$K$83,5,FALSE)-VLOOKUP(BR$3,Energy!$A$51:$K$83,6,FALSE))), $C29= "0", 0), 0)</f>
        <v>0</v>
      </c>
      <c r="BS29" s="100">
        <f>IFERROR(_xlfn.IFS($C29="1", 'Inputs-System'!$C$30*'Coincidence Factors'!$B$5*(1+'Inputs-System'!$C$18)*(1+'Inputs-System'!$C$41)*'Inputs-Proposals'!$G$17*'Inputs-Proposals'!$G$19*(1-'Inputs-Proposals'!$G$20)*(VLOOKUP(BR$3,'Embedded Emissions'!$A$47:$B$78,2,FALSE)+VLOOKUP(BR$3,'Embedded Emissions'!$A$129:$B$158,2,FALSE)), $C29 = "2",'Inputs-System'!$C$30*'Coincidence Factors'!$B$5*(1+'Inputs-System'!$C$18)*(1+'Inputs-System'!$C$41)*'Inputs-Proposals'!$G$23*'Inputs-Proposals'!$G$25*(1-'Inputs-Proposals'!$G$20)*(VLOOKUP(BR$3,'Embedded Emissions'!$A$47:$B$78,2,FALSE)+VLOOKUP(BR$3,'Embedded Emissions'!$A$129:$B$158,2,FALSE)), $C29 = "3", 'Inputs-System'!$C$30*'Coincidence Factors'!$B$5*(1+'Inputs-System'!$C$18)*(1+'Inputs-System'!$C$41)*'Inputs-Proposals'!$G$29*'Inputs-Proposals'!$G$31*(1-'Inputs-Proposals'!$G$20)*(VLOOKUP(BR$3,'Embedded Emissions'!$A$47:$B$78,2,FALSE)+VLOOKUP(BR$3,'Embedded Emissions'!$A$129:$B$158,2,FALSE)), $C29 = "0", 0), 0)</f>
        <v>0</v>
      </c>
      <c r="BT29" s="44">
        <f>IFERROR(_xlfn.IFS($C29="1",( 'Inputs-System'!$C$30*'Coincidence Factors'!$B$5*(1+'Inputs-System'!$C$18)*(1+'Inputs-System'!$C$41))*('Inputs-Proposals'!$G$17*'Inputs-Proposals'!$G$19*(1-'Inputs-Proposals'!$G$20))*(VLOOKUP(BR$3,DRIPE!$A$54:$I$82,5,FALSE)-VLOOKUP(BR$3,DRIPE!$A$54:$I$82,6,FALSE)+VLOOKUP(BR$3,DRIPE!$A$54:$I$82,9,FALSE))+ ('Inputs-System'!$C$26*'Coincidence Factors'!$B$5*(1+'Inputs-System'!$C$18)*(1+'Inputs-System'!$C$42))*'Inputs-Proposals'!$G$16*VLOOKUP(BR$3,DRIPE!$A$54:$I$80,8,FALSE), $C29 = "2",( 'Inputs-System'!$C$30*'Coincidence Factors'!$B$5*(1+'Inputs-System'!$C$18)*(1+'Inputs-System'!$C$41))*('Inputs-Proposals'!$G$23*'Inputs-Proposals'!$G$25*(1-'Inputs-Proposals'!$G$26))*(VLOOKUP(BR$3,DRIPE!$A$54:$I$82,5,FALSE)-VLOOKUP(BR$3,DRIPE!$A$54:$I$82,6,FALSE)+VLOOKUP(BR$3,DRIPE!$A$54:$I$82,9,FALSE))+ ('Inputs-System'!$C$26*'Coincidence Factors'!$B$5*(1+'Inputs-System'!$C$18)*(1+'Inputs-System'!$C$41))+ ('Inputs-System'!$C$26*'Coincidence Factors'!$B$5)*'Inputs-Proposals'!$G$22*VLOOKUP(BR$3,DRIPE!$A$54:$I$80,8,FALSE), $C29= "3", ('Inputs-System'!$C$30*'Coincidence Factors'!$B$5)*('Inputs-Proposals'!$G$29*'Inputs-Proposals'!$G$31*(1-'Inputs-Proposals'!$G$32))*(VLOOKUP(BR$3,DRIPE!$A$54:$I$80,5,FALSE)-VLOOKUP(BR$3,DRIPE!$A$54:$I$80,6,FALSE)+VLOOKUP(BR$3,DRIPE!$A$54:$I$80,9,FALSE))+ ('Inputs-System'!$C$26*'Coincidence Factors'!$B$5*(1+'Inputs-System'!$C$18)*(1+'Inputs-System'!$C$42))*'Inputs-Proposals'!$G$28*VLOOKUP(BR$3,DRIPE!$A$54:$I$80,8,FALSE), $C29 = "0", 0), 0)</f>
        <v>0</v>
      </c>
      <c r="BU29" s="45">
        <f>IFERROR(_xlfn.IFS($C29="1",('Inputs-System'!$C$26*'Coincidence Factors'!$B$5*(1+'Inputs-System'!$C$18)*(1+'Inputs-System'!$C$42))*'Inputs-Proposals'!$G$16*(VLOOKUP(BR$3,Capacity!$A$53:$E$85,4,FALSE)*(1+'Inputs-System'!$C$42)+VLOOKUP(BR$3,Capacity!$A$53:$E$85,5,FALSE)*(1+'Inputs-System'!$C$43)*'Inputs-System'!$C$29), $C29 = "2", ('Inputs-System'!$C$26*'Coincidence Factors'!$B$5*(1+'Inputs-System'!$C$18))*'Inputs-Proposals'!$G$22*(VLOOKUP(BR$3,Capacity!$A$53:$E$85,4,FALSE)*(1+'Inputs-System'!$C$42)+VLOOKUP(BR$3,Capacity!$A$53:$E$85,5,FALSE)*'Inputs-System'!$C$29*(1+'Inputs-System'!$C$43)), $C29 = "3", ('Inputs-System'!$C$26*'Coincidence Factors'!$B$5*(1+'Inputs-System'!$C$18))*'Inputs-Proposals'!$G$28*(VLOOKUP(BR$3,Capacity!$A$53:$E$85,4,FALSE)*(1+'Inputs-System'!$C$42)+VLOOKUP(BR$3,Capacity!$A$53:$E$85,5,FALSE)*'Inputs-System'!$C$29*(1+'Inputs-System'!$C$43)), $C29 = "0", 0), 0)</f>
        <v>0</v>
      </c>
      <c r="BV29" s="100">
        <v>0</v>
      </c>
      <c r="BW29" s="346">
        <f>IFERROR(_xlfn.IFS($C29="1", 'Inputs-System'!$C$30*'Coincidence Factors'!$B$5*'Inputs-Proposals'!$G$17*'Inputs-Proposals'!$G$19*(VLOOKUP(BR$3,'Non-Embedded Emissions'!$A$56:$D$90,2,FALSE)+VLOOKUP(BR$3,'Non-Embedded Emissions'!$A$143:$D$174,2,FALSE)+VLOOKUP(BR$3,'Non-Embedded Emissions'!$A$230:$D$259,2,FALSE)-VLOOKUP(BR$3,'Non-Embedded Emissions'!$A$56:$D$90,3,FALSE)-VLOOKUP(BR$3,'Non-Embedded Emissions'!$A$143:$D$174,3,FALSE)-VLOOKUP(BR$3,'Non-Embedded Emissions'!$A$230:$D$259,3,FALSE)), $C29 = "2", 'Inputs-System'!$C$30*'Coincidence Factors'!$B$5*'Inputs-Proposals'!$G$23*'Inputs-Proposals'!$G$25*(VLOOKUP(BR$3,'Non-Embedded Emissions'!$A$56:$D$90,2,FALSE)+VLOOKUP(BR$3,'Non-Embedded Emissions'!$A$143:$D$174,2,FALSE)+VLOOKUP(BR$3,'Non-Embedded Emissions'!$A$230:$D$259,2,FALSE)-VLOOKUP(BR$3,'Non-Embedded Emissions'!$A$56:$D$90,3,FALSE)-VLOOKUP(BR$3,'Non-Embedded Emissions'!$A$143:$D$174,3,FALSE)-VLOOKUP(BR$3,'Non-Embedded Emissions'!$A$230:$D$259,3,FALSE)), $C29 = "3", 'Inputs-System'!$C$30*'Coincidence Factors'!$B$5*'Inputs-Proposals'!$G$29*'Inputs-Proposals'!$G$31*(VLOOKUP(BR$3,'Non-Embedded Emissions'!$A$56:$D$90,2,FALSE)+VLOOKUP(BR$3,'Non-Embedded Emissions'!$A$143:$D$174,2,FALSE)+VLOOKUP(BR$3,'Non-Embedded Emissions'!$A$230:$D$259,2,FALSE)-VLOOKUP(BR$3,'Non-Embedded Emissions'!$A$56:$D$90,3,FALSE)-VLOOKUP(BR$3,'Non-Embedded Emissions'!$A$143:$D$174,3,FALSE)-VLOOKUP(BR$3,'Non-Embedded Emissions'!$A$230:$D$259,3,FALSE)), $C29 = "0", 0), 0)</f>
        <v>0</v>
      </c>
      <c r="BX29" s="344">
        <f>IFERROR(_xlfn.IFS($C29="1",('Inputs-System'!$C$30*'Coincidence Factors'!$B$5*(1+'Inputs-System'!$C$18)*(1+'Inputs-System'!$C$41)*('Inputs-Proposals'!$G$17*'Inputs-Proposals'!$G$19*(1-'Inputs-Proposals'!$G$20))*(VLOOKUP(BX$3,Energy!$A$51:$K$83,5,FALSE)-VLOOKUP(BX$3,Energy!$A$51:$K$83,6,FALSE))), $C29 = "2",('Inputs-System'!$C$30*'Coincidence Factors'!$B$5)*(1+'Inputs-System'!$C$18)*(1+'Inputs-System'!$C$41)*('Inputs-Proposals'!$G$23*'Inputs-Proposals'!$G$25*(1-'Inputs-Proposals'!$G$26))*(VLOOKUP(BX$3,Energy!$A$51:$K$83,5,FALSE)-VLOOKUP(BX$3,Energy!$A$51:$K$83,6,FALSE)), $C29= "3", ('Inputs-System'!$C$30*'Coincidence Factors'!$B$5*(1+'Inputs-System'!$C$18)*(1+'Inputs-System'!$C$41)*('Inputs-Proposals'!$G$29*'Inputs-Proposals'!$G$31*(1-'Inputs-Proposals'!$G$32))*(VLOOKUP(BX$3,Energy!$A$51:$K$83,5,FALSE)-VLOOKUP(BX$3,Energy!$A$51:$K$83,6,FALSE))), $C29= "0", 0), 0)</f>
        <v>0</v>
      </c>
      <c r="BY29" s="100">
        <f>IFERROR(_xlfn.IFS($C29="1", 'Inputs-System'!$C$30*'Coincidence Factors'!$B$5*(1+'Inputs-System'!$C$18)*(1+'Inputs-System'!$C$41)*'Inputs-Proposals'!$G$17*'Inputs-Proposals'!$G$19*(1-'Inputs-Proposals'!$G$20)*(VLOOKUP(BX$3,'Embedded Emissions'!$A$47:$B$78,2,FALSE)+VLOOKUP(BX$3,'Embedded Emissions'!$A$129:$B$158,2,FALSE)), $C29 = "2",'Inputs-System'!$C$30*'Coincidence Factors'!$B$5*(1+'Inputs-System'!$C$18)*(1+'Inputs-System'!$C$41)*'Inputs-Proposals'!$G$23*'Inputs-Proposals'!$G$25*(1-'Inputs-Proposals'!$G$20)*(VLOOKUP(BX$3,'Embedded Emissions'!$A$47:$B$78,2,FALSE)+VLOOKUP(BX$3,'Embedded Emissions'!$A$129:$B$158,2,FALSE)), $C29 = "3", 'Inputs-System'!$C$30*'Coincidence Factors'!$B$5*(1+'Inputs-System'!$C$18)*(1+'Inputs-System'!$C$41)*'Inputs-Proposals'!$G$29*'Inputs-Proposals'!$G$31*(1-'Inputs-Proposals'!$G$20)*(VLOOKUP(BX$3,'Embedded Emissions'!$A$47:$B$78,2,FALSE)+VLOOKUP(BX$3,'Embedded Emissions'!$A$129:$B$158,2,FALSE)), $C29 = "0", 0), 0)</f>
        <v>0</v>
      </c>
      <c r="BZ29" s="44">
        <f>IFERROR(_xlfn.IFS($C29="1",( 'Inputs-System'!$C$30*'Coincidence Factors'!$B$5*(1+'Inputs-System'!$C$18)*(1+'Inputs-System'!$C$41))*('Inputs-Proposals'!$G$17*'Inputs-Proposals'!$G$19*(1-'Inputs-Proposals'!$G$20))*(VLOOKUP(BX$3,DRIPE!$A$54:$I$82,5,FALSE)-VLOOKUP(BX$3,DRIPE!$A$54:$I$82,6,FALSE)+VLOOKUP(BX$3,DRIPE!$A$54:$I$82,9,FALSE))+ ('Inputs-System'!$C$26*'Coincidence Factors'!$B$5*(1+'Inputs-System'!$C$18)*(1+'Inputs-System'!$C$42))*'Inputs-Proposals'!$G$16*VLOOKUP(BX$3,DRIPE!$A$54:$I$80,8,FALSE), $C29 = "2",( 'Inputs-System'!$C$30*'Coincidence Factors'!$B$5*(1+'Inputs-System'!$C$18)*(1+'Inputs-System'!$C$41))*('Inputs-Proposals'!$G$23*'Inputs-Proposals'!$G$25*(1-'Inputs-Proposals'!$G$26))*(VLOOKUP(BX$3,DRIPE!$A$54:$I$82,5,FALSE)-VLOOKUP(BX$3,DRIPE!$A$54:$I$82,6,FALSE)+VLOOKUP(BX$3,DRIPE!$A$54:$I$82,9,FALSE))+ ('Inputs-System'!$C$26*'Coincidence Factors'!$B$5*(1+'Inputs-System'!$C$18)*(1+'Inputs-System'!$C$41))+ ('Inputs-System'!$C$26*'Coincidence Factors'!$B$5)*'Inputs-Proposals'!$G$22*VLOOKUP(BX$3,DRIPE!$A$54:$I$80,8,FALSE), $C29= "3", ('Inputs-System'!$C$30*'Coincidence Factors'!$B$5)*('Inputs-Proposals'!$G$29*'Inputs-Proposals'!$G$31*(1-'Inputs-Proposals'!$G$32))*(VLOOKUP(BX$3,DRIPE!$A$54:$I$80,5,FALSE)-VLOOKUP(BX$3,DRIPE!$A$54:$I$80,6,FALSE)+VLOOKUP(BX$3,DRIPE!$A$54:$I$80,9,FALSE))+ ('Inputs-System'!$C$26*'Coincidence Factors'!$B$5*(1+'Inputs-System'!$C$18)*(1+'Inputs-System'!$C$42))*'Inputs-Proposals'!$G$28*VLOOKUP(BX$3,DRIPE!$A$54:$I$80,8,FALSE), $C29 = "0", 0), 0)</f>
        <v>0</v>
      </c>
      <c r="CA29" s="45">
        <f>IFERROR(_xlfn.IFS($C29="1",('Inputs-System'!$C$26*'Coincidence Factors'!$B$5*(1+'Inputs-System'!$C$18)*(1+'Inputs-System'!$C$42))*'Inputs-Proposals'!$G$16*(VLOOKUP(BX$3,Capacity!$A$53:$E$85,4,FALSE)*(1+'Inputs-System'!$C$42)+VLOOKUP(BX$3,Capacity!$A$53:$E$85,5,FALSE)*(1+'Inputs-System'!$C$43)*'Inputs-System'!$C$29), $C29 = "2", ('Inputs-System'!$C$26*'Coincidence Factors'!$B$5*(1+'Inputs-System'!$C$18))*'Inputs-Proposals'!$G$22*(VLOOKUP(BX$3,Capacity!$A$53:$E$85,4,FALSE)*(1+'Inputs-System'!$C$42)+VLOOKUP(BX$3,Capacity!$A$53:$E$85,5,FALSE)*'Inputs-System'!$C$29*(1+'Inputs-System'!$C$43)), $C29 = "3", ('Inputs-System'!$C$26*'Coincidence Factors'!$B$5*(1+'Inputs-System'!$C$18))*'Inputs-Proposals'!$G$28*(VLOOKUP(BX$3,Capacity!$A$53:$E$85,4,FALSE)*(1+'Inputs-System'!$C$42)+VLOOKUP(BX$3,Capacity!$A$53:$E$85,5,FALSE)*'Inputs-System'!$C$29*(1+'Inputs-System'!$C$43)), $C29 = "0", 0), 0)</f>
        <v>0</v>
      </c>
      <c r="CB29" s="100">
        <v>0</v>
      </c>
      <c r="CC29" s="346">
        <f>IFERROR(_xlfn.IFS($C29="1", 'Inputs-System'!$C$30*'Coincidence Factors'!$B$5*'Inputs-Proposals'!$G$17*'Inputs-Proposals'!$G$19*(VLOOKUP(BX$3,'Non-Embedded Emissions'!$A$56:$D$90,2,FALSE)+VLOOKUP(BX$3,'Non-Embedded Emissions'!$A$143:$D$174,2,FALSE)+VLOOKUP(BX$3,'Non-Embedded Emissions'!$A$230:$D$259,2,FALSE)-VLOOKUP(BX$3,'Non-Embedded Emissions'!$A$56:$D$90,3,FALSE)-VLOOKUP(BX$3,'Non-Embedded Emissions'!$A$143:$D$174,3,FALSE)-VLOOKUP(BX$3,'Non-Embedded Emissions'!$A$230:$D$259,3,FALSE)), $C29 = "2", 'Inputs-System'!$C$30*'Coincidence Factors'!$B$5*'Inputs-Proposals'!$G$23*'Inputs-Proposals'!$G$25*(VLOOKUP(BX$3,'Non-Embedded Emissions'!$A$56:$D$90,2,FALSE)+VLOOKUP(BX$3,'Non-Embedded Emissions'!$A$143:$D$174,2,FALSE)+VLOOKUP(BX$3,'Non-Embedded Emissions'!$A$230:$D$259,2,FALSE)-VLOOKUP(BX$3,'Non-Embedded Emissions'!$A$56:$D$90,3,FALSE)-VLOOKUP(BX$3,'Non-Embedded Emissions'!$A$143:$D$174,3,FALSE)-VLOOKUP(BX$3,'Non-Embedded Emissions'!$A$230:$D$259,3,FALSE)), $C29 = "3", 'Inputs-System'!$C$30*'Coincidence Factors'!$B$5*'Inputs-Proposals'!$G$29*'Inputs-Proposals'!$G$31*(VLOOKUP(BX$3,'Non-Embedded Emissions'!$A$56:$D$90,2,FALSE)+VLOOKUP(BX$3,'Non-Embedded Emissions'!$A$143:$D$174,2,FALSE)+VLOOKUP(BX$3,'Non-Embedded Emissions'!$A$230:$D$259,2,FALSE)-VLOOKUP(BX$3,'Non-Embedded Emissions'!$A$56:$D$90,3,FALSE)-VLOOKUP(BX$3,'Non-Embedded Emissions'!$A$143:$D$174,3,FALSE)-VLOOKUP(BX$3,'Non-Embedded Emissions'!$A$230:$D$259,3,FALSE)), $C29 = "0", 0), 0)</f>
        <v>0</v>
      </c>
      <c r="CD29" s="344">
        <f>IFERROR(_xlfn.IFS($C29="1",('Inputs-System'!$C$30*'Coincidence Factors'!$B$5*(1+'Inputs-System'!$C$18)*(1+'Inputs-System'!$C$41)*('Inputs-Proposals'!$G$17*'Inputs-Proposals'!$G$19*(1-'Inputs-Proposals'!$G$20))*(VLOOKUP(CD$3,Energy!$A$51:$K$83,5,FALSE)-VLOOKUP(CD$3,Energy!$A$51:$K$83,6,FALSE))), $C29 = "2",('Inputs-System'!$C$30*'Coincidence Factors'!$B$5)*(1+'Inputs-System'!$C$18)*(1+'Inputs-System'!$C$41)*('Inputs-Proposals'!$G$23*'Inputs-Proposals'!$G$25*(1-'Inputs-Proposals'!$G$26))*(VLOOKUP(CD$3,Energy!$A$51:$K$83,5,FALSE)-VLOOKUP(CD$3,Energy!$A$51:$K$83,6,FALSE)), $C29= "3", ('Inputs-System'!$C$30*'Coincidence Factors'!$B$5*(1+'Inputs-System'!$C$18)*(1+'Inputs-System'!$C$41)*('Inputs-Proposals'!$G$29*'Inputs-Proposals'!$G$31*(1-'Inputs-Proposals'!$G$32))*(VLOOKUP(CD$3,Energy!$A$51:$K$83,5,FALSE)-VLOOKUP(CD$3,Energy!$A$51:$K$83,6,FALSE))), $C29= "0", 0), 0)</f>
        <v>0</v>
      </c>
      <c r="CE29" s="100">
        <f>IFERROR(_xlfn.IFS($C29="1", 'Inputs-System'!$C$30*'Coincidence Factors'!$B$5*(1+'Inputs-System'!$C$18)*(1+'Inputs-System'!$C$41)*'Inputs-Proposals'!$G$17*'Inputs-Proposals'!$G$19*(1-'Inputs-Proposals'!$G$20)*(VLOOKUP(CD$3,'Embedded Emissions'!$A$47:$B$78,2,FALSE)+VLOOKUP(CD$3,'Embedded Emissions'!$A$129:$B$158,2,FALSE)), $C29 = "2",'Inputs-System'!$C$30*'Coincidence Factors'!$B$5*(1+'Inputs-System'!$C$18)*(1+'Inputs-System'!$C$41)*'Inputs-Proposals'!$G$23*'Inputs-Proposals'!$G$25*(1-'Inputs-Proposals'!$G$20)*(VLOOKUP(CD$3,'Embedded Emissions'!$A$47:$B$78,2,FALSE)+VLOOKUP(CD$3,'Embedded Emissions'!$A$129:$B$158,2,FALSE)), $C29 = "3", 'Inputs-System'!$C$30*'Coincidence Factors'!$B$5*(1+'Inputs-System'!$C$18)*(1+'Inputs-System'!$C$41)*'Inputs-Proposals'!$G$29*'Inputs-Proposals'!$G$31*(1-'Inputs-Proposals'!$G$20)*(VLOOKUP(CD$3,'Embedded Emissions'!$A$47:$B$78,2,FALSE)+VLOOKUP(CD$3,'Embedded Emissions'!$A$129:$B$158,2,FALSE)), $C29 = "0", 0), 0)</f>
        <v>0</v>
      </c>
      <c r="CF29" s="44">
        <f>IFERROR(_xlfn.IFS($C29="1",( 'Inputs-System'!$C$30*'Coincidence Factors'!$B$5*(1+'Inputs-System'!$C$18)*(1+'Inputs-System'!$C$41))*('Inputs-Proposals'!$G$17*'Inputs-Proposals'!$G$19*(1-'Inputs-Proposals'!$G$20))*(VLOOKUP(CD$3,DRIPE!$A$54:$I$82,5,FALSE)-VLOOKUP(CD$3,DRIPE!$A$54:$I$82,6,FALSE)+VLOOKUP(CD$3,DRIPE!$A$54:$I$82,9,FALSE))+ ('Inputs-System'!$C$26*'Coincidence Factors'!$B$5*(1+'Inputs-System'!$C$18)*(1+'Inputs-System'!$C$42))*'Inputs-Proposals'!$G$16*VLOOKUP(CD$3,DRIPE!$A$54:$I$80,8,FALSE), $C29 = "2",( 'Inputs-System'!$C$30*'Coincidence Factors'!$B$5*(1+'Inputs-System'!$C$18)*(1+'Inputs-System'!$C$41))*('Inputs-Proposals'!$G$23*'Inputs-Proposals'!$G$25*(1-'Inputs-Proposals'!$G$26))*(VLOOKUP(CD$3,DRIPE!$A$54:$I$82,5,FALSE)-VLOOKUP(CD$3,DRIPE!$A$54:$I$82,6,FALSE)+VLOOKUP(CD$3,DRIPE!$A$54:$I$82,9,FALSE))+ ('Inputs-System'!$C$26*'Coincidence Factors'!$B$5*(1+'Inputs-System'!$C$18)*(1+'Inputs-System'!$C$41))+ ('Inputs-System'!$C$26*'Coincidence Factors'!$B$5)*'Inputs-Proposals'!$G$22*VLOOKUP(CD$3,DRIPE!$A$54:$I$80,8,FALSE), $C29= "3", ('Inputs-System'!$C$30*'Coincidence Factors'!$B$5)*('Inputs-Proposals'!$G$29*'Inputs-Proposals'!$G$31*(1-'Inputs-Proposals'!$G$32))*(VLOOKUP(CD$3,DRIPE!$A$54:$I$80,5,FALSE)-VLOOKUP(CD$3,DRIPE!$A$54:$I$80,6,FALSE)+VLOOKUP(CD$3,DRIPE!$A$54:$I$80,9,FALSE))+ ('Inputs-System'!$C$26*'Coincidence Factors'!$B$5*(1+'Inputs-System'!$C$18)*(1+'Inputs-System'!$C$42))*'Inputs-Proposals'!$G$28*VLOOKUP(CD$3,DRIPE!$A$54:$I$80,8,FALSE), $C29 = "0", 0), 0)</f>
        <v>0</v>
      </c>
      <c r="CG29" s="45">
        <f>IFERROR(_xlfn.IFS($C29="1",('Inputs-System'!$C$26*'Coincidence Factors'!$B$5*(1+'Inputs-System'!$C$18)*(1+'Inputs-System'!$C$42))*'Inputs-Proposals'!$G$16*(VLOOKUP(CD$3,Capacity!$A$53:$E$85,4,FALSE)*(1+'Inputs-System'!$C$42)+VLOOKUP(CD$3,Capacity!$A$53:$E$85,5,FALSE)*(1+'Inputs-System'!$C$43)*'Inputs-System'!$C$29), $C29 = "2", ('Inputs-System'!$C$26*'Coincidence Factors'!$B$5*(1+'Inputs-System'!$C$18))*'Inputs-Proposals'!$G$22*(VLOOKUP(CD$3,Capacity!$A$53:$E$85,4,FALSE)*(1+'Inputs-System'!$C$42)+VLOOKUP(CD$3,Capacity!$A$53:$E$85,5,FALSE)*'Inputs-System'!$C$29*(1+'Inputs-System'!$C$43)), $C29 = "3", ('Inputs-System'!$C$26*'Coincidence Factors'!$B$5*(1+'Inputs-System'!$C$18))*'Inputs-Proposals'!$G$28*(VLOOKUP(CD$3,Capacity!$A$53:$E$85,4,FALSE)*(1+'Inputs-System'!$C$42)+VLOOKUP(CD$3,Capacity!$A$53:$E$85,5,FALSE)*'Inputs-System'!$C$29*(1+'Inputs-System'!$C$43)), $C29 = "0", 0), 0)</f>
        <v>0</v>
      </c>
      <c r="CH29" s="100">
        <v>0</v>
      </c>
      <c r="CI29" s="346">
        <f>IFERROR(_xlfn.IFS($C29="1", 'Inputs-System'!$C$30*'Coincidence Factors'!$B$5*'Inputs-Proposals'!$G$17*'Inputs-Proposals'!$G$19*(VLOOKUP(CD$3,'Non-Embedded Emissions'!$A$56:$D$90,2,FALSE)+VLOOKUP(CD$3,'Non-Embedded Emissions'!$A$143:$D$174,2,FALSE)+VLOOKUP(CD$3,'Non-Embedded Emissions'!$A$230:$D$259,2,FALSE)-VLOOKUP(CD$3,'Non-Embedded Emissions'!$A$56:$D$90,3,FALSE)-VLOOKUP(CD$3,'Non-Embedded Emissions'!$A$143:$D$174,3,FALSE)-VLOOKUP(CD$3,'Non-Embedded Emissions'!$A$230:$D$259,3,FALSE)), $C29 = "2", 'Inputs-System'!$C$30*'Coincidence Factors'!$B$5*'Inputs-Proposals'!$G$23*'Inputs-Proposals'!$G$25*(VLOOKUP(CD$3,'Non-Embedded Emissions'!$A$56:$D$90,2,FALSE)+VLOOKUP(CD$3,'Non-Embedded Emissions'!$A$143:$D$174,2,FALSE)+VLOOKUP(CD$3,'Non-Embedded Emissions'!$A$230:$D$259,2,FALSE)-VLOOKUP(CD$3,'Non-Embedded Emissions'!$A$56:$D$90,3,FALSE)-VLOOKUP(CD$3,'Non-Embedded Emissions'!$A$143:$D$174,3,FALSE)-VLOOKUP(CD$3,'Non-Embedded Emissions'!$A$230:$D$259,3,FALSE)), $C29 = "3", 'Inputs-System'!$C$30*'Coincidence Factors'!$B$5*'Inputs-Proposals'!$G$29*'Inputs-Proposals'!$G$31*(VLOOKUP(CD$3,'Non-Embedded Emissions'!$A$56:$D$90,2,FALSE)+VLOOKUP(CD$3,'Non-Embedded Emissions'!$A$143:$D$174,2,FALSE)+VLOOKUP(CD$3,'Non-Embedded Emissions'!$A$230:$D$259,2,FALSE)-VLOOKUP(CD$3,'Non-Embedded Emissions'!$A$56:$D$90,3,FALSE)-VLOOKUP(CD$3,'Non-Embedded Emissions'!$A$143:$D$174,3,FALSE)-VLOOKUP(CD$3,'Non-Embedded Emissions'!$A$230:$D$259,3,FALSE)), $C29 = "0", 0), 0)</f>
        <v>0</v>
      </c>
      <c r="CJ29" s="344">
        <f>IFERROR(_xlfn.IFS($C29="1",('Inputs-System'!$C$30*'Coincidence Factors'!$B$5*(1+'Inputs-System'!$C$18)*(1+'Inputs-System'!$C$41)*('Inputs-Proposals'!$G$17*'Inputs-Proposals'!$G$19*(1-'Inputs-Proposals'!$G$20))*(VLOOKUP(CJ$3,Energy!$A$51:$K$83,5,FALSE)-VLOOKUP(CJ$3,Energy!$A$51:$K$83,6,FALSE))), $C29 = "2",('Inputs-System'!$C$30*'Coincidence Factors'!$B$5)*(1+'Inputs-System'!$C$18)*(1+'Inputs-System'!$C$41)*('Inputs-Proposals'!$G$23*'Inputs-Proposals'!$G$25*(1-'Inputs-Proposals'!$G$26))*(VLOOKUP(CJ$3,Energy!$A$51:$K$83,5,FALSE)-VLOOKUP(CJ$3,Energy!$A$51:$K$83,6,FALSE)), $C29= "3", ('Inputs-System'!$C$30*'Coincidence Factors'!$B$5*(1+'Inputs-System'!$C$18)*(1+'Inputs-System'!$C$41)*('Inputs-Proposals'!$G$29*'Inputs-Proposals'!$G$31*(1-'Inputs-Proposals'!$G$32))*(VLOOKUP(CJ$3,Energy!$A$51:$K$83,5,FALSE)-VLOOKUP(CJ$3,Energy!$A$51:$K$83,6,FALSE))), $C29= "0", 0), 0)</f>
        <v>0</v>
      </c>
      <c r="CK29" s="100">
        <f>IFERROR(_xlfn.IFS($C29="1", 'Inputs-System'!$C$30*'Coincidence Factors'!$B$5*(1+'Inputs-System'!$C$18)*(1+'Inputs-System'!$C$41)*'Inputs-Proposals'!$G$17*'Inputs-Proposals'!$G$19*(1-'Inputs-Proposals'!$G$20)*(VLOOKUP(CJ$3,'Embedded Emissions'!$A$47:$B$78,2,FALSE)+VLOOKUP(CJ$3,'Embedded Emissions'!$A$129:$B$158,2,FALSE)), $C29 = "2",'Inputs-System'!$C$30*'Coincidence Factors'!$B$5*(1+'Inputs-System'!$C$18)*(1+'Inputs-System'!$C$41)*'Inputs-Proposals'!$G$23*'Inputs-Proposals'!$G$25*(1-'Inputs-Proposals'!$G$20)*(VLOOKUP(CJ$3,'Embedded Emissions'!$A$47:$B$78,2,FALSE)+VLOOKUP(CJ$3,'Embedded Emissions'!$A$129:$B$158,2,FALSE)), $C29 = "3", 'Inputs-System'!$C$30*'Coincidence Factors'!$B$5*(1+'Inputs-System'!$C$18)*(1+'Inputs-System'!$C$41)*'Inputs-Proposals'!$G$29*'Inputs-Proposals'!$G$31*(1-'Inputs-Proposals'!$G$20)*(VLOOKUP(CJ$3,'Embedded Emissions'!$A$47:$B$78,2,FALSE)+VLOOKUP(CJ$3,'Embedded Emissions'!$A$129:$B$158,2,FALSE)), $C29 = "0", 0), 0)</f>
        <v>0</v>
      </c>
      <c r="CL29" s="44">
        <f>IFERROR(_xlfn.IFS($C29="1",( 'Inputs-System'!$C$30*'Coincidence Factors'!$B$5*(1+'Inputs-System'!$C$18)*(1+'Inputs-System'!$C$41))*('Inputs-Proposals'!$G$17*'Inputs-Proposals'!$G$19*(1-'Inputs-Proposals'!$G$20))*(VLOOKUP(CJ$3,DRIPE!$A$54:$I$82,5,FALSE)-VLOOKUP(CJ$3,DRIPE!$A$54:$I$82,6,FALSE)+VLOOKUP(CJ$3,DRIPE!$A$54:$I$82,9,FALSE))+ ('Inputs-System'!$C$26*'Coincidence Factors'!$B$5*(1+'Inputs-System'!$C$18)*(1+'Inputs-System'!$C$42))*'Inputs-Proposals'!$G$16*VLOOKUP(CJ$3,DRIPE!$A$54:$I$80,8,FALSE), $C29 = "2",( 'Inputs-System'!$C$30*'Coincidence Factors'!$B$5*(1+'Inputs-System'!$C$18)*(1+'Inputs-System'!$C$41))*('Inputs-Proposals'!$G$23*'Inputs-Proposals'!$G$25*(1-'Inputs-Proposals'!$G$26))*(VLOOKUP(CJ$3,DRIPE!$A$54:$I$82,5,FALSE)-VLOOKUP(CJ$3,DRIPE!$A$54:$I$82,6,FALSE)+VLOOKUP(CJ$3,DRIPE!$A$54:$I$82,9,FALSE))+ ('Inputs-System'!$C$26*'Coincidence Factors'!$B$5*(1+'Inputs-System'!$C$18)*(1+'Inputs-System'!$C$41))+ ('Inputs-System'!$C$26*'Coincidence Factors'!$B$5)*'Inputs-Proposals'!$G$22*VLOOKUP(CJ$3,DRIPE!$A$54:$I$80,8,FALSE), $C29= "3", ('Inputs-System'!$C$30*'Coincidence Factors'!$B$5)*('Inputs-Proposals'!$G$29*'Inputs-Proposals'!$G$31*(1-'Inputs-Proposals'!$G$32))*(VLOOKUP(CJ$3,DRIPE!$A$54:$I$80,5,FALSE)-VLOOKUP(CJ$3,DRIPE!$A$54:$I$80,6,FALSE)+VLOOKUP(CJ$3,DRIPE!$A$54:$I$80,9,FALSE))+ ('Inputs-System'!$C$26*'Coincidence Factors'!$B$5*(1+'Inputs-System'!$C$18)*(1+'Inputs-System'!$C$42))*'Inputs-Proposals'!$G$28*VLOOKUP(CJ$3,DRIPE!$A$54:$I$80,8,FALSE), $C29 = "0", 0), 0)</f>
        <v>0</v>
      </c>
      <c r="CM29" s="45">
        <f>IFERROR(_xlfn.IFS($C29="1",('Inputs-System'!$C$26*'Coincidence Factors'!$B$5*(1+'Inputs-System'!$C$18)*(1+'Inputs-System'!$C$42))*'Inputs-Proposals'!$G$16*(VLOOKUP(CJ$3,Capacity!$A$53:$E$85,4,FALSE)*(1+'Inputs-System'!$C$42)+VLOOKUP(CJ$3,Capacity!$A$53:$E$85,5,FALSE)*(1+'Inputs-System'!$C$43)*'Inputs-System'!$C$29), $C29 = "2", ('Inputs-System'!$C$26*'Coincidence Factors'!$B$5*(1+'Inputs-System'!$C$18))*'Inputs-Proposals'!$G$22*(VLOOKUP(CJ$3,Capacity!$A$53:$E$85,4,FALSE)*(1+'Inputs-System'!$C$42)+VLOOKUP(CJ$3,Capacity!$A$53:$E$85,5,FALSE)*'Inputs-System'!$C$29*(1+'Inputs-System'!$C$43)), $C29 = "3", ('Inputs-System'!$C$26*'Coincidence Factors'!$B$5*(1+'Inputs-System'!$C$18))*'Inputs-Proposals'!$G$28*(VLOOKUP(CJ$3,Capacity!$A$53:$E$85,4,FALSE)*(1+'Inputs-System'!$C$42)+VLOOKUP(CJ$3,Capacity!$A$53:$E$85,5,FALSE)*'Inputs-System'!$C$29*(1+'Inputs-System'!$C$43)), $C29 = "0", 0), 0)</f>
        <v>0</v>
      </c>
      <c r="CN29" s="100">
        <v>0</v>
      </c>
      <c r="CO29" s="346">
        <f>IFERROR(_xlfn.IFS($C29="1", 'Inputs-System'!$C$30*'Coincidence Factors'!$B$5*'Inputs-Proposals'!$G$17*'Inputs-Proposals'!$G$19*(VLOOKUP(CJ$3,'Non-Embedded Emissions'!$A$56:$D$90,2,FALSE)+VLOOKUP(CJ$3,'Non-Embedded Emissions'!$A$143:$D$174,2,FALSE)+VLOOKUP(CJ$3,'Non-Embedded Emissions'!$A$230:$D$259,2,FALSE)-VLOOKUP(CJ$3,'Non-Embedded Emissions'!$A$56:$D$90,3,FALSE)-VLOOKUP(CJ$3,'Non-Embedded Emissions'!$A$143:$D$174,3,FALSE)-VLOOKUP(CJ$3,'Non-Embedded Emissions'!$A$230:$D$259,3,FALSE)), $C29 = "2", 'Inputs-System'!$C$30*'Coincidence Factors'!$B$5*'Inputs-Proposals'!$G$23*'Inputs-Proposals'!$G$25*(VLOOKUP(CJ$3,'Non-Embedded Emissions'!$A$56:$D$90,2,FALSE)+VLOOKUP(CJ$3,'Non-Embedded Emissions'!$A$143:$D$174,2,FALSE)+VLOOKUP(CJ$3,'Non-Embedded Emissions'!$A$230:$D$259,2,FALSE)-VLOOKUP(CJ$3,'Non-Embedded Emissions'!$A$56:$D$90,3,FALSE)-VLOOKUP(CJ$3,'Non-Embedded Emissions'!$A$143:$D$174,3,FALSE)-VLOOKUP(CJ$3,'Non-Embedded Emissions'!$A$230:$D$259,3,FALSE)), $C29 = "3", 'Inputs-System'!$C$30*'Coincidence Factors'!$B$5*'Inputs-Proposals'!$G$29*'Inputs-Proposals'!$G$31*(VLOOKUP(CJ$3,'Non-Embedded Emissions'!$A$56:$D$90,2,FALSE)+VLOOKUP(CJ$3,'Non-Embedded Emissions'!$A$143:$D$174,2,FALSE)+VLOOKUP(CJ$3,'Non-Embedded Emissions'!$A$230:$D$259,2,FALSE)-VLOOKUP(CJ$3,'Non-Embedded Emissions'!$A$56:$D$90,3,FALSE)-VLOOKUP(CJ$3,'Non-Embedded Emissions'!$A$143:$D$174,3,FALSE)-VLOOKUP(CJ$3,'Non-Embedded Emissions'!$A$230:$D$259,3,FALSE)), $C29 = "0", 0), 0)</f>
        <v>0</v>
      </c>
      <c r="CP29" s="344">
        <f>IFERROR(_xlfn.IFS($C29="1",('Inputs-System'!$C$30*'Coincidence Factors'!$B$5*(1+'Inputs-System'!$C$18)*(1+'Inputs-System'!$C$41)*('Inputs-Proposals'!$G$17*'Inputs-Proposals'!$G$19*(1-'Inputs-Proposals'!$G$20))*(VLOOKUP(CP$3,Energy!$A$51:$K$83,5,FALSE)-VLOOKUP(CP$3,Energy!$A$51:$K$83,6,FALSE))), $C29 = "2",('Inputs-System'!$C$30*'Coincidence Factors'!$B$5)*(1+'Inputs-System'!$C$18)*(1+'Inputs-System'!$C$41)*('Inputs-Proposals'!$G$23*'Inputs-Proposals'!$G$25*(1-'Inputs-Proposals'!$G$26))*(VLOOKUP(CP$3,Energy!$A$51:$K$83,5,FALSE)-VLOOKUP(CP$3,Energy!$A$51:$K$83,6,FALSE)), $C29= "3", ('Inputs-System'!$C$30*'Coincidence Factors'!$B$5*(1+'Inputs-System'!$C$18)*(1+'Inputs-System'!$C$41)*('Inputs-Proposals'!$G$29*'Inputs-Proposals'!$G$31*(1-'Inputs-Proposals'!$G$32))*(VLOOKUP(CP$3,Energy!$A$51:$K$83,5,FALSE)-VLOOKUP(CP$3,Energy!$A$51:$K$83,6,FALSE))), $C29= "0", 0), 0)</f>
        <v>0</v>
      </c>
      <c r="CQ29" s="100">
        <f>IFERROR(_xlfn.IFS($C29="1", 'Inputs-System'!$C$30*'Coincidence Factors'!$B$5*(1+'Inputs-System'!$C$18)*(1+'Inputs-System'!$C$41)*'Inputs-Proposals'!$G$17*'Inputs-Proposals'!$G$19*(1-'Inputs-Proposals'!$G$20)*(VLOOKUP(CP$3,'Embedded Emissions'!$A$47:$B$78,2,FALSE)+VLOOKUP(CP$3,'Embedded Emissions'!$A$129:$B$158,2,FALSE)), $C29 = "2",'Inputs-System'!$C$30*'Coincidence Factors'!$B$5*(1+'Inputs-System'!$C$18)*(1+'Inputs-System'!$C$41)*'Inputs-Proposals'!$G$23*'Inputs-Proposals'!$G$25*(1-'Inputs-Proposals'!$G$20)*(VLOOKUP(CP$3,'Embedded Emissions'!$A$47:$B$78,2,FALSE)+VLOOKUP(CP$3,'Embedded Emissions'!$A$129:$B$158,2,FALSE)), $C29 = "3", 'Inputs-System'!$C$30*'Coincidence Factors'!$B$5*(1+'Inputs-System'!$C$18)*(1+'Inputs-System'!$C$41)*'Inputs-Proposals'!$G$29*'Inputs-Proposals'!$G$31*(1-'Inputs-Proposals'!$G$20)*(VLOOKUP(CP$3,'Embedded Emissions'!$A$47:$B$78,2,FALSE)+VLOOKUP(CP$3,'Embedded Emissions'!$A$129:$B$158,2,FALSE)), $C29 = "0", 0), 0)</f>
        <v>0</v>
      </c>
      <c r="CR29" s="44">
        <f>IFERROR(_xlfn.IFS($C29="1",( 'Inputs-System'!$C$30*'Coincidence Factors'!$B$5*(1+'Inputs-System'!$C$18)*(1+'Inputs-System'!$C$41))*('Inputs-Proposals'!$G$17*'Inputs-Proposals'!$G$19*(1-'Inputs-Proposals'!$G$20))*(VLOOKUP(CP$3,DRIPE!$A$54:$I$82,5,FALSE)-VLOOKUP(CP$3,DRIPE!$A$54:$I$82,6,FALSE)+VLOOKUP(CP$3,DRIPE!$A$54:$I$82,9,FALSE))+ ('Inputs-System'!$C$26*'Coincidence Factors'!$B$5*(1+'Inputs-System'!$C$18)*(1+'Inputs-System'!$C$42))*'Inputs-Proposals'!$G$16*VLOOKUP(CP$3,DRIPE!$A$54:$I$80,8,FALSE), $C29 = "2",( 'Inputs-System'!$C$30*'Coincidence Factors'!$B$5*(1+'Inputs-System'!$C$18)*(1+'Inputs-System'!$C$41))*('Inputs-Proposals'!$G$23*'Inputs-Proposals'!$G$25*(1-'Inputs-Proposals'!$G$26))*(VLOOKUP(CP$3,DRIPE!$A$54:$I$82,5,FALSE)-VLOOKUP(CP$3,DRIPE!$A$54:$I$82,6,FALSE)+VLOOKUP(CP$3,DRIPE!$A$54:$I$82,9,FALSE))+ ('Inputs-System'!$C$26*'Coincidence Factors'!$B$5*(1+'Inputs-System'!$C$18)*(1+'Inputs-System'!$C$41))+ ('Inputs-System'!$C$26*'Coincidence Factors'!$B$5)*'Inputs-Proposals'!$G$22*VLOOKUP(CP$3,DRIPE!$A$54:$I$80,8,FALSE), $C29= "3", ('Inputs-System'!$C$30*'Coincidence Factors'!$B$5)*('Inputs-Proposals'!$G$29*'Inputs-Proposals'!$G$31*(1-'Inputs-Proposals'!$G$32))*(VLOOKUP(CP$3,DRIPE!$A$54:$I$80,5,FALSE)-VLOOKUP(CP$3,DRIPE!$A$54:$I$80,6,FALSE)+VLOOKUP(CP$3,DRIPE!$A$54:$I$80,9,FALSE))+ ('Inputs-System'!$C$26*'Coincidence Factors'!$B$5*(1+'Inputs-System'!$C$18)*(1+'Inputs-System'!$C$42))*'Inputs-Proposals'!$G$28*VLOOKUP(CP$3,DRIPE!$A$54:$I$80,8,FALSE), $C29 = "0", 0), 0)</f>
        <v>0</v>
      </c>
      <c r="CS29" s="45">
        <f>IFERROR(_xlfn.IFS($C29="1",('Inputs-System'!$C$26*'Coincidence Factors'!$B$5*(1+'Inputs-System'!$C$18)*(1+'Inputs-System'!$C$42))*'Inputs-Proposals'!$G$16*(VLOOKUP(CP$3,Capacity!$A$53:$E$85,4,FALSE)*(1+'Inputs-System'!$C$42)+VLOOKUP(CP$3,Capacity!$A$53:$E$85,5,FALSE)*(1+'Inputs-System'!$C$43)*'Inputs-System'!$C$29), $C29 = "2", ('Inputs-System'!$C$26*'Coincidence Factors'!$B$5*(1+'Inputs-System'!$C$18))*'Inputs-Proposals'!$G$22*(VLOOKUP(CP$3,Capacity!$A$53:$E$85,4,FALSE)*(1+'Inputs-System'!$C$42)+VLOOKUP(CP$3,Capacity!$A$53:$E$85,5,FALSE)*'Inputs-System'!$C$29*(1+'Inputs-System'!$C$43)), $C29 = "3", ('Inputs-System'!$C$26*'Coincidence Factors'!$B$5*(1+'Inputs-System'!$C$18))*'Inputs-Proposals'!$G$28*(VLOOKUP(CP$3,Capacity!$A$53:$E$85,4,FALSE)*(1+'Inputs-System'!$C$42)+VLOOKUP(CP$3,Capacity!$A$53:$E$85,5,FALSE)*'Inputs-System'!$C$29*(1+'Inputs-System'!$C$43)), $C29 = "0", 0), 0)</f>
        <v>0</v>
      </c>
      <c r="CT29" s="100">
        <v>0</v>
      </c>
      <c r="CU29" s="346">
        <f>IFERROR(_xlfn.IFS($C29="1", 'Inputs-System'!$C$30*'Coincidence Factors'!$B$5*'Inputs-Proposals'!$G$17*'Inputs-Proposals'!$G$19*(VLOOKUP(CP$3,'Non-Embedded Emissions'!$A$56:$D$90,2,FALSE)+VLOOKUP(CP$3,'Non-Embedded Emissions'!$A$143:$D$174,2,FALSE)+VLOOKUP(CP$3,'Non-Embedded Emissions'!$A$230:$D$259,2,FALSE)-VLOOKUP(CP$3,'Non-Embedded Emissions'!$A$56:$D$90,3,FALSE)-VLOOKUP(CP$3,'Non-Embedded Emissions'!$A$143:$D$174,3,FALSE)-VLOOKUP(CP$3,'Non-Embedded Emissions'!$A$230:$D$259,3,FALSE)), $C29 = "2", 'Inputs-System'!$C$30*'Coincidence Factors'!$B$5*'Inputs-Proposals'!$G$23*'Inputs-Proposals'!$G$25*(VLOOKUP(CP$3,'Non-Embedded Emissions'!$A$56:$D$90,2,FALSE)+VLOOKUP(CP$3,'Non-Embedded Emissions'!$A$143:$D$174,2,FALSE)+VLOOKUP(CP$3,'Non-Embedded Emissions'!$A$230:$D$259,2,FALSE)-VLOOKUP(CP$3,'Non-Embedded Emissions'!$A$56:$D$90,3,FALSE)-VLOOKUP(CP$3,'Non-Embedded Emissions'!$A$143:$D$174,3,FALSE)-VLOOKUP(CP$3,'Non-Embedded Emissions'!$A$230:$D$259,3,FALSE)), $C29 = "3", 'Inputs-System'!$C$30*'Coincidence Factors'!$B$5*'Inputs-Proposals'!$G$29*'Inputs-Proposals'!$G$31*(VLOOKUP(CP$3,'Non-Embedded Emissions'!$A$56:$D$90,2,FALSE)+VLOOKUP(CP$3,'Non-Embedded Emissions'!$A$143:$D$174,2,FALSE)+VLOOKUP(CP$3,'Non-Embedded Emissions'!$A$230:$D$259,2,FALSE)-VLOOKUP(CP$3,'Non-Embedded Emissions'!$A$56:$D$90,3,FALSE)-VLOOKUP(CP$3,'Non-Embedded Emissions'!$A$143:$D$174,3,FALSE)-VLOOKUP(CP$3,'Non-Embedded Emissions'!$A$230:$D$259,3,FALSE)), $C29 = "0", 0), 0)</f>
        <v>0</v>
      </c>
      <c r="CV29" s="344">
        <f>IFERROR(_xlfn.IFS($C29="1",('Inputs-System'!$C$30*'Coincidence Factors'!$B$5*(1+'Inputs-System'!$C$18)*(1+'Inputs-System'!$C$41)*('Inputs-Proposals'!$G$17*'Inputs-Proposals'!$G$19*(1-'Inputs-Proposals'!$G$20))*(VLOOKUP(CV$3,Energy!$A$51:$K$83,5,FALSE)-VLOOKUP(CV$3,Energy!$A$51:$K$83,6,FALSE))), $C29 = "2",('Inputs-System'!$C$30*'Coincidence Factors'!$B$5)*(1+'Inputs-System'!$C$18)*(1+'Inputs-System'!$C$41)*('Inputs-Proposals'!$G$23*'Inputs-Proposals'!$G$25*(1-'Inputs-Proposals'!$G$26))*(VLOOKUP(CV$3,Energy!$A$51:$K$83,5,FALSE)-VLOOKUP(CV$3,Energy!$A$51:$K$83,6,FALSE)), $C29= "3", ('Inputs-System'!$C$30*'Coincidence Factors'!$B$5*(1+'Inputs-System'!$C$18)*(1+'Inputs-System'!$C$41)*('Inputs-Proposals'!$G$29*'Inputs-Proposals'!$G$31*(1-'Inputs-Proposals'!$G$32))*(VLOOKUP(CV$3,Energy!$A$51:$K$83,5,FALSE)-VLOOKUP(CV$3,Energy!$A$51:$K$83,6,FALSE))), $C29= "0", 0), 0)</f>
        <v>0</v>
      </c>
      <c r="CW29" s="100">
        <f>IFERROR(_xlfn.IFS($C29="1", 'Inputs-System'!$C$30*'Coincidence Factors'!$B$5*(1+'Inputs-System'!$C$18)*(1+'Inputs-System'!$C$41)*'Inputs-Proposals'!$G$17*'Inputs-Proposals'!$G$19*(1-'Inputs-Proposals'!$G$20)*(VLOOKUP(CV$3,'Embedded Emissions'!$A$47:$B$78,2,FALSE)+VLOOKUP(CV$3,'Embedded Emissions'!$A$129:$B$158,2,FALSE)), $C29 = "2",'Inputs-System'!$C$30*'Coincidence Factors'!$B$5*(1+'Inputs-System'!$C$18)*(1+'Inputs-System'!$C$41)*'Inputs-Proposals'!$G$23*'Inputs-Proposals'!$G$25*(1-'Inputs-Proposals'!$G$20)*(VLOOKUP(CV$3,'Embedded Emissions'!$A$47:$B$78,2,FALSE)+VLOOKUP(CV$3,'Embedded Emissions'!$A$129:$B$158,2,FALSE)), $C29 = "3", 'Inputs-System'!$C$30*'Coincidence Factors'!$B$5*(1+'Inputs-System'!$C$18)*(1+'Inputs-System'!$C$41)*'Inputs-Proposals'!$G$29*'Inputs-Proposals'!$G$31*(1-'Inputs-Proposals'!$G$20)*(VLOOKUP(CV$3,'Embedded Emissions'!$A$47:$B$78,2,FALSE)+VLOOKUP(CV$3,'Embedded Emissions'!$A$129:$B$158,2,FALSE)), $C29 = "0", 0), 0)</f>
        <v>0</v>
      </c>
      <c r="CX29" s="44">
        <f>IFERROR(_xlfn.IFS($C29="1",( 'Inputs-System'!$C$30*'Coincidence Factors'!$B$5*(1+'Inputs-System'!$C$18)*(1+'Inputs-System'!$C$41))*('Inputs-Proposals'!$G$17*'Inputs-Proposals'!$G$19*(1-'Inputs-Proposals'!$G$20))*(VLOOKUP(CV$3,DRIPE!$A$54:$I$82,5,FALSE)-VLOOKUP(CV$3,DRIPE!$A$54:$I$82,6,FALSE)+VLOOKUP(CV$3,DRIPE!$A$54:$I$82,9,FALSE))+ ('Inputs-System'!$C$26*'Coincidence Factors'!$B$5*(1+'Inputs-System'!$C$18)*(1+'Inputs-System'!$C$42))*'Inputs-Proposals'!$G$16*VLOOKUP(CV$3,DRIPE!$A$54:$I$80,8,FALSE), $C29 = "2",( 'Inputs-System'!$C$30*'Coincidence Factors'!$B$5*(1+'Inputs-System'!$C$18)*(1+'Inputs-System'!$C$41))*('Inputs-Proposals'!$G$23*'Inputs-Proposals'!$G$25*(1-'Inputs-Proposals'!$G$26))*(VLOOKUP(CV$3,DRIPE!$A$54:$I$82,5,FALSE)-VLOOKUP(CV$3,DRIPE!$A$54:$I$82,6,FALSE)+VLOOKUP(CV$3,DRIPE!$A$54:$I$82,9,FALSE))+ ('Inputs-System'!$C$26*'Coincidence Factors'!$B$5*(1+'Inputs-System'!$C$18)*(1+'Inputs-System'!$C$41))+ ('Inputs-System'!$C$26*'Coincidence Factors'!$B$5)*'Inputs-Proposals'!$G$22*VLOOKUP(CV$3,DRIPE!$A$54:$I$80,8,FALSE), $C29= "3", ('Inputs-System'!$C$30*'Coincidence Factors'!$B$5)*('Inputs-Proposals'!$G$29*'Inputs-Proposals'!$G$31*(1-'Inputs-Proposals'!$G$32))*(VLOOKUP(CV$3,DRIPE!$A$54:$I$80,5,FALSE)-VLOOKUP(CV$3,DRIPE!$A$54:$I$80,6,FALSE)+VLOOKUP(CV$3,DRIPE!$A$54:$I$80,9,FALSE))+ ('Inputs-System'!$C$26*'Coincidence Factors'!$B$5*(1+'Inputs-System'!$C$18)*(1+'Inputs-System'!$C$42))*'Inputs-Proposals'!$G$28*VLOOKUP(CV$3,DRIPE!$A$54:$I$80,8,FALSE), $C29 = "0", 0), 0)</f>
        <v>0</v>
      </c>
      <c r="CY29" s="45">
        <f>IFERROR(_xlfn.IFS($C29="1",('Inputs-System'!$C$26*'Coincidence Factors'!$B$5*(1+'Inputs-System'!$C$18)*(1+'Inputs-System'!$C$42))*'Inputs-Proposals'!$G$16*(VLOOKUP(CV$3,Capacity!$A$53:$E$85,4,FALSE)*(1+'Inputs-System'!$C$42)+VLOOKUP(CV$3,Capacity!$A$53:$E$85,5,FALSE)*(1+'Inputs-System'!$C$43)*'Inputs-System'!$C$29), $C29 = "2", ('Inputs-System'!$C$26*'Coincidence Factors'!$B$5*(1+'Inputs-System'!$C$18))*'Inputs-Proposals'!$G$22*(VLOOKUP(CV$3,Capacity!$A$53:$E$85,4,FALSE)*(1+'Inputs-System'!$C$42)+VLOOKUP(CV$3,Capacity!$A$53:$E$85,5,FALSE)*'Inputs-System'!$C$29*(1+'Inputs-System'!$C$43)), $C29 = "3", ('Inputs-System'!$C$26*'Coincidence Factors'!$B$5*(1+'Inputs-System'!$C$18))*'Inputs-Proposals'!$G$28*(VLOOKUP(CV$3,Capacity!$A$53:$E$85,4,FALSE)*(1+'Inputs-System'!$C$42)+VLOOKUP(CV$3,Capacity!$A$53:$E$85,5,FALSE)*'Inputs-System'!$C$29*(1+'Inputs-System'!$C$43)), $C29 = "0", 0), 0)</f>
        <v>0</v>
      </c>
      <c r="CZ29" s="100">
        <v>0</v>
      </c>
      <c r="DA29" s="346">
        <f>IFERROR(_xlfn.IFS($C29="1", 'Inputs-System'!$C$30*'Coincidence Factors'!$B$5*'Inputs-Proposals'!$G$17*'Inputs-Proposals'!$G$19*(VLOOKUP(CV$3,'Non-Embedded Emissions'!$A$56:$D$90,2,FALSE)+VLOOKUP(CV$3,'Non-Embedded Emissions'!$A$143:$D$174,2,FALSE)+VLOOKUP(CV$3,'Non-Embedded Emissions'!$A$230:$D$259,2,FALSE)-VLOOKUP(CV$3,'Non-Embedded Emissions'!$A$56:$D$90,3,FALSE)-VLOOKUP(CV$3,'Non-Embedded Emissions'!$A$143:$D$174,3,FALSE)-VLOOKUP(CV$3,'Non-Embedded Emissions'!$A$230:$D$259,3,FALSE)), $C29 = "2", 'Inputs-System'!$C$30*'Coincidence Factors'!$B$5*'Inputs-Proposals'!$G$23*'Inputs-Proposals'!$G$25*(VLOOKUP(CV$3,'Non-Embedded Emissions'!$A$56:$D$90,2,FALSE)+VLOOKUP(CV$3,'Non-Embedded Emissions'!$A$143:$D$174,2,FALSE)+VLOOKUP(CV$3,'Non-Embedded Emissions'!$A$230:$D$259,2,FALSE)-VLOOKUP(CV$3,'Non-Embedded Emissions'!$A$56:$D$90,3,FALSE)-VLOOKUP(CV$3,'Non-Embedded Emissions'!$A$143:$D$174,3,FALSE)-VLOOKUP(CV$3,'Non-Embedded Emissions'!$A$230:$D$259,3,FALSE)), $C29 = "3", 'Inputs-System'!$C$30*'Coincidence Factors'!$B$5*'Inputs-Proposals'!$G$29*'Inputs-Proposals'!$G$31*(VLOOKUP(CV$3,'Non-Embedded Emissions'!$A$56:$D$90,2,FALSE)+VLOOKUP(CV$3,'Non-Embedded Emissions'!$A$143:$D$174,2,FALSE)+VLOOKUP(CV$3,'Non-Embedded Emissions'!$A$230:$D$259,2,FALSE)-VLOOKUP(CV$3,'Non-Embedded Emissions'!$A$56:$D$90,3,FALSE)-VLOOKUP(CV$3,'Non-Embedded Emissions'!$A$143:$D$174,3,FALSE)-VLOOKUP(CV$3,'Non-Embedded Emissions'!$A$230:$D$259,3,FALSE)), $C29 = "0", 0), 0)</f>
        <v>0</v>
      </c>
      <c r="DB29" s="344">
        <f>IFERROR(_xlfn.IFS($C29="1",('Inputs-System'!$C$30*'Coincidence Factors'!$B$5*(1+'Inputs-System'!$C$18)*(1+'Inputs-System'!$C$41)*('Inputs-Proposals'!$G$17*'Inputs-Proposals'!$G$19*(1-'Inputs-Proposals'!$G$20))*(VLOOKUP(DB$3,Energy!$A$51:$K$83,5,FALSE)-VLOOKUP(DB$3,Energy!$A$51:$K$83,6,FALSE))), $C29 = "2",('Inputs-System'!$C$30*'Coincidence Factors'!$B$5)*(1+'Inputs-System'!$C$18)*(1+'Inputs-System'!$C$41)*('Inputs-Proposals'!$G$23*'Inputs-Proposals'!$G$25*(1-'Inputs-Proposals'!$G$26))*(VLOOKUP(DB$3,Energy!$A$51:$K$83,5,FALSE)-VLOOKUP(DB$3,Energy!$A$51:$K$83,6,FALSE)), $C29= "3", ('Inputs-System'!$C$30*'Coincidence Factors'!$B$5*(1+'Inputs-System'!$C$18)*(1+'Inputs-System'!$C$41)*('Inputs-Proposals'!$G$29*'Inputs-Proposals'!$G$31*(1-'Inputs-Proposals'!$G$32))*(VLOOKUP(DB$3,Energy!$A$51:$K$83,5,FALSE)-VLOOKUP(DB$3,Energy!$A$51:$K$83,6,FALSE))), $C29= "0", 0), 0)</f>
        <v>0</v>
      </c>
      <c r="DC29" s="100">
        <f>IFERROR(_xlfn.IFS($C29="1", 'Inputs-System'!$C$30*'Coincidence Factors'!$B$5*(1+'Inputs-System'!$C$18)*(1+'Inputs-System'!$C$41)*'Inputs-Proposals'!$G$17*'Inputs-Proposals'!$G$19*(1-'Inputs-Proposals'!$G$20)*(VLOOKUP(DB$3,'Embedded Emissions'!$A$47:$B$78,2,FALSE)+VLOOKUP(DB$3,'Embedded Emissions'!$A$129:$B$158,2,FALSE)), $C29 = "2",'Inputs-System'!$C$30*'Coincidence Factors'!$B$5*(1+'Inputs-System'!$C$18)*(1+'Inputs-System'!$C$41)*'Inputs-Proposals'!$G$23*'Inputs-Proposals'!$G$25*(1-'Inputs-Proposals'!$G$20)*(VLOOKUP(DB$3,'Embedded Emissions'!$A$47:$B$78,2,FALSE)+VLOOKUP(DB$3,'Embedded Emissions'!$A$129:$B$158,2,FALSE)), $C29 = "3", 'Inputs-System'!$C$30*'Coincidence Factors'!$B$5*(1+'Inputs-System'!$C$18)*(1+'Inputs-System'!$C$41)*'Inputs-Proposals'!$G$29*'Inputs-Proposals'!$G$31*(1-'Inputs-Proposals'!$G$20)*(VLOOKUP(DB$3,'Embedded Emissions'!$A$47:$B$78,2,FALSE)+VLOOKUP(DB$3,'Embedded Emissions'!$A$129:$B$158,2,FALSE)), $C29 = "0", 0), 0)</f>
        <v>0</v>
      </c>
      <c r="DD29" s="44">
        <f>IFERROR(_xlfn.IFS($C29="1",( 'Inputs-System'!$C$30*'Coincidence Factors'!$B$5*(1+'Inputs-System'!$C$18)*(1+'Inputs-System'!$C$41))*('Inputs-Proposals'!$G$17*'Inputs-Proposals'!$G$19*(1-'Inputs-Proposals'!$G$20))*(VLOOKUP(DB$3,DRIPE!$A$54:$I$82,5,FALSE)-VLOOKUP(DB$3,DRIPE!$A$54:$I$82,6,FALSE)+VLOOKUP(DB$3,DRIPE!$A$54:$I$82,9,FALSE))+ ('Inputs-System'!$C$26*'Coincidence Factors'!$B$5*(1+'Inputs-System'!$C$18)*(1+'Inputs-System'!$C$42))*'Inputs-Proposals'!$G$16*VLOOKUP(DB$3,DRIPE!$A$54:$I$80,8,FALSE), $C29 = "2",( 'Inputs-System'!$C$30*'Coincidence Factors'!$B$5*(1+'Inputs-System'!$C$18)*(1+'Inputs-System'!$C$41))*('Inputs-Proposals'!$G$23*'Inputs-Proposals'!$G$25*(1-'Inputs-Proposals'!$G$26))*(VLOOKUP(DB$3,DRIPE!$A$54:$I$82,5,FALSE)-VLOOKUP(DB$3,DRIPE!$A$54:$I$82,6,FALSE)+VLOOKUP(DB$3,DRIPE!$A$54:$I$82,9,FALSE))+ ('Inputs-System'!$C$26*'Coincidence Factors'!$B$5*(1+'Inputs-System'!$C$18)*(1+'Inputs-System'!$C$41))+ ('Inputs-System'!$C$26*'Coincidence Factors'!$B$5)*'Inputs-Proposals'!$G$22*VLOOKUP(DB$3,DRIPE!$A$54:$I$80,8,FALSE), $C29= "3", ('Inputs-System'!$C$30*'Coincidence Factors'!$B$5)*('Inputs-Proposals'!$G$29*'Inputs-Proposals'!$G$31*(1-'Inputs-Proposals'!$G$32))*(VLOOKUP(DB$3,DRIPE!$A$54:$I$80,5,FALSE)-VLOOKUP(DB$3,DRIPE!$A$54:$I$80,6,FALSE)+VLOOKUP(DB$3,DRIPE!$A$54:$I$80,9,FALSE))+ ('Inputs-System'!$C$26*'Coincidence Factors'!$B$5*(1+'Inputs-System'!$C$18)*(1+'Inputs-System'!$C$42))*'Inputs-Proposals'!$G$28*VLOOKUP(DB$3,DRIPE!$A$54:$I$80,8,FALSE), $C29 = "0", 0), 0)</f>
        <v>0</v>
      </c>
      <c r="DE29" s="45">
        <f>IFERROR(_xlfn.IFS($C29="1",('Inputs-System'!$C$26*'Coincidence Factors'!$B$5*(1+'Inputs-System'!$C$18)*(1+'Inputs-System'!$C$42))*'Inputs-Proposals'!$G$16*(VLOOKUP(DB$3,Capacity!$A$53:$E$85,4,FALSE)*(1+'Inputs-System'!$C$42)+VLOOKUP(DB$3,Capacity!$A$53:$E$85,5,FALSE)*(1+'Inputs-System'!$C$43)*'Inputs-System'!$C$29), $C29 = "2", ('Inputs-System'!$C$26*'Coincidence Factors'!$B$5*(1+'Inputs-System'!$C$18))*'Inputs-Proposals'!$G$22*(VLOOKUP(DB$3,Capacity!$A$53:$E$85,4,FALSE)*(1+'Inputs-System'!$C$42)+VLOOKUP(DB$3,Capacity!$A$53:$E$85,5,FALSE)*'Inputs-System'!$C$29*(1+'Inputs-System'!$C$43)), $C29 = "3", ('Inputs-System'!$C$26*'Coincidence Factors'!$B$5*(1+'Inputs-System'!$C$18))*'Inputs-Proposals'!$G$28*(VLOOKUP(DB$3,Capacity!$A$53:$E$85,4,FALSE)*(1+'Inputs-System'!$C$42)+VLOOKUP(DB$3,Capacity!$A$53:$E$85,5,FALSE)*'Inputs-System'!$C$29*(1+'Inputs-System'!$C$43)), $C29 = "0", 0), 0)</f>
        <v>0</v>
      </c>
      <c r="DF29" s="100">
        <v>0</v>
      </c>
      <c r="DG29" s="346">
        <f>IFERROR(_xlfn.IFS($C29="1", 'Inputs-System'!$C$30*'Coincidence Factors'!$B$5*'Inputs-Proposals'!$G$17*'Inputs-Proposals'!$G$19*(VLOOKUP(DB$3,'Non-Embedded Emissions'!$A$56:$D$90,2,FALSE)+VLOOKUP(DB$3,'Non-Embedded Emissions'!$A$143:$D$174,2,FALSE)+VLOOKUP(DB$3,'Non-Embedded Emissions'!$A$230:$D$259,2,FALSE)-VLOOKUP(DB$3,'Non-Embedded Emissions'!$A$56:$D$90,3,FALSE)-VLOOKUP(DB$3,'Non-Embedded Emissions'!$A$143:$D$174,3,FALSE)-VLOOKUP(DB$3,'Non-Embedded Emissions'!$A$230:$D$259,3,FALSE)), $C29 = "2", 'Inputs-System'!$C$30*'Coincidence Factors'!$B$5*'Inputs-Proposals'!$G$23*'Inputs-Proposals'!$G$25*(VLOOKUP(DB$3,'Non-Embedded Emissions'!$A$56:$D$90,2,FALSE)+VLOOKUP(DB$3,'Non-Embedded Emissions'!$A$143:$D$174,2,FALSE)+VLOOKUP(DB$3,'Non-Embedded Emissions'!$A$230:$D$259,2,FALSE)-VLOOKUP(DB$3,'Non-Embedded Emissions'!$A$56:$D$90,3,FALSE)-VLOOKUP(DB$3,'Non-Embedded Emissions'!$A$143:$D$174,3,FALSE)-VLOOKUP(DB$3,'Non-Embedded Emissions'!$A$230:$D$259,3,FALSE)), $C29 = "3", 'Inputs-System'!$C$30*'Coincidence Factors'!$B$5*'Inputs-Proposals'!$G$29*'Inputs-Proposals'!$G$31*(VLOOKUP(DB$3,'Non-Embedded Emissions'!$A$56:$D$90,2,FALSE)+VLOOKUP(DB$3,'Non-Embedded Emissions'!$A$143:$D$174,2,FALSE)+VLOOKUP(DB$3,'Non-Embedded Emissions'!$A$230:$D$259,2,FALSE)-VLOOKUP(DB$3,'Non-Embedded Emissions'!$A$56:$D$90,3,FALSE)-VLOOKUP(DB$3,'Non-Embedded Emissions'!$A$143:$D$174,3,FALSE)-VLOOKUP(DB$3,'Non-Embedded Emissions'!$A$230:$D$259,3,FALSE)), $C29 = "0", 0), 0)</f>
        <v>0</v>
      </c>
      <c r="DH29" s="344">
        <f>IFERROR(_xlfn.IFS($C29="1",('Inputs-System'!$C$30*'Coincidence Factors'!$B$5*(1+'Inputs-System'!$C$18)*(1+'Inputs-System'!$C$41)*('Inputs-Proposals'!$G$17*'Inputs-Proposals'!$G$19*(1-'Inputs-Proposals'!$G$20))*(VLOOKUP(DH$3,Energy!$A$51:$K$83,5,FALSE)-VLOOKUP(DH$3,Energy!$A$51:$K$83,6,FALSE))), $C29 = "2",('Inputs-System'!$C$30*'Coincidence Factors'!$B$5)*(1+'Inputs-System'!$C$18)*(1+'Inputs-System'!$C$41)*('Inputs-Proposals'!$G$23*'Inputs-Proposals'!$G$25*(1-'Inputs-Proposals'!$G$26))*(VLOOKUP(DH$3,Energy!$A$51:$K$83,5,FALSE)-VLOOKUP(DH$3,Energy!$A$51:$K$83,6,FALSE)), $C29= "3", ('Inputs-System'!$C$30*'Coincidence Factors'!$B$5*(1+'Inputs-System'!$C$18)*(1+'Inputs-System'!$C$41)*('Inputs-Proposals'!$G$29*'Inputs-Proposals'!$G$31*(1-'Inputs-Proposals'!$G$32))*(VLOOKUP(DH$3,Energy!$A$51:$K$83,5,FALSE)-VLOOKUP(DH$3,Energy!$A$51:$K$83,6,FALSE))), $C29= "0", 0), 0)</f>
        <v>0</v>
      </c>
      <c r="DI29" s="100">
        <f>IFERROR(_xlfn.IFS($C29="1", 'Inputs-System'!$C$30*'Coincidence Factors'!$B$5*(1+'Inputs-System'!$C$18)*(1+'Inputs-System'!$C$41)*'Inputs-Proposals'!$G$17*'Inputs-Proposals'!$G$19*(1-'Inputs-Proposals'!$G$20)*(VLOOKUP(DH$3,'Embedded Emissions'!$A$47:$B$78,2,FALSE)+VLOOKUP(DH$3,'Embedded Emissions'!$A$129:$B$158,2,FALSE)), $C29 = "2",'Inputs-System'!$C$30*'Coincidence Factors'!$B$5*(1+'Inputs-System'!$C$18)*(1+'Inputs-System'!$C$41)*'Inputs-Proposals'!$G$23*'Inputs-Proposals'!$G$25*(1-'Inputs-Proposals'!$G$20)*(VLOOKUP(DH$3,'Embedded Emissions'!$A$47:$B$78,2,FALSE)+VLOOKUP(DH$3,'Embedded Emissions'!$A$129:$B$158,2,FALSE)), $C29 = "3", 'Inputs-System'!$C$30*'Coincidence Factors'!$B$5*(1+'Inputs-System'!$C$18)*(1+'Inputs-System'!$C$41)*'Inputs-Proposals'!$G$29*'Inputs-Proposals'!$G$31*(1-'Inputs-Proposals'!$G$20)*(VLOOKUP(DH$3,'Embedded Emissions'!$A$47:$B$78,2,FALSE)+VLOOKUP(DH$3,'Embedded Emissions'!$A$129:$B$158,2,FALSE)), $C29 = "0", 0), 0)</f>
        <v>0</v>
      </c>
      <c r="DJ29" s="44">
        <f>IFERROR(_xlfn.IFS($C29="1",( 'Inputs-System'!$C$30*'Coincidence Factors'!$B$5*(1+'Inputs-System'!$C$18)*(1+'Inputs-System'!$C$41))*('Inputs-Proposals'!$G$17*'Inputs-Proposals'!$G$19*(1-'Inputs-Proposals'!$G$20))*(VLOOKUP(DH$3,DRIPE!$A$54:$I$82,5,FALSE)-VLOOKUP(DH$3,DRIPE!$A$54:$I$82,6,FALSE)+VLOOKUP(DH$3,DRIPE!$A$54:$I$82,9,FALSE))+ ('Inputs-System'!$C$26*'Coincidence Factors'!$B$5*(1+'Inputs-System'!$C$18)*(1+'Inputs-System'!$C$42))*'Inputs-Proposals'!$G$16*VLOOKUP(DH$3,DRIPE!$A$54:$I$80,8,FALSE), $C29 = "2",( 'Inputs-System'!$C$30*'Coincidence Factors'!$B$5*(1+'Inputs-System'!$C$18)*(1+'Inputs-System'!$C$41))*('Inputs-Proposals'!$G$23*'Inputs-Proposals'!$G$25*(1-'Inputs-Proposals'!$G$26))*(VLOOKUP(DH$3,DRIPE!$A$54:$I$82,5,FALSE)-VLOOKUP(DH$3,DRIPE!$A$54:$I$82,6,FALSE)+VLOOKUP(DH$3,DRIPE!$A$54:$I$82,9,FALSE))+ ('Inputs-System'!$C$26*'Coincidence Factors'!$B$5*(1+'Inputs-System'!$C$18)*(1+'Inputs-System'!$C$41))+ ('Inputs-System'!$C$26*'Coincidence Factors'!$B$5)*'Inputs-Proposals'!$G$22*VLOOKUP(DH$3,DRIPE!$A$54:$I$80,8,FALSE), $C29= "3", ('Inputs-System'!$C$30*'Coincidence Factors'!$B$5)*('Inputs-Proposals'!$G$29*'Inputs-Proposals'!$G$31*(1-'Inputs-Proposals'!$G$32))*(VLOOKUP(DH$3,DRIPE!$A$54:$I$80,5,FALSE)-VLOOKUP(DH$3,DRIPE!$A$54:$I$80,6,FALSE)+VLOOKUP(DH$3,DRIPE!$A$54:$I$80,9,FALSE))+ ('Inputs-System'!$C$26*'Coincidence Factors'!$B$5*(1+'Inputs-System'!$C$18)*(1+'Inputs-System'!$C$42))*'Inputs-Proposals'!$G$28*VLOOKUP(DH$3,DRIPE!$A$54:$I$80,8,FALSE), $C29 = "0", 0), 0)</f>
        <v>0</v>
      </c>
      <c r="DK29" s="45">
        <f>IFERROR(_xlfn.IFS($C29="1",('Inputs-System'!$C$26*'Coincidence Factors'!$B$5*(1+'Inputs-System'!$C$18)*(1+'Inputs-System'!$C$42))*'Inputs-Proposals'!$G$16*(VLOOKUP(DH$3,Capacity!$A$53:$E$85,4,FALSE)*(1+'Inputs-System'!$C$42)+VLOOKUP(DH$3,Capacity!$A$53:$E$85,5,FALSE)*(1+'Inputs-System'!$C$43)*'Inputs-System'!$C$29), $C29 = "2", ('Inputs-System'!$C$26*'Coincidence Factors'!$B$5*(1+'Inputs-System'!$C$18))*'Inputs-Proposals'!$G$22*(VLOOKUP(DH$3,Capacity!$A$53:$E$85,4,FALSE)*(1+'Inputs-System'!$C$42)+VLOOKUP(DH$3,Capacity!$A$53:$E$85,5,FALSE)*'Inputs-System'!$C$29*(1+'Inputs-System'!$C$43)), $C29 = "3", ('Inputs-System'!$C$26*'Coincidence Factors'!$B$5*(1+'Inputs-System'!$C$18))*'Inputs-Proposals'!$G$28*(VLOOKUP(DH$3,Capacity!$A$53:$E$85,4,FALSE)*(1+'Inputs-System'!$C$42)+VLOOKUP(DH$3,Capacity!$A$53:$E$85,5,FALSE)*'Inputs-System'!$C$29*(1+'Inputs-System'!$C$43)), $C29 = "0", 0), 0)</f>
        <v>0</v>
      </c>
      <c r="DL29" s="100">
        <v>0</v>
      </c>
      <c r="DM29" s="346">
        <f>IFERROR(_xlfn.IFS($C29="1", 'Inputs-System'!$C$30*'Coincidence Factors'!$B$5*'Inputs-Proposals'!$G$17*'Inputs-Proposals'!$G$19*(VLOOKUP(DH$3,'Non-Embedded Emissions'!$A$56:$D$90,2,FALSE)+VLOOKUP(DH$3,'Non-Embedded Emissions'!$A$143:$D$174,2,FALSE)+VLOOKUP(DH$3,'Non-Embedded Emissions'!$A$230:$D$259,2,FALSE)-VLOOKUP(DH$3,'Non-Embedded Emissions'!$A$56:$D$90,3,FALSE)-VLOOKUP(DH$3,'Non-Embedded Emissions'!$A$143:$D$174,3,FALSE)-VLOOKUP(DH$3,'Non-Embedded Emissions'!$A$230:$D$259,3,FALSE)), $C29 = "2", 'Inputs-System'!$C$30*'Coincidence Factors'!$B$5*'Inputs-Proposals'!$G$23*'Inputs-Proposals'!$G$25*(VLOOKUP(DH$3,'Non-Embedded Emissions'!$A$56:$D$90,2,FALSE)+VLOOKUP(DH$3,'Non-Embedded Emissions'!$A$143:$D$174,2,FALSE)+VLOOKUP(DH$3,'Non-Embedded Emissions'!$A$230:$D$259,2,FALSE)-VLOOKUP(DH$3,'Non-Embedded Emissions'!$A$56:$D$90,3,FALSE)-VLOOKUP(DH$3,'Non-Embedded Emissions'!$A$143:$D$174,3,FALSE)-VLOOKUP(DH$3,'Non-Embedded Emissions'!$A$230:$D$259,3,FALSE)), $C29 = "3", 'Inputs-System'!$C$30*'Coincidence Factors'!$B$5*'Inputs-Proposals'!$G$29*'Inputs-Proposals'!$G$31*(VLOOKUP(DH$3,'Non-Embedded Emissions'!$A$56:$D$90,2,FALSE)+VLOOKUP(DH$3,'Non-Embedded Emissions'!$A$143:$D$174,2,FALSE)+VLOOKUP(DH$3,'Non-Embedded Emissions'!$A$230:$D$259,2,FALSE)-VLOOKUP(DH$3,'Non-Embedded Emissions'!$A$56:$D$90,3,FALSE)-VLOOKUP(DH$3,'Non-Embedded Emissions'!$A$143:$D$174,3,FALSE)-VLOOKUP(DH$3,'Non-Embedded Emissions'!$A$230:$D$259,3,FALSE)), $C29 = "0", 0), 0)</f>
        <v>0</v>
      </c>
      <c r="DN29" s="344">
        <f>IFERROR(_xlfn.IFS($C29="1",('Inputs-System'!$C$30*'Coincidence Factors'!$B$5*(1+'Inputs-System'!$C$18)*(1+'Inputs-System'!$C$41)*('Inputs-Proposals'!$G$17*'Inputs-Proposals'!$G$19*(1-'Inputs-Proposals'!$G$20))*(VLOOKUP(DN$3,Energy!$A$51:$K$83,5,FALSE)-VLOOKUP(DN$3,Energy!$A$51:$K$83,6,FALSE))), $C29 = "2",('Inputs-System'!$C$30*'Coincidence Factors'!$B$5)*(1+'Inputs-System'!$C$18)*(1+'Inputs-System'!$C$41)*('Inputs-Proposals'!$G$23*'Inputs-Proposals'!$G$25*(1-'Inputs-Proposals'!$G$26))*(VLOOKUP(DN$3,Energy!$A$51:$K$83,5,FALSE)-VLOOKUP(DN$3,Energy!$A$51:$K$83,6,FALSE)), $C29= "3", ('Inputs-System'!$C$30*'Coincidence Factors'!$B$5*(1+'Inputs-System'!$C$18)*(1+'Inputs-System'!$C$41)*('Inputs-Proposals'!$G$29*'Inputs-Proposals'!$G$31*(1-'Inputs-Proposals'!$G$32))*(VLOOKUP(DN$3,Energy!$A$51:$K$83,5,FALSE)-VLOOKUP(DN$3,Energy!$A$51:$K$83,6,FALSE))), $C29= "0", 0), 0)</f>
        <v>0</v>
      </c>
      <c r="DO29" s="100">
        <f>IFERROR(_xlfn.IFS($C29="1", 'Inputs-System'!$C$30*'Coincidence Factors'!$B$5*(1+'Inputs-System'!$C$18)*(1+'Inputs-System'!$C$41)*'Inputs-Proposals'!$G$17*'Inputs-Proposals'!$G$19*(1-'Inputs-Proposals'!$G$20)*(VLOOKUP(DN$3,'Embedded Emissions'!$A$47:$B$78,2,FALSE)+VLOOKUP(DN$3,'Embedded Emissions'!$A$129:$B$158,2,FALSE)), $C29 = "2",'Inputs-System'!$C$30*'Coincidence Factors'!$B$5*(1+'Inputs-System'!$C$18)*(1+'Inputs-System'!$C$41)*'Inputs-Proposals'!$G$23*'Inputs-Proposals'!$G$25*(1-'Inputs-Proposals'!$G$20)*(VLOOKUP(DN$3,'Embedded Emissions'!$A$47:$B$78,2,FALSE)+VLOOKUP(DN$3,'Embedded Emissions'!$A$129:$B$158,2,FALSE)), $C29 = "3", 'Inputs-System'!$C$30*'Coincidence Factors'!$B$5*(1+'Inputs-System'!$C$18)*(1+'Inputs-System'!$C$41)*'Inputs-Proposals'!$G$29*'Inputs-Proposals'!$G$31*(1-'Inputs-Proposals'!$G$20)*(VLOOKUP(DN$3,'Embedded Emissions'!$A$47:$B$78,2,FALSE)+VLOOKUP(DN$3,'Embedded Emissions'!$A$129:$B$158,2,FALSE)), $C29 = "0", 0), 0)</f>
        <v>0</v>
      </c>
      <c r="DP29" s="44">
        <f>IFERROR(_xlfn.IFS($C29="1",( 'Inputs-System'!$C$30*'Coincidence Factors'!$B$5*(1+'Inputs-System'!$C$18)*(1+'Inputs-System'!$C$41))*('Inputs-Proposals'!$G$17*'Inputs-Proposals'!$G$19*(1-'Inputs-Proposals'!$G$20))*(VLOOKUP(DN$3,DRIPE!$A$54:$I$82,5,FALSE)-VLOOKUP(DN$3,DRIPE!$A$54:$I$82,6,FALSE)+VLOOKUP(DN$3,DRIPE!$A$54:$I$82,9,FALSE))+ ('Inputs-System'!$C$26*'Coincidence Factors'!$B$5*(1+'Inputs-System'!$C$18)*(1+'Inputs-System'!$C$42))*'Inputs-Proposals'!$G$16*VLOOKUP(DN$3,DRIPE!$A$54:$I$80,8,FALSE), $C29 = "2",( 'Inputs-System'!$C$30*'Coincidence Factors'!$B$5*(1+'Inputs-System'!$C$18)*(1+'Inputs-System'!$C$41))*('Inputs-Proposals'!$G$23*'Inputs-Proposals'!$G$25*(1-'Inputs-Proposals'!$G$26))*(VLOOKUP(DN$3,DRIPE!$A$54:$I$82,5,FALSE)-VLOOKUP(DN$3,DRIPE!$A$54:$I$82,6,FALSE)+VLOOKUP(DN$3,DRIPE!$A$54:$I$82,9,FALSE))+ ('Inputs-System'!$C$26*'Coincidence Factors'!$B$5*(1+'Inputs-System'!$C$18)*(1+'Inputs-System'!$C$41))+ ('Inputs-System'!$C$26*'Coincidence Factors'!$B$5)*'Inputs-Proposals'!$G$22*VLOOKUP(DN$3,DRIPE!$A$54:$I$80,8,FALSE), $C29= "3", ('Inputs-System'!$C$30*'Coincidence Factors'!$B$5)*('Inputs-Proposals'!$G$29*'Inputs-Proposals'!$G$31*(1-'Inputs-Proposals'!$G$32))*(VLOOKUP(DN$3,DRIPE!$A$54:$I$80,5,FALSE)-VLOOKUP(DN$3,DRIPE!$A$54:$I$80,6,FALSE)+VLOOKUP(DN$3,DRIPE!$A$54:$I$80,9,FALSE))+ ('Inputs-System'!$C$26*'Coincidence Factors'!$B$5*(1+'Inputs-System'!$C$18)*(1+'Inputs-System'!$C$42))*'Inputs-Proposals'!$G$28*VLOOKUP(DN$3,DRIPE!$A$54:$I$80,8,FALSE), $C29 = "0", 0), 0)</f>
        <v>0</v>
      </c>
      <c r="DQ29" s="45">
        <f>IFERROR(_xlfn.IFS($C29="1",('Inputs-System'!$C$26*'Coincidence Factors'!$B$5*(1+'Inputs-System'!$C$18)*(1+'Inputs-System'!$C$42))*'Inputs-Proposals'!$G$16*(VLOOKUP(DN$3,Capacity!$A$53:$E$85,4,FALSE)*(1+'Inputs-System'!$C$42)+VLOOKUP(DN$3,Capacity!$A$53:$E$85,5,FALSE)*(1+'Inputs-System'!$C$43)*'Inputs-System'!$C$29), $C29 = "2", ('Inputs-System'!$C$26*'Coincidence Factors'!$B$5*(1+'Inputs-System'!$C$18))*'Inputs-Proposals'!$G$22*(VLOOKUP(DN$3,Capacity!$A$53:$E$85,4,FALSE)*(1+'Inputs-System'!$C$42)+VLOOKUP(DN$3,Capacity!$A$53:$E$85,5,FALSE)*'Inputs-System'!$C$29*(1+'Inputs-System'!$C$43)), $C29 = "3", ('Inputs-System'!$C$26*'Coincidence Factors'!$B$5*(1+'Inputs-System'!$C$18))*'Inputs-Proposals'!$G$28*(VLOOKUP(DN$3,Capacity!$A$53:$E$85,4,FALSE)*(1+'Inputs-System'!$C$42)+VLOOKUP(DN$3,Capacity!$A$53:$E$85,5,FALSE)*'Inputs-System'!$C$29*(1+'Inputs-System'!$C$43)), $C29 = "0", 0), 0)</f>
        <v>0</v>
      </c>
      <c r="DR29" s="100">
        <v>0</v>
      </c>
      <c r="DS29" s="346">
        <f>IFERROR(_xlfn.IFS($C29="1", 'Inputs-System'!$C$30*'Coincidence Factors'!$B$5*'Inputs-Proposals'!$G$17*'Inputs-Proposals'!$G$19*(VLOOKUP(DN$3,'Non-Embedded Emissions'!$A$56:$D$90,2,FALSE)+VLOOKUP(DN$3,'Non-Embedded Emissions'!$A$143:$D$174,2,FALSE)+VLOOKUP(DN$3,'Non-Embedded Emissions'!$A$230:$D$259,2,FALSE)-VLOOKUP(DN$3,'Non-Embedded Emissions'!$A$56:$D$90,3,FALSE)-VLOOKUP(DN$3,'Non-Embedded Emissions'!$A$143:$D$174,3,FALSE)-VLOOKUP(DN$3,'Non-Embedded Emissions'!$A$230:$D$259,3,FALSE)), $C29 = "2", 'Inputs-System'!$C$30*'Coincidence Factors'!$B$5*'Inputs-Proposals'!$G$23*'Inputs-Proposals'!$G$25*(VLOOKUP(DN$3,'Non-Embedded Emissions'!$A$56:$D$90,2,FALSE)+VLOOKUP(DN$3,'Non-Embedded Emissions'!$A$143:$D$174,2,FALSE)+VLOOKUP(DN$3,'Non-Embedded Emissions'!$A$230:$D$259,2,FALSE)-VLOOKUP(DN$3,'Non-Embedded Emissions'!$A$56:$D$90,3,FALSE)-VLOOKUP(DN$3,'Non-Embedded Emissions'!$A$143:$D$174,3,FALSE)-VLOOKUP(DN$3,'Non-Embedded Emissions'!$A$230:$D$259,3,FALSE)), $C29 = "3", 'Inputs-System'!$C$30*'Coincidence Factors'!$B$5*'Inputs-Proposals'!$G$29*'Inputs-Proposals'!$G$31*(VLOOKUP(DN$3,'Non-Embedded Emissions'!$A$56:$D$90,2,FALSE)+VLOOKUP(DN$3,'Non-Embedded Emissions'!$A$143:$D$174,2,FALSE)+VLOOKUP(DN$3,'Non-Embedded Emissions'!$A$230:$D$259,2,FALSE)-VLOOKUP(DN$3,'Non-Embedded Emissions'!$A$56:$D$90,3,FALSE)-VLOOKUP(DN$3,'Non-Embedded Emissions'!$A$143:$D$174,3,FALSE)-VLOOKUP(DN$3,'Non-Embedded Emissions'!$A$230:$D$259,3,FALSE)), $C29 = "0", 0), 0)</f>
        <v>0</v>
      </c>
      <c r="DT29" s="344">
        <f>IFERROR(_xlfn.IFS($C29="1",('Inputs-System'!$C$30*'Coincidence Factors'!$B$5*(1+'Inputs-System'!$C$18)*(1+'Inputs-System'!$C$41)*('Inputs-Proposals'!$G$17*'Inputs-Proposals'!$G$19*(1-'Inputs-Proposals'!$G$20))*(VLOOKUP(DT$3,Energy!$A$51:$K$83,5,FALSE)-VLOOKUP(DT$3,Energy!$A$51:$K$83,6,FALSE))), $C29 = "2",('Inputs-System'!$C$30*'Coincidence Factors'!$B$5)*(1+'Inputs-System'!$C$18)*(1+'Inputs-System'!$C$41)*('Inputs-Proposals'!$G$23*'Inputs-Proposals'!$G$25*(1-'Inputs-Proposals'!$G$26))*(VLOOKUP(DT$3,Energy!$A$51:$K$83,5,FALSE)-VLOOKUP(DT$3,Energy!$A$51:$K$83,6,FALSE)), $C29= "3", ('Inputs-System'!$C$30*'Coincidence Factors'!$B$5*(1+'Inputs-System'!$C$18)*(1+'Inputs-System'!$C$41)*('Inputs-Proposals'!$G$29*'Inputs-Proposals'!$G$31*(1-'Inputs-Proposals'!$G$32))*(VLOOKUP(DT$3,Energy!$A$51:$K$83,5,FALSE)-VLOOKUP(DT$3,Energy!$A$51:$K$83,6,FALSE))), $C29= "0", 0), 0)</f>
        <v>0</v>
      </c>
      <c r="DU29" s="100">
        <f>IFERROR(_xlfn.IFS($C29="1", 'Inputs-System'!$C$30*'Coincidence Factors'!$B$5*(1+'Inputs-System'!$C$18)*(1+'Inputs-System'!$C$41)*'Inputs-Proposals'!$G$17*'Inputs-Proposals'!$G$19*(1-'Inputs-Proposals'!$G$20)*(VLOOKUP(DT$3,'Embedded Emissions'!$A$47:$B$78,2,FALSE)+VLOOKUP(DT$3,'Embedded Emissions'!$A$129:$B$158,2,FALSE)), $C29 = "2",'Inputs-System'!$C$30*'Coincidence Factors'!$B$5*(1+'Inputs-System'!$C$18)*(1+'Inputs-System'!$C$41)*'Inputs-Proposals'!$G$23*'Inputs-Proposals'!$G$25*(1-'Inputs-Proposals'!$G$20)*(VLOOKUP(DT$3,'Embedded Emissions'!$A$47:$B$78,2,FALSE)+VLOOKUP(DT$3,'Embedded Emissions'!$A$129:$B$158,2,FALSE)), $C29 = "3", 'Inputs-System'!$C$30*'Coincidence Factors'!$B$5*(1+'Inputs-System'!$C$18)*(1+'Inputs-System'!$C$41)*'Inputs-Proposals'!$G$29*'Inputs-Proposals'!$G$31*(1-'Inputs-Proposals'!$G$20)*(VLOOKUP(DT$3,'Embedded Emissions'!$A$47:$B$78,2,FALSE)+VLOOKUP(DT$3,'Embedded Emissions'!$A$129:$B$158,2,FALSE)), $C29 = "0", 0), 0)</f>
        <v>0</v>
      </c>
      <c r="DV29" s="44">
        <f>IFERROR(_xlfn.IFS($C29="1",( 'Inputs-System'!$C$30*'Coincidence Factors'!$B$5*(1+'Inputs-System'!$C$18)*(1+'Inputs-System'!$C$41))*('Inputs-Proposals'!$G$17*'Inputs-Proposals'!$G$19*(1-'Inputs-Proposals'!$G$20))*(VLOOKUP(DT$3,DRIPE!$A$54:$I$82,5,FALSE)-VLOOKUP(DT$3,DRIPE!$A$54:$I$82,6,FALSE)+VLOOKUP(DT$3,DRIPE!$A$54:$I$82,9,FALSE))+ ('Inputs-System'!$C$26*'Coincidence Factors'!$B$5*(1+'Inputs-System'!$C$18)*(1+'Inputs-System'!$C$42))*'Inputs-Proposals'!$G$16*VLOOKUP(DT$3,DRIPE!$A$54:$I$80,8,FALSE), $C29 = "2",( 'Inputs-System'!$C$30*'Coincidence Factors'!$B$5*(1+'Inputs-System'!$C$18)*(1+'Inputs-System'!$C$41))*('Inputs-Proposals'!$G$23*'Inputs-Proposals'!$G$25*(1-'Inputs-Proposals'!$G$26))*(VLOOKUP(DT$3,DRIPE!$A$54:$I$82,5,FALSE)-VLOOKUP(DT$3,DRIPE!$A$54:$I$82,6,FALSE)+VLOOKUP(DT$3,DRIPE!$A$54:$I$82,9,FALSE))+ ('Inputs-System'!$C$26*'Coincidence Factors'!$B$5*(1+'Inputs-System'!$C$18)*(1+'Inputs-System'!$C$41))+ ('Inputs-System'!$C$26*'Coincidence Factors'!$B$5)*'Inputs-Proposals'!$G$22*VLOOKUP(DT$3,DRIPE!$A$54:$I$80,8,FALSE), $C29= "3", ('Inputs-System'!$C$30*'Coincidence Factors'!$B$5)*('Inputs-Proposals'!$G$29*'Inputs-Proposals'!$G$31*(1-'Inputs-Proposals'!$G$32))*(VLOOKUP(DT$3,DRIPE!$A$54:$I$80,5,FALSE)-VLOOKUP(DT$3,DRIPE!$A$54:$I$80,6,FALSE)+VLOOKUP(DT$3,DRIPE!$A$54:$I$80,9,FALSE))+ ('Inputs-System'!$C$26*'Coincidence Factors'!$B$5*(1+'Inputs-System'!$C$18)*(1+'Inputs-System'!$C$42))*'Inputs-Proposals'!$G$28*VLOOKUP(DT$3,DRIPE!$A$54:$I$80,8,FALSE), $C29 = "0", 0), 0)</f>
        <v>0</v>
      </c>
      <c r="DW29" s="45">
        <f>IFERROR(_xlfn.IFS($C29="1",('Inputs-System'!$C$26*'Coincidence Factors'!$B$5*(1+'Inputs-System'!$C$18)*(1+'Inputs-System'!$C$42))*'Inputs-Proposals'!$G$16*(VLOOKUP(DT$3,Capacity!$A$53:$E$85,4,FALSE)*(1+'Inputs-System'!$C$42)+VLOOKUP(DT$3,Capacity!$A$53:$E$85,5,FALSE)*(1+'Inputs-System'!$C$43)*'Inputs-System'!$C$29), $C29 = "2", ('Inputs-System'!$C$26*'Coincidence Factors'!$B$5*(1+'Inputs-System'!$C$18))*'Inputs-Proposals'!$G$22*(VLOOKUP(DT$3,Capacity!$A$53:$E$85,4,FALSE)*(1+'Inputs-System'!$C$42)+VLOOKUP(DT$3,Capacity!$A$53:$E$85,5,FALSE)*'Inputs-System'!$C$29*(1+'Inputs-System'!$C$43)), $C29 = "3", ('Inputs-System'!$C$26*'Coincidence Factors'!$B$5*(1+'Inputs-System'!$C$18))*'Inputs-Proposals'!$G$28*(VLOOKUP(DT$3,Capacity!$A$53:$E$85,4,FALSE)*(1+'Inputs-System'!$C$42)+VLOOKUP(DT$3,Capacity!$A$53:$E$85,5,FALSE)*'Inputs-System'!$C$29*(1+'Inputs-System'!$C$43)), $C29 = "0", 0), 0)</f>
        <v>0</v>
      </c>
      <c r="DX29" s="100">
        <v>0</v>
      </c>
      <c r="DY29" s="346">
        <f>IFERROR(_xlfn.IFS($C29="1", 'Inputs-System'!$C$30*'Coincidence Factors'!$B$5*'Inputs-Proposals'!$G$17*'Inputs-Proposals'!$G$19*(VLOOKUP(DT$3,'Non-Embedded Emissions'!$A$56:$D$90,2,FALSE)+VLOOKUP(DT$3,'Non-Embedded Emissions'!$A$143:$D$174,2,FALSE)+VLOOKUP(DT$3,'Non-Embedded Emissions'!$A$230:$D$259,2,FALSE)-VLOOKUP(DT$3,'Non-Embedded Emissions'!$A$56:$D$90,3,FALSE)-VLOOKUP(DT$3,'Non-Embedded Emissions'!$A$143:$D$174,3,FALSE)-VLOOKUP(DT$3,'Non-Embedded Emissions'!$A$230:$D$259,3,FALSE)), $C29 = "2", 'Inputs-System'!$C$30*'Coincidence Factors'!$B$5*'Inputs-Proposals'!$G$23*'Inputs-Proposals'!$G$25*(VLOOKUP(DT$3,'Non-Embedded Emissions'!$A$56:$D$90,2,FALSE)+VLOOKUP(DT$3,'Non-Embedded Emissions'!$A$143:$D$174,2,FALSE)+VLOOKUP(DT$3,'Non-Embedded Emissions'!$A$230:$D$259,2,FALSE)-VLOOKUP(DT$3,'Non-Embedded Emissions'!$A$56:$D$90,3,FALSE)-VLOOKUP(DT$3,'Non-Embedded Emissions'!$A$143:$D$174,3,FALSE)-VLOOKUP(DT$3,'Non-Embedded Emissions'!$A$230:$D$259,3,FALSE)), $C29 = "3", 'Inputs-System'!$C$30*'Coincidence Factors'!$B$5*'Inputs-Proposals'!$G$29*'Inputs-Proposals'!$G$31*(VLOOKUP(DT$3,'Non-Embedded Emissions'!$A$56:$D$90,2,FALSE)+VLOOKUP(DT$3,'Non-Embedded Emissions'!$A$143:$D$174,2,FALSE)+VLOOKUP(DT$3,'Non-Embedded Emissions'!$A$230:$D$259,2,FALSE)-VLOOKUP(DT$3,'Non-Embedded Emissions'!$A$56:$D$90,3,FALSE)-VLOOKUP(DT$3,'Non-Embedded Emissions'!$A$143:$D$174,3,FALSE)-VLOOKUP(DT$3,'Non-Embedded Emissions'!$A$230:$D$259,3,FALSE)), $C29 = "0", 0), 0)</f>
        <v>0</v>
      </c>
      <c r="DZ29" s="344">
        <f>IFERROR(_xlfn.IFS($C29="1",('Inputs-System'!$C$30*'Coincidence Factors'!$B$5*(1+'Inputs-System'!$C$18)*(1+'Inputs-System'!$C$41)*('Inputs-Proposals'!$G$17*'Inputs-Proposals'!$G$19*(1-'Inputs-Proposals'!$G$20))*(VLOOKUP(DZ$3,Energy!$A$51:$K$83,5,FALSE)-VLOOKUP(DZ$3,Energy!$A$51:$K$83,6,FALSE))), $C29 = "2",('Inputs-System'!$C$30*'Coincidence Factors'!$B$5)*(1+'Inputs-System'!$C$18)*(1+'Inputs-System'!$C$41)*('Inputs-Proposals'!$G$23*'Inputs-Proposals'!$G$25*(1-'Inputs-Proposals'!$G$26))*(VLOOKUP(DZ$3,Energy!$A$51:$K$83,5,FALSE)-VLOOKUP(DZ$3,Energy!$A$51:$K$83,6,FALSE)), $C29= "3", ('Inputs-System'!$C$30*'Coincidence Factors'!$B$5*(1+'Inputs-System'!$C$18)*(1+'Inputs-System'!$C$41)*('Inputs-Proposals'!$G$29*'Inputs-Proposals'!$G$31*(1-'Inputs-Proposals'!$G$32))*(VLOOKUP(DZ$3,Energy!$A$51:$K$83,5,FALSE)-VLOOKUP(DZ$3,Energy!$A$51:$K$83,6,FALSE))), $C29= "0", 0), 0)</f>
        <v>0</v>
      </c>
      <c r="EA29" s="100">
        <f>IFERROR(_xlfn.IFS($C29="1", 'Inputs-System'!$C$30*'Coincidence Factors'!$B$5*(1+'Inputs-System'!$C$18)*(1+'Inputs-System'!$C$41)*'Inputs-Proposals'!$G$17*'Inputs-Proposals'!$G$19*(1-'Inputs-Proposals'!$G$20)*(VLOOKUP(DZ$3,'Embedded Emissions'!$A$47:$B$78,2,FALSE)+VLOOKUP(DZ$3,'Embedded Emissions'!$A$129:$B$158,2,FALSE)), $C29 = "2",'Inputs-System'!$C$30*'Coincidence Factors'!$B$5*(1+'Inputs-System'!$C$18)*(1+'Inputs-System'!$C$41)*'Inputs-Proposals'!$G$23*'Inputs-Proposals'!$G$25*(1-'Inputs-Proposals'!$G$20)*(VLOOKUP(DZ$3,'Embedded Emissions'!$A$47:$B$78,2,FALSE)+VLOOKUP(DZ$3,'Embedded Emissions'!$A$129:$B$158,2,FALSE)), $C29 = "3", 'Inputs-System'!$C$30*'Coincidence Factors'!$B$5*(1+'Inputs-System'!$C$18)*(1+'Inputs-System'!$C$41)*'Inputs-Proposals'!$G$29*'Inputs-Proposals'!$G$31*(1-'Inputs-Proposals'!$G$20)*(VLOOKUP(DZ$3,'Embedded Emissions'!$A$47:$B$78,2,FALSE)+VLOOKUP(DZ$3,'Embedded Emissions'!$A$129:$B$158,2,FALSE)), $C29 = "0", 0), 0)</f>
        <v>0</v>
      </c>
      <c r="EB29" s="44">
        <f>IFERROR(_xlfn.IFS($C29="1",( 'Inputs-System'!$C$30*'Coincidence Factors'!$B$5*(1+'Inputs-System'!$C$18)*(1+'Inputs-System'!$C$41))*('Inputs-Proposals'!$G$17*'Inputs-Proposals'!$G$19*(1-'Inputs-Proposals'!$G$20))*(VLOOKUP(DZ$3,DRIPE!$A$54:$I$82,5,FALSE)-VLOOKUP(DZ$3,DRIPE!$A$54:$I$82,6,FALSE)+VLOOKUP(DZ$3,DRIPE!$A$54:$I$82,9,FALSE))+ ('Inputs-System'!$C$26*'Coincidence Factors'!$B$5*(1+'Inputs-System'!$C$18)*(1+'Inputs-System'!$C$42))*'Inputs-Proposals'!$G$16*VLOOKUP(DZ$3,DRIPE!$A$54:$I$80,8,FALSE), $C29 = "2",( 'Inputs-System'!$C$30*'Coincidence Factors'!$B$5*(1+'Inputs-System'!$C$18)*(1+'Inputs-System'!$C$41))*('Inputs-Proposals'!$G$23*'Inputs-Proposals'!$G$25*(1-'Inputs-Proposals'!$G$26))*(VLOOKUP(DZ$3,DRIPE!$A$54:$I$82,5,FALSE)-VLOOKUP(DZ$3,DRIPE!$A$54:$I$82,6,FALSE)+VLOOKUP(DZ$3,DRIPE!$A$54:$I$82,9,FALSE))+ ('Inputs-System'!$C$26*'Coincidence Factors'!$B$5*(1+'Inputs-System'!$C$18)*(1+'Inputs-System'!$C$41))+ ('Inputs-System'!$C$26*'Coincidence Factors'!$B$5)*'Inputs-Proposals'!$G$22*VLOOKUP(DZ$3,DRIPE!$A$54:$I$80,8,FALSE), $C29= "3", ('Inputs-System'!$C$30*'Coincidence Factors'!$B$5)*('Inputs-Proposals'!$G$29*'Inputs-Proposals'!$G$31*(1-'Inputs-Proposals'!$G$32))*(VLOOKUP(DZ$3,DRIPE!$A$54:$I$80,5,FALSE)-VLOOKUP(DZ$3,DRIPE!$A$54:$I$80,6,FALSE)+VLOOKUP(DZ$3,DRIPE!$A$54:$I$80,9,FALSE))+ ('Inputs-System'!$C$26*'Coincidence Factors'!$B$5*(1+'Inputs-System'!$C$18)*(1+'Inputs-System'!$C$42))*'Inputs-Proposals'!$G$28*VLOOKUP(DZ$3,DRIPE!$A$54:$I$80,8,FALSE), $C29 = "0", 0), 0)</f>
        <v>0</v>
      </c>
      <c r="EC29" s="45">
        <f>IFERROR(_xlfn.IFS($C29="1",('Inputs-System'!$C$26*'Coincidence Factors'!$B$5*(1+'Inputs-System'!$C$18)*(1+'Inputs-System'!$C$42))*'Inputs-Proposals'!$G$16*(VLOOKUP(DZ$3,Capacity!$A$53:$E$85,4,FALSE)*(1+'Inputs-System'!$C$42)+VLOOKUP(DZ$3,Capacity!$A$53:$E$85,5,FALSE)*(1+'Inputs-System'!$C$43)*'Inputs-System'!$C$29), $C29 = "2", ('Inputs-System'!$C$26*'Coincidence Factors'!$B$5*(1+'Inputs-System'!$C$18))*'Inputs-Proposals'!$G$22*(VLOOKUP(DZ$3,Capacity!$A$53:$E$85,4,FALSE)*(1+'Inputs-System'!$C$42)+VLOOKUP(DZ$3,Capacity!$A$53:$E$85,5,FALSE)*'Inputs-System'!$C$29*(1+'Inputs-System'!$C$43)), $C29 = "3", ('Inputs-System'!$C$26*'Coincidence Factors'!$B$5*(1+'Inputs-System'!$C$18))*'Inputs-Proposals'!$G$28*(VLOOKUP(DZ$3,Capacity!$A$53:$E$85,4,FALSE)*(1+'Inputs-System'!$C$42)+VLOOKUP(DZ$3,Capacity!$A$53:$E$85,5,FALSE)*'Inputs-System'!$C$29*(1+'Inputs-System'!$C$43)), $C29 = "0", 0), 0)</f>
        <v>0</v>
      </c>
      <c r="ED29" s="100">
        <v>0</v>
      </c>
      <c r="EE29" s="346">
        <f>IFERROR(_xlfn.IFS($C29="1", 'Inputs-System'!$C$30*'Coincidence Factors'!$B$5*'Inputs-Proposals'!$G$17*'Inputs-Proposals'!$G$19*(VLOOKUP(DZ$3,'Non-Embedded Emissions'!$A$56:$D$90,2,FALSE)+VLOOKUP(DZ$3,'Non-Embedded Emissions'!$A$143:$D$174,2,FALSE)+VLOOKUP(DZ$3,'Non-Embedded Emissions'!$A$230:$D$259,2,FALSE)-VLOOKUP(DZ$3,'Non-Embedded Emissions'!$A$56:$D$90,3,FALSE)-VLOOKUP(DZ$3,'Non-Embedded Emissions'!$A$143:$D$174,3,FALSE)-VLOOKUP(DZ$3,'Non-Embedded Emissions'!$A$230:$D$259,3,FALSE)), $C29 = "2", 'Inputs-System'!$C$30*'Coincidence Factors'!$B$5*'Inputs-Proposals'!$G$23*'Inputs-Proposals'!$G$25*(VLOOKUP(DZ$3,'Non-Embedded Emissions'!$A$56:$D$90,2,FALSE)+VLOOKUP(DZ$3,'Non-Embedded Emissions'!$A$143:$D$174,2,FALSE)+VLOOKUP(DZ$3,'Non-Embedded Emissions'!$A$230:$D$259,2,FALSE)-VLOOKUP(DZ$3,'Non-Embedded Emissions'!$A$56:$D$90,3,FALSE)-VLOOKUP(DZ$3,'Non-Embedded Emissions'!$A$143:$D$174,3,FALSE)-VLOOKUP(DZ$3,'Non-Embedded Emissions'!$A$230:$D$259,3,FALSE)), $C29 = "3", 'Inputs-System'!$C$30*'Coincidence Factors'!$B$5*'Inputs-Proposals'!$G$29*'Inputs-Proposals'!$G$31*(VLOOKUP(DZ$3,'Non-Embedded Emissions'!$A$56:$D$90,2,FALSE)+VLOOKUP(DZ$3,'Non-Embedded Emissions'!$A$143:$D$174,2,FALSE)+VLOOKUP(DZ$3,'Non-Embedded Emissions'!$A$230:$D$259,2,FALSE)-VLOOKUP(DZ$3,'Non-Embedded Emissions'!$A$56:$D$90,3,FALSE)-VLOOKUP(DZ$3,'Non-Embedded Emissions'!$A$143:$D$174,3,FALSE)-VLOOKUP(DZ$3,'Non-Embedded Emissions'!$A$230:$D$259,3,FALSE)), $C29 = "0", 0), 0)</f>
        <v>0</v>
      </c>
    </row>
    <row r="30" spans="1:135" x14ac:dyDescent="0.35">
      <c r="A30" s="708"/>
      <c r="B30" s="3" t="s">
        <v>158</v>
      </c>
      <c r="C30" s="3" t="str">
        <f>IFERROR(_xlfn.IFS('Benefits Calc'!B30='Inputs-Proposals'!$G$15, "1", 'Benefits Calc'!B30='Inputs-Proposals'!$G$21, "2", 'Benefits Calc'!B30='Inputs-Proposals'!$G$27, "3"), "0")</f>
        <v>0</v>
      </c>
      <c r="D30" s="323">
        <f t="shared" si="0"/>
        <v>0</v>
      </c>
      <c r="E30" s="44">
        <f t="shared" si="1"/>
        <v>0</v>
      </c>
      <c r="F30" s="44">
        <f t="shared" si="2"/>
        <v>0</v>
      </c>
      <c r="G30" s="44">
        <f t="shared" si="3"/>
        <v>0</v>
      </c>
      <c r="H30" s="44">
        <f t="shared" si="4"/>
        <v>0</v>
      </c>
      <c r="I30" s="44">
        <f t="shared" si="5"/>
        <v>0</v>
      </c>
      <c r="J30" s="323">
        <f>NPV('Inputs-System'!$C$20,P30+V30+AB30+AH30+AN30+AT30+AZ30+BF30+BL30+BR30+BX30+CD30+CJ30+CP30+CV30+DB30+DH30+DN30+DT30+DZ30)</f>
        <v>0</v>
      </c>
      <c r="K30" s="44">
        <f>NPV('Inputs-System'!$C$20,Q30+W30+AC30+AI30+AO30+AU30+BA30+BG30+BM30+BS30+BY30+CE30+CK30+CQ30+CW30+DC30+DI30+DO30+DU30+EA30)</f>
        <v>0</v>
      </c>
      <c r="L30" s="44">
        <f>NPV('Inputs-System'!$C$20,R30+X30+AD30+AJ30+AP30+AV30+BB30+BH30+BN30+BT30+BZ30+CF30+CL30+CR30+CX30+DD30+DJ30+DP30+DV30+EB30)</f>
        <v>0</v>
      </c>
      <c r="M30" s="44">
        <f>NPV('Inputs-System'!$C$20,S30+Y30+AE30+AK30+AQ30+AW30+BC30+BI30+BO30+BU30+CA30+CG30+CM30+CS30+CY30+DE30+DK30+DQ30+DW30+EC30)</f>
        <v>0</v>
      </c>
      <c r="N30" s="44">
        <f>NPV('Inputs-System'!$C$20,T30+Z30+AF30+AL30+AR30+AX30+BD30+BJ30+BP30+BV30+CB30+CH30+CN30+CT30+CZ30+DF30+DL30+DR30+DX30+ED30)</f>
        <v>0</v>
      </c>
      <c r="O30" s="119">
        <f>NPV('Inputs-System'!$C$20,U30+AA30+AG30+AM30+AS30+AY30+BE30+BK30+BQ30+BW30+CC30+CI30+CO30+CU30+DA30+DG30+DM30+DS30+DY30+EE30)</f>
        <v>0</v>
      </c>
      <c r="P30" s="45">
        <f>IFERROR(_xlfn.IFS($C30="1",('Inputs-System'!$C$30*'Coincidence Factors'!$B$6*(1+'Inputs-System'!$C$18)*(1+'Inputs-System'!$C$41)*('Inputs-Proposals'!$G$17*'Inputs-Proposals'!$G$19*(1-'Inputs-Proposals'!$G$20^(P$3-'Inputs-System'!$C$7+1)))*(VLOOKUP(P$3,Energy!$A$51:$K$83,5,FALSE))), $C30 = "2",('Inputs-System'!$C$30*'Coincidence Factors'!$B$6)*(1+'Inputs-System'!$C$18)*(1+'Inputs-System'!$C$41)*('Inputs-Proposals'!$G$23*'Inputs-Proposals'!$G$25*(1-'Inputs-Proposals'!$G$26^(P$3-'Inputs-System'!$C$7+1)))*(VLOOKUP(P$3,Energy!$A$51:$K$83,5,FALSE)), $C30= "3", ('Inputs-System'!$C$30*'Coincidence Factors'!$B$6*(1+'Inputs-System'!$C$18)*(1+'Inputs-System'!$C$41)*('Inputs-Proposals'!$G$29*'Inputs-Proposals'!$G$31*(1-'Inputs-Proposals'!$G$32^(P$3-'Inputs-System'!$C$7+1)))*(VLOOKUP(P$3,Energy!$A$51:$K$83,5,FALSE))), $C30= "0", 0), 0)</f>
        <v>0</v>
      </c>
      <c r="Q30" s="44">
        <f>IFERROR(_xlfn.IFS($C30="1",('Inputs-System'!$C$30*'Coincidence Factors'!$B$6*(1+'Inputs-System'!$C$18)*(1+'Inputs-System'!$C$41))*'Inputs-Proposals'!$G$17*'Inputs-Proposals'!$G$19*(1-'Inputs-Proposals'!$G$20^(P$3-'Inputs-System'!$C$7+1))*(VLOOKUP(P$3,'Embedded Emissions'!$A$47:$B$78,2,FALSE)+VLOOKUP(P$3,'Embedded Emissions'!$A$129:$B$158,2,FALSE)), $C30 = "2",('Inputs-System'!$C$30*'Coincidence Factors'!$B$6*(1+'Inputs-System'!$C$18)*(1+'Inputs-System'!$C$41))*'Inputs-Proposals'!$G$23*'Inputs-Proposals'!$G$25*(1-'Inputs-Proposals'!$G$20^(P$3-'Inputs-System'!$C$7+1))*(VLOOKUP(P$3,'Embedded Emissions'!$A$47:$B$78,2,FALSE)+VLOOKUP(P$3,'Embedded Emissions'!$A$129:$B$158,2,FALSE)), $C30 = "3", ('Inputs-System'!$C$30*'Coincidence Factors'!$B$6*(1+'Inputs-System'!$C$18)*(1+'Inputs-System'!$C$41))*'Inputs-Proposals'!$G$29*'Inputs-Proposals'!$G$31*(1-'Inputs-Proposals'!$G$20^(P$3-'Inputs-System'!$C$7+1))*(VLOOKUP(P$3,'Embedded Emissions'!$A$47:$B$78,2,FALSE)+VLOOKUP(P$3,'Embedded Emissions'!$A$129:$B$158,2,FALSE)), $C30 = "0", 0), 0)</f>
        <v>0</v>
      </c>
      <c r="R30" s="44">
        <f>IFERROR(_xlfn.IFS($C30="1",( 'Inputs-System'!$C$30*'Coincidence Factors'!$B$6*(1+'Inputs-System'!$C$18)*(1+'Inputs-System'!$C$41))*('Inputs-Proposals'!$G$17*'Inputs-Proposals'!$G$19*(1-'Inputs-Proposals'!$G$20)^(P$3-'Inputs-System'!$C$7))*(VLOOKUP(P$3,DRIPE!$A$54:$I$82,5,FALSE)+VLOOKUP(P$3,DRIPE!$A$54:$I$82,9,FALSE))+ ('Inputs-System'!$C$26*'Coincidence Factors'!$B$6*(1+'Inputs-System'!$C$18)*(1+'Inputs-System'!$C$42))*'Inputs-Proposals'!$G$16*VLOOKUP(P$3,DRIPE!$A$54:$I$82,8,FALSE), $C30 = "2",( 'Inputs-System'!$C$30*'Coincidence Factors'!$B$6*(1+'Inputs-System'!$C$18)*(1+'Inputs-System'!$C$41))*('Inputs-Proposals'!$G$23*'Inputs-Proposals'!$G$25*(1-'Inputs-Proposals'!$G$26)^(P$3-'Inputs-System'!$C$7))*(VLOOKUP(P$3,DRIPE!$A$54:$I$82,5,FALSE)+VLOOKUP(P$3,DRIPE!$A$54:$I$82,9,FALSE))+ ('Inputs-System'!$C$26*'Coincidence Factors'!$B$6*(1+'Inputs-System'!$C$18)*(1+'Inputs-System'!$C$42))*'Inputs-Proposals'!$G$22*VLOOKUP(P$3,DRIPE!$A$54:$I$82,8,FALSE), $C30= "3", ( 'Inputs-System'!$C$30*'Coincidence Factors'!$B$6*(1+'Inputs-System'!$C$18)*(1+'Inputs-System'!$C$41))*('Inputs-Proposals'!$G$29*'Inputs-Proposals'!$G$31*(1-'Inputs-Proposals'!$G$32)^(P$3-'Inputs-System'!$C$7))*(VLOOKUP(P$3,DRIPE!$A$54:$I$82,5,FALSE)+VLOOKUP(P$3,DRIPE!$A$54:$I$82,9,FALSE))+ ('Inputs-System'!$C$26*'Coincidence Factors'!$B$6*(1+'Inputs-System'!$C$18)*(1+'Inputs-System'!$C$42))*'Inputs-Proposals'!$G$28*VLOOKUP(P$3,DRIPE!$A$54:$I$82,8,FALSE), $C30 = "0", 0), 0)</f>
        <v>0</v>
      </c>
      <c r="S30" s="45">
        <f>IFERROR(_xlfn.IFS($C30="1",('Inputs-System'!$C$26*'Coincidence Factors'!$B$6*(1+'Inputs-System'!$C$18))*'Inputs-Proposals'!$G$16*(VLOOKUP(P$3,Capacity!$A$53:$E$85,4,FALSE)*(1+'Inputs-System'!$C$42)+VLOOKUP(P$3,Capacity!$A$53:$E$85,5,FALSE)*'Inputs-System'!$C$29*(1+'Inputs-System'!$C$43)), $C30 = "2", ('Inputs-System'!$C$26*'Coincidence Factors'!$B$6*(1+'Inputs-System'!$C$18))*'Inputs-Proposals'!$G$22*(VLOOKUP(P$3,Capacity!$A$53:$E$85,4,FALSE)*(1+'Inputs-System'!$C$42)+VLOOKUP(P$3,Capacity!$A$53:$E$85,5,FALSE)*'Inputs-System'!$C$29*(1+'Inputs-System'!$C$43)), $C30 = "3",('Inputs-System'!$C$26*'Coincidence Factors'!$B$6*(1+'Inputs-System'!$C$18))*'Inputs-Proposals'!$G$28*(VLOOKUP(P$3,Capacity!$A$53:$E$85,4,FALSE)*(1+'Inputs-System'!$C$42)+VLOOKUP(P$3,Capacity!$A$53:$E$85,5,FALSE)*'Inputs-System'!$C$29*(1+'Inputs-System'!$C$43)), $C30 = "0", 0), 0)</f>
        <v>0</v>
      </c>
      <c r="T30" s="44">
        <v>0</v>
      </c>
      <c r="U30" s="44">
        <f>IFERROR(_xlfn.IFS($C30="1", 'Inputs-System'!$C$30*'Coincidence Factors'!$B$6*'Inputs-Proposals'!$G$17*'Inputs-Proposals'!$G$19*(VLOOKUP(P$3,'Non-Embedded Emissions'!$A$56:$D$90,2,FALSE)+VLOOKUP(P$3,'Non-Embedded Emissions'!$A$143:$D$174,2,FALSE)+VLOOKUP(P$3,'Non-Embedded Emissions'!$A$230:$D$259,2,FALSE)), $C30 = "2", 'Inputs-System'!$C$30*'Coincidence Factors'!$B$6*'Inputs-Proposals'!$G$23*'Inputs-Proposals'!$G$25*(VLOOKUP(P$3,'Non-Embedded Emissions'!$A$56:$D$90,2,FALSE)+VLOOKUP(P$3,'Non-Embedded Emissions'!$A$143:$D$174,2,FALSE)+VLOOKUP(P$3,'Non-Embedded Emissions'!$A$230:$D$259,2,FALSE)), $C30 = "3", 'Inputs-System'!$C$30*'Coincidence Factors'!$B$6*'Inputs-Proposals'!$G$29*'Inputs-Proposals'!$G$31*(VLOOKUP(P$3,'Non-Embedded Emissions'!$A$56:$D$90,2,FALSE)+VLOOKUP(P$3,'Non-Embedded Emissions'!$A$143:$D$174,2,FALSE)+VLOOKUP(P$3,'Non-Embedded Emissions'!$A$230:$D$259,2,FALSE)), $C30 = "0", 0), 0)</f>
        <v>0</v>
      </c>
      <c r="V30" s="347">
        <f>IFERROR(_xlfn.IFS($C30="1",('Inputs-System'!$C$30*'Coincidence Factors'!$B$6*(1+'Inputs-System'!$C$18)*(1+'Inputs-System'!$C$41)*('Inputs-Proposals'!$G$17*'Inputs-Proposals'!$G$19*(1-'Inputs-Proposals'!$G$20^(V$3-'Inputs-System'!$C$7)))*(VLOOKUP(V$3,Energy!$A$51:$K$83,5,FALSE))), $C30 = "2",('Inputs-System'!$C$30*'Coincidence Factors'!$B$6)*(1+'Inputs-System'!$C$18)*(1+'Inputs-System'!$C$41)*('Inputs-Proposals'!$G$23*'Inputs-Proposals'!$G$25*(1-'Inputs-Proposals'!$G$26^(V$3-'Inputs-System'!$C$7)))*(VLOOKUP(V$3,Energy!$A$51:$K$83,5,FALSE)), $C30= "3", ('Inputs-System'!$C$30*'Coincidence Factors'!$B$6*(1+'Inputs-System'!$C$18)*(1+'Inputs-System'!$C$41)*('Inputs-Proposals'!$G$29*'Inputs-Proposals'!$G$31*(1-'Inputs-Proposals'!$G$32^(V$3-'Inputs-System'!$C$7)))*(VLOOKUP(V$3,Energy!$A$51:$K$83,5,FALSE))), $C30= "0", 0), 0)</f>
        <v>0</v>
      </c>
      <c r="W30" s="44">
        <f>IFERROR(_xlfn.IFS($C30="1",('Inputs-System'!$C$30*'Coincidence Factors'!$B$6*(1+'Inputs-System'!$C$18)*(1+'Inputs-System'!$C$41))*'Inputs-Proposals'!$G$17*'Inputs-Proposals'!$G$19*(1-'Inputs-Proposals'!$G$20^(V$3-'Inputs-System'!$C$7))*(VLOOKUP(V$3,'Embedded Emissions'!$A$47:$B$78,2,FALSE)+VLOOKUP(V$3,'Embedded Emissions'!$A$129:$B$158,2,FALSE)), $C30 = "2",('Inputs-System'!$C$30*'Coincidence Factors'!$B$6*(1+'Inputs-System'!$C$18)*(1+'Inputs-System'!$C$41))*'Inputs-Proposals'!$G$23*'Inputs-Proposals'!$G$25*(1-'Inputs-Proposals'!$G$20^(V$3-'Inputs-System'!$C$7))*(VLOOKUP(V$3,'Embedded Emissions'!$A$47:$B$78,2,FALSE)+VLOOKUP(V$3,'Embedded Emissions'!$A$129:$B$158,2,FALSE)), $C30 = "3", ('Inputs-System'!$C$30*'Coincidence Factors'!$B$6*(1+'Inputs-System'!$C$18)*(1+'Inputs-System'!$C$41))*'Inputs-Proposals'!$G$29*'Inputs-Proposals'!$G$31*(1-'Inputs-Proposals'!$G$20^(V$3-'Inputs-System'!$C$7))*(VLOOKUP(V$3,'Embedded Emissions'!$A$47:$B$78,2,FALSE)+VLOOKUP(V$3,'Embedded Emissions'!$A$129:$B$158,2,FALSE)), $C30 = "0", 0), 0)</f>
        <v>0</v>
      </c>
      <c r="X30" s="44">
        <f>IFERROR(_xlfn.IFS($C30="1",( 'Inputs-System'!$C$30*'Coincidence Factors'!$B$6*(1+'Inputs-System'!$C$18)*(1+'Inputs-System'!$C$41))*('Inputs-Proposals'!$G$17*'Inputs-Proposals'!$G$19*(1-'Inputs-Proposals'!$G$20)^(V$3-'Inputs-System'!$C$7))*(VLOOKUP(V$3,DRIPE!$A$54:$I$82,5,FALSE)+VLOOKUP(V$3,DRIPE!$A$54:$I$82,9,FALSE))+ ('Inputs-System'!$C$26*'Coincidence Factors'!$B$6*(1+'Inputs-System'!$C$18)*(1+'Inputs-System'!$C$42))*'Inputs-Proposals'!$G$16*VLOOKUP(V$3,DRIPE!$A$54:$I$82,8,FALSE), $C30 = "2",( 'Inputs-System'!$C$30*'Coincidence Factors'!$B$6*(1+'Inputs-System'!$C$18)*(1+'Inputs-System'!$C$41))*('Inputs-Proposals'!$G$23*'Inputs-Proposals'!$G$25*(1-'Inputs-Proposals'!$G$26)^(V$3-'Inputs-System'!$C$7))*(VLOOKUP(V$3,DRIPE!$A$54:$I$82,5,FALSE)+VLOOKUP(V$3,DRIPE!$A$54:$I$82,9,FALSE))+ ('Inputs-System'!$C$26*'Coincidence Factors'!$B$6*(1+'Inputs-System'!$C$18)*(1+'Inputs-System'!$C$42))*'Inputs-Proposals'!$G$22*VLOOKUP(V$3,DRIPE!$A$54:$I$82,8,FALSE), $C30= "3", ( 'Inputs-System'!$C$30*'Coincidence Factors'!$B$6*(1+'Inputs-System'!$C$18)*(1+'Inputs-System'!$C$41))*('Inputs-Proposals'!$G$29*'Inputs-Proposals'!$G$31*(1-'Inputs-Proposals'!$G$32)^(V$3-'Inputs-System'!$C$7))*(VLOOKUP(V$3,DRIPE!$A$54:$I$82,5,FALSE)+VLOOKUP(V$3,DRIPE!$A$54:$I$82,9,FALSE))+ ('Inputs-System'!$C$26*'Coincidence Factors'!$B$6*(1+'Inputs-System'!$C$18)*(1+'Inputs-System'!$C$42))*'Inputs-Proposals'!$G$28*VLOOKUP(V$3,DRIPE!$A$54:$I$82,8,FALSE), $C30 = "0", 0), 0)</f>
        <v>0</v>
      </c>
      <c r="Y30" s="45">
        <f>IFERROR(_xlfn.IFS($C30="1",('Inputs-System'!$C$26*'Coincidence Factors'!$B$6*(1+'Inputs-System'!$C$18))*'Inputs-Proposals'!$G$16*(VLOOKUP(V$3,Capacity!$A$53:$E$85,4,FALSE)*(1+'Inputs-System'!$C$42)+VLOOKUP(V$3,Capacity!$A$53:$E$85,5,FALSE)*'Inputs-System'!$C$29*(1+'Inputs-System'!$C$43)), $C30 = "2", ('Inputs-System'!$C$26*'Coincidence Factors'!$B$6*(1+'Inputs-System'!$C$18))*'Inputs-Proposals'!$G$22*(VLOOKUP(V$3,Capacity!$A$53:$E$85,4,FALSE)*(1+'Inputs-System'!$C$42)+VLOOKUP(V$3,Capacity!$A$53:$E$85,5,FALSE)*'Inputs-System'!$C$29*(1+'Inputs-System'!$C$43)), $C30 = "3",('Inputs-System'!$C$26*'Coincidence Factors'!$B$6*(1+'Inputs-System'!$C$18))*'Inputs-Proposals'!$G$28*(VLOOKUP(V$3,Capacity!$A$53:$E$85,4,FALSE)*(1+'Inputs-System'!$C$42)+VLOOKUP(V$3,Capacity!$A$53:$E$85,5,FALSE)*'Inputs-System'!$C$29*(1+'Inputs-System'!$C$43)), $C30 = "0", 0), 0)</f>
        <v>0</v>
      </c>
      <c r="Z30" s="44">
        <v>0</v>
      </c>
      <c r="AA30" s="342">
        <f>IFERROR(_xlfn.IFS($C30="1", 'Inputs-System'!$C$30*'Coincidence Factors'!$B$6*'Inputs-Proposals'!$G$17*'Inputs-Proposals'!$G$19*(VLOOKUP(V$3,'Non-Embedded Emissions'!$A$56:$D$90,2,FALSE)+VLOOKUP(V$3,'Non-Embedded Emissions'!$A$143:$D$174,2,FALSE)+VLOOKUP(V$3,'Non-Embedded Emissions'!$A$230:$D$259,2,FALSE)), $C30 = "2", 'Inputs-System'!$C$30*'Coincidence Factors'!$B$6*'Inputs-Proposals'!$G$23*'Inputs-Proposals'!$G$25*(VLOOKUP(V$3,'Non-Embedded Emissions'!$A$56:$D$90,2,FALSE)+VLOOKUP(V$3,'Non-Embedded Emissions'!$A$143:$D$174,2,FALSE)+VLOOKUP(V$3,'Non-Embedded Emissions'!$A$230:$D$259,2,FALSE)), $C30 = "3", 'Inputs-System'!$C$30*'Coincidence Factors'!$B$6*'Inputs-Proposals'!$G$29*'Inputs-Proposals'!$G$31*(VLOOKUP(V$3,'Non-Embedded Emissions'!$A$56:$D$90,2,FALSE)+VLOOKUP(V$3,'Non-Embedded Emissions'!$A$143:$D$174,2,FALSE)+VLOOKUP(V$3,'Non-Embedded Emissions'!$A$230:$D$259,2,FALSE)), $C30 = "0", 0), 0)</f>
        <v>0</v>
      </c>
      <c r="AB30" s="347">
        <f>IFERROR(_xlfn.IFS($C30="1",('Inputs-System'!$C$30*'Coincidence Factors'!$B$6*(1+'Inputs-System'!$C$18)*(1+'Inputs-System'!$C$41)*('Inputs-Proposals'!$G$17*'Inputs-Proposals'!$G$19*(1-'Inputs-Proposals'!$G$20^(AB$3-'Inputs-System'!$C$7)))*(VLOOKUP(AB$3,Energy!$A$51:$K$83,5,FALSE))), $C30 = "2",('Inputs-System'!$C$30*'Coincidence Factors'!$B$6)*(1+'Inputs-System'!$C$18)*(1+'Inputs-System'!$C$41)*('Inputs-Proposals'!$G$23*'Inputs-Proposals'!$G$25*(1-'Inputs-Proposals'!$G$26^(AB$3-'Inputs-System'!$C$7)))*(VLOOKUP(AB$3,Energy!$A$51:$K$83,5,FALSE)), $C30= "3", ('Inputs-System'!$C$30*'Coincidence Factors'!$B$6*(1+'Inputs-System'!$C$18)*(1+'Inputs-System'!$C$41)*('Inputs-Proposals'!$G$29*'Inputs-Proposals'!$G$31*(1-'Inputs-Proposals'!$G$32^(AB$3-'Inputs-System'!$C$7)))*(VLOOKUP(AB$3,Energy!$A$51:$K$83,5,FALSE))), $C30= "0", 0), 0)</f>
        <v>0</v>
      </c>
      <c r="AC30" s="44">
        <f>IFERROR(_xlfn.IFS($C30="1",('Inputs-System'!$C$30*'Coincidence Factors'!$B$6*(1+'Inputs-System'!$C$18)*(1+'Inputs-System'!$C$41))*'Inputs-Proposals'!$G$17*'Inputs-Proposals'!$G$19*(1-'Inputs-Proposals'!$G$20^(AB$3-'Inputs-System'!$C$7))*(VLOOKUP(AB$3,'Embedded Emissions'!$A$47:$B$78,2,FALSE)+VLOOKUP(AB$3,'Embedded Emissions'!$A$129:$B$158,2,FALSE)), $C30 = "2",('Inputs-System'!$C$30*'Coincidence Factors'!$B$6*(1+'Inputs-System'!$C$18)*(1+'Inputs-System'!$C$41))*'Inputs-Proposals'!$G$23*'Inputs-Proposals'!$G$25*(1-'Inputs-Proposals'!$G$20^(AB$3-'Inputs-System'!$C$7))*(VLOOKUP(AB$3,'Embedded Emissions'!$A$47:$B$78,2,FALSE)+VLOOKUP(AB$3,'Embedded Emissions'!$A$129:$B$158,2,FALSE)), $C30 = "3", ('Inputs-System'!$C$30*'Coincidence Factors'!$B$6*(1+'Inputs-System'!$C$18)*(1+'Inputs-System'!$C$41))*'Inputs-Proposals'!$G$29*'Inputs-Proposals'!$G$31*(1-'Inputs-Proposals'!$G$20^(AB$3-'Inputs-System'!$C$7))*(VLOOKUP(AB$3,'Embedded Emissions'!$A$47:$B$78,2,FALSE)+VLOOKUP(AB$3,'Embedded Emissions'!$A$129:$B$158,2,FALSE)), $C30 = "0", 0), 0)</f>
        <v>0</v>
      </c>
      <c r="AD30" s="44">
        <f>IFERROR(_xlfn.IFS($C30="1",( 'Inputs-System'!$C$30*'Coincidence Factors'!$B$6*(1+'Inputs-System'!$C$18)*(1+'Inputs-System'!$C$41))*('Inputs-Proposals'!$G$17*'Inputs-Proposals'!$G$19*(1-'Inputs-Proposals'!$G$20)^(AB$3-'Inputs-System'!$C$7))*(VLOOKUP(AB$3,DRIPE!$A$54:$I$82,5,FALSE)+VLOOKUP(AB$3,DRIPE!$A$54:$I$82,9,FALSE))+ ('Inputs-System'!$C$26*'Coincidence Factors'!$B$6*(1+'Inputs-System'!$C$18)*(1+'Inputs-System'!$C$42))*'Inputs-Proposals'!$G$16*VLOOKUP(AB$3,DRIPE!$A$54:$I$82,8,FALSE), $C30 = "2",( 'Inputs-System'!$C$30*'Coincidence Factors'!$B$6*(1+'Inputs-System'!$C$18)*(1+'Inputs-System'!$C$41))*('Inputs-Proposals'!$G$23*'Inputs-Proposals'!$G$25*(1-'Inputs-Proposals'!$G$26)^(AB$3-'Inputs-System'!$C$7))*(VLOOKUP(AB$3,DRIPE!$A$54:$I$82,5,FALSE)+VLOOKUP(AB$3,DRIPE!$A$54:$I$82,9,FALSE))+ ('Inputs-System'!$C$26*'Coincidence Factors'!$B$6*(1+'Inputs-System'!$C$18)*(1+'Inputs-System'!$C$42))*'Inputs-Proposals'!$G$22*VLOOKUP(AB$3,DRIPE!$A$54:$I$82,8,FALSE), $C30= "3", ( 'Inputs-System'!$C$30*'Coincidence Factors'!$B$6*(1+'Inputs-System'!$C$18)*(1+'Inputs-System'!$C$41))*('Inputs-Proposals'!$G$29*'Inputs-Proposals'!$G$31*(1-'Inputs-Proposals'!$G$32)^(AB$3-'Inputs-System'!$C$7))*(VLOOKUP(AB$3,DRIPE!$A$54:$I$82,5,FALSE)+VLOOKUP(AB$3,DRIPE!$A$54:$I$82,9,FALSE))+ ('Inputs-System'!$C$26*'Coincidence Factors'!$B$6*(1+'Inputs-System'!$C$18)*(1+'Inputs-System'!$C$42))*'Inputs-Proposals'!$G$28*VLOOKUP(AB$3,DRIPE!$A$54:$I$82,8,FALSE), $C30 = "0", 0), 0)</f>
        <v>0</v>
      </c>
      <c r="AE30" s="45">
        <f>IFERROR(_xlfn.IFS($C30="1",('Inputs-System'!$C$26*'Coincidence Factors'!$B$6*(1+'Inputs-System'!$C$18))*'Inputs-Proposals'!$G$16*(VLOOKUP(AB$3,Capacity!$A$53:$E$85,4,FALSE)*(1+'Inputs-System'!$C$42)+VLOOKUP(AB$3,Capacity!$A$53:$E$85,5,FALSE)*'Inputs-System'!$C$29*(1+'Inputs-System'!$C$43)), $C30 = "2", ('Inputs-System'!$C$26*'Coincidence Factors'!$B$6*(1+'Inputs-System'!$C$18))*'Inputs-Proposals'!$G$22*(VLOOKUP(AB$3,Capacity!$A$53:$E$85,4,FALSE)*(1+'Inputs-System'!$C$42)+VLOOKUP(AB$3,Capacity!$A$53:$E$85,5,FALSE)*'Inputs-System'!$C$29*(1+'Inputs-System'!$C$43)), $C30 = "3",('Inputs-System'!$C$26*'Coincidence Factors'!$B$6*(1+'Inputs-System'!$C$18))*'Inputs-Proposals'!$G$28*(VLOOKUP(AB$3,Capacity!$A$53:$E$85,4,FALSE)*(1+'Inputs-System'!$C$42)+VLOOKUP(AB$3,Capacity!$A$53:$E$85,5,FALSE)*'Inputs-System'!$C$29*(1+'Inputs-System'!$C$43)), $C30 = "0", 0), 0)</f>
        <v>0</v>
      </c>
      <c r="AF30" s="44">
        <v>0</v>
      </c>
      <c r="AG30" s="342">
        <f>IFERROR(_xlfn.IFS($C30="1", 'Inputs-System'!$C$30*'Coincidence Factors'!$B$6*'Inputs-Proposals'!$G$17*'Inputs-Proposals'!$G$19*(VLOOKUP(AB$3,'Non-Embedded Emissions'!$A$56:$D$90,2,FALSE)+VLOOKUP(AB$3,'Non-Embedded Emissions'!$A$143:$D$174,2,FALSE)+VLOOKUP(AB$3,'Non-Embedded Emissions'!$A$230:$D$259,2,FALSE)), $C30 = "2", 'Inputs-System'!$C$30*'Coincidence Factors'!$B$6*'Inputs-Proposals'!$G$23*'Inputs-Proposals'!$G$25*(VLOOKUP(AB$3,'Non-Embedded Emissions'!$A$56:$D$90,2,FALSE)+VLOOKUP(AB$3,'Non-Embedded Emissions'!$A$143:$D$174,2,FALSE)+VLOOKUP(AB$3,'Non-Embedded Emissions'!$A$230:$D$259,2,FALSE)), $C30 = "3", 'Inputs-System'!$C$30*'Coincidence Factors'!$B$6*'Inputs-Proposals'!$G$29*'Inputs-Proposals'!$G$31*(VLOOKUP(AB$3,'Non-Embedded Emissions'!$A$56:$D$90,2,FALSE)+VLOOKUP(AB$3,'Non-Embedded Emissions'!$A$143:$D$174,2,FALSE)+VLOOKUP(AB$3,'Non-Embedded Emissions'!$A$230:$D$259,2,FALSE)), $C30 = "0", 0), 0)</f>
        <v>0</v>
      </c>
      <c r="AH30" s="347">
        <f>IFERROR(_xlfn.IFS($C30="1",('Inputs-System'!$C$30*'Coincidence Factors'!$B$6*(1+'Inputs-System'!$C$18)*(1+'Inputs-System'!$C$41)*('Inputs-Proposals'!$G$17*'Inputs-Proposals'!$G$19*(1-'Inputs-Proposals'!$G$20^(AH$3-'Inputs-System'!$C$7)))*(VLOOKUP(AH$3,Energy!$A$51:$K$83,5,FALSE))), $C30 = "2",('Inputs-System'!$C$30*'Coincidence Factors'!$B$6)*(1+'Inputs-System'!$C$18)*(1+'Inputs-System'!$C$41)*('Inputs-Proposals'!$G$23*'Inputs-Proposals'!$G$25*(1-'Inputs-Proposals'!$G$26^(AH$3-'Inputs-System'!$C$7)))*(VLOOKUP(AH$3,Energy!$A$51:$K$83,5,FALSE)), $C30= "3", ('Inputs-System'!$C$30*'Coincidence Factors'!$B$6*(1+'Inputs-System'!$C$18)*(1+'Inputs-System'!$C$41)*('Inputs-Proposals'!$G$29*'Inputs-Proposals'!$G$31*(1-'Inputs-Proposals'!$G$32^(AH$3-'Inputs-System'!$C$7)))*(VLOOKUP(AH$3,Energy!$A$51:$K$83,5,FALSE))), $C30= "0", 0), 0)</f>
        <v>0</v>
      </c>
      <c r="AI30" s="44">
        <f>IFERROR(_xlfn.IFS($C30="1",('Inputs-System'!$C$30*'Coincidence Factors'!$B$6*(1+'Inputs-System'!$C$18)*(1+'Inputs-System'!$C$41))*'Inputs-Proposals'!$G$17*'Inputs-Proposals'!$G$19*(1-'Inputs-Proposals'!$G$20^(AH$3-'Inputs-System'!$C$7))*(VLOOKUP(AH$3,'Embedded Emissions'!$A$47:$B$78,2,FALSE)+VLOOKUP(AH$3,'Embedded Emissions'!$A$129:$B$158,2,FALSE)), $C30 = "2",('Inputs-System'!$C$30*'Coincidence Factors'!$B$6*(1+'Inputs-System'!$C$18)*(1+'Inputs-System'!$C$41))*'Inputs-Proposals'!$G$23*'Inputs-Proposals'!$G$25*(1-'Inputs-Proposals'!$G$20^(AH$3-'Inputs-System'!$C$7))*(VLOOKUP(AH$3,'Embedded Emissions'!$A$47:$B$78,2,FALSE)+VLOOKUP(AH$3,'Embedded Emissions'!$A$129:$B$158,2,FALSE)), $C30 = "3", ('Inputs-System'!$C$30*'Coincidence Factors'!$B$6*(1+'Inputs-System'!$C$18)*(1+'Inputs-System'!$C$41))*'Inputs-Proposals'!$G$29*'Inputs-Proposals'!$G$31*(1-'Inputs-Proposals'!$G$20^(AH$3-'Inputs-System'!$C$7))*(VLOOKUP(AH$3,'Embedded Emissions'!$A$47:$B$78,2,FALSE)+VLOOKUP(AH$3,'Embedded Emissions'!$A$129:$B$158,2,FALSE)), $C30 = "0", 0), 0)</f>
        <v>0</v>
      </c>
      <c r="AJ30" s="44">
        <f>IFERROR(_xlfn.IFS($C30="1",( 'Inputs-System'!$C$30*'Coincidence Factors'!$B$6*(1+'Inputs-System'!$C$18)*(1+'Inputs-System'!$C$41))*('Inputs-Proposals'!$G$17*'Inputs-Proposals'!$G$19*(1-'Inputs-Proposals'!$G$20)^(AH$3-'Inputs-System'!$C$7))*(VLOOKUP(AH$3,DRIPE!$A$54:$I$82,5,FALSE)+VLOOKUP(AH$3,DRIPE!$A$54:$I$82,9,FALSE))+ ('Inputs-System'!$C$26*'Coincidence Factors'!$B$6*(1+'Inputs-System'!$C$18)*(1+'Inputs-System'!$C$42))*'Inputs-Proposals'!$G$16*VLOOKUP(AH$3,DRIPE!$A$54:$I$82,8,FALSE), $C30 = "2",( 'Inputs-System'!$C$30*'Coincidence Factors'!$B$6*(1+'Inputs-System'!$C$18)*(1+'Inputs-System'!$C$41))*('Inputs-Proposals'!$G$23*'Inputs-Proposals'!$G$25*(1-'Inputs-Proposals'!$G$26)^(AH$3-'Inputs-System'!$C$7))*(VLOOKUP(AH$3,DRIPE!$A$54:$I$82,5,FALSE)+VLOOKUP(AH$3,DRIPE!$A$54:$I$82,9,FALSE))+ ('Inputs-System'!$C$26*'Coincidence Factors'!$B$6*(1+'Inputs-System'!$C$18)*(1+'Inputs-System'!$C$42))*'Inputs-Proposals'!$G$22*VLOOKUP(AH$3,DRIPE!$A$54:$I$82,8,FALSE), $C30= "3", ( 'Inputs-System'!$C$30*'Coincidence Factors'!$B$6*(1+'Inputs-System'!$C$18)*(1+'Inputs-System'!$C$41))*('Inputs-Proposals'!$G$29*'Inputs-Proposals'!$G$31*(1-'Inputs-Proposals'!$G$32)^(AH$3-'Inputs-System'!$C$7))*(VLOOKUP(AH$3,DRIPE!$A$54:$I$82,5,FALSE)+VLOOKUP(AH$3,DRIPE!$A$54:$I$82,9,FALSE))+ ('Inputs-System'!$C$26*'Coincidence Factors'!$B$6*(1+'Inputs-System'!$C$18)*(1+'Inputs-System'!$C$42))*'Inputs-Proposals'!$G$28*VLOOKUP(AH$3,DRIPE!$A$54:$I$82,8,FALSE), $C30 = "0", 0), 0)</f>
        <v>0</v>
      </c>
      <c r="AK30" s="45">
        <f>IFERROR(_xlfn.IFS($C30="1",('Inputs-System'!$C$26*'Coincidence Factors'!$B$6*(1+'Inputs-System'!$C$18))*'Inputs-Proposals'!$G$16*(VLOOKUP(AH$3,Capacity!$A$53:$E$85,4,FALSE)*(1+'Inputs-System'!$C$42)+VLOOKUP(AH$3,Capacity!$A$53:$E$85,5,FALSE)*'Inputs-System'!$C$29*(1+'Inputs-System'!$C$43)), $C30 = "2", ('Inputs-System'!$C$26*'Coincidence Factors'!$B$6*(1+'Inputs-System'!$C$18))*'Inputs-Proposals'!$G$22*(VLOOKUP(AH$3,Capacity!$A$53:$E$85,4,FALSE)*(1+'Inputs-System'!$C$42)+VLOOKUP(AH$3,Capacity!$A$53:$E$85,5,FALSE)*'Inputs-System'!$C$29*(1+'Inputs-System'!$C$43)), $C30 = "3",('Inputs-System'!$C$26*'Coincidence Factors'!$B$6*(1+'Inputs-System'!$C$18))*'Inputs-Proposals'!$G$28*(VLOOKUP(AH$3,Capacity!$A$53:$E$85,4,FALSE)*(1+'Inputs-System'!$C$42)+VLOOKUP(AH$3,Capacity!$A$53:$E$85,5,FALSE)*'Inputs-System'!$C$29*(1+'Inputs-System'!$C$43)), $C30 = "0", 0), 0)</f>
        <v>0</v>
      </c>
      <c r="AL30" s="44">
        <v>0</v>
      </c>
      <c r="AM30" s="342">
        <f>IFERROR(_xlfn.IFS($C30="1", 'Inputs-System'!$C$30*'Coincidence Factors'!$B$6*'Inputs-Proposals'!$G$17*'Inputs-Proposals'!$G$19*(VLOOKUP(AH$3,'Non-Embedded Emissions'!$A$56:$D$90,2,FALSE)+VLOOKUP(AH$3,'Non-Embedded Emissions'!$A$143:$D$174,2,FALSE)+VLOOKUP(AH$3,'Non-Embedded Emissions'!$A$230:$D$259,2,FALSE)), $C30 = "2", 'Inputs-System'!$C$30*'Coincidence Factors'!$B$6*'Inputs-Proposals'!$G$23*'Inputs-Proposals'!$G$25*(VLOOKUP(AH$3,'Non-Embedded Emissions'!$A$56:$D$90,2,FALSE)+VLOOKUP(AH$3,'Non-Embedded Emissions'!$A$143:$D$174,2,FALSE)+VLOOKUP(AH$3,'Non-Embedded Emissions'!$A$230:$D$259,2,FALSE)), $C30 = "3", 'Inputs-System'!$C$30*'Coincidence Factors'!$B$6*'Inputs-Proposals'!$G$29*'Inputs-Proposals'!$G$31*(VLOOKUP(AH$3,'Non-Embedded Emissions'!$A$56:$D$90,2,FALSE)+VLOOKUP(AH$3,'Non-Embedded Emissions'!$A$143:$D$174,2,FALSE)+VLOOKUP(AH$3,'Non-Embedded Emissions'!$A$230:$D$259,2,FALSE)), $C30 = "0", 0), 0)</f>
        <v>0</v>
      </c>
      <c r="AN30" s="347">
        <f>IFERROR(_xlfn.IFS($C30="1",('Inputs-System'!$C$30*'Coincidence Factors'!$B$6*(1+'Inputs-System'!$C$18)*(1+'Inputs-System'!$C$41)*('Inputs-Proposals'!$G$17*'Inputs-Proposals'!$G$19*(1-'Inputs-Proposals'!$G$20^(AN$3-'Inputs-System'!$C$7)))*(VLOOKUP(AN$3,Energy!$A$51:$K$83,5,FALSE))), $C30 = "2",('Inputs-System'!$C$30*'Coincidence Factors'!$B$6)*(1+'Inputs-System'!$C$18)*(1+'Inputs-System'!$C$41)*('Inputs-Proposals'!$G$23*'Inputs-Proposals'!$G$25*(1-'Inputs-Proposals'!$G$26^(AN$3-'Inputs-System'!$C$7)))*(VLOOKUP(AN$3,Energy!$A$51:$K$83,5,FALSE)), $C30= "3", ('Inputs-System'!$C$30*'Coincidence Factors'!$B$6*(1+'Inputs-System'!$C$18)*(1+'Inputs-System'!$C$41)*('Inputs-Proposals'!$G$29*'Inputs-Proposals'!$G$31*(1-'Inputs-Proposals'!$G$32^(AN$3-'Inputs-System'!$C$7)))*(VLOOKUP(AN$3,Energy!$A$51:$K$83,5,FALSE))), $C30= "0", 0), 0)</f>
        <v>0</v>
      </c>
      <c r="AO30" s="44">
        <f>IFERROR(_xlfn.IFS($C30="1",('Inputs-System'!$C$30*'Coincidence Factors'!$B$6*(1+'Inputs-System'!$C$18)*(1+'Inputs-System'!$C$41))*'Inputs-Proposals'!$G$17*'Inputs-Proposals'!$G$19*(1-'Inputs-Proposals'!$G$20^(AN$3-'Inputs-System'!$C$7))*(VLOOKUP(AN$3,'Embedded Emissions'!$A$47:$B$78,2,FALSE)+VLOOKUP(AN$3,'Embedded Emissions'!$A$129:$B$158,2,FALSE)), $C30 = "2",('Inputs-System'!$C$30*'Coincidence Factors'!$B$6*(1+'Inputs-System'!$C$18)*(1+'Inputs-System'!$C$41))*'Inputs-Proposals'!$G$23*'Inputs-Proposals'!$G$25*(1-'Inputs-Proposals'!$G$20^(AN$3-'Inputs-System'!$C$7))*(VLOOKUP(AN$3,'Embedded Emissions'!$A$47:$B$78,2,FALSE)+VLOOKUP(AN$3,'Embedded Emissions'!$A$129:$B$158,2,FALSE)), $C30 = "3", ('Inputs-System'!$C$30*'Coincidence Factors'!$B$6*(1+'Inputs-System'!$C$18)*(1+'Inputs-System'!$C$41))*'Inputs-Proposals'!$G$29*'Inputs-Proposals'!$G$31*(1-'Inputs-Proposals'!$G$20^(AN$3-'Inputs-System'!$C$7))*(VLOOKUP(AN$3,'Embedded Emissions'!$A$47:$B$78,2,FALSE)+VLOOKUP(AN$3,'Embedded Emissions'!$A$129:$B$158,2,FALSE)), $C30 = "0", 0), 0)</f>
        <v>0</v>
      </c>
      <c r="AP30" s="44">
        <f>IFERROR(_xlfn.IFS($C30="1",( 'Inputs-System'!$C$30*'Coincidence Factors'!$B$6*(1+'Inputs-System'!$C$18)*(1+'Inputs-System'!$C$41))*('Inputs-Proposals'!$G$17*'Inputs-Proposals'!$G$19*(1-'Inputs-Proposals'!$G$20)^(AN$3-'Inputs-System'!$C$7))*(VLOOKUP(AN$3,DRIPE!$A$54:$I$82,5,FALSE)+VLOOKUP(AN$3,DRIPE!$A$54:$I$82,9,FALSE))+ ('Inputs-System'!$C$26*'Coincidence Factors'!$B$6*(1+'Inputs-System'!$C$18)*(1+'Inputs-System'!$C$42))*'Inputs-Proposals'!$G$16*VLOOKUP(AN$3,DRIPE!$A$54:$I$82,8,FALSE), $C30 = "2",( 'Inputs-System'!$C$30*'Coincidence Factors'!$B$6*(1+'Inputs-System'!$C$18)*(1+'Inputs-System'!$C$41))*('Inputs-Proposals'!$G$23*'Inputs-Proposals'!$G$25*(1-'Inputs-Proposals'!$G$26)^(AN$3-'Inputs-System'!$C$7))*(VLOOKUP(AN$3,DRIPE!$A$54:$I$82,5,FALSE)+VLOOKUP(AN$3,DRIPE!$A$54:$I$82,9,FALSE))+ ('Inputs-System'!$C$26*'Coincidence Factors'!$B$6*(1+'Inputs-System'!$C$18)*(1+'Inputs-System'!$C$42))*'Inputs-Proposals'!$G$22*VLOOKUP(AN$3,DRIPE!$A$54:$I$82,8,FALSE), $C30= "3", ( 'Inputs-System'!$C$30*'Coincidence Factors'!$B$6*(1+'Inputs-System'!$C$18)*(1+'Inputs-System'!$C$41))*('Inputs-Proposals'!$G$29*'Inputs-Proposals'!$G$31*(1-'Inputs-Proposals'!$G$32)^(AN$3-'Inputs-System'!$C$7))*(VLOOKUP(AN$3,DRIPE!$A$54:$I$82,5,FALSE)+VLOOKUP(AN$3,DRIPE!$A$54:$I$82,9,FALSE))+ ('Inputs-System'!$C$26*'Coincidence Factors'!$B$6*(1+'Inputs-System'!$C$18)*(1+'Inputs-System'!$C$42))*'Inputs-Proposals'!$G$28*VLOOKUP(AN$3,DRIPE!$A$54:$I$82,8,FALSE), $C30 = "0", 0), 0)</f>
        <v>0</v>
      </c>
      <c r="AQ30" s="45">
        <f>IFERROR(_xlfn.IFS($C30="1",('Inputs-System'!$C$26*'Coincidence Factors'!$B$6*(1+'Inputs-System'!$C$18))*'Inputs-Proposals'!$G$16*(VLOOKUP(AN$3,Capacity!$A$53:$E$85,4,FALSE)*(1+'Inputs-System'!$C$42)+VLOOKUP(AN$3,Capacity!$A$53:$E$85,5,FALSE)*'Inputs-System'!$C$29*(1+'Inputs-System'!$C$43)), $C30 = "2", ('Inputs-System'!$C$26*'Coincidence Factors'!$B$6*(1+'Inputs-System'!$C$18))*'Inputs-Proposals'!$G$22*(VLOOKUP(AN$3,Capacity!$A$53:$E$85,4,FALSE)*(1+'Inputs-System'!$C$42)+VLOOKUP(AN$3,Capacity!$A$53:$E$85,5,FALSE)*'Inputs-System'!$C$29*(1+'Inputs-System'!$C$43)), $C30 = "3",('Inputs-System'!$C$26*'Coincidence Factors'!$B$6*(1+'Inputs-System'!$C$18))*'Inputs-Proposals'!$G$28*(VLOOKUP(AN$3,Capacity!$A$53:$E$85,4,FALSE)*(1+'Inputs-System'!$C$42)+VLOOKUP(AN$3,Capacity!$A$53:$E$85,5,FALSE)*'Inputs-System'!$C$29*(1+'Inputs-System'!$C$43)), $C30 = "0", 0), 0)</f>
        <v>0</v>
      </c>
      <c r="AR30" s="44">
        <v>0</v>
      </c>
      <c r="AS30" s="342">
        <f>IFERROR(_xlfn.IFS($C30="1", 'Inputs-System'!$C$30*'Coincidence Factors'!$B$6*'Inputs-Proposals'!$G$17*'Inputs-Proposals'!$G$19*(VLOOKUP(AN$3,'Non-Embedded Emissions'!$A$56:$D$90,2,FALSE)+VLOOKUP(AN$3,'Non-Embedded Emissions'!$A$143:$D$174,2,FALSE)+VLOOKUP(AN$3,'Non-Embedded Emissions'!$A$230:$D$259,2,FALSE)), $C30 = "2", 'Inputs-System'!$C$30*'Coincidence Factors'!$B$6*'Inputs-Proposals'!$G$23*'Inputs-Proposals'!$G$25*(VLOOKUP(AN$3,'Non-Embedded Emissions'!$A$56:$D$90,2,FALSE)+VLOOKUP(AN$3,'Non-Embedded Emissions'!$A$143:$D$174,2,FALSE)+VLOOKUP(AN$3,'Non-Embedded Emissions'!$A$230:$D$259,2,FALSE)), $C30 = "3", 'Inputs-System'!$C$30*'Coincidence Factors'!$B$6*'Inputs-Proposals'!$G$29*'Inputs-Proposals'!$G$31*(VLOOKUP(AN$3,'Non-Embedded Emissions'!$A$56:$D$90,2,FALSE)+VLOOKUP(AN$3,'Non-Embedded Emissions'!$A$143:$D$174,2,FALSE)+VLOOKUP(AN$3,'Non-Embedded Emissions'!$A$230:$D$259,2,FALSE)), $C30 = "0", 0), 0)</f>
        <v>0</v>
      </c>
      <c r="AT30" s="347">
        <f>IFERROR(_xlfn.IFS($C30="1",('Inputs-System'!$C$30*'Coincidence Factors'!$B$6*(1+'Inputs-System'!$C$18)*(1+'Inputs-System'!$C$41)*('Inputs-Proposals'!$G$17*'Inputs-Proposals'!$G$19*(1-'Inputs-Proposals'!$G$20^(AT$3-'Inputs-System'!$C$7)))*(VLOOKUP(AT$3,Energy!$A$51:$K$83,5,FALSE))), $C30 = "2",('Inputs-System'!$C$30*'Coincidence Factors'!$B$6)*(1+'Inputs-System'!$C$18)*(1+'Inputs-System'!$C$41)*('Inputs-Proposals'!$G$23*'Inputs-Proposals'!$G$25*(1-'Inputs-Proposals'!$G$26^(AT$3-'Inputs-System'!$C$7)))*(VLOOKUP(AT$3,Energy!$A$51:$K$83,5,FALSE)), $C30= "3", ('Inputs-System'!$C$30*'Coincidence Factors'!$B$6*(1+'Inputs-System'!$C$18)*(1+'Inputs-System'!$C$41)*('Inputs-Proposals'!$G$29*'Inputs-Proposals'!$G$31*(1-'Inputs-Proposals'!$G$32^(AT$3-'Inputs-System'!$C$7)))*(VLOOKUP(AT$3,Energy!$A$51:$K$83,5,FALSE))), $C30= "0", 0), 0)</f>
        <v>0</v>
      </c>
      <c r="AU30" s="44">
        <f>IFERROR(_xlfn.IFS($C30="1",('Inputs-System'!$C$30*'Coincidence Factors'!$B$6*(1+'Inputs-System'!$C$18)*(1+'Inputs-System'!$C$41))*'Inputs-Proposals'!$G$17*'Inputs-Proposals'!$G$19*(1-'Inputs-Proposals'!$G$20^(AT$3-'Inputs-System'!$C$7))*(VLOOKUP(AT$3,'Embedded Emissions'!$A$47:$B$78,2,FALSE)+VLOOKUP(AT$3,'Embedded Emissions'!$A$129:$B$158,2,FALSE)), $C30 = "2",('Inputs-System'!$C$30*'Coincidence Factors'!$B$6*(1+'Inputs-System'!$C$18)*(1+'Inputs-System'!$C$41))*'Inputs-Proposals'!$G$23*'Inputs-Proposals'!$G$25*(1-'Inputs-Proposals'!$G$20^(AT$3-'Inputs-System'!$C$7))*(VLOOKUP(AT$3,'Embedded Emissions'!$A$47:$B$78,2,FALSE)+VLOOKUP(AT$3,'Embedded Emissions'!$A$129:$B$158,2,FALSE)), $C30 = "3", ('Inputs-System'!$C$30*'Coincidence Factors'!$B$6*(1+'Inputs-System'!$C$18)*(1+'Inputs-System'!$C$41))*'Inputs-Proposals'!$G$29*'Inputs-Proposals'!$G$31*(1-'Inputs-Proposals'!$G$20^(AT$3-'Inputs-System'!$C$7))*(VLOOKUP(AT$3,'Embedded Emissions'!$A$47:$B$78,2,FALSE)+VLOOKUP(AT$3,'Embedded Emissions'!$A$129:$B$158,2,FALSE)), $C30 = "0", 0), 0)</f>
        <v>0</v>
      </c>
      <c r="AV30" s="44">
        <f>IFERROR(_xlfn.IFS($C30="1",( 'Inputs-System'!$C$30*'Coincidence Factors'!$B$6*(1+'Inputs-System'!$C$18)*(1+'Inputs-System'!$C$41))*('Inputs-Proposals'!$G$17*'Inputs-Proposals'!$G$19*(1-'Inputs-Proposals'!$G$20)^(AT$3-'Inputs-System'!$C$7))*(VLOOKUP(AT$3,DRIPE!$A$54:$I$82,5,FALSE)+VLOOKUP(AT$3,DRIPE!$A$54:$I$82,9,FALSE))+ ('Inputs-System'!$C$26*'Coincidence Factors'!$B$6*(1+'Inputs-System'!$C$18)*(1+'Inputs-System'!$C$42))*'Inputs-Proposals'!$G$16*VLOOKUP(AT$3,DRIPE!$A$54:$I$82,8,FALSE), $C30 = "2",( 'Inputs-System'!$C$30*'Coincidence Factors'!$B$6*(1+'Inputs-System'!$C$18)*(1+'Inputs-System'!$C$41))*('Inputs-Proposals'!$G$23*'Inputs-Proposals'!$G$25*(1-'Inputs-Proposals'!$G$26)^(AT$3-'Inputs-System'!$C$7))*(VLOOKUP(AT$3,DRIPE!$A$54:$I$82,5,FALSE)+VLOOKUP(AT$3,DRIPE!$A$54:$I$82,9,FALSE))+ ('Inputs-System'!$C$26*'Coincidence Factors'!$B$6*(1+'Inputs-System'!$C$18)*(1+'Inputs-System'!$C$42))*'Inputs-Proposals'!$G$22*VLOOKUP(AT$3,DRIPE!$A$54:$I$82,8,FALSE), $C30= "3", ( 'Inputs-System'!$C$30*'Coincidence Factors'!$B$6*(1+'Inputs-System'!$C$18)*(1+'Inputs-System'!$C$41))*('Inputs-Proposals'!$G$29*'Inputs-Proposals'!$G$31*(1-'Inputs-Proposals'!$G$32)^(AT$3-'Inputs-System'!$C$7))*(VLOOKUP(AT$3,DRIPE!$A$54:$I$82,5,FALSE)+VLOOKUP(AT$3,DRIPE!$A$54:$I$82,9,FALSE))+ ('Inputs-System'!$C$26*'Coincidence Factors'!$B$6*(1+'Inputs-System'!$C$18)*(1+'Inputs-System'!$C$42))*'Inputs-Proposals'!$G$28*VLOOKUP(AT$3,DRIPE!$A$54:$I$82,8,FALSE), $C30 = "0", 0), 0)</f>
        <v>0</v>
      </c>
      <c r="AW30" s="45">
        <f>IFERROR(_xlfn.IFS($C30="1",('Inputs-System'!$C$26*'Coincidence Factors'!$B$6*(1+'Inputs-System'!$C$18))*'Inputs-Proposals'!$G$16*(VLOOKUP(AT$3,Capacity!$A$53:$E$85,4,FALSE)*(1+'Inputs-System'!$C$42)+VLOOKUP(AT$3,Capacity!$A$53:$E$85,5,FALSE)*'Inputs-System'!$C$29*(1+'Inputs-System'!$C$43)), $C30 = "2", ('Inputs-System'!$C$26*'Coincidence Factors'!$B$6*(1+'Inputs-System'!$C$18))*'Inputs-Proposals'!$G$22*(VLOOKUP(AT$3,Capacity!$A$53:$E$85,4,FALSE)*(1+'Inputs-System'!$C$42)+VLOOKUP(AT$3,Capacity!$A$53:$E$85,5,FALSE)*'Inputs-System'!$C$29*(1+'Inputs-System'!$C$43)), $C30 = "3",('Inputs-System'!$C$26*'Coincidence Factors'!$B$6*(1+'Inputs-System'!$C$18))*'Inputs-Proposals'!$G$28*(VLOOKUP(AT$3,Capacity!$A$53:$E$85,4,FALSE)*(1+'Inputs-System'!$C$42)+VLOOKUP(AT$3,Capacity!$A$53:$E$85,5,FALSE)*'Inputs-System'!$C$29*(1+'Inputs-System'!$C$43)), $C30 = "0", 0), 0)</f>
        <v>0</v>
      </c>
      <c r="AX30" s="44">
        <v>0</v>
      </c>
      <c r="AY30" s="342">
        <f>IFERROR(_xlfn.IFS($C30="1", 'Inputs-System'!$C$30*'Coincidence Factors'!$B$6*'Inputs-Proposals'!$G$17*'Inputs-Proposals'!$G$19*(VLOOKUP(AT$3,'Non-Embedded Emissions'!$A$56:$D$90,2,FALSE)+VLOOKUP(AT$3,'Non-Embedded Emissions'!$A$143:$D$174,2,FALSE)+VLOOKUP(AT$3,'Non-Embedded Emissions'!$A$230:$D$259,2,FALSE)), $C30 = "2", 'Inputs-System'!$C$30*'Coincidence Factors'!$B$6*'Inputs-Proposals'!$G$23*'Inputs-Proposals'!$G$25*(VLOOKUP(AT$3,'Non-Embedded Emissions'!$A$56:$D$90,2,FALSE)+VLOOKUP(AT$3,'Non-Embedded Emissions'!$A$143:$D$174,2,FALSE)+VLOOKUP(AT$3,'Non-Embedded Emissions'!$A$230:$D$259,2,FALSE)), $C30 = "3", 'Inputs-System'!$C$30*'Coincidence Factors'!$B$6*'Inputs-Proposals'!$G$29*'Inputs-Proposals'!$G$31*(VLOOKUP(AT$3,'Non-Embedded Emissions'!$A$56:$D$90,2,FALSE)+VLOOKUP(AT$3,'Non-Embedded Emissions'!$A$143:$D$174,2,FALSE)+VLOOKUP(AT$3,'Non-Embedded Emissions'!$A$230:$D$259,2,FALSE)), $C30 = "0", 0), 0)</f>
        <v>0</v>
      </c>
      <c r="AZ30" s="347">
        <f>IFERROR(_xlfn.IFS($C30="1",('Inputs-System'!$C$30*'Coincidence Factors'!$B$6*(1+'Inputs-System'!$C$18)*(1+'Inputs-System'!$C$41)*('Inputs-Proposals'!$G$17*'Inputs-Proposals'!$G$19*(1-'Inputs-Proposals'!$G$20^(AZ$3-'Inputs-System'!$C$7)))*(VLOOKUP(AZ$3,Energy!$A$51:$K$83,5,FALSE))), $C30 = "2",('Inputs-System'!$C$30*'Coincidence Factors'!$B$6)*(1+'Inputs-System'!$C$18)*(1+'Inputs-System'!$C$41)*('Inputs-Proposals'!$G$23*'Inputs-Proposals'!$G$25*(1-'Inputs-Proposals'!$G$26^(AZ$3-'Inputs-System'!$C$7)))*(VLOOKUP(AZ$3,Energy!$A$51:$K$83,5,FALSE)), $C30= "3", ('Inputs-System'!$C$30*'Coincidence Factors'!$B$6*(1+'Inputs-System'!$C$18)*(1+'Inputs-System'!$C$41)*('Inputs-Proposals'!$G$29*'Inputs-Proposals'!$G$31*(1-'Inputs-Proposals'!$G$32^(AZ$3-'Inputs-System'!$C$7)))*(VLOOKUP(AZ$3,Energy!$A$51:$K$83,5,FALSE))), $C30= "0", 0), 0)</f>
        <v>0</v>
      </c>
      <c r="BA30" s="44">
        <f>IFERROR(_xlfn.IFS($C30="1",('Inputs-System'!$C$30*'Coincidence Factors'!$B$6*(1+'Inputs-System'!$C$18)*(1+'Inputs-System'!$C$41))*'Inputs-Proposals'!$G$17*'Inputs-Proposals'!$G$19*(1-'Inputs-Proposals'!$G$20^(AZ$3-'Inputs-System'!$C$7))*(VLOOKUP(AZ$3,'Embedded Emissions'!$A$47:$B$78,2,FALSE)+VLOOKUP(AZ$3,'Embedded Emissions'!$A$129:$B$158,2,FALSE)), $C30 = "2",('Inputs-System'!$C$30*'Coincidence Factors'!$B$6*(1+'Inputs-System'!$C$18)*(1+'Inputs-System'!$C$41))*'Inputs-Proposals'!$G$23*'Inputs-Proposals'!$G$25*(1-'Inputs-Proposals'!$G$20^(AZ$3-'Inputs-System'!$C$7))*(VLOOKUP(AZ$3,'Embedded Emissions'!$A$47:$B$78,2,FALSE)+VLOOKUP(AZ$3,'Embedded Emissions'!$A$129:$B$158,2,FALSE)), $C30 = "3", ('Inputs-System'!$C$30*'Coincidence Factors'!$B$6*(1+'Inputs-System'!$C$18)*(1+'Inputs-System'!$C$41))*'Inputs-Proposals'!$G$29*'Inputs-Proposals'!$G$31*(1-'Inputs-Proposals'!$G$20^(AZ$3-'Inputs-System'!$C$7))*(VLOOKUP(AZ$3,'Embedded Emissions'!$A$47:$B$78,2,FALSE)+VLOOKUP(AZ$3,'Embedded Emissions'!$A$129:$B$158,2,FALSE)), $C30 = "0", 0), 0)</f>
        <v>0</v>
      </c>
      <c r="BB30" s="44">
        <f>IFERROR(_xlfn.IFS($C30="1",( 'Inputs-System'!$C$30*'Coincidence Factors'!$B$6*(1+'Inputs-System'!$C$18)*(1+'Inputs-System'!$C$41))*('Inputs-Proposals'!$G$17*'Inputs-Proposals'!$G$19*(1-'Inputs-Proposals'!$G$20)^(AZ$3-'Inputs-System'!$C$7))*(VLOOKUP(AZ$3,DRIPE!$A$54:$I$82,5,FALSE)+VLOOKUP(AZ$3,DRIPE!$A$54:$I$82,9,FALSE))+ ('Inputs-System'!$C$26*'Coincidence Factors'!$B$6*(1+'Inputs-System'!$C$18)*(1+'Inputs-System'!$C$42))*'Inputs-Proposals'!$G$16*VLOOKUP(AZ$3,DRIPE!$A$54:$I$82,8,FALSE), $C30 = "2",( 'Inputs-System'!$C$30*'Coincidence Factors'!$B$6*(1+'Inputs-System'!$C$18)*(1+'Inputs-System'!$C$41))*('Inputs-Proposals'!$G$23*'Inputs-Proposals'!$G$25*(1-'Inputs-Proposals'!$G$26)^(AZ$3-'Inputs-System'!$C$7))*(VLOOKUP(AZ$3,DRIPE!$A$54:$I$82,5,FALSE)+VLOOKUP(AZ$3,DRIPE!$A$54:$I$82,9,FALSE))+ ('Inputs-System'!$C$26*'Coincidence Factors'!$B$6*(1+'Inputs-System'!$C$18)*(1+'Inputs-System'!$C$42))*'Inputs-Proposals'!$G$22*VLOOKUP(AZ$3,DRIPE!$A$54:$I$82,8,FALSE), $C30= "3", ( 'Inputs-System'!$C$30*'Coincidence Factors'!$B$6*(1+'Inputs-System'!$C$18)*(1+'Inputs-System'!$C$41))*('Inputs-Proposals'!$G$29*'Inputs-Proposals'!$G$31*(1-'Inputs-Proposals'!$G$32)^(AZ$3-'Inputs-System'!$C$7))*(VLOOKUP(AZ$3,DRIPE!$A$54:$I$82,5,FALSE)+VLOOKUP(AZ$3,DRIPE!$A$54:$I$82,9,FALSE))+ ('Inputs-System'!$C$26*'Coincidence Factors'!$B$6*(1+'Inputs-System'!$C$18)*(1+'Inputs-System'!$C$42))*'Inputs-Proposals'!$G$28*VLOOKUP(AZ$3,DRIPE!$A$54:$I$82,8,FALSE), $C30 = "0", 0), 0)</f>
        <v>0</v>
      </c>
      <c r="BC30" s="45">
        <f>IFERROR(_xlfn.IFS($C30="1",('Inputs-System'!$C$26*'Coincidence Factors'!$B$6*(1+'Inputs-System'!$C$18))*'Inputs-Proposals'!$G$16*(VLOOKUP(AZ$3,Capacity!$A$53:$E$85,4,FALSE)*(1+'Inputs-System'!$C$42)+VLOOKUP(AZ$3,Capacity!$A$53:$E$85,5,FALSE)*'Inputs-System'!$C$29*(1+'Inputs-System'!$C$43)), $C30 = "2", ('Inputs-System'!$C$26*'Coincidence Factors'!$B$6*(1+'Inputs-System'!$C$18))*'Inputs-Proposals'!$G$22*(VLOOKUP(AZ$3,Capacity!$A$53:$E$85,4,FALSE)*(1+'Inputs-System'!$C$42)+VLOOKUP(AZ$3,Capacity!$A$53:$E$85,5,FALSE)*'Inputs-System'!$C$29*(1+'Inputs-System'!$C$43)), $C30 = "3",('Inputs-System'!$C$26*'Coincidence Factors'!$B$6*(1+'Inputs-System'!$C$18))*'Inputs-Proposals'!$G$28*(VLOOKUP(AZ$3,Capacity!$A$53:$E$85,4,FALSE)*(1+'Inputs-System'!$C$42)+VLOOKUP(AZ$3,Capacity!$A$53:$E$85,5,FALSE)*'Inputs-System'!$C$29*(1+'Inputs-System'!$C$43)), $C30 = "0", 0), 0)</f>
        <v>0</v>
      </c>
      <c r="BD30" s="44">
        <v>0</v>
      </c>
      <c r="BE30" s="342">
        <f>IFERROR(_xlfn.IFS($C30="1", 'Inputs-System'!$C$30*'Coincidence Factors'!$B$6*'Inputs-Proposals'!$G$17*'Inputs-Proposals'!$G$19*(VLOOKUP(AZ$3,'Non-Embedded Emissions'!$A$56:$D$90,2,FALSE)+VLOOKUP(AZ$3,'Non-Embedded Emissions'!$A$143:$D$174,2,FALSE)+VLOOKUP(AZ$3,'Non-Embedded Emissions'!$A$230:$D$259,2,FALSE)), $C30 = "2", 'Inputs-System'!$C$30*'Coincidence Factors'!$B$6*'Inputs-Proposals'!$G$23*'Inputs-Proposals'!$G$25*(VLOOKUP(AZ$3,'Non-Embedded Emissions'!$A$56:$D$90,2,FALSE)+VLOOKUP(AZ$3,'Non-Embedded Emissions'!$A$143:$D$174,2,FALSE)+VLOOKUP(AZ$3,'Non-Embedded Emissions'!$A$230:$D$259,2,FALSE)), $C30 = "3", 'Inputs-System'!$C$30*'Coincidence Factors'!$B$6*'Inputs-Proposals'!$G$29*'Inputs-Proposals'!$G$31*(VLOOKUP(AZ$3,'Non-Embedded Emissions'!$A$56:$D$90,2,FALSE)+VLOOKUP(AZ$3,'Non-Embedded Emissions'!$A$143:$D$174,2,FALSE)+VLOOKUP(AZ$3,'Non-Embedded Emissions'!$A$230:$D$259,2,FALSE)), $C30 = "0", 0), 0)</f>
        <v>0</v>
      </c>
      <c r="BF30" s="347">
        <f>IFERROR(_xlfn.IFS($C30="1",('Inputs-System'!$C$30*'Coincidence Factors'!$B$6*(1+'Inputs-System'!$C$18)*(1+'Inputs-System'!$C$41)*('Inputs-Proposals'!$G$17*'Inputs-Proposals'!$G$19*(1-'Inputs-Proposals'!$G$20^(BF$3-'Inputs-System'!$C$7)))*(VLOOKUP(BF$3,Energy!$A$51:$K$83,5,FALSE))), $C30 = "2",('Inputs-System'!$C$30*'Coincidence Factors'!$B$6)*(1+'Inputs-System'!$C$18)*(1+'Inputs-System'!$C$41)*('Inputs-Proposals'!$G$23*'Inputs-Proposals'!$G$25*(1-'Inputs-Proposals'!$G$26^(BF$3-'Inputs-System'!$C$7)))*(VLOOKUP(BF$3,Energy!$A$51:$K$83,5,FALSE)), $C30= "3", ('Inputs-System'!$C$30*'Coincidence Factors'!$B$6*(1+'Inputs-System'!$C$18)*(1+'Inputs-System'!$C$41)*('Inputs-Proposals'!$G$29*'Inputs-Proposals'!$G$31*(1-'Inputs-Proposals'!$G$32^(BF$3-'Inputs-System'!$C$7)))*(VLOOKUP(BF$3,Energy!$A$51:$K$83,5,FALSE))), $C30= "0", 0), 0)</f>
        <v>0</v>
      </c>
      <c r="BG30" s="44">
        <f>IFERROR(_xlfn.IFS($C30="1",('Inputs-System'!$C$30*'Coincidence Factors'!$B$6*(1+'Inputs-System'!$C$18)*(1+'Inputs-System'!$C$41))*'Inputs-Proposals'!$G$17*'Inputs-Proposals'!$G$19*(1-'Inputs-Proposals'!$G$20^(BF$3-'Inputs-System'!$C$7))*(VLOOKUP(BF$3,'Embedded Emissions'!$A$47:$B$78,2,FALSE)+VLOOKUP(BF$3,'Embedded Emissions'!$A$129:$B$158,2,FALSE)), $C30 = "2",('Inputs-System'!$C$30*'Coincidence Factors'!$B$6*(1+'Inputs-System'!$C$18)*(1+'Inputs-System'!$C$41))*'Inputs-Proposals'!$G$23*'Inputs-Proposals'!$G$25*(1-'Inputs-Proposals'!$G$20^(BF$3-'Inputs-System'!$C$7))*(VLOOKUP(BF$3,'Embedded Emissions'!$A$47:$B$78,2,FALSE)+VLOOKUP(BF$3,'Embedded Emissions'!$A$129:$B$158,2,FALSE)), $C30 = "3", ('Inputs-System'!$C$30*'Coincidence Factors'!$B$6*(1+'Inputs-System'!$C$18)*(1+'Inputs-System'!$C$41))*'Inputs-Proposals'!$G$29*'Inputs-Proposals'!$G$31*(1-'Inputs-Proposals'!$G$20^(BF$3-'Inputs-System'!$C$7))*(VLOOKUP(BF$3,'Embedded Emissions'!$A$47:$B$78,2,FALSE)+VLOOKUP(BF$3,'Embedded Emissions'!$A$129:$B$158,2,FALSE)), $C30 = "0", 0), 0)</f>
        <v>0</v>
      </c>
      <c r="BH30" s="44">
        <f>IFERROR(_xlfn.IFS($C30="1",( 'Inputs-System'!$C$30*'Coincidence Factors'!$B$6*(1+'Inputs-System'!$C$18)*(1+'Inputs-System'!$C$41))*('Inputs-Proposals'!$G$17*'Inputs-Proposals'!$G$19*(1-'Inputs-Proposals'!$G$20)^(BF$3-'Inputs-System'!$C$7))*(VLOOKUP(BF$3,DRIPE!$A$54:$I$82,5,FALSE)+VLOOKUP(BF$3,DRIPE!$A$54:$I$82,9,FALSE))+ ('Inputs-System'!$C$26*'Coincidence Factors'!$B$6*(1+'Inputs-System'!$C$18)*(1+'Inputs-System'!$C$42))*'Inputs-Proposals'!$G$16*VLOOKUP(BF$3,DRIPE!$A$54:$I$82,8,FALSE), $C30 = "2",( 'Inputs-System'!$C$30*'Coincidence Factors'!$B$6*(1+'Inputs-System'!$C$18)*(1+'Inputs-System'!$C$41))*('Inputs-Proposals'!$G$23*'Inputs-Proposals'!$G$25*(1-'Inputs-Proposals'!$G$26)^(BF$3-'Inputs-System'!$C$7))*(VLOOKUP(BF$3,DRIPE!$A$54:$I$82,5,FALSE)+VLOOKUP(BF$3,DRIPE!$A$54:$I$82,9,FALSE))+ ('Inputs-System'!$C$26*'Coincidence Factors'!$B$6*(1+'Inputs-System'!$C$18)*(1+'Inputs-System'!$C$42))*'Inputs-Proposals'!$G$22*VLOOKUP(BF$3,DRIPE!$A$54:$I$82,8,FALSE), $C30= "3", ( 'Inputs-System'!$C$30*'Coincidence Factors'!$B$6*(1+'Inputs-System'!$C$18)*(1+'Inputs-System'!$C$41))*('Inputs-Proposals'!$G$29*'Inputs-Proposals'!$G$31*(1-'Inputs-Proposals'!$G$32)^(BF$3-'Inputs-System'!$C$7))*(VLOOKUP(BF$3,DRIPE!$A$54:$I$82,5,FALSE)+VLOOKUP(BF$3,DRIPE!$A$54:$I$82,9,FALSE))+ ('Inputs-System'!$C$26*'Coincidence Factors'!$B$6*(1+'Inputs-System'!$C$18)*(1+'Inputs-System'!$C$42))*'Inputs-Proposals'!$G$28*VLOOKUP(BF$3,DRIPE!$A$54:$I$82,8,FALSE), $C30 = "0", 0), 0)</f>
        <v>0</v>
      </c>
      <c r="BI30" s="45">
        <f>IFERROR(_xlfn.IFS($C30="1",('Inputs-System'!$C$26*'Coincidence Factors'!$B$6*(1+'Inputs-System'!$C$18))*'Inputs-Proposals'!$G$16*(VLOOKUP(BF$3,Capacity!$A$53:$E$85,4,FALSE)*(1+'Inputs-System'!$C$42)+VLOOKUP(BF$3,Capacity!$A$53:$E$85,5,FALSE)*'Inputs-System'!$C$29*(1+'Inputs-System'!$C$43)), $C30 = "2", ('Inputs-System'!$C$26*'Coincidence Factors'!$B$6*(1+'Inputs-System'!$C$18))*'Inputs-Proposals'!$G$22*(VLOOKUP(BF$3,Capacity!$A$53:$E$85,4,FALSE)*(1+'Inputs-System'!$C$42)+VLOOKUP(BF$3,Capacity!$A$53:$E$85,5,FALSE)*'Inputs-System'!$C$29*(1+'Inputs-System'!$C$43)), $C30 = "3",('Inputs-System'!$C$26*'Coincidence Factors'!$B$6*(1+'Inputs-System'!$C$18))*'Inputs-Proposals'!$G$28*(VLOOKUP(BF$3,Capacity!$A$53:$E$85,4,FALSE)*(1+'Inputs-System'!$C$42)+VLOOKUP(BF$3,Capacity!$A$53:$E$85,5,FALSE)*'Inputs-System'!$C$29*(1+'Inputs-System'!$C$43)), $C30 = "0", 0), 0)</f>
        <v>0</v>
      </c>
      <c r="BJ30" s="44">
        <v>0</v>
      </c>
      <c r="BK30" s="342">
        <f>IFERROR(_xlfn.IFS($C30="1", 'Inputs-System'!$C$30*'Coincidence Factors'!$B$6*'Inputs-Proposals'!$G$17*'Inputs-Proposals'!$G$19*(VLOOKUP(BF$3,'Non-Embedded Emissions'!$A$56:$D$90,2,FALSE)+VLOOKUP(BF$3,'Non-Embedded Emissions'!$A$143:$D$174,2,FALSE)+VLOOKUP(BF$3,'Non-Embedded Emissions'!$A$230:$D$259,2,FALSE)), $C30 = "2", 'Inputs-System'!$C$30*'Coincidence Factors'!$B$6*'Inputs-Proposals'!$G$23*'Inputs-Proposals'!$G$25*(VLOOKUP(BF$3,'Non-Embedded Emissions'!$A$56:$D$90,2,FALSE)+VLOOKUP(BF$3,'Non-Embedded Emissions'!$A$143:$D$174,2,FALSE)+VLOOKUP(BF$3,'Non-Embedded Emissions'!$A$230:$D$259,2,FALSE)), $C30 = "3", 'Inputs-System'!$C$30*'Coincidence Factors'!$B$6*'Inputs-Proposals'!$G$29*'Inputs-Proposals'!$G$31*(VLOOKUP(BF$3,'Non-Embedded Emissions'!$A$56:$D$90,2,FALSE)+VLOOKUP(BF$3,'Non-Embedded Emissions'!$A$143:$D$174,2,FALSE)+VLOOKUP(BF$3,'Non-Embedded Emissions'!$A$230:$D$259,2,FALSE)), $C30 = "0", 0), 0)</f>
        <v>0</v>
      </c>
      <c r="BL30" s="347">
        <f>IFERROR(_xlfn.IFS($C30="1",('Inputs-System'!$C$30*'Coincidence Factors'!$B$6*(1+'Inputs-System'!$C$18)*(1+'Inputs-System'!$C$41)*('Inputs-Proposals'!$G$17*'Inputs-Proposals'!$G$19*(1-'Inputs-Proposals'!$G$20^(BL$3-'Inputs-System'!$C$7)))*(VLOOKUP(BL$3,Energy!$A$51:$K$83,5,FALSE))), $C30 = "2",('Inputs-System'!$C$30*'Coincidence Factors'!$B$6)*(1+'Inputs-System'!$C$18)*(1+'Inputs-System'!$C$41)*('Inputs-Proposals'!$G$23*'Inputs-Proposals'!$G$25*(1-'Inputs-Proposals'!$G$26^(BL$3-'Inputs-System'!$C$7)))*(VLOOKUP(BL$3,Energy!$A$51:$K$83,5,FALSE)), $C30= "3", ('Inputs-System'!$C$30*'Coincidence Factors'!$B$6*(1+'Inputs-System'!$C$18)*(1+'Inputs-System'!$C$41)*('Inputs-Proposals'!$G$29*'Inputs-Proposals'!$G$31*(1-'Inputs-Proposals'!$G$32^(BL$3-'Inputs-System'!$C$7)))*(VLOOKUP(BL$3,Energy!$A$51:$K$83,5,FALSE))), $C30= "0", 0), 0)</f>
        <v>0</v>
      </c>
      <c r="BM30" s="44">
        <f>IFERROR(_xlfn.IFS($C30="1",('Inputs-System'!$C$30*'Coincidence Factors'!$B$6*(1+'Inputs-System'!$C$18)*(1+'Inputs-System'!$C$41))*'Inputs-Proposals'!$G$17*'Inputs-Proposals'!$G$19*(1-'Inputs-Proposals'!$G$20^(BL$3-'Inputs-System'!$C$7))*(VLOOKUP(BL$3,'Embedded Emissions'!$A$47:$B$78,2,FALSE)+VLOOKUP(BL$3,'Embedded Emissions'!$A$129:$B$158,2,FALSE)), $C30 = "2",('Inputs-System'!$C$30*'Coincidence Factors'!$B$6*(1+'Inputs-System'!$C$18)*(1+'Inputs-System'!$C$41))*'Inputs-Proposals'!$G$23*'Inputs-Proposals'!$G$25*(1-'Inputs-Proposals'!$G$20^(BL$3-'Inputs-System'!$C$7))*(VLOOKUP(BL$3,'Embedded Emissions'!$A$47:$B$78,2,FALSE)+VLOOKUP(BL$3,'Embedded Emissions'!$A$129:$B$158,2,FALSE)), $C30 = "3", ('Inputs-System'!$C$30*'Coincidence Factors'!$B$6*(1+'Inputs-System'!$C$18)*(1+'Inputs-System'!$C$41))*'Inputs-Proposals'!$G$29*'Inputs-Proposals'!$G$31*(1-'Inputs-Proposals'!$G$20^(BL$3-'Inputs-System'!$C$7))*(VLOOKUP(BL$3,'Embedded Emissions'!$A$47:$B$78,2,FALSE)+VLOOKUP(BL$3,'Embedded Emissions'!$A$129:$B$158,2,FALSE)), $C30 = "0", 0), 0)</f>
        <v>0</v>
      </c>
      <c r="BN30" s="44">
        <f>IFERROR(_xlfn.IFS($C30="1",( 'Inputs-System'!$C$30*'Coincidence Factors'!$B$6*(1+'Inputs-System'!$C$18)*(1+'Inputs-System'!$C$41))*('Inputs-Proposals'!$G$17*'Inputs-Proposals'!$G$19*(1-'Inputs-Proposals'!$G$20)^(BL$3-'Inputs-System'!$C$7))*(VLOOKUP(BL$3,DRIPE!$A$54:$I$82,5,FALSE)+VLOOKUP(BL$3,DRIPE!$A$54:$I$82,9,FALSE))+ ('Inputs-System'!$C$26*'Coincidence Factors'!$B$6*(1+'Inputs-System'!$C$18)*(1+'Inputs-System'!$C$42))*'Inputs-Proposals'!$G$16*VLOOKUP(BL$3,DRIPE!$A$54:$I$82,8,FALSE), $C30 = "2",( 'Inputs-System'!$C$30*'Coincidence Factors'!$B$6*(1+'Inputs-System'!$C$18)*(1+'Inputs-System'!$C$41))*('Inputs-Proposals'!$G$23*'Inputs-Proposals'!$G$25*(1-'Inputs-Proposals'!$G$26)^(BL$3-'Inputs-System'!$C$7))*(VLOOKUP(BL$3,DRIPE!$A$54:$I$82,5,FALSE)+VLOOKUP(BL$3,DRIPE!$A$54:$I$82,9,FALSE))+ ('Inputs-System'!$C$26*'Coincidence Factors'!$B$6*(1+'Inputs-System'!$C$18)*(1+'Inputs-System'!$C$42))*'Inputs-Proposals'!$G$22*VLOOKUP(BL$3,DRIPE!$A$54:$I$82,8,FALSE), $C30= "3", ( 'Inputs-System'!$C$30*'Coincidence Factors'!$B$6*(1+'Inputs-System'!$C$18)*(1+'Inputs-System'!$C$41))*('Inputs-Proposals'!$G$29*'Inputs-Proposals'!$G$31*(1-'Inputs-Proposals'!$G$32)^(BL$3-'Inputs-System'!$C$7))*(VLOOKUP(BL$3,DRIPE!$A$54:$I$82,5,FALSE)+VLOOKUP(BL$3,DRIPE!$A$54:$I$82,9,FALSE))+ ('Inputs-System'!$C$26*'Coincidence Factors'!$B$6*(1+'Inputs-System'!$C$18)*(1+'Inputs-System'!$C$42))*'Inputs-Proposals'!$G$28*VLOOKUP(BL$3,DRIPE!$A$54:$I$82,8,FALSE), $C30 = "0", 0), 0)</f>
        <v>0</v>
      </c>
      <c r="BO30" s="45">
        <f>IFERROR(_xlfn.IFS($C30="1",('Inputs-System'!$C$26*'Coincidence Factors'!$B$6*(1+'Inputs-System'!$C$18))*'Inputs-Proposals'!$G$16*(VLOOKUP(BL$3,Capacity!$A$53:$E$85,4,FALSE)*(1+'Inputs-System'!$C$42)+VLOOKUP(BL$3,Capacity!$A$53:$E$85,5,FALSE)*'Inputs-System'!$C$29*(1+'Inputs-System'!$C$43)), $C30 = "2", ('Inputs-System'!$C$26*'Coincidence Factors'!$B$6*(1+'Inputs-System'!$C$18))*'Inputs-Proposals'!$G$22*(VLOOKUP(BL$3,Capacity!$A$53:$E$85,4,FALSE)*(1+'Inputs-System'!$C$42)+VLOOKUP(BL$3,Capacity!$A$53:$E$85,5,FALSE)*'Inputs-System'!$C$29*(1+'Inputs-System'!$C$43)), $C30 = "3",('Inputs-System'!$C$26*'Coincidence Factors'!$B$6*(1+'Inputs-System'!$C$18))*'Inputs-Proposals'!$G$28*(VLOOKUP(BL$3,Capacity!$A$53:$E$85,4,FALSE)*(1+'Inputs-System'!$C$42)+VLOOKUP(BL$3,Capacity!$A$53:$E$85,5,FALSE)*'Inputs-System'!$C$29*(1+'Inputs-System'!$C$43)), $C30 = "0", 0), 0)</f>
        <v>0</v>
      </c>
      <c r="BP30" s="44">
        <v>0</v>
      </c>
      <c r="BQ30" s="342">
        <f>IFERROR(_xlfn.IFS($C30="1", 'Inputs-System'!$C$30*'Coincidence Factors'!$B$6*'Inputs-Proposals'!$G$17*'Inputs-Proposals'!$G$19*(VLOOKUP(BL$3,'Non-Embedded Emissions'!$A$56:$D$90,2,FALSE)+VLOOKUP(BL$3,'Non-Embedded Emissions'!$A$143:$D$174,2,FALSE)+VLOOKUP(BL$3,'Non-Embedded Emissions'!$A$230:$D$259,2,FALSE)), $C30 = "2", 'Inputs-System'!$C$30*'Coincidence Factors'!$B$6*'Inputs-Proposals'!$G$23*'Inputs-Proposals'!$G$25*(VLOOKUP(BL$3,'Non-Embedded Emissions'!$A$56:$D$90,2,FALSE)+VLOOKUP(BL$3,'Non-Embedded Emissions'!$A$143:$D$174,2,FALSE)+VLOOKUP(BL$3,'Non-Embedded Emissions'!$A$230:$D$259,2,FALSE)), $C30 = "3", 'Inputs-System'!$C$30*'Coincidence Factors'!$B$6*'Inputs-Proposals'!$G$29*'Inputs-Proposals'!$G$31*(VLOOKUP(BL$3,'Non-Embedded Emissions'!$A$56:$D$90,2,FALSE)+VLOOKUP(BL$3,'Non-Embedded Emissions'!$A$143:$D$174,2,FALSE)+VLOOKUP(BL$3,'Non-Embedded Emissions'!$A$230:$D$259,2,FALSE)), $C30 = "0", 0), 0)</f>
        <v>0</v>
      </c>
      <c r="BR30" s="347">
        <f>IFERROR(_xlfn.IFS($C30="1",('Inputs-System'!$C$30*'Coincidence Factors'!$B$6*(1+'Inputs-System'!$C$18)*(1+'Inputs-System'!$C$41)*('Inputs-Proposals'!$G$17*'Inputs-Proposals'!$G$19*(1-'Inputs-Proposals'!$G$20^(BR$3-'Inputs-System'!$C$7)))*(VLOOKUP(BR$3,Energy!$A$51:$K$83,5,FALSE))), $C30 = "2",('Inputs-System'!$C$30*'Coincidence Factors'!$B$6)*(1+'Inputs-System'!$C$18)*(1+'Inputs-System'!$C$41)*('Inputs-Proposals'!$G$23*'Inputs-Proposals'!$G$25*(1-'Inputs-Proposals'!$G$26^(BR$3-'Inputs-System'!$C$7)))*(VLOOKUP(BR$3,Energy!$A$51:$K$83,5,FALSE)), $C30= "3", ('Inputs-System'!$C$30*'Coincidence Factors'!$B$6*(1+'Inputs-System'!$C$18)*(1+'Inputs-System'!$C$41)*('Inputs-Proposals'!$G$29*'Inputs-Proposals'!$G$31*(1-'Inputs-Proposals'!$G$32^(BR$3-'Inputs-System'!$C$7)))*(VLOOKUP(BR$3,Energy!$A$51:$K$83,5,FALSE))), $C30= "0", 0), 0)</f>
        <v>0</v>
      </c>
      <c r="BS30" s="44">
        <f>IFERROR(_xlfn.IFS($C30="1",('Inputs-System'!$C$30*'Coincidence Factors'!$B$6*(1+'Inputs-System'!$C$18)*(1+'Inputs-System'!$C$41))*'Inputs-Proposals'!$G$17*'Inputs-Proposals'!$G$19*(1-'Inputs-Proposals'!$G$20^(BR$3-'Inputs-System'!$C$7))*(VLOOKUP(BR$3,'Embedded Emissions'!$A$47:$B$78,2,FALSE)+VLOOKUP(BR$3,'Embedded Emissions'!$A$129:$B$158,2,FALSE)), $C30 = "2",('Inputs-System'!$C$30*'Coincidence Factors'!$B$6*(1+'Inputs-System'!$C$18)*(1+'Inputs-System'!$C$41))*'Inputs-Proposals'!$G$23*'Inputs-Proposals'!$G$25*(1-'Inputs-Proposals'!$G$20^(BR$3-'Inputs-System'!$C$7))*(VLOOKUP(BR$3,'Embedded Emissions'!$A$47:$B$78,2,FALSE)+VLOOKUP(BR$3,'Embedded Emissions'!$A$129:$B$158,2,FALSE)), $C30 = "3", ('Inputs-System'!$C$30*'Coincidence Factors'!$B$6*(1+'Inputs-System'!$C$18)*(1+'Inputs-System'!$C$41))*'Inputs-Proposals'!$G$29*'Inputs-Proposals'!$G$31*(1-'Inputs-Proposals'!$G$20^(BR$3-'Inputs-System'!$C$7))*(VLOOKUP(BR$3,'Embedded Emissions'!$A$47:$B$78,2,FALSE)+VLOOKUP(BR$3,'Embedded Emissions'!$A$129:$B$158,2,FALSE)), $C30 = "0", 0), 0)</f>
        <v>0</v>
      </c>
      <c r="BT30" s="44">
        <f>IFERROR(_xlfn.IFS($C30="1",( 'Inputs-System'!$C$30*'Coincidence Factors'!$B$6*(1+'Inputs-System'!$C$18)*(1+'Inputs-System'!$C$41))*('Inputs-Proposals'!$G$17*'Inputs-Proposals'!$G$19*(1-'Inputs-Proposals'!$G$20)^(BR$3-'Inputs-System'!$C$7))*(VLOOKUP(BR$3,DRIPE!$A$54:$I$82,5,FALSE)+VLOOKUP(BR$3,DRIPE!$A$54:$I$82,9,FALSE))+ ('Inputs-System'!$C$26*'Coincidence Factors'!$B$6*(1+'Inputs-System'!$C$18)*(1+'Inputs-System'!$C$42))*'Inputs-Proposals'!$G$16*VLOOKUP(BR$3,DRIPE!$A$54:$I$82,8,FALSE), $C30 = "2",( 'Inputs-System'!$C$30*'Coincidence Factors'!$B$6*(1+'Inputs-System'!$C$18)*(1+'Inputs-System'!$C$41))*('Inputs-Proposals'!$G$23*'Inputs-Proposals'!$G$25*(1-'Inputs-Proposals'!$G$26)^(BR$3-'Inputs-System'!$C$7))*(VLOOKUP(BR$3,DRIPE!$A$54:$I$82,5,FALSE)+VLOOKUP(BR$3,DRIPE!$A$54:$I$82,9,FALSE))+ ('Inputs-System'!$C$26*'Coincidence Factors'!$B$6*(1+'Inputs-System'!$C$18)*(1+'Inputs-System'!$C$42))*'Inputs-Proposals'!$G$22*VLOOKUP(BR$3,DRIPE!$A$54:$I$82,8,FALSE), $C30= "3", ( 'Inputs-System'!$C$30*'Coincidence Factors'!$B$6*(1+'Inputs-System'!$C$18)*(1+'Inputs-System'!$C$41))*('Inputs-Proposals'!$G$29*'Inputs-Proposals'!$G$31*(1-'Inputs-Proposals'!$G$32)^(BR$3-'Inputs-System'!$C$7))*(VLOOKUP(BR$3,DRIPE!$A$54:$I$82,5,FALSE)+VLOOKUP(BR$3,DRIPE!$A$54:$I$82,9,FALSE))+ ('Inputs-System'!$C$26*'Coincidence Factors'!$B$6*(1+'Inputs-System'!$C$18)*(1+'Inputs-System'!$C$42))*'Inputs-Proposals'!$G$28*VLOOKUP(BR$3,DRIPE!$A$54:$I$82,8,FALSE), $C30 = "0", 0), 0)</f>
        <v>0</v>
      </c>
      <c r="BU30" s="45">
        <f>IFERROR(_xlfn.IFS($C30="1",('Inputs-System'!$C$26*'Coincidence Factors'!$B$6*(1+'Inputs-System'!$C$18))*'Inputs-Proposals'!$G$16*(VLOOKUP(BR$3,Capacity!$A$53:$E$85,4,FALSE)*(1+'Inputs-System'!$C$42)+VLOOKUP(BR$3,Capacity!$A$53:$E$85,5,FALSE)*'Inputs-System'!$C$29*(1+'Inputs-System'!$C$43)), $C30 = "2", ('Inputs-System'!$C$26*'Coincidence Factors'!$B$6*(1+'Inputs-System'!$C$18))*'Inputs-Proposals'!$G$22*(VLOOKUP(BR$3,Capacity!$A$53:$E$85,4,FALSE)*(1+'Inputs-System'!$C$42)+VLOOKUP(BR$3,Capacity!$A$53:$E$85,5,FALSE)*'Inputs-System'!$C$29*(1+'Inputs-System'!$C$43)), $C30 = "3",('Inputs-System'!$C$26*'Coincidence Factors'!$B$6*(1+'Inputs-System'!$C$18))*'Inputs-Proposals'!$G$28*(VLOOKUP(BR$3,Capacity!$A$53:$E$85,4,FALSE)*(1+'Inputs-System'!$C$42)+VLOOKUP(BR$3,Capacity!$A$53:$E$85,5,FALSE)*'Inputs-System'!$C$29*(1+'Inputs-System'!$C$43)), $C30 = "0", 0), 0)</f>
        <v>0</v>
      </c>
      <c r="BV30" s="44">
        <v>0</v>
      </c>
      <c r="BW30" s="342">
        <f>IFERROR(_xlfn.IFS($C30="1", 'Inputs-System'!$C$30*'Coincidence Factors'!$B$6*'Inputs-Proposals'!$G$17*'Inputs-Proposals'!$G$19*(VLOOKUP(BR$3,'Non-Embedded Emissions'!$A$56:$D$90,2,FALSE)+VLOOKUP(BR$3,'Non-Embedded Emissions'!$A$143:$D$174,2,FALSE)+VLOOKUP(BR$3,'Non-Embedded Emissions'!$A$230:$D$259,2,FALSE)), $C30 = "2", 'Inputs-System'!$C$30*'Coincidence Factors'!$B$6*'Inputs-Proposals'!$G$23*'Inputs-Proposals'!$G$25*(VLOOKUP(BR$3,'Non-Embedded Emissions'!$A$56:$D$90,2,FALSE)+VLOOKUP(BR$3,'Non-Embedded Emissions'!$A$143:$D$174,2,FALSE)+VLOOKUP(BR$3,'Non-Embedded Emissions'!$A$230:$D$259,2,FALSE)), $C30 = "3", 'Inputs-System'!$C$30*'Coincidence Factors'!$B$6*'Inputs-Proposals'!$G$29*'Inputs-Proposals'!$G$31*(VLOOKUP(BR$3,'Non-Embedded Emissions'!$A$56:$D$90,2,FALSE)+VLOOKUP(BR$3,'Non-Embedded Emissions'!$A$143:$D$174,2,FALSE)+VLOOKUP(BR$3,'Non-Embedded Emissions'!$A$230:$D$259,2,FALSE)), $C30 = "0", 0), 0)</f>
        <v>0</v>
      </c>
      <c r="BX30" s="347">
        <f>IFERROR(_xlfn.IFS($C30="1",('Inputs-System'!$C$30*'Coincidence Factors'!$B$6*(1+'Inputs-System'!$C$18)*(1+'Inputs-System'!$C$41)*('Inputs-Proposals'!$G$17*'Inputs-Proposals'!$G$19*(1-'Inputs-Proposals'!$G$20^(BX$3-'Inputs-System'!$C$7)))*(VLOOKUP(BX$3,Energy!$A$51:$K$83,5,FALSE))), $C30 = "2",('Inputs-System'!$C$30*'Coincidence Factors'!$B$6)*(1+'Inputs-System'!$C$18)*(1+'Inputs-System'!$C$41)*('Inputs-Proposals'!$G$23*'Inputs-Proposals'!$G$25*(1-'Inputs-Proposals'!$G$26^(BX$3-'Inputs-System'!$C$7)))*(VLOOKUP(BX$3,Energy!$A$51:$K$83,5,FALSE)), $C30= "3", ('Inputs-System'!$C$30*'Coincidence Factors'!$B$6*(1+'Inputs-System'!$C$18)*(1+'Inputs-System'!$C$41)*('Inputs-Proposals'!$G$29*'Inputs-Proposals'!$G$31*(1-'Inputs-Proposals'!$G$32^(BX$3-'Inputs-System'!$C$7)))*(VLOOKUP(BX$3,Energy!$A$51:$K$83,5,FALSE))), $C30= "0", 0), 0)</f>
        <v>0</v>
      </c>
      <c r="BY30" s="44">
        <f>IFERROR(_xlfn.IFS($C30="1",('Inputs-System'!$C$30*'Coincidence Factors'!$B$6*(1+'Inputs-System'!$C$18)*(1+'Inputs-System'!$C$41))*'Inputs-Proposals'!$G$17*'Inputs-Proposals'!$G$19*(1-'Inputs-Proposals'!$G$20^(BX$3-'Inputs-System'!$C$7))*(VLOOKUP(BX$3,'Embedded Emissions'!$A$47:$B$78,2,FALSE)+VLOOKUP(BX$3,'Embedded Emissions'!$A$129:$B$158,2,FALSE)), $C30 = "2",('Inputs-System'!$C$30*'Coincidence Factors'!$B$6*(1+'Inputs-System'!$C$18)*(1+'Inputs-System'!$C$41))*'Inputs-Proposals'!$G$23*'Inputs-Proposals'!$G$25*(1-'Inputs-Proposals'!$G$20^(BX$3-'Inputs-System'!$C$7))*(VLOOKUP(BX$3,'Embedded Emissions'!$A$47:$B$78,2,FALSE)+VLOOKUP(BX$3,'Embedded Emissions'!$A$129:$B$158,2,FALSE)), $C30 = "3", ('Inputs-System'!$C$30*'Coincidence Factors'!$B$6*(1+'Inputs-System'!$C$18)*(1+'Inputs-System'!$C$41))*'Inputs-Proposals'!$G$29*'Inputs-Proposals'!$G$31*(1-'Inputs-Proposals'!$G$20^(BX$3-'Inputs-System'!$C$7))*(VLOOKUP(BX$3,'Embedded Emissions'!$A$47:$B$78,2,FALSE)+VLOOKUP(BX$3,'Embedded Emissions'!$A$129:$B$158,2,FALSE)), $C30 = "0", 0), 0)</f>
        <v>0</v>
      </c>
      <c r="BZ30" s="44">
        <f>IFERROR(_xlfn.IFS($C30="1",( 'Inputs-System'!$C$30*'Coincidence Factors'!$B$6*(1+'Inputs-System'!$C$18)*(1+'Inputs-System'!$C$41))*('Inputs-Proposals'!$G$17*'Inputs-Proposals'!$G$19*(1-'Inputs-Proposals'!$G$20)^(BX$3-'Inputs-System'!$C$7))*(VLOOKUP(BX$3,DRIPE!$A$54:$I$82,5,FALSE)+VLOOKUP(BX$3,DRIPE!$A$54:$I$82,9,FALSE))+ ('Inputs-System'!$C$26*'Coincidence Factors'!$B$6*(1+'Inputs-System'!$C$18)*(1+'Inputs-System'!$C$42))*'Inputs-Proposals'!$G$16*VLOOKUP(BX$3,DRIPE!$A$54:$I$82,8,FALSE), $C30 = "2",( 'Inputs-System'!$C$30*'Coincidence Factors'!$B$6*(1+'Inputs-System'!$C$18)*(1+'Inputs-System'!$C$41))*('Inputs-Proposals'!$G$23*'Inputs-Proposals'!$G$25*(1-'Inputs-Proposals'!$G$26)^(BX$3-'Inputs-System'!$C$7))*(VLOOKUP(BX$3,DRIPE!$A$54:$I$82,5,FALSE)+VLOOKUP(BX$3,DRIPE!$A$54:$I$82,9,FALSE))+ ('Inputs-System'!$C$26*'Coincidence Factors'!$B$6*(1+'Inputs-System'!$C$18)*(1+'Inputs-System'!$C$42))*'Inputs-Proposals'!$G$22*VLOOKUP(BX$3,DRIPE!$A$54:$I$82,8,FALSE), $C30= "3", ( 'Inputs-System'!$C$30*'Coincidence Factors'!$B$6*(1+'Inputs-System'!$C$18)*(1+'Inputs-System'!$C$41))*('Inputs-Proposals'!$G$29*'Inputs-Proposals'!$G$31*(1-'Inputs-Proposals'!$G$32)^(BX$3-'Inputs-System'!$C$7))*(VLOOKUP(BX$3,DRIPE!$A$54:$I$82,5,FALSE)+VLOOKUP(BX$3,DRIPE!$A$54:$I$82,9,FALSE))+ ('Inputs-System'!$C$26*'Coincidence Factors'!$B$6*(1+'Inputs-System'!$C$18)*(1+'Inputs-System'!$C$42))*'Inputs-Proposals'!$G$28*VLOOKUP(BX$3,DRIPE!$A$54:$I$82,8,FALSE), $C30 = "0", 0), 0)</f>
        <v>0</v>
      </c>
      <c r="CA30" s="45">
        <f>IFERROR(_xlfn.IFS($C30="1",('Inputs-System'!$C$26*'Coincidence Factors'!$B$6*(1+'Inputs-System'!$C$18))*'Inputs-Proposals'!$G$16*(VLOOKUP(BX$3,Capacity!$A$53:$E$85,4,FALSE)*(1+'Inputs-System'!$C$42)+VLOOKUP(BX$3,Capacity!$A$53:$E$85,5,FALSE)*'Inputs-System'!$C$29*(1+'Inputs-System'!$C$43)), $C30 = "2", ('Inputs-System'!$C$26*'Coincidence Factors'!$B$6*(1+'Inputs-System'!$C$18))*'Inputs-Proposals'!$G$22*(VLOOKUP(BX$3,Capacity!$A$53:$E$85,4,FALSE)*(1+'Inputs-System'!$C$42)+VLOOKUP(BX$3,Capacity!$A$53:$E$85,5,FALSE)*'Inputs-System'!$C$29*(1+'Inputs-System'!$C$43)), $C30 = "3",('Inputs-System'!$C$26*'Coincidence Factors'!$B$6*(1+'Inputs-System'!$C$18))*'Inputs-Proposals'!$G$28*(VLOOKUP(BX$3,Capacity!$A$53:$E$85,4,FALSE)*(1+'Inputs-System'!$C$42)+VLOOKUP(BX$3,Capacity!$A$53:$E$85,5,FALSE)*'Inputs-System'!$C$29*(1+'Inputs-System'!$C$43)), $C30 = "0", 0), 0)</f>
        <v>0</v>
      </c>
      <c r="CB30" s="44">
        <v>0</v>
      </c>
      <c r="CC30" s="342">
        <f>IFERROR(_xlfn.IFS($C30="1", 'Inputs-System'!$C$30*'Coincidence Factors'!$B$6*'Inputs-Proposals'!$G$17*'Inputs-Proposals'!$G$19*(VLOOKUP(BX$3,'Non-Embedded Emissions'!$A$56:$D$90,2,FALSE)+VLOOKUP(BX$3,'Non-Embedded Emissions'!$A$143:$D$174,2,FALSE)+VLOOKUP(BX$3,'Non-Embedded Emissions'!$A$230:$D$259,2,FALSE)), $C30 = "2", 'Inputs-System'!$C$30*'Coincidence Factors'!$B$6*'Inputs-Proposals'!$G$23*'Inputs-Proposals'!$G$25*(VLOOKUP(BX$3,'Non-Embedded Emissions'!$A$56:$D$90,2,FALSE)+VLOOKUP(BX$3,'Non-Embedded Emissions'!$A$143:$D$174,2,FALSE)+VLOOKUP(BX$3,'Non-Embedded Emissions'!$A$230:$D$259,2,FALSE)), $C30 = "3", 'Inputs-System'!$C$30*'Coincidence Factors'!$B$6*'Inputs-Proposals'!$G$29*'Inputs-Proposals'!$G$31*(VLOOKUP(BX$3,'Non-Embedded Emissions'!$A$56:$D$90,2,FALSE)+VLOOKUP(BX$3,'Non-Embedded Emissions'!$A$143:$D$174,2,FALSE)+VLOOKUP(BX$3,'Non-Embedded Emissions'!$A$230:$D$259,2,FALSE)), $C30 = "0", 0), 0)</f>
        <v>0</v>
      </c>
      <c r="CD30" s="347">
        <f>IFERROR(_xlfn.IFS($C30="1",('Inputs-System'!$C$30*'Coincidence Factors'!$B$6*(1+'Inputs-System'!$C$18)*(1+'Inputs-System'!$C$41)*('Inputs-Proposals'!$G$17*'Inputs-Proposals'!$G$19*(1-'Inputs-Proposals'!$G$20^(CD$3-'Inputs-System'!$C$7)))*(VLOOKUP(CD$3,Energy!$A$51:$K$83,5,FALSE))), $C30 = "2",('Inputs-System'!$C$30*'Coincidence Factors'!$B$6)*(1+'Inputs-System'!$C$18)*(1+'Inputs-System'!$C$41)*('Inputs-Proposals'!$G$23*'Inputs-Proposals'!$G$25*(1-'Inputs-Proposals'!$G$26^(CD$3-'Inputs-System'!$C$7)))*(VLOOKUP(CD$3,Energy!$A$51:$K$83,5,FALSE)), $C30= "3", ('Inputs-System'!$C$30*'Coincidence Factors'!$B$6*(1+'Inputs-System'!$C$18)*(1+'Inputs-System'!$C$41)*('Inputs-Proposals'!$G$29*'Inputs-Proposals'!$G$31*(1-'Inputs-Proposals'!$G$32^(CD$3-'Inputs-System'!$C$7)))*(VLOOKUP(CD$3,Energy!$A$51:$K$83,5,FALSE))), $C30= "0", 0), 0)</f>
        <v>0</v>
      </c>
      <c r="CE30" s="44">
        <f>IFERROR(_xlfn.IFS($C30="1",('Inputs-System'!$C$30*'Coincidence Factors'!$B$6*(1+'Inputs-System'!$C$18)*(1+'Inputs-System'!$C$41))*'Inputs-Proposals'!$G$17*'Inputs-Proposals'!$G$19*(1-'Inputs-Proposals'!$G$20^(CD$3-'Inputs-System'!$C$7))*(VLOOKUP(CD$3,'Embedded Emissions'!$A$47:$B$78,2,FALSE)+VLOOKUP(CD$3,'Embedded Emissions'!$A$129:$B$158,2,FALSE)), $C30 = "2",('Inputs-System'!$C$30*'Coincidence Factors'!$B$6*(1+'Inputs-System'!$C$18)*(1+'Inputs-System'!$C$41))*'Inputs-Proposals'!$G$23*'Inputs-Proposals'!$G$25*(1-'Inputs-Proposals'!$G$20^(CD$3-'Inputs-System'!$C$7))*(VLOOKUP(CD$3,'Embedded Emissions'!$A$47:$B$78,2,FALSE)+VLOOKUP(CD$3,'Embedded Emissions'!$A$129:$B$158,2,FALSE)), $C30 = "3", ('Inputs-System'!$C$30*'Coincidence Factors'!$B$6*(1+'Inputs-System'!$C$18)*(1+'Inputs-System'!$C$41))*'Inputs-Proposals'!$G$29*'Inputs-Proposals'!$G$31*(1-'Inputs-Proposals'!$G$20^(CD$3-'Inputs-System'!$C$7))*(VLOOKUP(CD$3,'Embedded Emissions'!$A$47:$B$78,2,FALSE)+VLOOKUP(CD$3,'Embedded Emissions'!$A$129:$B$158,2,FALSE)), $C30 = "0", 0), 0)</f>
        <v>0</v>
      </c>
      <c r="CF30" s="44">
        <f>IFERROR(_xlfn.IFS($C30="1",( 'Inputs-System'!$C$30*'Coincidence Factors'!$B$6*(1+'Inputs-System'!$C$18)*(1+'Inputs-System'!$C$41))*('Inputs-Proposals'!$G$17*'Inputs-Proposals'!$G$19*(1-'Inputs-Proposals'!$G$20)^(CD$3-'Inputs-System'!$C$7))*(VLOOKUP(CD$3,DRIPE!$A$54:$I$82,5,FALSE)+VLOOKUP(CD$3,DRIPE!$A$54:$I$82,9,FALSE))+ ('Inputs-System'!$C$26*'Coincidence Factors'!$B$6*(1+'Inputs-System'!$C$18)*(1+'Inputs-System'!$C$42))*'Inputs-Proposals'!$G$16*VLOOKUP(CD$3,DRIPE!$A$54:$I$82,8,FALSE), $C30 = "2",( 'Inputs-System'!$C$30*'Coincidence Factors'!$B$6*(1+'Inputs-System'!$C$18)*(1+'Inputs-System'!$C$41))*('Inputs-Proposals'!$G$23*'Inputs-Proposals'!$G$25*(1-'Inputs-Proposals'!$G$26)^(CD$3-'Inputs-System'!$C$7))*(VLOOKUP(CD$3,DRIPE!$A$54:$I$82,5,FALSE)+VLOOKUP(CD$3,DRIPE!$A$54:$I$82,9,FALSE))+ ('Inputs-System'!$C$26*'Coincidence Factors'!$B$6*(1+'Inputs-System'!$C$18)*(1+'Inputs-System'!$C$42))*'Inputs-Proposals'!$G$22*VLOOKUP(CD$3,DRIPE!$A$54:$I$82,8,FALSE), $C30= "3", ( 'Inputs-System'!$C$30*'Coincidence Factors'!$B$6*(1+'Inputs-System'!$C$18)*(1+'Inputs-System'!$C$41))*('Inputs-Proposals'!$G$29*'Inputs-Proposals'!$G$31*(1-'Inputs-Proposals'!$G$32)^(CD$3-'Inputs-System'!$C$7))*(VLOOKUP(CD$3,DRIPE!$A$54:$I$82,5,FALSE)+VLOOKUP(CD$3,DRIPE!$A$54:$I$82,9,FALSE))+ ('Inputs-System'!$C$26*'Coincidence Factors'!$B$6*(1+'Inputs-System'!$C$18)*(1+'Inputs-System'!$C$42))*'Inputs-Proposals'!$G$28*VLOOKUP(CD$3,DRIPE!$A$54:$I$82,8,FALSE), $C30 = "0", 0), 0)</f>
        <v>0</v>
      </c>
      <c r="CG30" s="45">
        <f>IFERROR(_xlfn.IFS($C30="1",('Inputs-System'!$C$26*'Coincidence Factors'!$B$6*(1+'Inputs-System'!$C$18))*'Inputs-Proposals'!$G$16*(VLOOKUP(CD$3,Capacity!$A$53:$E$85,4,FALSE)*(1+'Inputs-System'!$C$42)+VLOOKUP(CD$3,Capacity!$A$53:$E$85,5,FALSE)*'Inputs-System'!$C$29*(1+'Inputs-System'!$C$43)), $C30 = "2", ('Inputs-System'!$C$26*'Coincidence Factors'!$B$6*(1+'Inputs-System'!$C$18))*'Inputs-Proposals'!$G$22*(VLOOKUP(CD$3,Capacity!$A$53:$E$85,4,FALSE)*(1+'Inputs-System'!$C$42)+VLOOKUP(CD$3,Capacity!$A$53:$E$85,5,FALSE)*'Inputs-System'!$C$29*(1+'Inputs-System'!$C$43)), $C30 = "3",('Inputs-System'!$C$26*'Coincidence Factors'!$B$6*(1+'Inputs-System'!$C$18))*'Inputs-Proposals'!$G$28*(VLOOKUP(CD$3,Capacity!$A$53:$E$85,4,FALSE)*(1+'Inputs-System'!$C$42)+VLOOKUP(CD$3,Capacity!$A$53:$E$85,5,FALSE)*'Inputs-System'!$C$29*(1+'Inputs-System'!$C$43)), $C30 = "0", 0), 0)</f>
        <v>0</v>
      </c>
      <c r="CH30" s="44">
        <v>0</v>
      </c>
      <c r="CI30" s="342">
        <f>IFERROR(_xlfn.IFS($C30="1", 'Inputs-System'!$C$30*'Coincidence Factors'!$B$6*'Inputs-Proposals'!$G$17*'Inputs-Proposals'!$G$19*(VLOOKUP(CD$3,'Non-Embedded Emissions'!$A$56:$D$90,2,FALSE)+VLOOKUP(CD$3,'Non-Embedded Emissions'!$A$143:$D$174,2,FALSE)+VLOOKUP(CD$3,'Non-Embedded Emissions'!$A$230:$D$259,2,FALSE)), $C30 = "2", 'Inputs-System'!$C$30*'Coincidence Factors'!$B$6*'Inputs-Proposals'!$G$23*'Inputs-Proposals'!$G$25*(VLOOKUP(CD$3,'Non-Embedded Emissions'!$A$56:$D$90,2,FALSE)+VLOOKUP(CD$3,'Non-Embedded Emissions'!$A$143:$D$174,2,FALSE)+VLOOKUP(CD$3,'Non-Embedded Emissions'!$A$230:$D$259,2,FALSE)), $C30 = "3", 'Inputs-System'!$C$30*'Coincidence Factors'!$B$6*'Inputs-Proposals'!$G$29*'Inputs-Proposals'!$G$31*(VLOOKUP(CD$3,'Non-Embedded Emissions'!$A$56:$D$90,2,FALSE)+VLOOKUP(CD$3,'Non-Embedded Emissions'!$A$143:$D$174,2,FALSE)+VLOOKUP(CD$3,'Non-Embedded Emissions'!$A$230:$D$259,2,FALSE)), $C30 = "0", 0), 0)</f>
        <v>0</v>
      </c>
      <c r="CJ30" s="347">
        <f>IFERROR(_xlfn.IFS($C30="1",('Inputs-System'!$C$30*'Coincidence Factors'!$B$6*(1+'Inputs-System'!$C$18)*(1+'Inputs-System'!$C$41)*('Inputs-Proposals'!$G$17*'Inputs-Proposals'!$G$19*(1-'Inputs-Proposals'!$G$20^(CJ$3-'Inputs-System'!$C$7)))*(VLOOKUP(CJ$3,Energy!$A$51:$K$83,5,FALSE))), $C30 = "2",('Inputs-System'!$C$30*'Coincidence Factors'!$B$6)*(1+'Inputs-System'!$C$18)*(1+'Inputs-System'!$C$41)*('Inputs-Proposals'!$G$23*'Inputs-Proposals'!$G$25*(1-'Inputs-Proposals'!$G$26^(CJ$3-'Inputs-System'!$C$7)))*(VLOOKUP(CJ$3,Energy!$A$51:$K$83,5,FALSE)), $C30= "3", ('Inputs-System'!$C$30*'Coincidence Factors'!$B$6*(1+'Inputs-System'!$C$18)*(1+'Inputs-System'!$C$41)*('Inputs-Proposals'!$G$29*'Inputs-Proposals'!$G$31*(1-'Inputs-Proposals'!$G$32^(CJ$3-'Inputs-System'!$C$7)))*(VLOOKUP(CJ$3,Energy!$A$51:$K$83,5,FALSE))), $C30= "0", 0), 0)</f>
        <v>0</v>
      </c>
      <c r="CK30" s="44">
        <f>IFERROR(_xlfn.IFS($C30="1",('Inputs-System'!$C$30*'Coincidence Factors'!$B$6*(1+'Inputs-System'!$C$18)*(1+'Inputs-System'!$C$41))*'Inputs-Proposals'!$G$17*'Inputs-Proposals'!$G$19*(1-'Inputs-Proposals'!$G$20^(CJ$3-'Inputs-System'!$C$7))*(VLOOKUP(CJ$3,'Embedded Emissions'!$A$47:$B$78,2,FALSE)+VLOOKUP(CJ$3,'Embedded Emissions'!$A$129:$B$158,2,FALSE)), $C30 = "2",('Inputs-System'!$C$30*'Coincidence Factors'!$B$6*(1+'Inputs-System'!$C$18)*(1+'Inputs-System'!$C$41))*'Inputs-Proposals'!$G$23*'Inputs-Proposals'!$G$25*(1-'Inputs-Proposals'!$G$20^(CJ$3-'Inputs-System'!$C$7))*(VLOOKUP(CJ$3,'Embedded Emissions'!$A$47:$B$78,2,FALSE)+VLOOKUP(CJ$3,'Embedded Emissions'!$A$129:$B$158,2,FALSE)), $C30 = "3", ('Inputs-System'!$C$30*'Coincidence Factors'!$B$6*(1+'Inputs-System'!$C$18)*(1+'Inputs-System'!$C$41))*'Inputs-Proposals'!$G$29*'Inputs-Proposals'!$G$31*(1-'Inputs-Proposals'!$G$20^(CJ$3-'Inputs-System'!$C$7))*(VLOOKUP(CJ$3,'Embedded Emissions'!$A$47:$B$78,2,FALSE)+VLOOKUP(CJ$3,'Embedded Emissions'!$A$129:$B$158,2,FALSE)), $C30 = "0", 0), 0)</f>
        <v>0</v>
      </c>
      <c r="CL30" s="44">
        <f>IFERROR(_xlfn.IFS($C30="1",( 'Inputs-System'!$C$30*'Coincidence Factors'!$B$6*(1+'Inputs-System'!$C$18)*(1+'Inputs-System'!$C$41))*('Inputs-Proposals'!$G$17*'Inputs-Proposals'!$G$19*(1-'Inputs-Proposals'!$G$20)^(CJ$3-'Inputs-System'!$C$7))*(VLOOKUP(CJ$3,DRIPE!$A$54:$I$82,5,FALSE)+VLOOKUP(CJ$3,DRIPE!$A$54:$I$82,9,FALSE))+ ('Inputs-System'!$C$26*'Coincidence Factors'!$B$6*(1+'Inputs-System'!$C$18)*(1+'Inputs-System'!$C$42))*'Inputs-Proposals'!$G$16*VLOOKUP(CJ$3,DRIPE!$A$54:$I$82,8,FALSE), $C30 = "2",( 'Inputs-System'!$C$30*'Coincidence Factors'!$B$6*(1+'Inputs-System'!$C$18)*(1+'Inputs-System'!$C$41))*('Inputs-Proposals'!$G$23*'Inputs-Proposals'!$G$25*(1-'Inputs-Proposals'!$G$26)^(CJ$3-'Inputs-System'!$C$7))*(VLOOKUP(CJ$3,DRIPE!$A$54:$I$82,5,FALSE)+VLOOKUP(CJ$3,DRIPE!$A$54:$I$82,9,FALSE))+ ('Inputs-System'!$C$26*'Coincidence Factors'!$B$6*(1+'Inputs-System'!$C$18)*(1+'Inputs-System'!$C$42))*'Inputs-Proposals'!$G$22*VLOOKUP(CJ$3,DRIPE!$A$54:$I$82,8,FALSE), $C30= "3", ( 'Inputs-System'!$C$30*'Coincidence Factors'!$B$6*(1+'Inputs-System'!$C$18)*(1+'Inputs-System'!$C$41))*('Inputs-Proposals'!$G$29*'Inputs-Proposals'!$G$31*(1-'Inputs-Proposals'!$G$32)^(CJ$3-'Inputs-System'!$C$7))*(VLOOKUP(CJ$3,DRIPE!$A$54:$I$82,5,FALSE)+VLOOKUP(CJ$3,DRIPE!$A$54:$I$82,9,FALSE))+ ('Inputs-System'!$C$26*'Coincidence Factors'!$B$6*(1+'Inputs-System'!$C$18)*(1+'Inputs-System'!$C$42))*'Inputs-Proposals'!$G$28*VLOOKUP(CJ$3,DRIPE!$A$54:$I$82,8,FALSE), $C30 = "0", 0), 0)</f>
        <v>0</v>
      </c>
      <c r="CM30" s="45">
        <f>IFERROR(_xlfn.IFS($C30="1",('Inputs-System'!$C$26*'Coincidence Factors'!$B$6*(1+'Inputs-System'!$C$18))*'Inputs-Proposals'!$G$16*(VLOOKUP(CJ$3,Capacity!$A$53:$E$85,4,FALSE)*(1+'Inputs-System'!$C$42)+VLOOKUP(CJ$3,Capacity!$A$53:$E$85,5,FALSE)*'Inputs-System'!$C$29*(1+'Inputs-System'!$C$43)), $C30 = "2", ('Inputs-System'!$C$26*'Coincidence Factors'!$B$6*(1+'Inputs-System'!$C$18))*'Inputs-Proposals'!$G$22*(VLOOKUP(CJ$3,Capacity!$A$53:$E$85,4,FALSE)*(1+'Inputs-System'!$C$42)+VLOOKUP(CJ$3,Capacity!$A$53:$E$85,5,FALSE)*'Inputs-System'!$C$29*(1+'Inputs-System'!$C$43)), $C30 = "3",('Inputs-System'!$C$26*'Coincidence Factors'!$B$6*(1+'Inputs-System'!$C$18))*'Inputs-Proposals'!$G$28*(VLOOKUP(CJ$3,Capacity!$A$53:$E$85,4,FALSE)*(1+'Inputs-System'!$C$42)+VLOOKUP(CJ$3,Capacity!$A$53:$E$85,5,FALSE)*'Inputs-System'!$C$29*(1+'Inputs-System'!$C$43)), $C30 = "0", 0), 0)</f>
        <v>0</v>
      </c>
      <c r="CN30" s="44">
        <v>0</v>
      </c>
      <c r="CO30" s="342">
        <f>IFERROR(_xlfn.IFS($C30="1", 'Inputs-System'!$C$30*'Coincidence Factors'!$B$6*'Inputs-Proposals'!$G$17*'Inputs-Proposals'!$G$19*(VLOOKUP(CJ$3,'Non-Embedded Emissions'!$A$56:$D$90,2,FALSE)+VLOOKUP(CJ$3,'Non-Embedded Emissions'!$A$143:$D$174,2,FALSE)+VLOOKUP(CJ$3,'Non-Embedded Emissions'!$A$230:$D$259,2,FALSE)), $C30 = "2", 'Inputs-System'!$C$30*'Coincidence Factors'!$B$6*'Inputs-Proposals'!$G$23*'Inputs-Proposals'!$G$25*(VLOOKUP(CJ$3,'Non-Embedded Emissions'!$A$56:$D$90,2,FALSE)+VLOOKUP(CJ$3,'Non-Embedded Emissions'!$A$143:$D$174,2,FALSE)+VLOOKUP(CJ$3,'Non-Embedded Emissions'!$A$230:$D$259,2,FALSE)), $C30 = "3", 'Inputs-System'!$C$30*'Coincidence Factors'!$B$6*'Inputs-Proposals'!$G$29*'Inputs-Proposals'!$G$31*(VLOOKUP(CJ$3,'Non-Embedded Emissions'!$A$56:$D$90,2,FALSE)+VLOOKUP(CJ$3,'Non-Embedded Emissions'!$A$143:$D$174,2,FALSE)+VLOOKUP(CJ$3,'Non-Embedded Emissions'!$A$230:$D$259,2,FALSE)), $C30 = "0", 0), 0)</f>
        <v>0</v>
      </c>
      <c r="CP30" s="347">
        <f>IFERROR(_xlfn.IFS($C30="1",('Inputs-System'!$C$30*'Coincidence Factors'!$B$6*(1+'Inputs-System'!$C$18)*(1+'Inputs-System'!$C$41)*('Inputs-Proposals'!$G$17*'Inputs-Proposals'!$G$19*(1-'Inputs-Proposals'!$G$20^(CP$3-'Inputs-System'!$C$7)))*(VLOOKUP(CP$3,Energy!$A$51:$K$83,5,FALSE))), $C30 = "2",('Inputs-System'!$C$30*'Coincidence Factors'!$B$6)*(1+'Inputs-System'!$C$18)*(1+'Inputs-System'!$C$41)*('Inputs-Proposals'!$G$23*'Inputs-Proposals'!$G$25*(1-'Inputs-Proposals'!$G$26^(CP$3-'Inputs-System'!$C$7)))*(VLOOKUP(CP$3,Energy!$A$51:$K$83,5,FALSE)), $C30= "3", ('Inputs-System'!$C$30*'Coincidence Factors'!$B$6*(1+'Inputs-System'!$C$18)*(1+'Inputs-System'!$C$41)*('Inputs-Proposals'!$G$29*'Inputs-Proposals'!$G$31*(1-'Inputs-Proposals'!$G$32^(CP$3-'Inputs-System'!$C$7)))*(VLOOKUP(CP$3,Energy!$A$51:$K$83,5,FALSE))), $C30= "0", 0), 0)</f>
        <v>0</v>
      </c>
      <c r="CQ30" s="44">
        <f>IFERROR(_xlfn.IFS($C30="1",('Inputs-System'!$C$30*'Coincidence Factors'!$B$6*(1+'Inputs-System'!$C$18)*(1+'Inputs-System'!$C$41))*'Inputs-Proposals'!$G$17*'Inputs-Proposals'!$G$19*(1-'Inputs-Proposals'!$G$20^(CP$3-'Inputs-System'!$C$7))*(VLOOKUP(CP$3,'Embedded Emissions'!$A$47:$B$78,2,FALSE)+VLOOKUP(CP$3,'Embedded Emissions'!$A$129:$B$158,2,FALSE)), $C30 = "2",('Inputs-System'!$C$30*'Coincidence Factors'!$B$6*(1+'Inputs-System'!$C$18)*(1+'Inputs-System'!$C$41))*'Inputs-Proposals'!$G$23*'Inputs-Proposals'!$G$25*(1-'Inputs-Proposals'!$G$20^(CP$3-'Inputs-System'!$C$7))*(VLOOKUP(CP$3,'Embedded Emissions'!$A$47:$B$78,2,FALSE)+VLOOKUP(CP$3,'Embedded Emissions'!$A$129:$B$158,2,FALSE)), $C30 = "3", ('Inputs-System'!$C$30*'Coincidence Factors'!$B$6*(1+'Inputs-System'!$C$18)*(1+'Inputs-System'!$C$41))*'Inputs-Proposals'!$G$29*'Inputs-Proposals'!$G$31*(1-'Inputs-Proposals'!$G$20^(CP$3-'Inputs-System'!$C$7))*(VLOOKUP(CP$3,'Embedded Emissions'!$A$47:$B$78,2,FALSE)+VLOOKUP(CP$3,'Embedded Emissions'!$A$129:$B$158,2,FALSE)), $C30 = "0", 0), 0)</f>
        <v>0</v>
      </c>
      <c r="CR30" s="44">
        <f>IFERROR(_xlfn.IFS($C30="1",( 'Inputs-System'!$C$30*'Coincidence Factors'!$B$6*(1+'Inputs-System'!$C$18)*(1+'Inputs-System'!$C$41))*('Inputs-Proposals'!$G$17*'Inputs-Proposals'!$G$19*(1-'Inputs-Proposals'!$G$20)^(CP$3-'Inputs-System'!$C$7))*(VLOOKUP(CP$3,DRIPE!$A$54:$I$82,5,FALSE)+VLOOKUP(CP$3,DRIPE!$A$54:$I$82,9,FALSE))+ ('Inputs-System'!$C$26*'Coincidence Factors'!$B$6*(1+'Inputs-System'!$C$18)*(1+'Inputs-System'!$C$42))*'Inputs-Proposals'!$G$16*VLOOKUP(CP$3,DRIPE!$A$54:$I$82,8,FALSE), $C30 = "2",( 'Inputs-System'!$C$30*'Coincidence Factors'!$B$6*(1+'Inputs-System'!$C$18)*(1+'Inputs-System'!$C$41))*('Inputs-Proposals'!$G$23*'Inputs-Proposals'!$G$25*(1-'Inputs-Proposals'!$G$26)^(CP$3-'Inputs-System'!$C$7))*(VLOOKUP(CP$3,DRIPE!$A$54:$I$82,5,FALSE)+VLOOKUP(CP$3,DRIPE!$A$54:$I$82,9,FALSE))+ ('Inputs-System'!$C$26*'Coincidence Factors'!$B$6*(1+'Inputs-System'!$C$18)*(1+'Inputs-System'!$C$42))*'Inputs-Proposals'!$G$22*VLOOKUP(CP$3,DRIPE!$A$54:$I$82,8,FALSE), $C30= "3", ( 'Inputs-System'!$C$30*'Coincidence Factors'!$B$6*(1+'Inputs-System'!$C$18)*(1+'Inputs-System'!$C$41))*('Inputs-Proposals'!$G$29*'Inputs-Proposals'!$G$31*(1-'Inputs-Proposals'!$G$32)^(CP$3-'Inputs-System'!$C$7))*(VLOOKUP(CP$3,DRIPE!$A$54:$I$82,5,FALSE)+VLOOKUP(CP$3,DRIPE!$A$54:$I$82,9,FALSE))+ ('Inputs-System'!$C$26*'Coincidence Factors'!$B$6*(1+'Inputs-System'!$C$18)*(1+'Inputs-System'!$C$42))*'Inputs-Proposals'!$G$28*VLOOKUP(CP$3,DRIPE!$A$54:$I$82,8,FALSE), $C30 = "0", 0), 0)</f>
        <v>0</v>
      </c>
      <c r="CS30" s="45">
        <f>IFERROR(_xlfn.IFS($C30="1",('Inputs-System'!$C$26*'Coincidence Factors'!$B$6*(1+'Inputs-System'!$C$18))*'Inputs-Proposals'!$G$16*(VLOOKUP(CP$3,Capacity!$A$53:$E$85,4,FALSE)*(1+'Inputs-System'!$C$42)+VLOOKUP(CP$3,Capacity!$A$53:$E$85,5,FALSE)*'Inputs-System'!$C$29*(1+'Inputs-System'!$C$43)), $C30 = "2", ('Inputs-System'!$C$26*'Coincidence Factors'!$B$6*(1+'Inputs-System'!$C$18))*'Inputs-Proposals'!$G$22*(VLOOKUP(CP$3,Capacity!$A$53:$E$85,4,FALSE)*(1+'Inputs-System'!$C$42)+VLOOKUP(CP$3,Capacity!$A$53:$E$85,5,FALSE)*'Inputs-System'!$C$29*(1+'Inputs-System'!$C$43)), $C30 = "3",('Inputs-System'!$C$26*'Coincidence Factors'!$B$6*(1+'Inputs-System'!$C$18))*'Inputs-Proposals'!$G$28*(VLOOKUP(CP$3,Capacity!$A$53:$E$85,4,FALSE)*(1+'Inputs-System'!$C$42)+VLOOKUP(CP$3,Capacity!$A$53:$E$85,5,FALSE)*'Inputs-System'!$C$29*(1+'Inputs-System'!$C$43)), $C30 = "0", 0), 0)</f>
        <v>0</v>
      </c>
      <c r="CT30" s="44">
        <v>0</v>
      </c>
      <c r="CU30" s="342">
        <f>IFERROR(_xlfn.IFS($C30="1", 'Inputs-System'!$C$30*'Coincidence Factors'!$B$6*'Inputs-Proposals'!$G$17*'Inputs-Proposals'!$G$19*(VLOOKUP(CP$3,'Non-Embedded Emissions'!$A$56:$D$90,2,FALSE)+VLOOKUP(CP$3,'Non-Embedded Emissions'!$A$143:$D$174,2,FALSE)+VLOOKUP(CP$3,'Non-Embedded Emissions'!$A$230:$D$259,2,FALSE)), $C30 = "2", 'Inputs-System'!$C$30*'Coincidence Factors'!$B$6*'Inputs-Proposals'!$G$23*'Inputs-Proposals'!$G$25*(VLOOKUP(CP$3,'Non-Embedded Emissions'!$A$56:$D$90,2,FALSE)+VLOOKUP(CP$3,'Non-Embedded Emissions'!$A$143:$D$174,2,FALSE)+VLOOKUP(CP$3,'Non-Embedded Emissions'!$A$230:$D$259,2,FALSE)), $C30 = "3", 'Inputs-System'!$C$30*'Coincidence Factors'!$B$6*'Inputs-Proposals'!$G$29*'Inputs-Proposals'!$G$31*(VLOOKUP(CP$3,'Non-Embedded Emissions'!$A$56:$D$90,2,FALSE)+VLOOKUP(CP$3,'Non-Embedded Emissions'!$A$143:$D$174,2,FALSE)+VLOOKUP(CP$3,'Non-Embedded Emissions'!$A$230:$D$259,2,FALSE)), $C30 = "0", 0), 0)</f>
        <v>0</v>
      </c>
      <c r="CV30" s="347">
        <f>IFERROR(_xlfn.IFS($C30="1",('Inputs-System'!$C$30*'Coincidence Factors'!$B$6*(1+'Inputs-System'!$C$18)*(1+'Inputs-System'!$C$41)*('Inputs-Proposals'!$G$17*'Inputs-Proposals'!$G$19*(1-'Inputs-Proposals'!$G$20^(CV$3-'Inputs-System'!$C$7)))*(VLOOKUP(CV$3,Energy!$A$51:$K$83,5,FALSE))), $C30 = "2",('Inputs-System'!$C$30*'Coincidence Factors'!$B$6)*(1+'Inputs-System'!$C$18)*(1+'Inputs-System'!$C$41)*('Inputs-Proposals'!$G$23*'Inputs-Proposals'!$G$25*(1-'Inputs-Proposals'!$G$26^(CV$3-'Inputs-System'!$C$7)))*(VLOOKUP(CV$3,Energy!$A$51:$K$83,5,FALSE)), $C30= "3", ('Inputs-System'!$C$30*'Coincidence Factors'!$B$6*(1+'Inputs-System'!$C$18)*(1+'Inputs-System'!$C$41)*('Inputs-Proposals'!$G$29*'Inputs-Proposals'!$G$31*(1-'Inputs-Proposals'!$G$32^(CV$3-'Inputs-System'!$C$7)))*(VLOOKUP(CV$3,Energy!$A$51:$K$83,5,FALSE))), $C30= "0", 0), 0)</f>
        <v>0</v>
      </c>
      <c r="CW30" s="44">
        <f>IFERROR(_xlfn.IFS($C30="1",('Inputs-System'!$C$30*'Coincidence Factors'!$B$6*(1+'Inputs-System'!$C$18)*(1+'Inputs-System'!$C$41))*'Inputs-Proposals'!$G$17*'Inputs-Proposals'!$G$19*(1-'Inputs-Proposals'!$G$20^(CV$3-'Inputs-System'!$C$7))*(VLOOKUP(CV$3,'Embedded Emissions'!$A$47:$B$78,2,FALSE)+VLOOKUP(CV$3,'Embedded Emissions'!$A$129:$B$158,2,FALSE)), $C30 = "2",('Inputs-System'!$C$30*'Coincidence Factors'!$B$6*(1+'Inputs-System'!$C$18)*(1+'Inputs-System'!$C$41))*'Inputs-Proposals'!$G$23*'Inputs-Proposals'!$G$25*(1-'Inputs-Proposals'!$G$20^(CV$3-'Inputs-System'!$C$7))*(VLOOKUP(CV$3,'Embedded Emissions'!$A$47:$B$78,2,FALSE)+VLOOKUP(CV$3,'Embedded Emissions'!$A$129:$B$158,2,FALSE)), $C30 = "3", ('Inputs-System'!$C$30*'Coincidence Factors'!$B$6*(1+'Inputs-System'!$C$18)*(1+'Inputs-System'!$C$41))*'Inputs-Proposals'!$G$29*'Inputs-Proposals'!$G$31*(1-'Inputs-Proposals'!$G$20^(CV$3-'Inputs-System'!$C$7))*(VLOOKUP(CV$3,'Embedded Emissions'!$A$47:$B$78,2,FALSE)+VLOOKUP(CV$3,'Embedded Emissions'!$A$129:$B$158,2,FALSE)), $C30 = "0", 0), 0)</f>
        <v>0</v>
      </c>
      <c r="CX30" s="44">
        <f>IFERROR(_xlfn.IFS($C30="1",( 'Inputs-System'!$C$30*'Coincidence Factors'!$B$6*(1+'Inputs-System'!$C$18)*(1+'Inputs-System'!$C$41))*('Inputs-Proposals'!$G$17*'Inputs-Proposals'!$G$19*(1-'Inputs-Proposals'!$G$20)^(CV$3-'Inputs-System'!$C$7))*(VLOOKUP(CV$3,DRIPE!$A$54:$I$82,5,FALSE)+VLOOKUP(CV$3,DRIPE!$A$54:$I$82,9,FALSE))+ ('Inputs-System'!$C$26*'Coincidence Factors'!$B$6*(1+'Inputs-System'!$C$18)*(1+'Inputs-System'!$C$42))*'Inputs-Proposals'!$G$16*VLOOKUP(CV$3,DRIPE!$A$54:$I$82,8,FALSE), $C30 = "2",( 'Inputs-System'!$C$30*'Coincidence Factors'!$B$6*(1+'Inputs-System'!$C$18)*(1+'Inputs-System'!$C$41))*('Inputs-Proposals'!$G$23*'Inputs-Proposals'!$G$25*(1-'Inputs-Proposals'!$G$26)^(CV$3-'Inputs-System'!$C$7))*(VLOOKUP(CV$3,DRIPE!$A$54:$I$82,5,FALSE)+VLOOKUP(CV$3,DRIPE!$A$54:$I$82,9,FALSE))+ ('Inputs-System'!$C$26*'Coincidence Factors'!$B$6*(1+'Inputs-System'!$C$18)*(1+'Inputs-System'!$C$42))*'Inputs-Proposals'!$G$22*VLOOKUP(CV$3,DRIPE!$A$54:$I$82,8,FALSE), $C30= "3", ( 'Inputs-System'!$C$30*'Coincidence Factors'!$B$6*(1+'Inputs-System'!$C$18)*(1+'Inputs-System'!$C$41))*('Inputs-Proposals'!$G$29*'Inputs-Proposals'!$G$31*(1-'Inputs-Proposals'!$G$32)^(CV$3-'Inputs-System'!$C$7))*(VLOOKUP(CV$3,DRIPE!$A$54:$I$82,5,FALSE)+VLOOKUP(CV$3,DRIPE!$A$54:$I$82,9,FALSE))+ ('Inputs-System'!$C$26*'Coincidence Factors'!$B$6*(1+'Inputs-System'!$C$18)*(1+'Inputs-System'!$C$42))*'Inputs-Proposals'!$G$28*VLOOKUP(CV$3,DRIPE!$A$54:$I$82,8,FALSE), $C30 = "0", 0), 0)</f>
        <v>0</v>
      </c>
      <c r="CY30" s="45">
        <f>IFERROR(_xlfn.IFS($C30="1",('Inputs-System'!$C$26*'Coincidence Factors'!$B$6*(1+'Inputs-System'!$C$18))*'Inputs-Proposals'!$G$16*(VLOOKUP(CV$3,Capacity!$A$53:$E$85,4,FALSE)*(1+'Inputs-System'!$C$42)+VLOOKUP(CV$3,Capacity!$A$53:$E$85,5,FALSE)*'Inputs-System'!$C$29*(1+'Inputs-System'!$C$43)), $C30 = "2", ('Inputs-System'!$C$26*'Coincidence Factors'!$B$6*(1+'Inputs-System'!$C$18))*'Inputs-Proposals'!$G$22*(VLOOKUP(CV$3,Capacity!$A$53:$E$85,4,FALSE)*(1+'Inputs-System'!$C$42)+VLOOKUP(CV$3,Capacity!$A$53:$E$85,5,FALSE)*'Inputs-System'!$C$29*(1+'Inputs-System'!$C$43)), $C30 = "3",('Inputs-System'!$C$26*'Coincidence Factors'!$B$6*(1+'Inputs-System'!$C$18))*'Inputs-Proposals'!$G$28*(VLOOKUP(CV$3,Capacity!$A$53:$E$85,4,FALSE)*(1+'Inputs-System'!$C$42)+VLOOKUP(CV$3,Capacity!$A$53:$E$85,5,FALSE)*'Inputs-System'!$C$29*(1+'Inputs-System'!$C$43)), $C30 = "0", 0), 0)</f>
        <v>0</v>
      </c>
      <c r="CZ30" s="44">
        <v>0</v>
      </c>
      <c r="DA30" s="342">
        <f>IFERROR(_xlfn.IFS($C30="1", 'Inputs-System'!$C$30*'Coincidence Factors'!$B$6*'Inputs-Proposals'!$G$17*'Inputs-Proposals'!$G$19*(VLOOKUP(CV$3,'Non-Embedded Emissions'!$A$56:$D$90,2,FALSE)+VLOOKUP(CV$3,'Non-Embedded Emissions'!$A$143:$D$174,2,FALSE)+VLOOKUP(CV$3,'Non-Embedded Emissions'!$A$230:$D$259,2,FALSE)), $C30 = "2", 'Inputs-System'!$C$30*'Coincidence Factors'!$B$6*'Inputs-Proposals'!$G$23*'Inputs-Proposals'!$G$25*(VLOOKUP(CV$3,'Non-Embedded Emissions'!$A$56:$D$90,2,FALSE)+VLOOKUP(CV$3,'Non-Embedded Emissions'!$A$143:$D$174,2,FALSE)+VLOOKUP(CV$3,'Non-Embedded Emissions'!$A$230:$D$259,2,FALSE)), $C30 = "3", 'Inputs-System'!$C$30*'Coincidence Factors'!$B$6*'Inputs-Proposals'!$G$29*'Inputs-Proposals'!$G$31*(VLOOKUP(CV$3,'Non-Embedded Emissions'!$A$56:$D$90,2,FALSE)+VLOOKUP(CV$3,'Non-Embedded Emissions'!$A$143:$D$174,2,FALSE)+VLOOKUP(CV$3,'Non-Embedded Emissions'!$A$230:$D$259,2,FALSE)), $C30 = "0", 0), 0)</f>
        <v>0</v>
      </c>
      <c r="DB30" s="347">
        <f>IFERROR(_xlfn.IFS($C30="1",('Inputs-System'!$C$30*'Coincidence Factors'!$B$6*(1+'Inputs-System'!$C$18)*(1+'Inputs-System'!$C$41)*('Inputs-Proposals'!$G$17*'Inputs-Proposals'!$G$19*(1-'Inputs-Proposals'!$G$20^(DB$3-'Inputs-System'!$C$7)))*(VLOOKUP(DB$3,Energy!$A$51:$K$83,5,FALSE))), $C30 = "2",('Inputs-System'!$C$30*'Coincidence Factors'!$B$6)*(1+'Inputs-System'!$C$18)*(1+'Inputs-System'!$C$41)*('Inputs-Proposals'!$G$23*'Inputs-Proposals'!$G$25*(1-'Inputs-Proposals'!$G$26^(DB$3-'Inputs-System'!$C$7)))*(VLOOKUP(DB$3,Energy!$A$51:$K$83,5,FALSE)), $C30= "3", ('Inputs-System'!$C$30*'Coincidence Factors'!$B$6*(1+'Inputs-System'!$C$18)*(1+'Inputs-System'!$C$41)*('Inputs-Proposals'!$G$29*'Inputs-Proposals'!$G$31*(1-'Inputs-Proposals'!$G$32^(DB$3-'Inputs-System'!$C$7)))*(VLOOKUP(DB$3,Energy!$A$51:$K$83,5,FALSE))), $C30= "0", 0), 0)</f>
        <v>0</v>
      </c>
      <c r="DC30" s="44">
        <f>IFERROR(_xlfn.IFS($C30="1",('Inputs-System'!$C$30*'Coincidence Factors'!$B$6*(1+'Inputs-System'!$C$18)*(1+'Inputs-System'!$C$41))*'Inputs-Proposals'!$G$17*'Inputs-Proposals'!$G$19*(1-'Inputs-Proposals'!$G$20^(DB$3-'Inputs-System'!$C$7))*(VLOOKUP(DB$3,'Embedded Emissions'!$A$47:$B$78,2,FALSE)+VLOOKUP(DB$3,'Embedded Emissions'!$A$129:$B$158,2,FALSE)), $C30 = "2",('Inputs-System'!$C$30*'Coincidence Factors'!$B$6*(1+'Inputs-System'!$C$18)*(1+'Inputs-System'!$C$41))*'Inputs-Proposals'!$G$23*'Inputs-Proposals'!$G$25*(1-'Inputs-Proposals'!$G$20^(DB$3-'Inputs-System'!$C$7))*(VLOOKUP(DB$3,'Embedded Emissions'!$A$47:$B$78,2,FALSE)+VLOOKUP(DB$3,'Embedded Emissions'!$A$129:$B$158,2,FALSE)), $C30 = "3", ('Inputs-System'!$C$30*'Coincidence Factors'!$B$6*(1+'Inputs-System'!$C$18)*(1+'Inputs-System'!$C$41))*'Inputs-Proposals'!$G$29*'Inputs-Proposals'!$G$31*(1-'Inputs-Proposals'!$G$20^(DB$3-'Inputs-System'!$C$7))*(VLOOKUP(DB$3,'Embedded Emissions'!$A$47:$B$78,2,FALSE)+VLOOKUP(DB$3,'Embedded Emissions'!$A$129:$B$158,2,FALSE)), $C30 = "0", 0), 0)</f>
        <v>0</v>
      </c>
      <c r="DD30" s="44">
        <f>IFERROR(_xlfn.IFS($C30="1",( 'Inputs-System'!$C$30*'Coincidence Factors'!$B$6*(1+'Inputs-System'!$C$18)*(1+'Inputs-System'!$C$41))*('Inputs-Proposals'!$G$17*'Inputs-Proposals'!$G$19*(1-'Inputs-Proposals'!$G$20)^(DB$3-'Inputs-System'!$C$7))*(VLOOKUP(DB$3,DRIPE!$A$54:$I$82,5,FALSE)+VLOOKUP(DB$3,DRIPE!$A$54:$I$82,9,FALSE))+ ('Inputs-System'!$C$26*'Coincidence Factors'!$B$6*(1+'Inputs-System'!$C$18)*(1+'Inputs-System'!$C$42))*'Inputs-Proposals'!$G$16*VLOOKUP(DB$3,DRIPE!$A$54:$I$82,8,FALSE), $C30 = "2",( 'Inputs-System'!$C$30*'Coincidence Factors'!$B$6*(1+'Inputs-System'!$C$18)*(1+'Inputs-System'!$C$41))*('Inputs-Proposals'!$G$23*'Inputs-Proposals'!$G$25*(1-'Inputs-Proposals'!$G$26)^(DB$3-'Inputs-System'!$C$7))*(VLOOKUP(DB$3,DRIPE!$A$54:$I$82,5,FALSE)+VLOOKUP(DB$3,DRIPE!$A$54:$I$82,9,FALSE))+ ('Inputs-System'!$C$26*'Coincidence Factors'!$B$6*(1+'Inputs-System'!$C$18)*(1+'Inputs-System'!$C$42))*'Inputs-Proposals'!$G$22*VLOOKUP(DB$3,DRIPE!$A$54:$I$82,8,FALSE), $C30= "3", ( 'Inputs-System'!$C$30*'Coincidence Factors'!$B$6*(1+'Inputs-System'!$C$18)*(1+'Inputs-System'!$C$41))*('Inputs-Proposals'!$G$29*'Inputs-Proposals'!$G$31*(1-'Inputs-Proposals'!$G$32)^(DB$3-'Inputs-System'!$C$7))*(VLOOKUP(DB$3,DRIPE!$A$54:$I$82,5,FALSE)+VLOOKUP(DB$3,DRIPE!$A$54:$I$82,9,FALSE))+ ('Inputs-System'!$C$26*'Coincidence Factors'!$B$6*(1+'Inputs-System'!$C$18)*(1+'Inputs-System'!$C$42))*'Inputs-Proposals'!$G$28*VLOOKUP(DB$3,DRIPE!$A$54:$I$82,8,FALSE), $C30 = "0", 0), 0)</f>
        <v>0</v>
      </c>
      <c r="DE30" s="45">
        <f>IFERROR(_xlfn.IFS($C30="1",('Inputs-System'!$C$26*'Coincidence Factors'!$B$6*(1+'Inputs-System'!$C$18))*'Inputs-Proposals'!$G$16*(VLOOKUP(DB$3,Capacity!$A$53:$E$85,4,FALSE)*(1+'Inputs-System'!$C$42)+VLOOKUP(DB$3,Capacity!$A$53:$E$85,5,FALSE)*'Inputs-System'!$C$29*(1+'Inputs-System'!$C$43)), $C30 = "2", ('Inputs-System'!$C$26*'Coincidence Factors'!$B$6*(1+'Inputs-System'!$C$18))*'Inputs-Proposals'!$G$22*(VLOOKUP(DB$3,Capacity!$A$53:$E$85,4,FALSE)*(1+'Inputs-System'!$C$42)+VLOOKUP(DB$3,Capacity!$A$53:$E$85,5,FALSE)*'Inputs-System'!$C$29*(1+'Inputs-System'!$C$43)), $C30 = "3",('Inputs-System'!$C$26*'Coincidence Factors'!$B$6*(1+'Inputs-System'!$C$18))*'Inputs-Proposals'!$G$28*(VLOOKUP(DB$3,Capacity!$A$53:$E$85,4,FALSE)*(1+'Inputs-System'!$C$42)+VLOOKUP(DB$3,Capacity!$A$53:$E$85,5,FALSE)*'Inputs-System'!$C$29*(1+'Inputs-System'!$C$43)), $C30 = "0", 0), 0)</f>
        <v>0</v>
      </c>
      <c r="DF30" s="44">
        <v>0</v>
      </c>
      <c r="DG30" s="342">
        <f>IFERROR(_xlfn.IFS($C30="1", 'Inputs-System'!$C$30*'Coincidence Factors'!$B$6*'Inputs-Proposals'!$G$17*'Inputs-Proposals'!$G$19*(VLOOKUP(DB$3,'Non-Embedded Emissions'!$A$56:$D$90,2,FALSE)+VLOOKUP(DB$3,'Non-Embedded Emissions'!$A$143:$D$174,2,FALSE)+VLOOKUP(DB$3,'Non-Embedded Emissions'!$A$230:$D$259,2,FALSE)), $C30 = "2", 'Inputs-System'!$C$30*'Coincidence Factors'!$B$6*'Inputs-Proposals'!$G$23*'Inputs-Proposals'!$G$25*(VLOOKUP(DB$3,'Non-Embedded Emissions'!$A$56:$D$90,2,FALSE)+VLOOKUP(DB$3,'Non-Embedded Emissions'!$A$143:$D$174,2,FALSE)+VLOOKUP(DB$3,'Non-Embedded Emissions'!$A$230:$D$259,2,FALSE)), $C30 = "3", 'Inputs-System'!$C$30*'Coincidence Factors'!$B$6*'Inputs-Proposals'!$G$29*'Inputs-Proposals'!$G$31*(VLOOKUP(DB$3,'Non-Embedded Emissions'!$A$56:$D$90,2,FALSE)+VLOOKUP(DB$3,'Non-Embedded Emissions'!$A$143:$D$174,2,FALSE)+VLOOKUP(DB$3,'Non-Embedded Emissions'!$A$230:$D$259,2,FALSE)), $C30 = "0", 0), 0)</f>
        <v>0</v>
      </c>
      <c r="DH30" s="347">
        <f>IFERROR(_xlfn.IFS($C30="1",('Inputs-System'!$C$30*'Coincidence Factors'!$B$6*(1+'Inputs-System'!$C$18)*(1+'Inputs-System'!$C$41)*('Inputs-Proposals'!$G$17*'Inputs-Proposals'!$G$19*(1-'Inputs-Proposals'!$G$20^(DH$3-'Inputs-System'!$C$7)))*(VLOOKUP(DH$3,Energy!$A$51:$K$83,5,FALSE))), $C30 = "2",('Inputs-System'!$C$30*'Coincidence Factors'!$B$6)*(1+'Inputs-System'!$C$18)*(1+'Inputs-System'!$C$41)*('Inputs-Proposals'!$G$23*'Inputs-Proposals'!$G$25*(1-'Inputs-Proposals'!$G$26^(DH$3-'Inputs-System'!$C$7)))*(VLOOKUP(DH$3,Energy!$A$51:$K$83,5,FALSE)), $C30= "3", ('Inputs-System'!$C$30*'Coincidence Factors'!$B$6*(1+'Inputs-System'!$C$18)*(1+'Inputs-System'!$C$41)*('Inputs-Proposals'!$G$29*'Inputs-Proposals'!$G$31*(1-'Inputs-Proposals'!$G$32^(DH$3-'Inputs-System'!$C$7)))*(VLOOKUP(DH$3,Energy!$A$51:$K$83,5,FALSE))), $C30= "0", 0), 0)</f>
        <v>0</v>
      </c>
      <c r="DI30" s="44">
        <f>IFERROR(_xlfn.IFS($C30="1",('Inputs-System'!$C$30*'Coincidence Factors'!$B$6*(1+'Inputs-System'!$C$18)*(1+'Inputs-System'!$C$41))*'Inputs-Proposals'!$G$17*'Inputs-Proposals'!$G$19*(1-'Inputs-Proposals'!$G$20^(DH$3-'Inputs-System'!$C$7))*(VLOOKUP(DH$3,'Embedded Emissions'!$A$47:$B$78,2,FALSE)+VLOOKUP(DH$3,'Embedded Emissions'!$A$129:$B$158,2,FALSE)), $C30 = "2",('Inputs-System'!$C$30*'Coincidence Factors'!$B$6*(1+'Inputs-System'!$C$18)*(1+'Inputs-System'!$C$41))*'Inputs-Proposals'!$G$23*'Inputs-Proposals'!$G$25*(1-'Inputs-Proposals'!$G$20^(DH$3-'Inputs-System'!$C$7))*(VLOOKUP(DH$3,'Embedded Emissions'!$A$47:$B$78,2,FALSE)+VLOOKUP(DH$3,'Embedded Emissions'!$A$129:$B$158,2,FALSE)), $C30 = "3", ('Inputs-System'!$C$30*'Coincidence Factors'!$B$6*(1+'Inputs-System'!$C$18)*(1+'Inputs-System'!$C$41))*'Inputs-Proposals'!$G$29*'Inputs-Proposals'!$G$31*(1-'Inputs-Proposals'!$G$20^(DH$3-'Inputs-System'!$C$7))*(VLOOKUP(DH$3,'Embedded Emissions'!$A$47:$B$78,2,FALSE)+VLOOKUP(DH$3,'Embedded Emissions'!$A$129:$B$158,2,FALSE)), $C30 = "0", 0), 0)</f>
        <v>0</v>
      </c>
      <c r="DJ30" s="44">
        <f>IFERROR(_xlfn.IFS($C30="1",( 'Inputs-System'!$C$30*'Coincidence Factors'!$B$6*(1+'Inputs-System'!$C$18)*(1+'Inputs-System'!$C$41))*('Inputs-Proposals'!$G$17*'Inputs-Proposals'!$G$19*(1-'Inputs-Proposals'!$G$20)^(DH$3-'Inputs-System'!$C$7))*(VLOOKUP(DH$3,DRIPE!$A$54:$I$82,5,FALSE)+VLOOKUP(DH$3,DRIPE!$A$54:$I$82,9,FALSE))+ ('Inputs-System'!$C$26*'Coincidence Factors'!$B$6*(1+'Inputs-System'!$C$18)*(1+'Inputs-System'!$C$42))*'Inputs-Proposals'!$G$16*VLOOKUP(DH$3,DRIPE!$A$54:$I$82,8,FALSE), $C30 = "2",( 'Inputs-System'!$C$30*'Coincidence Factors'!$B$6*(1+'Inputs-System'!$C$18)*(1+'Inputs-System'!$C$41))*('Inputs-Proposals'!$G$23*'Inputs-Proposals'!$G$25*(1-'Inputs-Proposals'!$G$26)^(DH$3-'Inputs-System'!$C$7))*(VLOOKUP(DH$3,DRIPE!$A$54:$I$82,5,FALSE)+VLOOKUP(DH$3,DRIPE!$A$54:$I$82,9,FALSE))+ ('Inputs-System'!$C$26*'Coincidence Factors'!$B$6*(1+'Inputs-System'!$C$18)*(1+'Inputs-System'!$C$42))*'Inputs-Proposals'!$G$22*VLOOKUP(DH$3,DRIPE!$A$54:$I$82,8,FALSE), $C30= "3", ( 'Inputs-System'!$C$30*'Coincidence Factors'!$B$6*(1+'Inputs-System'!$C$18)*(1+'Inputs-System'!$C$41))*('Inputs-Proposals'!$G$29*'Inputs-Proposals'!$G$31*(1-'Inputs-Proposals'!$G$32)^(DH$3-'Inputs-System'!$C$7))*(VLOOKUP(DH$3,DRIPE!$A$54:$I$82,5,FALSE)+VLOOKUP(DH$3,DRIPE!$A$54:$I$82,9,FALSE))+ ('Inputs-System'!$C$26*'Coincidence Factors'!$B$6*(1+'Inputs-System'!$C$18)*(1+'Inputs-System'!$C$42))*'Inputs-Proposals'!$G$28*VLOOKUP(DH$3,DRIPE!$A$54:$I$82,8,FALSE), $C30 = "0", 0), 0)</f>
        <v>0</v>
      </c>
      <c r="DK30" s="45">
        <f>IFERROR(_xlfn.IFS($C30="1",('Inputs-System'!$C$26*'Coincidence Factors'!$B$6*(1+'Inputs-System'!$C$18))*'Inputs-Proposals'!$G$16*(VLOOKUP(DH$3,Capacity!$A$53:$E$85,4,FALSE)*(1+'Inputs-System'!$C$42)+VLOOKUP(DH$3,Capacity!$A$53:$E$85,5,FALSE)*'Inputs-System'!$C$29*(1+'Inputs-System'!$C$43)), $C30 = "2", ('Inputs-System'!$C$26*'Coincidence Factors'!$B$6*(1+'Inputs-System'!$C$18))*'Inputs-Proposals'!$G$22*(VLOOKUP(DH$3,Capacity!$A$53:$E$85,4,FALSE)*(1+'Inputs-System'!$C$42)+VLOOKUP(DH$3,Capacity!$A$53:$E$85,5,FALSE)*'Inputs-System'!$C$29*(1+'Inputs-System'!$C$43)), $C30 = "3",('Inputs-System'!$C$26*'Coincidence Factors'!$B$6*(1+'Inputs-System'!$C$18))*'Inputs-Proposals'!$G$28*(VLOOKUP(DH$3,Capacity!$A$53:$E$85,4,FALSE)*(1+'Inputs-System'!$C$42)+VLOOKUP(DH$3,Capacity!$A$53:$E$85,5,FALSE)*'Inputs-System'!$C$29*(1+'Inputs-System'!$C$43)), $C30 = "0", 0), 0)</f>
        <v>0</v>
      </c>
      <c r="DL30" s="44">
        <v>0</v>
      </c>
      <c r="DM30" s="342">
        <f>IFERROR(_xlfn.IFS($C30="1", 'Inputs-System'!$C$30*'Coincidence Factors'!$B$6*'Inputs-Proposals'!$G$17*'Inputs-Proposals'!$G$19*(VLOOKUP(DH$3,'Non-Embedded Emissions'!$A$56:$D$90,2,FALSE)+VLOOKUP(DH$3,'Non-Embedded Emissions'!$A$143:$D$174,2,FALSE)+VLOOKUP(DH$3,'Non-Embedded Emissions'!$A$230:$D$259,2,FALSE)), $C30 = "2", 'Inputs-System'!$C$30*'Coincidence Factors'!$B$6*'Inputs-Proposals'!$G$23*'Inputs-Proposals'!$G$25*(VLOOKUP(DH$3,'Non-Embedded Emissions'!$A$56:$D$90,2,FALSE)+VLOOKUP(DH$3,'Non-Embedded Emissions'!$A$143:$D$174,2,FALSE)+VLOOKUP(DH$3,'Non-Embedded Emissions'!$A$230:$D$259,2,FALSE)), $C30 = "3", 'Inputs-System'!$C$30*'Coincidence Factors'!$B$6*'Inputs-Proposals'!$G$29*'Inputs-Proposals'!$G$31*(VLOOKUP(DH$3,'Non-Embedded Emissions'!$A$56:$D$90,2,FALSE)+VLOOKUP(DH$3,'Non-Embedded Emissions'!$A$143:$D$174,2,FALSE)+VLOOKUP(DH$3,'Non-Embedded Emissions'!$A$230:$D$259,2,FALSE)), $C30 = "0", 0), 0)</f>
        <v>0</v>
      </c>
      <c r="DN30" s="347">
        <f>IFERROR(_xlfn.IFS($C30="1",('Inputs-System'!$C$30*'Coincidence Factors'!$B$6*(1+'Inputs-System'!$C$18)*(1+'Inputs-System'!$C$41)*('Inputs-Proposals'!$G$17*'Inputs-Proposals'!$G$19*(1-'Inputs-Proposals'!$G$20^(DN$3-'Inputs-System'!$C$7)))*(VLOOKUP(DN$3,Energy!$A$51:$K$83,5,FALSE))), $C30 = "2",('Inputs-System'!$C$30*'Coincidence Factors'!$B$6)*(1+'Inputs-System'!$C$18)*(1+'Inputs-System'!$C$41)*('Inputs-Proposals'!$G$23*'Inputs-Proposals'!$G$25*(1-'Inputs-Proposals'!$G$26^(DN$3-'Inputs-System'!$C$7)))*(VLOOKUP(DN$3,Energy!$A$51:$K$83,5,FALSE)), $C30= "3", ('Inputs-System'!$C$30*'Coincidence Factors'!$B$6*(1+'Inputs-System'!$C$18)*(1+'Inputs-System'!$C$41)*('Inputs-Proposals'!$G$29*'Inputs-Proposals'!$G$31*(1-'Inputs-Proposals'!$G$32^(DN$3-'Inputs-System'!$C$7)))*(VLOOKUP(DN$3,Energy!$A$51:$K$83,5,FALSE))), $C30= "0", 0), 0)</f>
        <v>0</v>
      </c>
      <c r="DO30" s="44">
        <f>IFERROR(_xlfn.IFS($C30="1",('Inputs-System'!$C$30*'Coincidence Factors'!$B$6*(1+'Inputs-System'!$C$18)*(1+'Inputs-System'!$C$41))*'Inputs-Proposals'!$G$17*'Inputs-Proposals'!$G$19*(1-'Inputs-Proposals'!$G$20^(DN$3-'Inputs-System'!$C$7))*(VLOOKUP(DN$3,'Embedded Emissions'!$A$47:$B$78,2,FALSE)+VLOOKUP(DN$3,'Embedded Emissions'!$A$129:$B$158,2,FALSE)), $C30 = "2",('Inputs-System'!$C$30*'Coincidence Factors'!$B$6*(1+'Inputs-System'!$C$18)*(1+'Inputs-System'!$C$41))*'Inputs-Proposals'!$G$23*'Inputs-Proposals'!$G$25*(1-'Inputs-Proposals'!$G$20^(DN$3-'Inputs-System'!$C$7))*(VLOOKUP(DN$3,'Embedded Emissions'!$A$47:$B$78,2,FALSE)+VLOOKUP(DN$3,'Embedded Emissions'!$A$129:$B$158,2,FALSE)), $C30 = "3", ('Inputs-System'!$C$30*'Coincidence Factors'!$B$6*(1+'Inputs-System'!$C$18)*(1+'Inputs-System'!$C$41))*'Inputs-Proposals'!$G$29*'Inputs-Proposals'!$G$31*(1-'Inputs-Proposals'!$G$20^(DN$3-'Inputs-System'!$C$7))*(VLOOKUP(DN$3,'Embedded Emissions'!$A$47:$B$78,2,FALSE)+VLOOKUP(DN$3,'Embedded Emissions'!$A$129:$B$158,2,FALSE)), $C30 = "0", 0), 0)</f>
        <v>0</v>
      </c>
      <c r="DP30" s="44">
        <f>IFERROR(_xlfn.IFS($C30="1",( 'Inputs-System'!$C$30*'Coincidence Factors'!$B$6*(1+'Inputs-System'!$C$18)*(1+'Inputs-System'!$C$41))*('Inputs-Proposals'!$G$17*'Inputs-Proposals'!$G$19*(1-'Inputs-Proposals'!$G$20)^(DN$3-'Inputs-System'!$C$7))*(VLOOKUP(DN$3,DRIPE!$A$54:$I$82,5,FALSE)+VLOOKUP(DN$3,DRIPE!$A$54:$I$82,9,FALSE))+ ('Inputs-System'!$C$26*'Coincidence Factors'!$B$6*(1+'Inputs-System'!$C$18)*(1+'Inputs-System'!$C$42))*'Inputs-Proposals'!$G$16*VLOOKUP(DN$3,DRIPE!$A$54:$I$82,8,FALSE), $C30 = "2",( 'Inputs-System'!$C$30*'Coincidence Factors'!$B$6*(1+'Inputs-System'!$C$18)*(1+'Inputs-System'!$C$41))*('Inputs-Proposals'!$G$23*'Inputs-Proposals'!$G$25*(1-'Inputs-Proposals'!$G$26)^(DN$3-'Inputs-System'!$C$7))*(VLOOKUP(DN$3,DRIPE!$A$54:$I$82,5,FALSE)+VLOOKUP(DN$3,DRIPE!$A$54:$I$82,9,FALSE))+ ('Inputs-System'!$C$26*'Coincidence Factors'!$B$6*(1+'Inputs-System'!$C$18)*(1+'Inputs-System'!$C$42))*'Inputs-Proposals'!$G$22*VLOOKUP(DN$3,DRIPE!$A$54:$I$82,8,FALSE), $C30= "3", ( 'Inputs-System'!$C$30*'Coincidence Factors'!$B$6*(1+'Inputs-System'!$C$18)*(1+'Inputs-System'!$C$41))*('Inputs-Proposals'!$G$29*'Inputs-Proposals'!$G$31*(1-'Inputs-Proposals'!$G$32)^(DN$3-'Inputs-System'!$C$7))*(VLOOKUP(DN$3,DRIPE!$A$54:$I$82,5,FALSE)+VLOOKUP(DN$3,DRIPE!$A$54:$I$82,9,FALSE))+ ('Inputs-System'!$C$26*'Coincidence Factors'!$B$6*(1+'Inputs-System'!$C$18)*(1+'Inputs-System'!$C$42))*'Inputs-Proposals'!$G$28*VLOOKUP(DN$3,DRIPE!$A$54:$I$82,8,FALSE), $C30 = "0", 0), 0)</f>
        <v>0</v>
      </c>
      <c r="DQ30" s="45">
        <f>IFERROR(_xlfn.IFS($C30="1",('Inputs-System'!$C$26*'Coincidence Factors'!$B$6*(1+'Inputs-System'!$C$18))*'Inputs-Proposals'!$G$16*(VLOOKUP(DN$3,Capacity!$A$53:$E$85,4,FALSE)*(1+'Inputs-System'!$C$42)+VLOOKUP(DN$3,Capacity!$A$53:$E$85,5,FALSE)*'Inputs-System'!$C$29*(1+'Inputs-System'!$C$43)), $C30 = "2", ('Inputs-System'!$C$26*'Coincidence Factors'!$B$6*(1+'Inputs-System'!$C$18))*'Inputs-Proposals'!$G$22*(VLOOKUP(DN$3,Capacity!$A$53:$E$85,4,FALSE)*(1+'Inputs-System'!$C$42)+VLOOKUP(DN$3,Capacity!$A$53:$E$85,5,FALSE)*'Inputs-System'!$C$29*(1+'Inputs-System'!$C$43)), $C30 = "3",('Inputs-System'!$C$26*'Coincidence Factors'!$B$6*(1+'Inputs-System'!$C$18))*'Inputs-Proposals'!$G$28*(VLOOKUP(DN$3,Capacity!$A$53:$E$85,4,FALSE)*(1+'Inputs-System'!$C$42)+VLOOKUP(DN$3,Capacity!$A$53:$E$85,5,FALSE)*'Inputs-System'!$C$29*(1+'Inputs-System'!$C$43)), $C30 = "0", 0), 0)</f>
        <v>0</v>
      </c>
      <c r="DR30" s="44">
        <v>0</v>
      </c>
      <c r="DS30" s="342">
        <f>IFERROR(_xlfn.IFS($C30="1", 'Inputs-System'!$C$30*'Coincidence Factors'!$B$6*'Inputs-Proposals'!$G$17*'Inputs-Proposals'!$G$19*(VLOOKUP(DN$3,'Non-Embedded Emissions'!$A$56:$D$90,2,FALSE)+VLOOKUP(DN$3,'Non-Embedded Emissions'!$A$143:$D$174,2,FALSE)+VLOOKUP(DN$3,'Non-Embedded Emissions'!$A$230:$D$259,2,FALSE)), $C30 = "2", 'Inputs-System'!$C$30*'Coincidence Factors'!$B$6*'Inputs-Proposals'!$G$23*'Inputs-Proposals'!$G$25*(VLOOKUP(DN$3,'Non-Embedded Emissions'!$A$56:$D$90,2,FALSE)+VLOOKUP(DN$3,'Non-Embedded Emissions'!$A$143:$D$174,2,FALSE)+VLOOKUP(DN$3,'Non-Embedded Emissions'!$A$230:$D$259,2,FALSE)), $C30 = "3", 'Inputs-System'!$C$30*'Coincidence Factors'!$B$6*'Inputs-Proposals'!$G$29*'Inputs-Proposals'!$G$31*(VLOOKUP(DN$3,'Non-Embedded Emissions'!$A$56:$D$90,2,FALSE)+VLOOKUP(DN$3,'Non-Embedded Emissions'!$A$143:$D$174,2,FALSE)+VLOOKUP(DN$3,'Non-Embedded Emissions'!$A$230:$D$259,2,FALSE)), $C30 = "0", 0), 0)</f>
        <v>0</v>
      </c>
      <c r="DT30" s="347">
        <f>IFERROR(_xlfn.IFS($C30="1",('Inputs-System'!$C$30*'Coincidence Factors'!$B$6*(1+'Inputs-System'!$C$18)*(1+'Inputs-System'!$C$41)*('Inputs-Proposals'!$G$17*'Inputs-Proposals'!$G$19*(1-'Inputs-Proposals'!$G$20^(DT$3-'Inputs-System'!$C$7)))*(VLOOKUP(DT$3,Energy!$A$51:$K$83,5,FALSE))), $C30 = "2",('Inputs-System'!$C$30*'Coincidence Factors'!$B$6)*(1+'Inputs-System'!$C$18)*(1+'Inputs-System'!$C$41)*('Inputs-Proposals'!$G$23*'Inputs-Proposals'!$G$25*(1-'Inputs-Proposals'!$G$26^(DT$3-'Inputs-System'!$C$7)))*(VLOOKUP(DT$3,Energy!$A$51:$K$83,5,FALSE)), $C30= "3", ('Inputs-System'!$C$30*'Coincidence Factors'!$B$6*(1+'Inputs-System'!$C$18)*(1+'Inputs-System'!$C$41)*('Inputs-Proposals'!$G$29*'Inputs-Proposals'!$G$31*(1-'Inputs-Proposals'!$G$32^(DT$3-'Inputs-System'!$C$7)))*(VLOOKUP(DT$3,Energy!$A$51:$K$83,5,FALSE))), $C30= "0", 0), 0)</f>
        <v>0</v>
      </c>
      <c r="DU30" s="44">
        <f>IFERROR(_xlfn.IFS($C30="1",('Inputs-System'!$C$30*'Coincidence Factors'!$B$6*(1+'Inputs-System'!$C$18)*(1+'Inputs-System'!$C$41))*'Inputs-Proposals'!$G$17*'Inputs-Proposals'!$G$19*(1-'Inputs-Proposals'!$G$20^(DT$3-'Inputs-System'!$C$7))*(VLOOKUP(DT$3,'Embedded Emissions'!$A$47:$B$78,2,FALSE)+VLOOKUP(DT$3,'Embedded Emissions'!$A$129:$B$158,2,FALSE)), $C30 = "2",('Inputs-System'!$C$30*'Coincidence Factors'!$B$6*(1+'Inputs-System'!$C$18)*(1+'Inputs-System'!$C$41))*'Inputs-Proposals'!$G$23*'Inputs-Proposals'!$G$25*(1-'Inputs-Proposals'!$G$20^(DT$3-'Inputs-System'!$C$7))*(VLOOKUP(DT$3,'Embedded Emissions'!$A$47:$B$78,2,FALSE)+VLOOKUP(DT$3,'Embedded Emissions'!$A$129:$B$158,2,FALSE)), $C30 = "3", ('Inputs-System'!$C$30*'Coincidence Factors'!$B$6*(1+'Inputs-System'!$C$18)*(1+'Inputs-System'!$C$41))*'Inputs-Proposals'!$G$29*'Inputs-Proposals'!$G$31*(1-'Inputs-Proposals'!$G$20^(DT$3-'Inputs-System'!$C$7))*(VLOOKUP(DT$3,'Embedded Emissions'!$A$47:$B$78,2,FALSE)+VLOOKUP(DT$3,'Embedded Emissions'!$A$129:$B$158,2,FALSE)), $C30 = "0", 0), 0)</f>
        <v>0</v>
      </c>
      <c r="DV30" s="44">
        <f>IFERROR(_xlfn.IFS($C30="1",( 'Inputs-System'!$C$30*'Coincidence Factors'!$B$6*(1+'Inputs-System'!$C$18)*(1+'Inputs-System'!$C$41))*('Inputs-Proposals'!$G$17*'Inputs-Proposals'!$G$19*(1-'Inputs-Proposals'!$G$20)^(DT$3-'Inputs-System'!$C$7))*(VLOOKUP(DT$3,DRIPE!$A$54:$I$82,5,FALSE)+VLOOKUP(DT$3,DRIPE!$A$54:$I$82,9,FALSE))+ ('Inputs-System'!$C$26*'Coincidence Factors'!$B$6*(1+'Inputs-System'!$C$18)*(1+'Inputs-System'!$C$42))*'Inputs-Proposals'!$G$16*VLOOKUP(DT$3,DRIPE!$A$54:$I$82,8,FALSE), $C30 = "2",( 'Inputs-System'!$C$30*'Coincidence Factors'!$B$6*(1+'Inputs-System'!$C$18)*(1+'Inputs-System'!$C$41))*('Inputs-Proposals'!$G$23*'Inputs-Proposals'!$G$25*(1-'Inputs-Proposals'!$G$26)^(DT$3-'Inputs-System'!$C$7))*(VLOOKUP(DT$3,DRIPE!$A$54:$I$82,5,FALSE)+VLOOKUP(DT$3,DRIPE!$A$54:$I$82,9,FALSE))+ ('Inputs-System'!$C$26*'Coincidence Factors'!$B$6*(1+'Inputs-System'!$C$18)*(1+'Inputs-System'!$C$42))*'Inputs-Proposals'!$G$22*VLOOKUP(DT$3,DRIPE!$A$54:$I$82,8,FALSE), $C30= "3", ( 'Inputs-System'!$C$30*'Coincidence Factors'!$B$6*(1+'Inputs-System'!$C$18)*(1+'Inputs-System'!$C$41))*('Inputs-Proposals'!$G$29*'Inputs-Proposals'!$G$31*(1-'Inputs-Proposals'!$G$32)^(DT$3-'Inputs-System'!$C$7))*(VLOOKUP(DT$3,DRIPE!$A$54:$I$82,5,FALSE)+VLOOKUP(DT$3,DRIPE!$A$54:$I$82,9,FALSE))+ ('Inputs-System'!$C$26*'Coincidence Factors'!$B$6*(1+'Inputs-System'!$C$18)*(1+'Inputs-System'!$C$42))*'Inputs-Proposals'!$G$28*VLOOKUP(DT$3,DRIPE!$A$54:$I$82,8,FALSE), $C30 = "0", 0), 0)</f>
        <v>0</v>
      </c>
      <c r="DW30" s="45">
        <f>IFERROR(_xlfn.IFS($C30="1",('Inputs-System'!$C$26*'Coincidence Factors'!$B$6*(1+'Inputs-System'!$C$18))*'Inputs-Proposals'!$G$16*(VLOOKUP(DT$3,Capacity!$A$53:$E$85,4,FALSE)*(1+'Inputs-System'!$C$42)+VLOOKUP(DT$3,Capacity!$A$53:$E$85,5,FALSE)*'Inputs-System'!$C$29*(1+'Inputs-System'!$C$43)), $C30 = "2", ('Inputs-System'!$C$26*'Coincidence Factors'!$B$6*(1+'Inputs-System'!$C$18))*'Inputs-Proposals'!$G$22*(VLOOKUP(DT$3,Capacity!$A$53:$E$85,4,FALSE)*(1+'Inputs-System'!$C$42)+VLOOKUP(DT$3,Capacity!$A$53:$E$85,5,FALSE)*'Inputs-System'!$C$29*(1+'Inputs-System'!$C$43)), $C30 = "3",('Inputs-System'!$C$26*'Coincidence Factors'!$B$6*(1+'Inputs-System'!$C$18))*'Inputs-Proposals'!$G$28*(VLOOKUP(DT$3,Capacity!$A$53:$E$85,4,FALSE)*(1+'Inputs-System'!$C$42)+VLOOKUP(DT$3,Capacity!$A$53:$E$85,5,FALSE)*'Inputs-System'!$C$29*(1+'Inputs-System'!$C$43)), $C30 = "0", 0), 0)</f>
        <v>0</v>
      </c>
      <c r="DX30" s="44">
        <v>0</v>
      </c>
      <c r="DY30" s="342">
        <f>IFERROR(_xlfn.IFS($C30="1", 'Inputs-System'!$C$30*'Coincidence Factors'!$B$6*'Inputs-Proposals'!$G$17*'Inputs-Proposals'!$G$19*(VLOOKUP(DT$3,'Non-Embedded Emissions'!$A$56:$D$90,2,FALSE)+VLOOKUP(DT$3,'Non-Embedded Emissions'!$A$143:$D$174,2,FALSE)+VLOOKUP(DT$3,'Non-Embedded Emissions'!$A$230:$D$259,2,FALSE)), $C30 = "2", 'Inputs-System'!$C$30*'Coincidence Factors'!$B$6*'Inputs-Proposals'!$G$23*'Inputs-Proposals'!$G$25*(VLOOKUP(DT$3,'Non-Embedded Emissions'!$A$56:$D$90,2,FALSE)+VLOOKUP(DT$3,'Non-Embedded Emissions'!$A$143:$D$174,2,FALSE)+VLOOKUP(DT$3,'Non-Embedded Emissions'!$A$230:$D$259,2,FALSE)), $C30 = "3", 'Inputs-System'!$C$30*'Coincidence Factors'!$B$6*'Inputs-Proposals'!$G$29*'Inputs-Proposals'!$G$31*(VLOOKUP(DT$3,'Non-Embedded Emissions'!$A$56:$D$90,2,FALSE)+VLOOKUP(DT$3,'Non-Embedded Emissions'!$A$143:$D$174,2,FALSE)+VLOOKUP(DT$3,'Non-Embedded Emissions'!$A$230:$D$259,2,FALSE)), $C30 = "0", 0), 0)</f>
        <v>0</v>
      </c>
      <c r="DZ30" s="347">
        <f>IFERROR(_xlfn.IFS($C30="1",('Inputs-System'!$C$30*'Coincidence Factors'!$B$6*(1+'Inputs-System'!$C$18)*(1+'Inputs-System'!$C$41)*('Inputs-Proposals'!$G$17*'Inputs-Proposals'!$G$19*(1-'Inputs-Proposals'!$G$20^(DZ$3-'Inputs-System'!$C$7)))*(VLOOKUP(DZ$3,Energy!$A$51:$K$83,5,FALSE))), $C30 = "2",('Inputs-System'!$C$30*'Coincidence Factors'!$B$6)*(1+'Inputs-System'!$C$18)*(1+'Inputs-System'!$C$41)*('Inputs-Proposals'!$G$23*'Inputs-Proposals'!$G$25*(1-'Inputs-Proposals'!$G$26^(DZ$3-'Inputs-System'!$C$7)))*(VLOOKUP(DZ$3,Energy!$A$51:$K$83,5,FALSE)), $C30= "3", ('Inputs-System'!$C$30*'Coincidence Factors'!$B$6*(1+'Inputs-System'!$C$18)*(1+'Inputs-System'!$C$41)*('Inputs-Proposals'!$G$29*'Inputs-Proposals'!$G$31*(1-'Inputs-Proposals'!$G$32^(DZ$3-'Inputs-System'!$C$7)))*(VLOOKUP(DZ$3,Energy!$A$51:$K$83,5,FALSE))), $C30= "0", 0), 0)</f>
        <v>0</v>
      </c>
      <c r="EA30" s="44">
        <f>IFERROR(_xlfn.IFS($C30="1",('Inputs-System'!$C$30*'Coincidence Factors'!$B$6*(1+'Inputs-System'!$C$18)*(1+'Inputs-System'!$C$41))*'Inputs-Proposals'!$G$17*'Inputs-Proposals'!$G$19*(1-'Inputs-Proposals'!$G$20^(DZ$3-'Inputs-System'!$C$7))*(VLOOKUP(DZ$3,'Embedded Emissions'!$A$47:$B$78,2,FALSE)+VLOOKUP(DZ$3,'Embedded Emissions'!$A$129:$B$158,2,FALSE)), $C30 = "2",('Inputs-System'!$C$30*'Coincidence Factors'!$B$6*(1+'Inputs-System'!$C$18)*(1+'Inputs-System'!$C$41))*'Inputs-Proposals'!$G$23*'Inputs-Proposals'!$G$25*(1-'Inputs-Proposals'!$G$20^(DZ$3-'Inputs-System'!$C$7))*(VLOOKUP(DZ$3,'Embedded Emissions'!$A$47:$B$78,2,FALSE)+VLOOKUP(DZ$3,'Embedded Emissions'!$A$129:$B$158,2,FALSE)), $C30 = "3", ('Inputs-System'!$C$30*'Coincidence Factors'!$B$6*(1+'Inputs-System'!$C$18)*(1+'Inputs-System'!$C$41))*'Inputs-Proposals'!$G$29*'Inputs-Proposals'!$G$31*(1-'Inputs-Proposals'!$G$20^(DZ$3-'Inputs-System'!$C$7))*(VLOOKUP(DZ$3,'Embedded Emissions'!$A$47:$B$78,2,FALSE)+VLOOKUP(DZ$3,'Embedded Emissions'!$A$129:$B$158,2,FALSE)), $C30 = "0", 0), 0)</f>
        <v>0</v>
      </c>
      <c r="EB30" s="44">
        <f>IFERROR(_xlfn.IFS($C30="1",( 'Inputs-System'!$C$30*'Coincidence Factors'!$B$6*(1+'Inputs-System'!$C$18)*(1+'Inputs-System'!$C$41))*('Inputs-Proposals'!$G$17*'Inputs-Proposals'!$G$19*(1-'Inputs-Proposals'!$G$20)^(DZ$3-'Inputs-System'!$C$7))*(VLOOKUP(DZ$3,DRIPE!$A$54:$I$82,5,FALSE)+VLOOKUP(DZ$3,DRIPE!$A$54:$I$82,9,FALSE))+ ('Inputs-System'!$C$26*'Coincidence Factors'!$B$6*(1+'Inputs-System'!$C$18)*(1+'Inputs-System'!$C$42))*'Inputs-Proposals'!$G$16*VLOOKUP(DZ$3,DRIPE!$A$54:$I$82,8,FALSE), $C30 = "2",( 'Inputs-System'!$C$30*'Coincidence Factors'!$B$6*(1+'Inputs-System'!$C$18)*(1+'Inputs-System'!$C$41))*('Inputs-Proposals'!$G$23*'Inputs-Proposals'!$G$25*(1-'Inputs-Proposals'!$G$26)^(DZ$3-'Inputs-System'!$C$7))*(VLOOKUP(DZ$3,DRIPE!$A$54:$I$82,5,FALSE)+VLOOKUP(DZ$3,DRIPE!$A$54:$I$82,9,FALSE))+ ('Inputs-System'!$C$26*'Coincidence Factors'!$B$6*(1+'Inputs-System'!$C$18)*(1+'Inputs-System'!$C$42))*'Inputs-Proposals'!$G$22*VLOOKUP(DZ$3,DRIPE!$A$54:$I$82,8,FALSE), $C30= "3", ( 'Inputs-System'!$C$30*'Coincidence Factors'!$B$6*(1+'Inputs-System'!$C$18)*(1+'Inputs-System'!$C$41))*('Inputs-Proposals'!$G$29*'Inputs-Proposals'!$G$31*(1-'Inputs-Proposals'!$G$32)^(DZ$3-'Inputs-System'!$C$7))*(VLOOKUP(DZ$3,DRIPE!$A$54:$I$82,5,FALSE)+VLOOKUP(DZ$3,DRIPE!$A$54:$I$82,9,FALSE))+ ('Inputs-System'!$C$26*'Coincidence Factors'!$B$6*(1+'Inputs-System'!$C$18)*(1+'Inputs-System'!$C$42))*'Inputs-Proposals'!$G$28*VLOOKUP(DZ$3,DRIPE!$A$54:$I$82,8,FALSE), $C30 = "0", 0), 0)</f>
        <v>0</v>
      </c>
      <c r="EC30" s="45">
        <f>IFERROR(_xlfn.IFS($C30="1",('Inputs-System'!$C$26*'Coincidence Factors'!$B$6*(1+'Inputs-System'!$C$18))*'Inputs-Proposals'!$G$16*(VLOOKUP(DZ$3,Capacity!$A$53:$E$85,4,FALSE)*(1+'Inputs-System'!$C$42)+VLOOKUP(DZ$3,Capacity!$A$53:$E$85,5,FALSE)*'Inputs-System'!$C$29*(1+'Inputs-System'!$C$43)), $C30 = "2", ('Inputs-System'!$C$26*'Coincidence Factors'!$B$6*(1+'Inputs-System'!$C$18))*'Inputs-Proposals'!$G$22*(VLOOKUP(DZ$3,Capacity!$A$53:$E$85,4,FALSE)*(1+'Inputs-System'!$C$42)+VLOOKUP(DZ$3,Capacity!$A$53:$E$85,5,FALSE)*'Inputs-System'!$C$29*(1+'Inputs-System'!$C$43)), $C30 = "3",('Inputs-System'!$C$26*'Coincidence Factors'!$B$6*(1+'Inputs-System'!$C$18))*'Inputs-Proposals'!$G$28*(VLOOKUP(DZ$3,Capacity!$A$53:$E$85,4,FALSE)*(1+'Inputs-System'!$C$42)+VLOOKUP(DZ$3,Capacity!$A$53:$E$85,5,FALSE)*'Inputs-System'!$C$29*(1+'Inputs-System'!$C$43)), $C30 = "0", 0), 0)</f>
        <v>0</v>
      </c>
      <c r="ED30" s="44">
        <v>0</v>
      </c>
      <c r="EE30" s="342">
        <f>IFERROR(_xlfn.IFS($C30="1", 'Inputs-System'!$C$30*'Coincidence Factors'!$B$6*'Inputs-Proposals'!$G$17*'Inputs-Proposals'!$G$19*(VLOOKUP(DZ$3,'Non-Embedded Emissions'!$A$56:$D$90,2,FALSE)+VLOOKUP(DZ$3,'Non-Embedded Emissions'!$A$143:$D$174,2,FALSE)+VLOOKUP(DZ$3,'Non-Embedded Emissions'!$A$230:$D$259,2,FALSE)), $C30 = "2", 'Inputs-System'!$C$30*'Coincidence Factors'!$B$6*'Inputs-Proposals'!$G$23*'Inputs-Proposals'!$G$25*(VLOOKUP(DZ$3,'Non-Embedded Emissions'!$A$56:$D$90,2,FALSE)+VLOOKUP(DZ$3,'Non-Embedded Emissions'!$A$143:$D$174,2,FALSE)+VLOOKUP(DZ$3,'Non-Embedded Emissions'!$A$230:$D$259,2,FALSE)), $C30 = "3", 'Inputs-System'!$C$30*'Coincidence Factors'!$B$6*'Inputs-Proposals'!$G$29*'Inputs-Proposals'!$G$31*(VLOOKUP(DZ$3,'Non-Embedded Emissions'!$A$56:$D$90,2,FALSE)+VLOOKUP(DZ$3,'Non-Embedded Emissions'!$A$143:$D$174,2,FALSE)+VLOOKUP(DZ$3,'Non-Embedded Emissions'!$A$230:$D$259,2,FALSE)), $C30 = "0", 0), 0)</f>
        <v>0</v>
      </c>
    </row>
    <row r="31" spans="1:135" x14ac:dyDescent="0.35">
      <c r="A31" s="708"/>
      <c r="B31" s="3" t="s">
        <v>159</v>
      </c>
      <c r="C31" s="3" t="str">
        <f>IFERROR(_xlfn.IFS('Benefits Calc'!B31='Inputs-Proposals'!$G$15, "1", 'Benefits Calc'!B31='Inputs-Proposals'!$G$21, "2", 'Benefits Calc'!B31='Inputs-Proposals'!$G$27, "3"), "0")</f>
        <v>0</v>
      </c>
      <c r="D31" s="323">
        <f t="shared" si="0"/>
        <v>0</v>
      </c>
      <c r="E31" s="44">
        <f t="shared" si="1"/>
        <v>0</v>
      </c>
      <c r="F31" s="44">
        <f t="shared" si="2"/>
        <v>0</v>
      </c>
      <c r="G31" s="44">
        <f t="shared" si="3"/>
        <v>0</v>
      </c>
      <c r="H31" s="44">
        <f t="shared" si="4"/>
        <v>0</v>
      </c>
      <c r="I31" s="44">
        <f t="shared" si="5"/>
        <v>0</v>
      </c>
      <c r="J31" s="323">
        <f>NPV('Inputs-System'!$C$20,P31+V31+AB31+AH31+AN31+AT31+AZ31+BF31+BL31+BR31+BX31+CD31+CJ31+CP31+CV31+DB31+DH31+DN31+DT31+DZ31)</f>
        <v>0</v>
      </c>
      <c r="K31" s="44">
        <f>NPV('Inputs-System'!$C$20,Q31+W31+AC31+AI31+AO31+AU31+BA31+BG31+BM31+BS31+BY31+CE31+CK31+CQ31+CW31+DC31+DI31+DO31+DU31+EA31)</f>
        <v>0</v>
      </c>
      <c r="L31" s="44">
        <f>NPV('Inputs-System'!$C$20,R31+X31+AD31+AJ31+AP31+AV31+BB31+BH31+BN31+BT31+BZ31+CF31+CL31+CR31+CX31+DD31+DJ31+DP31+DV31+EB31)</f>
        <v>0</v>
      </c>
      <c r="M31" s="44">
        <f>NPV('Inputs-System'!$C$20,S31+Y31+AE31+AK31+AQ31+AW31+BC31+BI31+BO31+BU31+CA31+CG31+CM31+CS31+CY31+DE31+DK31+DQ31+DW31+EC31)</f>
        <v>0</v>
      </c>
      <c r="N31" s="44">
        <f>NPV('Inputs-System'!$C$20,T31+Z31+AF31+AL31+AR31+AX31+BD31+BJ31+BP31+BV31+CB31+CH31+CN31+CT31+CZ31+DF31+DL31+DR31+DX31+ED31)</f>
        <v>0</v>
      </c>
      <c r="O31" s="119">
        <f>NPV('Inputs-System'!$C$20,U31+AA31+AG31+AM31+AS31+AY31+BE31+BK31+BQ31+BW31+CC31+CI31+CO31+CU31+DA31+DG31+DM31+DS31+DY31+EE31)</f>
        <v>0</v>
      </c>
      <c r="P31" s="45">
        <f>IFERROR(_xlfn.IFS($C31="1",('Inputs-System'!$C$30*'Coincidence Factors'!$B$7*(1+'Inputs-System'!$C$18)*(1+'Inputs-System'!$C$41)*('Inputs-Proposals'!$G$17*'Inputs-Proposals'!$G$19*('Inputs-Proposals'!$G$20))*(VLOOKUP(P$3,Energy!$A$51:$K$83,5,FALSE))), $C31 = "2",('Inputs-System'!$C$30*'Coincidence Factors'!$B$7)*(1+'Inputs-System'!$C$18)*(1+'Inputs-System'!$C$41)*('Inputs-Proposals'!$G$23*'Inputs-Proposals'!$G$25*('Inputs-Proposals'!$G$26))*(VLOOKUP(P$3,Energy!$A$51:$K$83,5,FALSE)), $C31= "3", ('Inputs-System'!$C$30*'Coincidence Factors'!$B$7*(1+'Inputs-System'!$C$18)*(1+'Inputs-System'!$C$41)*('Inputs-Proposals'!$G$29*'Inputs-Proposals'!$G$31*('Inputs-Proposals'!$G$32))*(VLOOKUP(P$3,Energy!$A$51:$K$83,5,FALSE))), $C31= "0", 0), 0)</f>
        <v>0</v>
      </c>
      <c r="Q31" s="44">
        <f>IFERROR(_xlfn.IFS($C31="1",'Inputs-System'!$C$30*'Coincidence Factors'!$B$7*(1+'Inputs-System'!$C$18)*(1+'Inputs-System'!$C$41)*'Inputs-Proposals'!$G$17*'Inputs-Proposals'!$G$19*('Inputs-Proposals'!$G$20)*(VLOOKUP(P$3,'Embedded Emissions'!$A$47:$B$78,2,FALSE)+VLOOKUP(P$3,'Embedded Emissions'!$A$129:$B$158,2,FALSE)), $C31 = "2",'Inputs-System'!$C$30*'Coincidence Factors'!$B$7*(1+'Inputs-System'!$C$18)*(1+'Inputs-System'!$C$41)*'Inputs-Proposals'!$G$23*'Inputs-Proposals'!$G$25*('Inputs-Proposals'!$G$20)*(VLOOKUP(P$3,'Embedded Emissions'!$A$47:$B$78,2,FALSE)+VLOOKUP(P$3,'Embedded Emissions'!$A$129:$B$158,2,FALSE)), $C31 = "3", 'Inputs-System'!$C$30*'Coincidence Factors'!$B$7*(1+'Inputs-System'!$C$18)*(1+'Inputs-System'!$C$41)*'Inputs-Proposals'!$G$29*'Inputs-Proposals'!$G$31*('Inputs-Proposals'!$G$20)*(VLOOKUP(P$3,'Embedded Emissions'!$A$47:$B$78,2,FALSE)+VLOOKUP(P$3,'Embedded Emissions'!$A$129:$B$158,2,FALSE)), $C31 = "0", 0), 0)</f>
        <v>0</v>
      </c>
      <c r="R31" s="44">
        <f>IFERROR(_xlfn.IFS($C31="1",( 'Inputs-System'!$C$30*'Coincidence Factors'!$B$7*(1+'Inputs-System'!$C$18)*(1+'Inputs-System'!$C$41))*('Inputs-Proposals'!$G$17*'Inputs-Proposals'!$G$19*('Inputs-Proposals'!$G$20))*(VLOOKUP(P$3,DRIPE!$A$54:$I$82,5,FALSE)+VLOOKUP(P$3,DRIPE!$A$54:$I$82,9,FALSE))+ ('Inputs-System'!$C$26*'Coincidence Factors'!$B$7*(1+'Inputs-System'!$C$18)*(1+'Inputs-System'!$C$42))*'Inputs-Proposals'!$G$16*VLOOKUP(P$3,DRIPE!$A$54:$I$82,8,FALSE), $C31 = "2",( 'Inputs-System'!$C$30*'Coincidence Factors'!$B$7*(1+'Inputs-System'!$C$18)*(1+'Inputs-System'!$C$41))*('Inputs-Proposals'!$G$23*'Inputs-Proposals'!$G$25*('Inputs-Proposals'!$G$26))*(VLOOKUP(P$3,DRIPE!$A$54:$I$82,5,FALSE)+VLOOKUP(P$3,DRIPE!$A$54:$I$82,12,FALSE))+ ('Inputs-System'!$C$26*'Coincidence Factors'!$B$7*(1+'Inputs-System'!$C$18)*(1+'Inputs-System'!$C$42))*'Inputs-Proposals'!$G$22*VLOOKUP(P$3,DRIPE!$A$54:$I$82,8,FALSE), $C31= "3", ( 'Inputs-System'!$C$30*'Coincidence Factors'!$B$7*(1+'Inputs-System'!$C$18)*(1+'Inputs-System'!$C$41))*('Inputs-Proposals'!$G$29*'Inputs-Proposals'!$G$31*('Inputs-Proposals'!$G$32))*(VLOOKUP(P$3,DRIPE!$A$54:$I$82,5,FALSE)+VLOOKUP(P$3,DRIPE!$A$54:$I$82,12,FALSE))+ ('Inputs-System'!$C$26*'Coincidence Factors'!$B$7*(1+'Inputs-System'!$C$18)*(1+'Inputs-System'!$C$42))*'Inputs-Proposals'!$G$28*VLOOKUP(P$3,DRIPE!$A$54:$I$82,8,FALSE), $C31 = "0", 0), 0)</f>
        <v>0</v>
      </c>
      <c r="S31" s="45">
        <f>IFERROR(_xlfn.IFS($C31="1",('Inputs-System'!$C$26*'Coincidence Factors'!$B$7*(1+'Inputs-System'!$C$18))*'Inputs-Proposals'!$G$16*(VLOOKUP(P$3,Capacity!$A$53:$E$85,4,FALSE)*(1+'Inputs-System'!$C$42)+VLOOKUP(P$3,Capacity!$A$53:$E$85,5,FALSE)*'Inputs-System'!$C$29*(1+'Inputs-System'!$C$43)), $C31 = "2", ('Inputs-System'!$C$26*'Coincidence Factors'!$B$7*(1+'Inputs-System'!$C$18))*'Inputs-Proposals'!$G$22*(VLOOKUP(P$3,Capacity!$A$53:$E$85,4,FALSE)*(1+'Inputs-System'!$C$42)+VLOOKUP(P$3,Capacity!$A$53:$E$85,5,FALSE)*'Inputs-System'!$C$29*(1+'Inputs-System'!$C$43)), $C31 = "3",('Inputs-System'!$C$26*'Coincidence Factors'!$B$7*(1+'Inputs-System'!$C$18))*'Inputs-Proposals'!$G$28*(VLOOKUP(P$3,Capacity!$A$53:$E$85,4,FALSE)*(1+'Inputs-System'!$C$42)+VLOOKUP(P$3,Capacity!$A$53:$E$85,5,FALSE)*'Inputs-System'!$C$29*(1+'Inputs-System'!$C$43)), $C31 = "0", 0), 0)</f>
        <v>0</v>
      </c>
      <c r="T31" s="44">
        <v>0</v>
      </c>
      <c r="U31" s="44">
        <f>IFERROR(_xlfn.IFS($C31="1", 'Inputs-System'!$C$30*'Coincidence Factors'!$B$7*'Inputs-Proposals'!$G$17*'Inputs-Proposals'!$G$19*(VLOOKUP(P$3,'Non-Embedded Emissions'!$A$56:$D$90,2,FALSE)+VLOOKUP(P$3,'Non-Embedded Emissions'!$A$143:$D$174,2,FALSE)+VLOOKUP(P$3,'Non-Embedded Emissions'!$A$230:$D$259,2,FALSE)), $C31 = "2", 'Inputs-System'!$C$30*'Coincidence Factors'!$B$7*'Inputs-Proposals'!$G$23*'Inputs-Proposals'!$G$25*(VLOOKUP(P$3,'Non-Embedded Emissions'!$A$56:$D$90,2,FALSE)+VLOOKUP(P$3,'Non-Embedded Emissions'!$A$143:$D$174,2,FALSE)+VLOOKUP(P$3,'Non-Embedded Emissions'!$A$230:$D$259,2,FALSE)), $C31 = "3", 'Inputs-System'!$C$30*'Coincidence Factors'!$B$7*'Inputs-Proposals'!$G$29*'Inputs-Proposals'!$G$31*(VLOOKUP(P$3,'Non-Embedded Emissions'!$A$56:$D$90,2,FALSE)+VLOOKUP(P$3,'Non-Embedded Emissions'!$A$143:$D$174,2,FALSE)+VLOOKUP(P$3,'Non-Embedded Emissions'!$A$230:$D$259,2,FALSE)), $C31 = "0", 0), 0)</f>
        <v>0</v>
      </c>
      <c r="V31" s="347">
        <f>IFERROR(_xlfn.IFS($C31="1",('Inputs-System'!$C$30*'Coincidence Factors'!$B$7*(1+'Inputs-System'!$C$18)*(1+'Inputs-System'!$C$41)*('Inputs-Proposals'!$G$17*'Inputs-Proposals'!$G$19*('Inputs-Proposals'!$G$20))*(VLOOKUP(V$3,Energy!$A$51:$K$83,5,FALSE))), $C31 = "2",('Inputs-System'!$C$30*'Coincidence Factors'!$B$7)*(1+'Inputs-System'!$C$18)*(1+'Inputs-System'!$C$41)*('Inputs-Proposals'!$G$23*'Inputs-Proposals'!$G$25*('Inputs-Proposals'!$G$26))*(VLOOKUP(V$3,Energy!$A$51:$K$83,5,FALSE)), $C31= "3", ('Inputs-System'!$C$30*'Coincidence Factors'!$B$7*(1+'Inputs-System'!$C$18)*(1+'Inputs-System'!$C$41)*('Inputs-Proposals'!$G$29*'Inputs-Proposals'!$G$31*('Inputs-Proposals'!$G$32))*(VLOOKUP(V$3,Energy!$A$51:$K$83,5,FALSE))), $C31= "0", 0), 0)</f>
        <v>0</v>
      </c>
      <c r="W31" s="44">
        <f>IFERROR(_xlfn.IFS($C31="1",'Inputs-System'!$C$30*'Coincidence Factors'!$B$7*(1+'Inputs-System'!$C$18)*(1+'Inputs-System'!$C$41)*'Inputs-Proposals'!$G$17*'Inputs-Proposals'!$G$19*('Inputs-Proposals'!$G$20)*(VLOOKUP(V$3,'Embedded Emissions'!$A$47:$B$78,2,FALSE)+VLOOKUP(V$3,'Embedded Emissions'!$A$129:$B$158,2,FALSE)), $C31 = "2",'Inputs-System'!$C$30*'Coincidence Factors'!$B$7*(1+'Inputs-System'!$C$18)*(1+'Inputs-System'!$C$41)*'Inputs-Proposals'!$G$23*'Inputs-Proposals'!$G$25*('Inputs-Proposals'!$G$20)*(VLOOKUP(V$3,'Embedded Emissions'!$A$47:$B$78,2,FALSE)+VLOOKUP(V$3,'Embedded Emissions'!$A$129:$B$158,2,FALSE)), $C31 = "3", 'Inputs-System'!$C$30*'Coincidence Factors'!$B$7*(1+'Inputs-System'!$C$18)*(1+'Inputs-System'!$C$41)*'Inputs-Proposals'!$G$29*'Inputs-Proposals'!$G$31*('Inputs-Proposals'!$G$20)*(VLOOKUP(V$3,'Embedded Emissions'!$A$47:$B$78,2,FALSE)+VLOOKUP(V$3,'Embedded Emissions'!$A$129:$B$158,2,FALSE)), $C31 = "0", 0), 0)</f>
        <v>0</v>
      </c>
      <c r="X31" s="44">
        <f>IFERROR(_xlfn.IFS($C31="1",( 'Inputs-System'!$C$30*'Coincidence Factors'!$B$7*(1+'Inputs-System'!$C$18)*(1+'Inputs-System'!$C$41))*('Inputs-Proposals'!$G$17*'Inputs-Proposals'!$G$19*('Inputs-Proposals'!$G$20))*(VLOOKUP(V$3,DRIPE!$A$54:$I$82,5,FALSE)+VLOOKUP(V$3,DRIPE!$A$54:$I$82,9,FALSE))+ ('Inputs-System'!$C$26*'Coincidence Factors'!$B$7*(1+'Inputs-System'!$C$18)*(1+'Inputs-System'!$C$42))*'Inputs-Proposals'!$G$16*VLOOKUP(V$3,DRIPE!$A$54:$I$82,8,FALSE), $C31 = "2",( 'Inputs-System'!$C$30*'Coincidence Factors'!$B$7*(1+'Inputs-System'!$C$18)*(1+'Inputs-System'!$C$41))*('Inputs-Proposals'!$G$23*'Inputs-Proposals'!$G$25*('Inputs-Proposals'!$G$26))*(VLOOKUP(V$3,DRIPE!$A$54:$I$82,5,FALSE)+VLOOKUP(V$3,DRIPE!$A$54:$I$82,12,FALSE))+ ('Inputs-System'!$C$26*'Coincidence Factors'!$B$7*(1+'Inputs-System'!$C$18)*(1+'Inputs-System'!$C$42))*'Inputs-Proposals'!$G$22*VLOOKUP(V$3,DRIPE!$A$54:$I$82,8,FALSE), $C31= "3", ( 'Inputs-System'!$C$30*'Coincidence Factors'!$B$7*(1+'Inputs-System'!$C$18)*(1+'Inputs-System'!$C$41))*('Inputs-Proposals'!$G$29*'Inputs-Proposals'!$G$31*('Inputs-Proposals'!$G$32))*(VLOOKUP(V$3,DRIPE!$A$54:$I$82,5,FALSE)+VLOOKUP(V$3,DRIPE!$A$54:$I$82,12,FALSE))+ ('Inputs-System'!$C$26*'Coincidence Factors'!$B$7*(1+'Inputs-System'!$C$18)*(1+'Inputs-System'!$C$42))*'Inputs-Proposals'!$G$28*VLOOKUP(V$3,DRIPE!$A$54:$I$82,8,FALSE), $C31 = "0", 0), 0)</f>
        <v>0</v>
      </c>
      <c r="Y31" s="45">
        <f>IFERROR(_xlfn.IFS($C31="1",('Inputs-System'!$C$26*'Coincidence Factors'!$B$7*(1+'Inputs-System'!$C$18))*'Inputs-Proposals'!$G$16*(VLOOKUP(V$3,Capacity!$A$53:$E$85,4,FALSE)*(1+'Inputs-System'!$C$42)+VLOOKUP(V$3,Capacity!$A$53:$E$85,5,FALSE)*'Inputs-System'!$C$29*(1+'Inputs-System'!$C$43)), $C31 = "2", ('Inputs-System'!$C$26*'Coincidence Factors'!$B$7*(1+'Inputs-System'!$C$18))*'Inputs-Proposals'!$G$22*(VLOOKUP(V$3,Capacity!$A$53:$E$85,4,FALSE)*(1+'Inputs-System'!$C$42)+VLOOKUP(V$3,Capacity!$A$53:$E$85,5,FALSE)*'Inputs-System'!$C$29*(1+'Inputs-System'!$C$43)), $C31 = "3",('Inputs-System'!$C$26*'Coincidence Factors'!$B$7*(1+'Inputs-System'!$C$18))*'Inputs-Proposals'!$G$28*(VLOOKUP(V$3,Capacity!$A$53:$E$85,4,FALSE)*(1+'Inputs-System'!$C$42)+VLOOKUP(V$3,Capacity!$A$53:$E$85,5,FALSE)*'Inputs-System'!$C$29*(1+'Inputs-System'!$C$43)), $C31 = "0", 0), 0)</f>
        <v>0</v>
      </c>
      <c r="Z31" s="44">
        <v>0</v>
      </c>
      <c r="AA31" s="342">
        <f>IFERROR(_xlfn.IFS($C31="1", 'Inputs-System'!$C$30*'Coincidence Factors'!$B$7*'Inputs-Proposals'!$G$17*'Inputs-Proposals'!$G$19*(VLOOKUP(V$3,'Non-Embedded Emissions'!$A$56:$D$90,2,FALSE)+VLOOKUP(V$3,'Non-Embedded Emissions'!$A$143:$D$174,2,FALSE)+VLOOKUP(V$3,'Non-Embedded Emissions'!$A$230:$D$259,2,FALSE)), $C31 = "2", 'Inputs-System'!$C$30*'Coincidence Factors'!$B$7*'Inputs-Proposals'!$G$23*'Inputs-Proposals'!$G$25*(VLOOKUP(V$3,'Non-Embedded Emissions'!$A$56:$D$90,2,FALSE)+VLOOKUP(V$3,'Non-Embedded Emissions'!$A$143:$D$174,2,FALSE)+VLOOKUP(V$3,'Non-Embedded Emissions'!$A$230:$D$259,2,FALSE)), $C31 = "3", 'Inputs-System'!$C$30*'Coincidence Factors'!$B$7*'Inputs-Proposals'!$G$29*'Inputs-Proposals'!$G$31*(VLOOKUP(V$3,'Non-Embedded Emissions'!$A$56:$D$90,2,FALSE)+VLOOKUP(V$3,'Non-Embedded Emissions'!$A$143:$D$174,2,FALSE)+VLOOKUP(V$3,'Non-Embedded Emissions'!$A$230:$D$259,2,FALSE)), $C31 = "0", 0), 0)</f>
        <v>0</v>
      </c>
      <c r="AB31" s="347">
        <f>IFERROR(_xlfn.IFS($C31="1",('Inputs-System'!$C$30*'Coincidence Factors'!$B$7*(1+'Inputs-System'!$C$18)*(1+'Inputs-System'!$C$41)*('Inputs-Proposals'!$G$17*'Inputs-Proposals'!$G$19*('Inputs-Proposals'!$G$20))*(VLOOKUP(AB$3,Energy!$A$51:$K$83,5,FALSE))), $C31 = "2",('Inputs-System'!$C$30*'Coincidence Factors'!$B$7)*(1+'Inputs-System'!$C$18)*(1+'Inputs-System'!$C$41)*('Inputs-Proposals'!$G$23*'Inputs-Proposals'!$G$25*('Inputs-Proposals'!$G$26))*(VLOOKUP(AB$3,Energy!$A$51:$K$83,5,FALSE)), $C31= "3", ('Inputs-System'!$C$30*'Coincidence Factors'!$B$7*(1+'Inputs-System'!$C$18)*(1+'Inputs-System'!$C$41)*('Inputs-Proposals'!$G$29*'Inputs-Proposals'!$G$31*('Inputs-Proposals'!$G$32))*(VLOOKUP(AB$3,Energy!$A$51:$K$83,5,FALSE))), $C31= "0", 0), 0)</f>
        <v>0</v>
      </c>
      <c r="AC31" s="44">
        <f>IFERROR(_xlfn.IFS($C31="1",'Inputs-System'!$C$30*'Coincidence Factors'!$B$7*(1+'Inputs-System'!$C$18)*(1+'Inputs-System'!$C$41)*'Inputs-Proposals'!$G$17*'Inputs-Proposals'!$G$19*('Inputs-Proposals'!$G$20)*(VLOOKUP(AB$3,'Embedded Emissions'!$A$47:$B$78,2,FALSE)+VLOOKUP(AB$3,'Embedded Emissions'!$A$129:$B$158,2,FALSE)), $C31 = "2",'Inputs-System'!$C$30*'Coincidence Factors'!$B$7*(1+'Inputs-System'!$C$18)*(1+'Inputs-System'!$C$41)*'Inputs-Proposals'!$G$23*'Inputs-Proposals'!$G$25*('Inputs-Proposals'!$G$20)*(VLOOKUP(AB$3,'Embedded Emissions'!$A$47:$B$78,2,FALSE)+VLOOKUP(AB$3,'Embedded Emissions'!$A$129:$B$158,2,FALSE)), $C31 = "3", 'Inputs-System'!$C$30*'Coincidence Factors'!$B$7*(1+'Inputs-System'!$C$18)*(1+'Inputs-System'!$C$41)*'Inputs-Proposals'!$G$29*'Inputs-Proposals'!$G$31*('Inputs-Proposals'!$G$20)*(VLOOKUP(AB$3,'Embedded Emissions'!$A$47:$B$78,2,FALSE)+VLOOKUP(AB$3,'Embedded Emissions'!$A$129:$B$158,2,FALSE)), $C31 = "0", 0), 0)</f>
        <v>0</v>
      </c>
      <c r="AD31" s="44">
        <f>IFERROR(_xlfn.IFS($C31="1",( 'Inputs-System'!$C$30*'Coincidence Factors'!$B$7*(1+'Inputs-System'!$C$18)*(1+'Inputs-System'!$C$41))*('Inputs-Proposals'!$G$17*'Inputs-Proposals'!$G$19*('Inputs-Proposals'!$G$20))*(VLOOKUP(AB$3,DRIPE!$A$54:$I$82,5,FALSE)+VLOOKUP(AB$3,DRIPE!$A$54:$I$82,9,FALSE))+ ('Inputs-System'!$C$26*'Coincidence Factors'!$B$7*(1+'Inputs-System'!$C$18)*(1+'Inputs-System'!$C$42))*'Inputs-Proposals'!$G$16*VLOOKUP(AB$3,DRIPE!$A$54:$I$82,8,FALSE), $C31 = "2",( 'Inputs-System'!$C$30*'Coincidence Factors'!$B$7*(1+'Inputs-System'!$C$18)*(1+'Inputs-System'!$C$41))*('Inputs-Proposals'!$G$23*'Inputs-Proposals'!$G$25*('Inputs-Proposals'!$G$26))*(VLOOKUP(AB$3,DRIPE!$A$54:$I$82,5,FALSE)+VLOOKUP(AB$3,DRIPE!$A$54:$I$82,12,FALSE))+ ('Inputs-System'!$C$26*'Coincidence Factors'!$B$7*(1+'Inputs-System'!$C$18)*(1+'Inputs-System'!$C$42))*'Inputs-Proposals'!$G$22*VLOOKUP(AB$3,DRIPE!$A$54:$I$82,8,FALSE), $C31= "3", ( 'Inputs-System'!$C$30*'Coincidence Factors'!$B$7*(1+'Inputs-System'!$C$18)*(1+'Inputs-System'!$C$41))*('Inputs-Proposals'!$G$29*'Inputs-Proposals'!$G$31*('Inputs-Proposals'!$G$32))*(VLOOKUP(AB$3,DRIPE!$A$54:$I$82,5,FALSE)+VLOOKUP(AB$3,DRIPE!$A$54:$I$82,12,FALSE))+ ('Inputs-System'!$C$26*'Coincidence Factors'!$B$7*(1+'Inputs-System'!$C$18)*(1+'Inputs-System'!$C$42))*'Inputs-Proposals'!$G$28*VLOOKUP(AB$3,DRIPE!$A$54:$I$82,8,FALSE), $C31 = "0", 0), 0)</f>
        <v>0</v>
      </c>
      <c r="AE31" s="45">
        <f>IFERROR(_xlfn.IFS($C31="1",('Inputs-System'!$C$26*'Coincidence Factors'!$B$7*(1+'Inputs-System'!$C$18))*'Inputs-Proposals'!$G$16*(VLOOKUP(AB$3,Capacity!$A$53:$E$85,4,FALSE)*(1+'Inputs-System'!$C$42)+VLOOKUP(AB$3,Capacity!$A$53:$E$85,5,FALSE)*'Inputs-System'!$C$29*(1+'Inputs-System'!$C$43)), $C31 = "2", ('Inputs-System'!$C$26*'Coincidence Factors'!$B$7*(1+'Inputs-System'!$C$18))*'Inputs-Proposals'!$G$22*(VLOOKUP(AB$3,Capacity!$A$53:$E$85,4,FALSE)*(1+'Inputs-System'!$C$42)+VLOOKUP(AB$3,Capacity!$A$53:$E$85,5,FALSE)*'Inputs-System'!$C$29*(1+'Inputs-System'!$C$43)), $C31 = "3",('Inputs-System'!$C$26*'Coincidence Factors'!$B$7*(1+'Inputs-System'!$C$18))*'Inputs-Proposals'!$G$28*(VLOOKUP(AB$3,Capacity!$A$53:$E$85,4,FALSE)*(1+'Inputs-System'!$C$42)+VLOOKUP(AB$3,Capacity!$A$53:$E$85,5,FALSE)*'Inputs-System'!$C$29*(1+'Inputs-System'!$C$43)), $C31 = "0", 0), 0)</f>
        <v>0</v>
      </c>
      <c r="AF31" s="44">
        <v>0</v>
      </c>
      <c r="AG31" s="342">
        <f>IFERROR(_xlfn.IFS($C31="1", 'Inputs-System'!$C$30*'Coincidence Factors'!$B$7*'Inputs-Proposals'!$G$17*'Inputs-Proposals'!$G$19*(VLOOKUP(AB$3,'Non-Embedded Emissions'!$A$56:$D$90,2,FALSE)+VLOOKUP(AB$3,'Non-Embedded Emissions'!$A$143:$D$174,2,FALSE)+VLOOKUP(AB$3,'Non-Embedded Emissions'!$A$230:$D$259,2,FALSE)), $C31 = "2", 'Inputs-System'!$C$30*'Coincidence Factors'!$B$7*'Inputs-Proposals'!$G$23*'Inputs-Proposals'!$G$25*(VLOOKUP(AB$3,'Non-Embedded Emissions'!$A$56:$D$90,2,FALSE)+VLOOKUP(AB$3,'Non-Embedded Emissions'!$A$143:$D$174,2,FALSE)+VLOOKUP(AB$3,'Non-Embedded Emissions'!$A$230:$D$259,2,FALSE)), $C31 = "3", 'Inputs-System'!$C$30*'Coincidence Factors'!$B$7*'Inputs-Proposals'!$G$29*'Inputs-Proposals'!$G$31*(VLOOKUP(AB$3,'Non-Embedded Emissions'!$A$56:$D$90,2,FALSE)+VLOOKUP(AB$3,'Non-Embedded Emissions'!$A$143:$D$174,2,FALSE)+VLOOKUP(AB$3,'Non-Embedded Emissions'!$A$230:$D$259,2,FALSE)), $C31 = "0", 0), 0)</f>
        <v>0</v>
      </c>
      <c r="AH31" s="347">
        <f>IFERROR(_xlfn.IFS($C31="1",('Inputs-System'!$C$30*'Coincidence Factors'!$B$7*(1+'Inputs-System'!$C$18)*(1+'Inputs-System'!$C$41)*('Inputs-Proposals'!$G$17*'Inputs-Proposals'!$G$19*('Inputs-Proposals'!$G$20))*(VLOOKUP(AH$3,Energy!$A$51:$K$83,5,FALSE))), $C31 = "2",('Inputs-System'!$C$30*'Coincidence Factors'!$B$7)*(1+'Inputs-System'!$C$18)*(1+'Inputs-System'!$C$41)*('Inputs-Proposals'!$G$23*'Inputs-Proposals'!$G$25*('Inputs-Proposals'!$G$26))*(VLOOKUP(AH$3,Energy!$A$51:$K$83,5,FALSE)), $C31= "3", ('Inputs-System'!$C$30*'Coincidence Factors'!$B$7*(1+'Inputs-System'!$C$18)*(1+'Inputs-System'!$C$41)*('Inputs-Proposals'!$G$29*'Inputs-Proposals'!$G$31*('Inputs-Proposals'!$G$32))*(VLOOKUP(AH$3,Energy!$A$51:$K$83,5,FALSE))), $C31= "0", 0), 0)</f>
        <v>0</v>
      </c>
      <c r="AI31" s="44">
        <f>IFERROR(_xlfn.IFS($C31="1",'Inputs-System'!$C$30*'Coincidence Factors'!$B$7*(1+'Inputs-System'!$C$18)*(1+'Inputs-System'!$C$41)*'Inputs-Proposals'!$G$17*'Inputs-Proposals'!$G$19*('Inputs-Proposals'!$G$20)*(VLOOKUP(AH$3,'Embedded Emissions'!$A$47:$B$78,2,FALSE)+VLOOKUP(AH$3,'Embedded Emissions'!$A$129:$B$158,2,FALSE)), $C31 = "2",'Inputs-System'!$C$30*'Coincidence Factors'!$B$7*(1+'Inputs-System'!$C$18)*(1+'Inputs-System'!$C$41)*'Inputs-Proposals'!$G$23*'Inputs-Proposals'!$G$25*('Inputs-Proposals'!$G$20)*(VLOOKUP(AH$3,'Embedded Emissions'!$A$47:$B$78,2,FALSE)+VLOOKUP(AH$3,'Embedded Emissions'!$A$129:$B$158,2,FALSE)), $C31 = "3", 'Inputs-System'!$C$30*'Coincidence Factors'!$B$7*(1+'Inputs-System'!$C$18)*(1+'Inputs-System'!$C$41)*'Inputs-Proposals'!$G$29*'Inputs-Proposals'!$G$31*('Inputs-Proposals'!$G$20)*(VLOOKUP(AH$3,'Embedded Emissions'!$A$47:$B$78,2,FALSE)+VLOOKUP(AH$3,'Embedded Emissions'!$A$129:$B$158,2,FALSE)), $C31 = "0", 0), 0)</f>
        <v>0</v>
      </c>
      <c r="AJ31" s="44">
        <f>IFERROR(_xlfn.IFS($C31="1",( 'Inputs-System'!$C$30*'Coincidence Factors'!$B$7*(1+'Inputs-System'!$C$18)*(1+'Inputs-System'!$C$41))*('Inputs-Proposals'!$G$17*'Inputs-Proposals'!$G$19*('Inputs-Proposals'!$G$20))*(VLOOKUP(AH$3,DRIPE!$A$54:$I$82,5,FALSE)+VLOOKUP(AH$3,DRIPE!$A$54:$I$82,9,FALSE))+ ('Inputs-System'!$C$26*'Coincidence Factors'!$B$7*(1+'Inputs-System'!$C$18)*(1+'Inputs-System'!$C$42))*'Inputs-Proposals'!$G$16*VLOOKUP(AH$3,DRIPE!$A$54:$I$82,8,FALSE), $C31 = "2",( 'Inputs-System'!$C$30*'Coincidence Factors'!$B$7*(1+'Inputs-System'!$C$18)*(1+'Inputs-System'!$C$41))*('Inputs-Proposals'!$G$23*'Inputs-Proposals'!$G$25*('Inputs-Proposals'!$G$26))*(VLOOKUP(AH$3,DRIPE!$A$54:$I$82,5,FALSE)+VLOOKUP(AH$3,DRIPE!$A$54:$I$82,12,FALSE))+ ('Inputs-System'!$C$26*'Coincidence Factors'!$B$7*(1+'Inputs-System'!$C$18)*(1+'Inputs-System'!$C$42))*'Inputs-Proposals'!$G$22*VLOOKUP(AH$3,DRIPE!$A$54:$I$82,8,FALSE), $C31= "3", ( 'Inputs-System'!$C$30*'Coincidence Factors'!$B$7*(1+'Inputs-System'!$C$18)*(1+'Inputs-System'!$C$41))*('Inputs-Proposals'!$G$29*'Inputs-Proposals'!$G$31*('Inputs-Proposals'!$G$32))*(VLOOKUP(AH$3,DRIPE!$A$54:$I$82,5,FALSE)+VLOOKUP(AH$3,DRIPE!$A$54:$I$82,12,FALSE))+ ('Inputs-System'!$C$26*'Coincidence Factors'!$B$7*(1+'Inputs-System'!$C$18)*(1+'Inputs-System'!$C$42))*'Inputs-Proposals'!$G$28*VLOOKUP(AH$3,DRIPE!$A$54:$I$82,8,FALSE), $C31 = "0", 0), 0)</f>
        <v>0</v>
      </c>
      <c r="AK31" s="45">
        <f>IFERROR(_xlfn.IFS($C31="1",('Inputs-System'!$C$26*'Coincidence Factors'!$B$7*(1+'Inputs-System'!$C$18))*'Inputs-Proposals'!$G$16*(VLOOKUP(AH$3,Capacity!$A$53:$E$85,4,FALSE)*(1+'Inputs-System'!$C$42)+VLOOKUP(AH$3,Capacity!$A$53:$E$85,5,FALSE)*'Inputs-System'!$C$29*(1+'Inputs-System'!$C$43)), $C31 = "2", ('Inputs-System'!$C$26*'Coincidence Factors'!$B$7*(1+'Inputs-System'!$C$18))*'Inputs-Proposals'!$G$22*(VLOOKUP(AH$3,Capacity!$A$53:$E$85,4,FALSE)*(1+'Inputs-System'!$C$42)+VLOOKUP(AH$3,Capacity!$A$53:$E$85,5,FALSE)*'Inputs-System'!$C$29*(1+'Inputs-System'!$C$43)), $C31 = "3",('Inputs-System'!$C$26*'Coincidence Factors'!$B$7*(1+'Inputs-System'!$C$18))*'Inputs-Proposals'!$G$28*(VLOOKUP(AH$3,Capacity!$A$53:$E$85,4,FALSE)*(1+'Inputs-System'!$C$42)+VLOOKUP(AH$3,Capacity!$A$53:$E$85,5,FALSE)*'Inputs-System'!$C$29*(1+'Inputs-System'!$C$43)), $C31 = "0", 0), 0)</f>
        <v>0</v>
      </c>
      <c r="AL31" s="44">
        <v>0</v>
      </c>
      <c r="AM31" s="342">
        <f>IFERROR(_xlfn.IFS($C31="1", 'Inputs-System'!$C$30*'Coincidence Factors'!$B$7*'Inputs-Proposals'!$G$17*'Inputs-Proposals'!$G$19*(VLOOKUP(AH$3,'Non-Embedded Emissions'!$A$56:$D$90,2,FALSE)+VLOOKUP(AH$3,'Non-Embedded Emissions'!$A$143:$D$174,2,FALSE)+VLOOKUP(AH$3,'Non-Embedded Emissions'!$A$230:$D$259,2,FALSE)), $C31 = "2", 'Inputs-System'!$C$30*'Coincidence Factors'!$B$7*'Inputs-Proposals'!$G$23*'Inputs-Proposals'!$G$25*(VLOOKUP(AH$3,'Non-Embedded Emissions'!$A$56:$D$90,2,FALSE)+VLOOKUP(AH$3,'Non-Embedded Emissions'!$A$143:$D$174,2,FALSE)+VLOOKUP(AH$3,'Non-Embedded Emissions'!$A$230:$D$259,2,FALSE)), $C31 = "3", 'Inputs-System'!$C$30*'Coincidence Factors'!$B$7*'Inputs-Proposals'!$G$29*'Inputs-Proposals'!$G$31*(VLOOKUP(AH$3,'Non-Embedded Emissions'!$A$56:$D$90,2,FALSE)+VLOOKUP(AH$3,'Non-Embedded Emissions'!$A$143:$D$174,2,FALSE)+VLOOKUP(AH$3,'Non-Embedded Emissions'!$A$230:$D$259,2,FALSE)), $C31 = "0", 0), 0)</f>
        <v>0</v>
      </c>
      <c r="AN31" s="347">
        <f>IFERROR(_xlfn.IFS($C31="1",('Inputs-System'!$C$30*'Coincidence Factors'!$B$7*(1+'Inputs-System'!$C$18)*(1+'Inputs-System'!$C$41)*('Inputs-Proposals'!$G$17*'Inputs-Proposals'!$G$19*('Inputs-Proposals'!$G$20))*(VLOOKUP(AN$3,Energy!$A$51:$K$83,5,FALSE))), $C31 = "2",('Inputs-System'!$C$30*'Coincidence Factors'!$B$7)*(1+'Inputs-System'!$C$18)*(1+'Inputs-System'!$C$41)*('Inputs-Proposals'!$G$23*'Inputs-Proposals'!$G$25*('Inputs-Proposals'!$G$26))*(VLOOKUP(AN$3,Energy!$A$51:$K$83,5,FALSE)), $C31= "3", ('Inputs-System'!$C$30*'Coincidence Factors'!$B$7*(1+'Inputs-System'!$C$18)*(1+'Inputs-System'!$C$41)*('Inputs-Proposals'!$G$29*'Inputs-Proposals'!$G$31*('Inputs-Proposals'!$G$32))*(VLOOKUP(AN$3,Energy!$A$51:$K$83,5,FALSE))), $C31= "0", 0), 0)</f>
        <v>0</v>
      </c>
      <c r="AO31" s="44">
        <f>IFERROR(_xlfn.IFS($C31="1",'Inputs-System'!$C$30*'Coincidence Factors'!$B$7*(1+'Inputs-System'!$C$18)*(1+'Inputs-System'!$C$41)*'Inputs-Proposals'!$G$17*'Inputs-Proposals'!$G$19*('Inputs-Proposals'!$G$20)*(VLOOKUP(AN$3,'Embedded Emissions'!$A$47:$B$78,2,FALSE)+VLOOKUP(AN$3,'Embedded Emissions'!$A$129:$B$158,2,FALSE)), $C31 = "2",'Inputs-System'!$C$30*'Coincidence Factors'!$B$7*(1+'Inputs-System'!$C$18)*(1+'Inputs-System'!$C$41)*'Inputs-Proposals'!$G$23*'Inputs-Proposals'!$G$25*('Inputs-Proposals'!$G$20)*(VLOOKUP(AN$3,'Embedded Emissions'!$A$47:$B$78,2,FALSE)+VLOOKUP(AN$3,'Embedded Emissions'!$A$129:$B$158,2,FALSE)), $C31 = "3", 'Inputs-System'!$C$30*'Coincidence Factors'!$B$7*(1+'Inputs-System'!$C$18)*(1+'Inputs-System'!$C$41)*'Inputs-Proposals'!$G$29*'Inputs-Proposals'!$G$31*('Inputs-Proposals'!$G$20)*(VLOOKUP(AN$3,'Embedded Emissions'!$A$47:$B$78,2,FALSE)+VLOOKUP(AN$3,'Embedded Emissions'!$A$129:$B$158,2,FALSE)), $C31 = "0", 0), 0)</f>
        <v>0</v>
      </c>
      <c r="AP31" s="44">
        <f>IFERROR(_xlfn.IFS($C31="1",( 'Inputs-System'!$C$30*'Coincidence Factors'!$B$7*(1+'Inputs-System'!$C$18)*(1+'Inputs-System'!$C$41))*('Inputs-Proposals'!$G$17*'Inputs-Proposals'!$G$19*('Inputs-Proposals'!$G$20))*(VLOOKUP(AN$3,DRIPE!$A$54:$I$82,5,FALSE)+VLOOKUP(AN$3,DRIPE!$A$54:$I$82,9,FALSE))+ ('Inputs-System'!$C$26*'Coincidence Factors'!$B$7*(1+'Inputs-System'!$C$18)*(1+'Inputs-System'!$C$42))*'Inputs-Proposals'!$G$16*VLOOKUP(AN$3,DRIPE!$A$54:$I$82,8,FALSE), $C31 = "2",( 'Inputs-System'!$C$30*'Coincidence Factors'!$B$7*(1+'Inputs-System'!$C$18)*(1+'Inputs-System'!$C$41))*('Inputs-Proposals'!$G$23*'Inputs-Proposals'!$G$25*('Inputs-Proposals'!$G$26))*(VLOOKUP(AN$3,DRIPE!$A$54:$I$82,5,FALSE)+VLOOKUP(AN$3,DRIPE!$A$54:$I$82,12,FALSE))+ ('Inputs-System'!$C$26*'Coincidence Factors'!$B$7*(1+'Inputs-System'!$C$18)*(1+'Inputs-System'!$C$42))*'Inputs-Proposals'!$G$22*VLOOKUP(AN$3,DRIPE!$A$54:$I$82,8,FALSE), $C31= "3", ( 'Inputs-System'!$C$30*'Coincidence Factors'!$B$7*(1+'Inputs-System'!$C$18)*(1+'Inputs-System'!$C$41))*('Inputs-Proposals'!$G$29*'Inputs-Proposals'!$G$31*('Inputs-Proposals'!$G$32))*(VLOOKUP(AN$3,DRIPE!$A$54:$I$82,5,FALSE)+VLOOKUP(AN$3,DRIPE!$A$54:$I$82,12,FALSE))+ ('Inputs-System'!$C$26*'Coincidence Factors'!$B$7*(1+'Inputs-System'!$C$18)*(1+'Inputs-System'!$C$42))*'Inputs-Proposals'!$G$28*VLOOKUP(AN$3,DRIPE!$A$54:$I$82,8,FALSE), $C31 = "0", 0), 0)</f>
        <v>0</v>
      </c>
      <c r="AQ31" s="45">
        <f>IFERROR(_xlfn.IFS($C31="1",('Inputs-System'!$C$26*'Coincidence Factors'!$B$7*(1+'Inputs-System'!$C$18))*'Inputs-Proposals'!$G$16*(VLOOKUP(AN$3,Capacity!$A$53:$E$85,4,FALSE)*(1+'Inputs-System'!$C$42)+VLOOKUP(AN$3,Capacity!$A$53:$E$85,5,FALSE)*'Inputs-System'!$C$29*(1+'Inputs-System'!$C$43)), $C31 = "2", ('Inputs-System'!$C$26*'Coincidence Factors'!$B$7*(1+'Inputs-System'!$C$18))*'Inputs-Proposals'!$G$22*(VLOOKUP(AN$3,Capacity!$A$53:$E$85,4,FALSE)*(1+'Inputs-System'!$C$42)+VLOOKUP(AN$3,Capacity!$A$53:$E$85,5,FALSE)*'Inputs-System'!$C$29*(1+'Inputs-System'!$C$43)), $C31 = "3",('Inputs-System'!$C$26*'Coincidence Factors'!$B$7*(1+'Inputs-System'!$C$18))*'Inputs-Proposals'!$G$28*(VLOOKUP(AN$3,Capacity!$A$53:$E$85,4,FALSE)*(1+'Inputs-System'!$C$42)+VLOOKUP(AN$3,Capacity!$A$53:$E$85,5,FALSE)*'Inputs-System'!$C$29*(1+'Inputs-System'!$C$43)), $C31 = "0", 0), 0)</f>
        <v>0</v>
      </c>
      <c r="AR31" s="44">
        <v>0</v>
      </c>
      <c r="AS31" s="342">
        <f>IFERROR(_xlfn.IFS($C31="1", 'Inputs-System'!$C$30*'Coincidence Factors'!$B$7*'Inputs-Proposals'!$G$17*'Inputs-Proposals'!$G$19*(VLOOKUP(AN$3,'Non-Embedded Emissions'!$A$56:$D$90,2,FALSE)+VLOOKUP(AN$3,'Non-Embedded Emissions'!$A$143:$D$174,2,FALSE)+VLOOKUP(AN$3,'Non-Embedded Emissions'!$A$230:$D$259,2,FALSE)), $C31 = "2", 'Inputs-System'!$C$30*'Coincidence Factors'!$B$7*'Inputs-Proposals'!$G$23*'Inputs-Proposals'!$G$25*(VLOOKUP(AN$3,'Non-Embedded Emissions'!$A$56:$D$90,2,FALSE)+VLOOKUP(AN$3,'Non-Embedded Emissions'!$A$143:$D$174,2,FALSE)+VLOOKUP(AN$3,'Non-Embedded Emissions'!$A$230:$D$259,2,FALSE)), $C31 = "3", 'Inputs-System'!$C$30*'Coincidence Factors'!$B$7*'Inputs-Proposals'!$G$29*'Inputs-Proposals'!$G$31*(VLOOKUP(AN$3,'Non-Embedded Emissions'!$A$56:$D$90,2,FALSE)+VLOOKUP(AN$3,'Non-Embedded Emissions'!$A$143:$D$174,2,FALSE)+VLOOKUP(AN$3,'Non-Embedded Emissions'!$A$230:$D$259,2,FALSE)), $C31 = "0", 0), 0)</f>
        <v>0</v>
      </c>
      <c r="AT31" s="347">
        <f>IFERROR(_xlfn.IFS($C31="1",('Inputs-System'!$C$30*'Coincidence Factors'!$B$7*(1+'Inputs-System'!$C$18)*(1+'Inputs-System'!$C$41)*('Inputs-Proposals'!$G$17*'Inputs-Proposals'!$G$19*('Inputs-Proposals'!$G$20))*(VLOOKUP(AT$3,Energy!$A$51:$K$83,5,FALSE))), $C31 = "2",('Inputs-System'!$C$30*'Coincidence Factors'!$B$7)*(1+'Inputs-System'!$C$18)*(1+'Inputs-System'!$C$41)*('Inputs-Proposals'!$G$23*'Inputs-Proposals'!$G$25*('Inputs-Proposals'!$G$26))*(VLOOKUP(AT$3,Energy!$A$51:$K$83,5,FALSE)), $C31= "3", ('Inputs-System'!$C$30*'Coincidence Factors'!$B$7*(1+'Inputs-System'!$C$18)*(1+'Inputs-System'!$C$41)*('Inputs-Proposals'!$G$29*'Inputs-Proposals'!$G$31*('Inputs-Proposals'!$G$32))*(VLOOKUP(AT$3,Energy!$A$51:$K$83,5,FALSE))), $C31= "0", 0), 0)</f>
        <v>0</v>
      </c>
      <c r="AU31" s="44">
        <f>IFERROR(_xlfn.IFS($C31="1",'Inputs-System'!$C$30*'Coincidence Factors'!$B$7*(1+'Inputs-System'!$C$18)*(1+'Inputs-System'!$C$41)*'Inputs-Proposals'!$G$17*'Inputs-Proposals'!$G$19*('Inputs-Proposals'!$G$20)*(VLOOKUP(AT$3,'Embedded Emissions'!$A$47:$B$78,2,FALSE)+VLOOKUP(AT$3,'Embedded Emissions'!$A$129:$B$158,2,FALSE)), $C31 = "2",'Inputs-System'!$C$30*'Coincidence Factors'!$B$7*(1+'Inputs-System'!$C$18)*(1+'Inputs-System'!$C$41)*'Inputs-Proposals'!$G$23*'Inputs-Proposals'!$G$25*('Inputs-Proposals'!$G$20)*(VLOOKUP(AT$3,'Embedded Emissions'!$A$47:$B$78,2,FALSE)+VLOOKUP(AT$3,'Embedded Emissions'!$A$129:$B$158,2,FALSE)), $C31 = "3", 'Inputs-System'!$C$30*'Coincidence Factors'!$B$7*(1+'Inputs-System'!$C$18)*(1+'Inputs-System'!$C$41)*'Inputs-Proposals'!$G$29*'Inputs-Proposals'!$G$31*('Inputs-Proposals'!$G$20)*(VLOOKUP(AT$3,'Embedded Emissions'!$A$47:$B$78,2,FALSE)+VLOOKUP(AT$3,'Embedded Emissions'!$A$129:$B$158,2,FALSE)), $C31 = "0", 0), 0)</f>
        <v>0</v>
      </c>
      <c r="AV31" s="44">
        <f>IFERROR(_xlfn.IFS($C31="1",( 'Inputs-System'!$C$30*'Coincidence Factors'!$B$7*(1+'Inputs-System'!$C$18)*(1+'Inputs-System'!$C$41))*('Inputs-Proposals'!$G$17*'Inputs-Proposals'!$G$19*('Inputs-Proposals'!$G$20))*(VLOOKUP(AT$3,DRIPE!$A$54:$I$82,5,FALSE)+VLOOKUP(AT$3,DRIPE!$A$54:$I$82,9,FALSE))+ ('Inputs-System'!$C$26*'Coincidence Factors'!$B$7*(1+'Inputs-System'!$C$18)*(1+'Inputs-System'!$C$42))*'Inputs-Proposals'!$G$16*VLOOKUP(AT$3,DRIPE!$A$54:$I$82,8,FALSE), $C31 = "2",( 'Inputs-System'!$C$30*'Coincidence Factors'!$B$7*(1+'Inputs-System'!$C$18)*(1+'Inputs-System'!$C$41))*('Inputs-Proposals'!$G$23*'Inputs-Proposals'!$G$25*('Inputs-Proposals'!$G$26))*(VLOOKUP(AT$3,DRIPE!$A$54:$I$82,5,FALSE)+VLOOKUP(AT$3,DRIPE!$A$54:$I$82,12,FALSE))+ ('Inputs-System'!$C$26*'Coincidence Factors'!$B$7*(1+'Inputs-System'!$C$18)*(1+'Inputs-System'!$C$42))*'Inputs-Proposals'!$G$22*VLOOKUP(AT$3,DRIPE!$A$54:$I$82,8,FALSE), $C31= "3", ( 'Inputs-System'!$C$30*'Coincidence Factors'!$B$7*(1+'Inputs-System'!$C$18)*(1+'Inputs-System'!$C$41))*('Inputs-Proposals'!$G$29*'Inputs-Proposals'!$G$31*('Inputs-Proposals'!$G$32))*(VLOOKUP(AT$3,DRIPE!$A$54:$I$82,5,FALSE)+VLOOKUP(AT$3,DRIPE!$A$54:$I$82,12,FALSE))+ ('Inputs-System'!$C$26*'Coincidence Factors'!$B$7*(1+'Inputs-System'!$C$18)*(1+'Inputs-System'!$C$42))*'Inputs-Proposals'!$G$28*VLOOKUP(AT$3,DRIPE!$A$54:$I$82,8,FALSE), $C31 = "0", 0), 0)</f>
        <v>0</v>
      </c>
      <c r="AW31" s="45">
        <f>IFERROR(_xlfn.IFS($C31="1",('Inputs-System'!$C$26*'Coincidence Factors'!$B$7*(1+'Inputs-System'!$C$18))*'Inputs-Proposals'!$G$16*(VLOOKUP(AT$3,Capacity!$A$53:$E$85,4,FALSE)*(1+'Inputs-System'!$C$42)+VLOOKUP(AT$3,Capacity!$A$53:$E$85,5,FALSE)*'Inputs-System'!$C$29*(1+'Inputs-System'!$C$43)), $C31 = "2", ('Inputs-System'!$C$26*'Coincidence Factors'!$B$7*(1+'Inputs-System'!$C$18))*'Inputs-Proposals'!$G$22*(VLOOKUP(AT$3,Capacity!$A$53:$E$85,4,FALSE)*(1+'Inputs-System'!$C$42)+VLOOKUP(AT$3,Capacity!$A$53:$E$85,5,FALSE)*'Inputs-System'!$C$29*(1+'Inputs-System'!$C$43)), $C31 = "3",('Inputs-System'!$C$26*'Coincidence Factors'!$B$7*(1+'Inputs-System'!$C$18))*'Inputs-Proposals'!$G$28*(VLOOKUP(AT$3,Capacity!$A$53:$E$85,4,FALSE)*(1+'Inputs-System'!$C$42)+VLOOKUP(AT$3,Capacity!$A$53:$E$85,5,FALSE)*'Inputs-System'!$C$29*(1+'Inputs-System'!$C$43)), $C31 = "0", 0), 0)</f>
        <v>0</v>
      </c>
      <c r="AX31" s="44">
        <v>0</v>
      </c>
      <c r="AY31" s="342">
        <f>IFERROR(_xlfn.IFS($C31="1", 'Inputs-System'!$C$30*'Coincidence Factors'!$B$7*'Inputs-Proposals'!$G$17*'Inputs-Proposals'!$G$19*(VLOOKUP(AT$3,'Non-Embedded Emissions'!$A$56:$D$90,2,FALSE)+VLOOKUP(AT$3,'Non-Embedded Emissions'!$A$143:$D$174,2,FALSE)+VLOOKUP(AT$3,'Non-Embedded Emissions'!$A$230:$D$259,2,FALSE)), $C31 = "2", 'Inputs-System'!$C$30*'Coincidence Factors'!$B$7*'Inputs-Proposals'!$G$23*'Inputs-Proposals'!$G$25*(VLOOKUP(AT$3,'Non-Embedded Emissions'!$A$56:$D$90,2,FALSE)+VLOOKUP(AT$3,'Non-Embedded Emissions'!$A$143:$D$174,2,FALSE)+VLOOKUP(AT$3,'Non-Embedded Emissions'!$A$230:$D$259,2,FALSE)), $C31 = "3", 'Inputs-System'!$C$30*'Coincidence Factors'!$B$7*'Inputs-Proposals'!$G$29*'Inputs-Proposals'!$G$31*(VLOOKUP(AT$3,'Non-Embedded Emissions'!$A$56:$D$90,2,FALSE)+VLOOKUP(AT$3,'Non-Embedded Emissions'!$A$143:$D$174,2,FALSE)+VLOOKUP(AT$3,'Non-Embedded Emissions'!$A$230:$D$259,2,FALSE)), $C31 = "0", 0), 0)</f>
        <v>0</v>
      </c>
      <c r="AZ31" s="347">
        <f>IFERROR(_xlfn.IFS($C31="1",('Inputs-System'!$C$30*'Coincidence Factors'!$B$7*(1+'Inputs-System'!$C$18)*(1+'Inputs-System'!$C$41)*('Inputs-Proposals'!$G$17*'Inputs-Proposals'!$G$19*('Inputs-Proposals'!$G$20))*(VLOOKUP(AZ$3,Energy!$A$51:$K$83,5,FALSE))), $C31 = "2",('Inputs-System'!$C$30*'Coincidence Factors'!$B$7)*(1+'Inputs-System'!$C$18)*(1+'Inputs-System'!$C$41)*('Inputs-Proposals'!$G$23*'Inputs-Proposals'!$G$25*('Inputs-Proposals'!$G$26))*(VLOOKUP(AZ$3,Energy!$A$51:$K$83,5,FALSE)), $C31= "3", ('Inputs-System'!$C$30*'Coincidence Factors'!$B$7*(1+'Inputs-System'!$C$18)*(1+'Inputs-System'!$C$41)*('Inputs-Proposals'!$G$29*'Inputs-Proposals'!$G$31*('Inputs-Proposals'!$G$32))*(VLOOKUP(AZ$3,Energy!$A$51:$K$83,5,FALSE))), $C31= "0", 0), 0)</f>
        <v>0</v>
      </c>
      <c r="BA31" s="44">
        <f>IFERROR(_xlfn.IFS($C31="1",'Inputs-System'!$C$30*'Coincidence Factors'!$B$7*(1+'Inputs-System'!$C$18)*(1+'Inputs-System'!$C$41)*'Inputs-Proposals'!$G$17*'Inputs-Proposals'!$G$19*('Inputs-Proposals'!$G$20)*(VLOOKUP(AZ$3,'Embedded Emissions'!$A$47:$B$78,2,FALSE)+VLOOKUP(AZ$3,'Embedded Emissions'!$A$129:$B$158,2,FALSE)), $C31 = "2",'Inputs-System'!$C$30*'Coincidence Factors'!$B$7*(1+'Inputs-System'!$C$18)*(1+'Inputs-System'!$C$41)*'Inputs-Proposals'!$G$23*'Inputs-Proposals'!$G$25*('Inputs-Proposals'!$G$20)*(VLOOKUP(AZ$3,'Embedded Emissions'!$A$47:$B$78,2,FALSE)+VLOOKUP(AZ$3,'Embedded Emissions'!$A$129:$B$158,2,FALSE)), $C31 = "3", 'Inputs-System'!$C$30*'Coincidence Factors'!$B$7*(1+'Inputs-System'!$C$18)*(1+'Inputs-System'!$C$41)*'Inputs-Proposals'!$G$29*'Inputs-Proposals'!$G$31*('Inputs-Proposals'!$G$20)*(VLOOKUP(AZ$3,'Embedded Emissions'!$A$47:$B$78,2,FALSE)+VLOOKUP(AZ$3,'Embedded Emissions'!$A$129:$B$158,2,FALSE)), $C31 = "0", 0), 0)</f>
        <v>0</v>
      </c>
      <c r="BB31" s="44">
        <f>IFERROR(_xlfn.IFS($C31="1",( 'Inputs-System'!$C$30*'Coincidence Factors'!$B$7*(1+'Inputs-System'!$C$18)*(1+'Inputs-System'!$C$41))*('Inputs-Proposals'!$G$17*'Inputs-Proposals'!$G$19*('Inputs-Proposals'!$G$20))*(VLOOKUP(AZ$3,DRIPE!$A$54:$I$82,5,FALSE)+VLOOKUP(AZ$3,DRIPE!$A$54:$I$82,9,FALSE))+ ('Inputs-System'!$C$26*'Coincidence Factors'!$B$7*(1+'Inputs-System'!$C$18)*(1+'Inputs-System'!$C$42))*'Inputs-Proposals'!$G$16*VLOOKUP(AZ$3,DRIPE!$A$54:$I$82,8,FALSE), $C31 = "2",( 'Inputs-System'!$C$30*'Coincidence Factors'!$B$7*(1+'Inputs-System'!$C$18)*(1+'Inputs-System'!$C$41))*('Inputs-Proposals'!$G$23*'Inputs-Proposals'!$G$25*('Inputs-Proposals'!$G$26))*(VLOOKUP(AZ$3,DRIPE!$A$54:$I$82,5,FALSE)+VLOOKUP(AZ$3,DRIPE!$A$54:$I$82,12,FALSE))+ ('Inputs-System'!$C$26*'Coincidence Factors'!$B$7*(1+'Inputs-System'!$C$18)*(1+'Inputs-System'!$C$42))*'Inputs-Proposals'!$G$22*VLOOKUP(AZ$3,DRIPE!$A$54:$I$82,8,FALSE), $C31= "3", ( 'Inputs-System'!$C$30*'Coincidence Factors'!$B$7*(1+'Inputs-System'!$C$18)*(1+'Inputs-System'!$C$41))*('Inputs-Proposals'!$G$29*'Inputs-Proposals'!$G$31*('Inputs-Proposals'!$G$32))*(VLOOKUP(AZ$3,DRIPE!$A$54:$I$82,5,FALSE)+VLOOKUP(AZ$3,DRIPE!$A$54:$I$82,12,FALSE))+ ('Inputs-System'!$C$26*'Coincidence Factors'!$B$7*(1+'Inputs-System'!$C$18)*(1+'Inputs-System'!$C$42))*'Inputs-Proposals'!$G$28*VLOOKUP(AZ$3,DRIPE!$A$54:$I$82,8,FALSE), $C31 = "0", 0), 0)</f>
        <v>0</v>
      </c>
      <c r="BC31" s="45">
        <f>IFERROR(_xlfn.IFS($C31="1",('Inputs-System'!$C$26*'Coincidence Factors'!$B$7*(1+'Inputs-System'!$C$18))*'Inputs-Proposals'!$G$16*(VLOOKUP(AZ$3,Capacity!$A$53:$E$85,4,FALSE)*(1+'Inputs-System'!$C$42)+VLOOKUP(AZ$3,Capacity!$A$53:$E$85,5,FALSE)*'Inputs-System'!$C$29*(1+'Inputs-System'!$C$43)), $C31 = "2", ('Inputs-System'!$C$26*'Coincidence Factors'!$B$7*(1+'Inputs-System'!$C$18))*'Inputs-Proposals'!$G$22*(VLOOKUP(AZ$3,Capacity!$A$53:$E$85,4,FALSE)*(1+'Inputs-System'!$C$42)+VLOOKUP(AZ$3,Capacity!$A$53:$E$85,5,FALSE)*'Inputs-System'!$C$29*(1+'Inputs-System'!$C$43)), $C31 = "3",('Inputs-System'!$C$26*'Coincidence Factors'!$B$7*(1+'Inputs-System'!$C$18))*'Inputs-Proposals'!$G$28*(VLOOKUP(AZ$3,Capacity!$A$53:$E$85,4,FALSE)*(1+'Inputs-System'!$C$42)+VLOOKUP(AZ$3,Capacity!$A$53:$E$85,5,FALSE)*'Inputs-System'!$C$29*(1+'Inputs-System'!$C$43)), $C31 = "0", 0), 0)</f>
        <v>0</v>
      </c>
      <c r="BD31" s="44">
        <v>0</v>
      </c>
      <c r="BE31" s="342">
        <f>IFERROR(_xlfn.IFS($C31="1", 'Inputs-System'!$C$30*'Coincidence Factors'!$B$7*'Inputs-Proposals'!$G$17*'Inputs-Proposals'!$G$19*(VLOOKUP(AZ$3,'Non-Embedded Emissions'!$A$56:$D$90,2,FALSE)+VLOOKUP(AZ$3,'Non-Embedded Emissions'!$A$143:$D$174,2,FALSE)+VLOOKUP(AZ$3,'Non-Embedded Emissions'!$A$230:$D$259,2,FALSE)), $C31 = "2", 'Inputs-System'!$C$30*'Coincidence Factors'!$B$7*'Inputs-Proposals'!$G$23*'Inputs-Proposals'!$G$25*(VLOOKUP(AZ$3,'Non-Embedded Emissions'!$A$56:$D$90,2,FALSE)+VLOOKUP(AZ$3,'Non-Embedded Emissions'!$A$143:$D$174,2,FALSE)+VLOOKUP(AZ$3,'Non-Embedded Emissions'!$A$230:$D$259,2,FALSE)), $C31 = "3", 'Inputs-System'!$C$30*'Coincidence Factors'!$B$7*'Inputs-Proposals'!$G$29*'Inputs-Proposals'!$G$31*(VLOOKUP(AZ$3,'Non-Embedded Emissions'!$A$56:$D$90,2,FALSE)+VLOOKUP(AZ$3,'Non-Embedded Emissions'!$A$143:$D$174,2,FALSE)+VLOOKUP(AZ$3,'Non-Embedded Emissions'!$A$230:$D$259,2,FALSE)), $C31 = "0", 0), 0)</f>
        <v>0</v>
      </c>
      <c r="BF31" s="347">
        <f>IFERROR(_xlfn.IFS($C31="1",('Inputs-System'!$C$30*'Coincidence Factors'!$B$7*(1+'Inputs-System'!$C$18)*(1+'Inputs-System'!$C$41)*('Inputs-Proposals'!$G$17*'Inputs-Proposals'!$G$19*('Inputs-Proposals'!$G$20))*(VLOOKUP(BF$3,Energy!$A$51:$K$83,5,FALSE))), $C31 = "2",('Inputs-System'!$C$30*'Coincidence Factors'!$B$7)*(1+'Inputs-System'!$C$18)*(1+'Inputs-System'!$C$41)*('Inputs-Proposals'!$G$23*'Inputs-Proposals'!$G$25*('Inputs-Proposals'!$G$26))*(VLOOKUP(BF$3,Energy!$A$51:$K$83,5,FALSE)), $C31= "3", ('Inputs-System'!$C$30*'Coincidence Factors'!$B$7*(1+'Inputs-System'!$C$18)*(1+'Inputs-System'!$C$41)*('Inputs-Proposals'!$G$29*'Inputs-Proposals'!$G$31*('Inputs-Proposals'!$G$32))*(VLOOKUP(BF$3,Energy!$A$51:$K$83,5,FALSE))), $C31= "0", 0), 0)</f>
        <v>0</v>
      </c>
      <c r="BG31" s="44">
        <f>IFERROR(_xlfn.IFS($C31="1",'Inputs-System'!$C$30*'Coincidence Factors'!$B$7*(1+'Inputs-System'!$C$18)*(1+'Inputs-System'!$C$41)*'Inputs-Proposals'!$G$17*'Inputs-Proposals'!$G$19*('Inputs-Proposals'!$G$20)*(VLOOKUP(BF$3,'Embedded Emissions'!$A$47:$B$78,2,FALSE)+VLOOKUP(BF$3,'Embedded Emissions'!$A$129:$B$158,2,FALSE)), $C31 = "2",'Inputs-System'!$C$30*'Coincidence Factors'!$B$7*(1+'Inputs-System'!$C$18)*(1+'Inputs-System'!$C$41)*'Inputs-Proposals'!$G$23*'Inputs-Proposals'!$G$25*('Inputs-Proposals'!$G$20)*(VLOOKUP(BF$3,'Embedded Emissions'!$A$47:$B$78,2,FALSE)+VLOOKUP(BF$3,'Embedded Emissions'!$A$129:$B$158,2,FALSE)), $C31 = "3", 'Inputs-System'!$C$30*'Coincidence Factors'!$B$7*(1+'Inputs-System'!$C$18)*(1+'Inputs-System'!$C$41)*'Inputs-Proposals'!$G$29*'Inputs-Proposals'!$G$31*('Inputs-Proposals'!$G$20)*(VLOOKUP(BF$3,'Embedded Emissions'!$A$47:$B$78,2,FALSE)+VLOOKUP(BF$3,'Embedded Emissions'!$A$129:$B$158,2,FALSE)), $C31 = "0", 0), 0)</f>
        <v>0</v>
      </c>
      <c r="BH31" s="44">
        <f>IFERROR(_xlfn.IFS($C31="1",( 'Inputs-System'!$C$30*'Coincidence Factors'!$B$7*(1+'Inputs-System'!$C$18)*(1+'Inputs-System'!$C$41))*('Inputs-Proposals'!$G$17*'Inputs-Proposals'!$G$19*('Inputs-Proposals'!$G$20))*(VLOOKUP(BF$3,DRIPE!$A$54:$I$82,5,FALSE)+VLOOKUP(BF$3,DRIPE!$A$54:$I$82,9,FALSE))+ ('Inputs-System'!$C$26*'Coincidence Factors'!$B$7*(1+'Inputs-System'!$C$18)*(1+'Inputs-System'!$C$42))*'Inputs-Proposals'!$G$16*VLOOKUP(BF$3,DRIPE!$A$54:$I$82,8,FALSE), $C31 = "2",( 'Inputs-System'!$C$30*'Coincidence Factors'!$B$7*(1+'Inputs-System'!$C$18)*(1+'Inputs-System'!$C$41))*('Inputs-Proposals'!$G$23*'Inputs-Proposals'!$G$25*('Inputs-Proposals'!$G$26))*(VLOOKUP(BF$3,DRIPE!$A$54:$I$82,5,FALSE)+VLOOKUP(BF$3,DRIPE!$A$54:$I$82,12,FALSE))+ ('Inputs-System'!$C$26*'Coincidence Factors'!$B$7*(1+'Inputs-System'!$C$18)*(1+'Inputs-System'!$C$42))*'Inputs-Proposals'!$G$22*VLOOKUP(BF$3,DRIPE!$A$54:$I$82,8,FALSE), $C31= "3", ( 'Inputs-System'!$C$30*'Coincidence Factors'!$B$7*(1+'Inputs-System'!$C$18)*(1+'Inputs-System'!$C$41))*('Inputs-Proposals'!$G$29*'Inputs-Proposals'!$G$31*('Inputs-Proposals'!$G$32))*(VLOOKUP(BF$3,DRIPE!$A$54:$I$82,5,FALSE)+VLOOKUP(BF$3,DRIPE!$A$54:$I$82,12,FALSE))+ ('Inputs-System'!$C$26*'Coincidence Factors'!$B$7*(1+'Inputs-System'!$C$18)*(1+'Inputs-System'!$C$42))*'Inputs-Proposals'!$G$28*VLOOKUP(BF$3,DRIPE!$A$54:$I$82,8,FALSE), $C31 = "0", 0), 0)</f>
        <v>0</v>
      </c>
      <c r="BI31" s="45">
        <f>IFERROR(_xlfn.IFS($C31="1",('Inputs-System'!$C$26*'Coincidence Factors'!$B$7*(1+'Inputs-System'!$C$18))*'Inputs-Proposals'!$G$16*(VLOOKUP(BF$3,Capacity!$A$53:$E$85,4,FALSE)*(1+'Inputs-System'!$C$42)+VLOOKUP(BF$3,Capacity!$A$53:$E$85,5,FALSE)*'Inputs-System'!$C$29*(1+'Inputs-System'!$C$43)), $C31 = "2", ('Inputs-System'!$C$26*'Coincidence Factors'!$B$7*(1+'Inputs-System'!$C$18))*'Inputs-Proposals'!$G$22*(VLOOKUP(BF$3,Capacity!$A$53:$E$85,4,FALSE)*(1+'Inputs-System'!$C$42)+VLOOKUP(BF$3,Capacity!$A$53:$E$85,5,FALSE)*'Inputs-System'!$C$29*(1+'Inputs-System'!$C$43)), $C31 = "3",('Inputs-System'!$C$26*'Coincidence Factors'!$B$7*(1+'Inputs-System'!$C$18))*'Inputs-Proposals'!$G$28*(VLOOKUP(BF$3,Capacity!$A$53:$E$85,4,FALSE)*(1+'Inputs-System'!$C$42)+VLOOKUP(BF$3,Capacity!$A$53:$E$85,5,FALSE)*'Inputs-System'!$C$29*(1+'Inputs-System'!$C$43)), $C31 = "0", 0), 0)</f>
        <v>0</v>
      </c>
      <c r="BJ31" s="44">
        <v>0</v>
      </c>
      <c r="BK31" s="342">
        <f>IFERROR(_xlfn.IFS($C31="1", 'Inputs-System'!$C$30*'Coincidence Factors'!$B$7*'Inputs-Proposals'!$G$17*'Inputs-Proposals'!$G$19*(VLOOKUP(BF$3,'Non-Embedded Emissions'!$A$56:$D$90,2,FALSE)+VLOOKUP(BF$3,'Non-Embedded Emissions'!$A$143:$D$174,2,FALSE)+VLOOKUP(BF$3,'Non-Embedded Emissions'!$A$230:$D$259,2,FALSE)), $C31 = "2", 'Inputs-System'!$C$30*'Coincidence Factors'!$B$7*'Inputs-Proposals'!$G$23*'Inputs-Proposals'!$G$25*(VLOOKUP(BF$3,'Non-Embedded Emissions'!$A$56:$D$90,2,FALSE)+VLOOKUP(BF$3,'Non-Embedded Emissions'!$A$143:$D$174,2,FALSE)+VLOOKUP(BF$3,'Non-Embedded Emissions'!$A$230:$D$259,2,FALSE)), $C31 = "3", 'Inputs-System'!$C$30*'Coincidence Factors'!$B$7*'Inputs-Proposals'!$G$29*'Inputs-Proposals'!$G$31*(VLOOKUP(BF$3,'Non-Embedded Emissions'!$A$56:$D$90,2,FALSE)+VLOOKUP(BF$3,'Non-Embedded Emissions'!$A$143:$D$174,2,FALSE)+VLOOKUP(BF$3,'Non-Embedded Emissions'!$A$230:$D$259,2,FALSE)), $C31 = "0", 0), 0)</f>
        <v>0</v>
      </c>
      <c r="BL31" s="347">
        <f>IFERROR(_xlfn.IFS($C31="1",('Inputs-System'!$C$30*'Coincidence Factors'!$B$7*(1+'Inputs-System'!$C$18)*(1+'Inputs-System'!$C$41)*('Inputs-Proposals'!$G$17*'Inputs-Proposals'!$G$19*('Inputs-Proposals'!$G$20))*(VLOOKUP(BL$3,Energy!$A$51:$K$83,5,FALSE))), $C31 = "2",('Inputs-System'!$C$30*'Coincidence Factors'!$B$7)*(1+'Inputs-System'!$C$18)*(1+'Inputs-System'!$C$41)*('Inputs-Proposals'!$G$23*'Inputs-Proposals'!$G$25*('Inputs-Proposals'!$G$26))*(VLOOKUP(BL$3,Energy!$A$51:$K$83,5,FALSE)), $C31= "3", ('Inputs-System'!$C$30*'Coincidence Factors'!$B$7*(1+'Inputs-System'!$C$18)*(1+'Inputs-System'!$C$41)*('Inputs-Proposals'!$G$29*'Inputs-Proposals'!$G$31*('Inputs-Proposals'!$G$32))*(VLOOKUP(BL$3,Energy!$A$51:$K$83,5,FALSE))), $C31= "0", 0), 0)</f>
        <v>0</v>
      </c>
      <c r="BM31" s="44">
        <f>IFERROR(_xlfn.IFS($C31="1",'Inputs-System'!$C$30*'Coincidence Factors'!$B$7*(1+'Inputs-System'!$C$18)*(1+'Inputs-System'!$C$41)*'Inputs-Proposals'!$G$17*'Inputs-Proposals'!$G$19*('Inputs-Proposals'!$G$20)*(VLOOKUP(BL$3,'Embedded Emissions'!$A$47:$B$78,2,FALSE)+VLOOKUP(BL$3,'Embedded Emissions'!$A$129:$B$158,2,FALSE)), $C31 = "2",'Inputs-System'!$C$30*'Coincidence Factors'!$B$7*(1+'Inputs-System'!$C$18)*(1+'Inputs-System'!$C$41)*'Inputs-Proposals'!$G$23*'Inputs-Proposals'!$G$25*('Inputs-Proposals'!$G$20)*(VLOOKUP(BL$3,'Embedded Emissions'!$A$47:$B$78,2,FALSE)+VLOOKUP(BL$3,'Embedded Emissions'!$A$129:$B$158,2,FALSE)), $C31 = "3", 'Inputs-System'!$C$30*'Coincidence Factors'!$B$7*(1+'Inputs-System'!$C$18)*(1+'Inputs-System'!$C$41)*'Inputs-Proposals'!$G$29*'Inputs-Proposals'!$G$31*('Inputs-Proposals'!$G$20)*(VLOOKUP(BL$3,'Embedded Emissions'!$A$47:$B$78,2,FALSE)+VLOOKUP(BL$3,'Embedded Emissions'!$A$129:$B$158,2,FALSE)), $C31 = "0", 0), 0)</f>
        <v>0</v>
      </c>
      <c r="BN31" s="44">
        <f>IFERROR(_xlfn.IFS($C31="1",( 'Inputs-System'!$C$30*'Coincidence Factors'!$B$7*(1+'Inputs-System'!$C$18)*(1+'Inputs-System'!$C$41))*('Inputs-Proposals'!$G$17*'Inputs-Proposals'!$G$19*('Inputs-Proposals'!$G$20))*(VLOOKUP(BL$3,DRIPE!$A$54:$I$82,5,FALSE)+VLOOKUP(BL$3,DRIPE!$A$54:$I$82,9,FALSE))+ ('Inputs-System'!$C$26*'Coincidence Factors'!$B$7*(1+'Inputs-System'!$C$18)*(1+'Inputs-System'!$C$42))*'Inputs-Proposals'!$G$16*VLOOKUP(BL$3,DRIPE!$A$54:$I$82,8,FALSE), $C31 = "2",( 'Inputs-System'!$C$30*'Coincidence Factors'!$B$7*(1+'Inputs-System'!$C$18)*(1+'Inputs-System'!$C$41))*('Inputs-Proposals'!$G$23*'Inputs-Proposals'!$G$25*('Inputs-Proposals'!$G$26))*(VLOOKUP(BL$3,DRIPE!$A$54:$I$82,5,FALSE)+VLOOKUP(BL$3,DRIPE!$A$54:$I$82,12,FALSE))+ ('Inputs-System'!$C$26*'Coincidence Factors'!$B$7*(1+'Inputs-System'!$C$18)*(1+'Inputs-System'!$C$42))*'Inputs-Proposals'!$G$22*VLOOKUP(BL$3,DRIPE!$A$54:$I$82,8,FALSE), $C31= "3", ( 'Inputs-System'!$C$30*'Coincidence Factors'!$B$7*(1+'Inputs-System'!$C$18)*(1+'Inputs-System'!$C$41))*('Inputs-Proposals'!$G$29*'Inputs-Proposals'!$G$31*('Inputs-Proposals'!$G$32))*(VLOOKUP(BL$3,DRIPE!$A$54:$I$82,5,FALSE)+VLOOKUP(BL$3,DRIPE!$A$54:$I$82,12,FALSE))+ ('Inputs-System'!$C$26*'Coincidence Factors'!$B$7*(1+'Inputs-System'!$C$18)*(1+'Inputs-System'!$C$42))*'Inputs-Proposals'!$G$28*VLOOKUP(BL$3,DRIPE!$A$54:$I$82,8,FALSE), $C31 = "0", 0), 0)</f>
        <v>0</v>
      </c>
      <c r="BO31" s="45">
        <f>IFERROR(_xlfn.IFS($C31="1",('Inputs-System'!$C$26*'Coincidence Factors'!$B$7*(1+'Inputs-System'!$C$18))*'Inputs-Proposals'!$G$16*(VLOOKUP(BL$3,Capacity!$A$53:$E$85,4,FALSE)*(1+'Inputs-System'!$C$42)+VLOOKUP(BL$3,Capacity!$A$53:$E$85,5,FALSE)*'Inputs-System'!$C$29*(1+'Inputs-System'!$C$43)), $C31 = "2", ('Inputs-System'!$C$26*'Coincidence Factors'!$B$7*(1+'Inputs-System'!$C$18))*'Inputs-Proposals'!$G$22*(VLOOKUP(BL$3,Capacity!$A$53:$E$85,4,FALSE)*(1+'Inputs-System'!$C$42)+VLOOKUP(BL$3,Capacity!$A$53:$E$85,5,FALSE)*'Inputs-System'!$C$29*(1+'Inputs-System'!$C$43)), $C31 = "3",('Inputs-System'!$C$26*'Coincidence Factors'!$B$7*(1+'Inputs-System'!$C$18))*'Inputs-Proposals'!$G$28*(VLOOKUP(BL$3,Capacity!$A$53:$E$85,4,FALSE)*(1+'Inputs-System'!$C$42)+VLOOKUP(BL$3,Capacity!$A$53:$E$85,5,FALSE)*'Inputs-System'!$C$29*(1+'Inputs-System'!$C$43)), $C31 = "0", 0), 0)</f>
        <v>0</v>
      </c>
      <c r="BP31" s="44">
        <v>0</v>
      </c>
      <c r="BQ31" s="342">
        <f>IFERROR(_xlfn.IFS($C31="1", 'Inputs-System'!$C$30*'Coincidence Factors'!$B$7*'Inputs-Proposals'!$G$17*'Inputs-Proposals'!$G$19*(VLOOKUP(BL$3,'Non-Embedded Emissions'!$A$56:$D$90,2,FALSE)+VLOOKUP(BL$3,'Non-Embedded Emissions'!$A$143:$D$174,2,FALSE)+VLOOKUP(BL$3,'Non-Embedded Emissions'!$A$230:$D$259,2,FALSE)), $C31 = "2", 'Inputs-System'!$C$30*'Coincidence Factors'!$B$7*'Inputs-Proposals'!$G$23*'Inputs-Proposals'!$G$25*(VLOOKUP(BL$3,'Non-Embedded Emissions'!$A$56:$D$90,2,FALSE)+VLOOKUP(BL$3,'Non-Embedded Emissions'!$A$143:$D$174,2,FALSE)+VLOOKUP(BL$3,'Non-Embedded Emissions'!$A$230:$D$259,2,FALSE)), $C31 = "3", 'Inputs-System'!$C$30*'Coincidence Factors'!$B$7*'Inputs-Proposals'!$G$29*'Inputs-Proposals'!$G$31*(VLOOKUP(BL$3,'Non-Embedded Emissions'!$A$56:$D$90,2,FALSE)+VLOOKUP(BL$3,'Non-Embedded Emissions'!$A$143:$D$174,2,FALSE)+VLOOKUP(BL$3,'Non-Embedded Emissions'!$A$230:$D$259,2,FALSE)), $C31 = "0", 0), 0)</f>
        <v>0</v>
      </c>
      <c r="BR31" s="347">
        <f>IFERROR(_xlfn.IFS($C31="1",('Inputs-System'!$C$30*'Coincidence Factors'!$B$7*(1+'Inputs-System'!$C$18)*(1+'Inputs-System'!$C$41)*('Inputs-Proposals'!$G$17*'Inputs-Proposals'!$G$19*('Inputs-Proposals'!$G$20))*(VLOOKUP(BR$3,Energy!$A$51:$K$83,5,FALSE))), $C31 = "2",('Inputs-System'!$C$30*'Coincidence Factors'!$B$7)*(1+'Inputs-System'!$C$18)*(1+'Inputs-System'!$C$41)*('Inputs-Proposals'!$G$23*'Inputs-Proposals'!$G$25*('Inputs-Proposals'!$G$26))*(VLOOKUP(BR$3,Energy!$A$51:$K$83,5,FALSE)), $C31= "3", ('Inputs-System'!$C$30*'Coincidence Factors'!$B$7*(1+'Inputs-System'!$C$18)*(1+'Inputs-System'!$C$41)*('Inputs-Proposals'!$G$29*'Inputs-Proposals'!$G$31*('Inputs-Proposals'!$G$32))*(VLOOKUP(BR$3,Energy!$A$51:$K$83,5,FALSE))), $C31= "0", 0), 0)</f>
        <v>0</v>
      </c>
      <c r="BS31" s="44">
        <f>IFERROR(_xlfn.IFS($C31="1",'Inputs-System'!$C$30*'Coincidence Factors'!$B$7*(1+'Inputs-System'!$C$18)*(1+'Inputs-System'!$C$41)*'Inputs-Proposals'!$G$17*'Inputs-Proposals'!$G$19*('Inputs-Proposals'!$G$20)*(VLOOKUP(BR$3,'Embedded Emissions'!$A$47:$B$78,2,FALSE)+VLOOKUP(BR$3,'Embedded Emissions'!$A$129:$B$158,2,FALSE)), $C31 = "2",'Inputs-System'!$C$30*'Coincidence Factors'!$B$7*(1+'Inputs-System'!$C$18)*(1+'Inputs-System'!$C$41)*'Inputs-Proposals'!$G$23*'Inputs-Proposals'!$G$25*('Inputs-Proposals'!$G$20)*(VLOOKUP(BR$3,'Embedded Emissions'!$A$47:$B$78,2,FALSE)+VLOOKUP(BR$3,'Embedded Emissions'!$A$129:$B$158,2,FALSE)), $C31 = "3", 'Inputs-System'!$C$30*'Coincidence Factors'!$B$7*(1+'Inputs-System'!$C$18)*(1+'Inputs-System'!$C$41)*'Inputs-Proposals'!$G$29*'Inputs-Proposals'!$G$31*('Inputs-Proposals'!$G$20)*(VLOOKUP(BR$3,'Embedded Emissions'!$A$47:$B$78,2,FALSE)+VLOOKUP(BR$3,'Embedded Emissions'!$A$129:$B$158,2,FALSE)), $C31 = "0", 0), 0)</f>
        <v>0</v>
      </c>
      <c r="BT31" s="44">
        <f>IFERROR(_xlfn.IFS($C31="1",( 'Inputs-System'!$C$30*'Coincidence Factors'!$B$7*(1+'Inputs-System'!$C$18)*(1+'Inputs-System'!$C$41))*('Inputs-Proposals'!$G$17*'Inputs-Proposals'!$G$19*('Inputs-Proposals'!$G$20))*(VLOOKUP(BR$3,DRIPE!$A$54:$I$82,5,FALSE)+VLOOKUP(BR$3,DRIPE!$A$54:$I$82,9,FALSE))+ ('Inputs-System'!$C$26*'Coincidence Factors'!$B$7*(1+'Inputs-System'!$C$18)*(1+'Inputs-System'!$C$42))*'Inputs-Proposals'!$G$16*VLOOKUP(BR$3,DRIPE!$A$54:$I$82,8,FALSE), $C31 = "2",( 'Inputs-System'!$C$30*'Coincidence Factors'!$B$7*(1+'Inputs-System'!$C$18)*(1+'Inputs-System'!$C$41))*('Inputs-Proposals'!$G$23*'Inputs-Proposals'!$G$25*('Inputs-Proposals'!$G$26))*(VLOOKUP(BR$3,DRIPE!$A$54:$I$82,5,FALSE)+VLOOKUP(BR$3,DRIPE!$A$54:$I$82,12,FALSE))+ ('Inputs-System'!$C$26*'Coincidence Factors'!$B$7*(1+'Inputs-System'!$C$18)*(1+'Inputs-System'!$C$42))*'Inputs-Proposals'!$G$22*VLOOKUP(BR$3,DRIPE!$A$54:$I$82,8,FALSE), $C31= "3", ( 'Inputs-System'!$C$30*'Coincidence Factors'!$B$7*(1+'Inputs-System'!$C$18)*(1+'Inputs-System'!$C$41))*('Inputs-Proposals'!$G$29*'Inputs-Proposals'!$G$31*('Inputs-Proposals'!$G$32))*(VLOOKUP(BR$3,DRIPE!$A$54:$I$82,5,FALSE)+VLOOKUP(BR$3,DRIPE!$A$54:$I$82,12,FALSE))+ ('Inputs-System'!$C$26*'Coincidence Factors'!$B$7*(1+'Inputs-System'!$C$18)*(1+'Inputs-System'!$C$42))*'Inputs-Proposals'!$G$28*VLOOKUP(BR$3,DRIPE!$A$54:$I$82,8,FALSE), $C31 = "0", 0), 0)</f>
        <v>0</v>
      </c>
      <c r="BU31" s="45">
        <f>IFERROR(_xlfn.IFS($C31="1",('Inputs-System'!$C$26*'Coincidence Factors'!$B$7*(1+'Inputs-System'!$C$18))*'Inputs-Proposals'!$G$16*(VLOOKUP(BR$3,Capacity!$A$53:$E$85,4,FALSE)*(1+'Inputs-System'!$C$42)+VLOOKUP(BR$3,Capacity!$A$53:$E$85,5,FALSE)*'Inputs-System'!$C$29*(1+'Inputs-System'!$C$43)), $C31 = "2", ('Inputs-System'!$C$26*'Coincidence Factors'!$B$7*(1+'Inputs-System'!$C$18))*'Inputs-Proposals'!$G$22*(VLOOKUP(BR$3,Capacity!$A$53:$E$85,4,FALSE)*(1+'Inputs-System'!$C$42)+VLOOKUP(BR$3,Capacity!$A$53:$E$85,5,FALSE)*'Inputs-System'!$C$29*(1+'Inputs-System'!$C$43)), $C31 = "3",('Inputs-System'!$C$26*'Coincidence Factors'!$B$7*(1+'Inputs-System'!$C$18))*'Inputs-Proposals'!$G$28*(VLOOKUP(BR$3,Capacity!$A$53:$E$85,4,FALSE)*(1+'Inputs-System'!$C$42)+VLOOKUP(BR$3,Capacity!$A$53:$E$85,5,FALSE)*'Inputs-System'!$C$29*(1+'Inputs-System'!$C$43)), $C31 = "0", 0), 0)</f>
        <v>0</v>
      </c>
      <c r="BV31" s="44">
        <v>0</v>
      </c>
      <c r="BW31" s="342">
        <f>IFERROR(_xlfn.IFS($C31="1", 'Inputs-System'!$C$30*'Coincidence Factors'!$B$7*'Inputs-Proposals'!$G$17*'Inputs-Proposals'!$G$19*(VLOOKUP(BR$3,'Non-Embedded Emissions'!$A$56:$D$90,2,FALSE)+VLOOKUP(BR$3,'Non-Embedded Emissions'!$A$143:$D$174,2,FALSE)+VLOOKUP(BR$3,'Non-Embedded Emissions'!$A$230:$D$259,2,FALSE)), $C31 = "2", 'Inputs-System'!$C$30*'Coincidence Factors'!$B$7*'Inputs-Proposals'!$G$23*'Inputs-Proposals'!$G$25*(VLOOKUP(BR$3,'Non-Embedded Emissions'!$A$56:$D$90,2,FALSE)+VLOOKUP(BR$3,'Non-Embedded Emissions'!$A$143:$D$174,2,FALSE)+VLOOKUP(BR$3,'Non-Embedded Emissions'!$A$230:$D$259,2,FALSE)), $C31 = "3", 'Inputs-System'!$C$30*'Coincidence Factors'!$B$7*'Inputs-Proposals'!$G$29*'Inputs-Proposals'!$G$31*(VLOOKUP(BR$3,'Non-Embedded Emissions'!$A$56:$D$90,2,FALSE)+VLOOKUP(BR$3,'Non-Embedded Emissions'!$A$143:$D$174,2,FALSE)+VLOOKUP(BR$3,'Non-Embedded Emissions'!$A$230:$D$259,2,FALSE)), $C31 = "0", 0), 0)</f>
        <v>0</v>
      </c>
      <c r="BX31" s="347">
        <f>IFERROR(_xlfn.IFS($C31="1",('Inputs-System'!$C$30*'Coincidence Factors'!$B$7*(1+'Inputs-System'!$C$18)*(1+'Inputs-System'!$C$41)*('Inputs-Proposals'!$G$17*'Inputs-Proposals'!$G$19*('Inputs-Proposals'!$G$20))*(VLOOKUP(BX$3,Energy!$A$51:$K$83,5,FALSE))), $C31 = "2",('Inputs-System'!$C$30*'Coincidence Factors'!$B$7)*(1+'Inputs-System'!$C$18)*(1+'Inputs-System'!$C$41)*('Inputs-Proposals'!$G$23*'Inputs-Proposals'!$G$25*('Inputs-Proposals'!$G$26))*(VLOOKUP(BX$3,Energy!$A$51:$K$83,5,FALSE)), $C31= "3", ('Inputs-System'!$C$30*'Coincidence Factors'!$B$7*(1+'Inputs-System'!$C$18)*(1+'Inputs-System'!$C$41)*('Inputs-Proposals'!$G$29*'Inputs-Proposals'!$G$31*('Inputs-Proposals'!$G$32))*(VLOOKUP(BX$3,Energy!$A$51:$K$83,5,FALSE))), $C31= "0", 0), 0)</f>
        <v>0</v>
      </c>
      <c r="BY31" s="44">
        <f>IFERROR(_xlfn.IFS($C31="1",'Inputs-System'!$C$30*'Coincidence Factors'!$B$7*(1+'Inputs-System'!$C$18)*(1+'Inputs-System'!$C$41)*'Inputs-Proposals'!$G$17*'Inputs-Proposals'!$G$19*('Inputs-Proposals'!$G$20)*(VLOOKUP(BX$3,'Embedded Emissions'!$A$47:$B$78,2,FALSE)+VLOOKUP(BX$3,'Embedded Emissions'!$A$129:$B$158,2,FALSE)), $C31 = "2",'Inputs-System'!$C$30*'Coincidence Factors'!$B$7*(1+'Inputs-System'!$C$18)*(1+'Inputs-System'!$C$41)*'Inputs-Proposals'!$G$23*'Inputs-Proposals'!$G$25*('Inputs-Proposals'!$G$20)*(VLOOKUP(BX$3,'Embedded Emissions'!$A$47:$B$78,2,FALSE)+VLOOKUP(BX$3,'Embedded Emissions'!$A$129:$B$158,2,FALSE)), $C31 = "3", 'Inputs-System'!$C$30*'Coincidence Factors'!$B$7*(1+'Inputs-System'!$C$18)*(1+'Inputs-System'!$C$41)*'Inputs-Proposals'!$G$29*'Inputs-Proposals'!$G$31*('Inputs-Proposals'!$G$20)*(VLOOKUP(BX$3,'Embedded Emissions'!$A$47:$B$78,2,FALSE)+VLOOKUP(BX$3,'Embedded Emissions'!$A$129:$B$158,2,FALSE)), $C31 = "0", 0), 0)</f>
        <v>0</v>
      </c>
      <c r="BZ31" s="44">
        <f>IFERROR(_xlfn.IFS($C31="1",( 'Inputs-System'!$C$30*'Coincidence Factors'!$B$7*(1+'Inputs-System'!$C$18)*(1+'Inputs-System'!$C$41))*('Inputs-Proposals'!$G$17*'Inputs-Proposals'!$G$19*('Inputs-Proposals'!$G$20))*(VLOOKUP(BX$3,DRIPE!$A$54:$I$82,5,FALSE)+VLOOKUP(BX$3,DRIPE!$A$54:$I$82,9,FALSE))+ ('Inputs-System'!$C$26*'Coincidence Factors'!$B$7*(1+'Inputs-System'!$C$18)*(1+'Inputs-System'!$C$42))*'Inputs-Proposals'!$G$16*VLOOKUP(BX$3,DRIPE!$A$54:$I$82,8,FALSE), $C31 = "2",( 'Inputs-System'!$C$30*'Coincidence Factors'!$B$7*(1+'Inputs-System'!$C$18)*(1+'Inputs-System'!$C$41))*('Inputs-Proposals'!$G$23*'Inputs-Proposals'!$G$25*('Inputs-Proposals'!$G$26))*(VLOOKUP(BX$3,DRIPE!$A$54:$I$82,5,FALSE)+VLOOKUP(BX$3,DRIPE!$A$54:$I$82,12,FALSE))+ ('Inputs-System'!$C$26*'Coincidence Factors'!$B$7*(1+'Inputs-System'!$C$18)*(1+'Inputs-System'!$C$42))*'Inputs-Proposals'!$G$22*VLOOKUP(BX$3,DRIPE!$A$54:$I$82,8,FALSE), $C31= "3", ( 'Inputs-System'!$C$30*'Coincidence Factors'!$B$7*(1+'Inputs-System'!$C$18)*(1+'Inputs-System'!$C$41))*('Inputs-Proposals'!$G$29*'Inputs-Proposals'!$G$31*('Inputs-Proposals'!$G$32))*(VLOOKUP(BX$3,DRIPE!$A$54:$I$82,5,FALSE)+VLOOKUP(BX$3,DRIPE!$A$54:$I$82,12,FALSE))+ ('Inputs-System'!$C$26*'Coincidence Factors'!$B$7*(1+'Inputs-System'!$C$18)*(1+'Inputs-System'!$C$42))*'Inputs-Proposals'!$G$28*VLOOKUP(BX$3,DRIPE!$A$54:$I$82,8,FALSE), $C31 = "0", 0), 0)</f>
        <v>0</v>
      </c>
      <c r="CA31" s="45">
        <f>IFERROR(_xlfn.IFS($C31="1",('Inputs-System'!$C$26*'Coincidence Factors'!$B$7*(1+'Inputs-System'!$C$18))*'Inputs-Proposals'!$G$16*(VLOOKUP(BX$3,Capacity!$A$53:$E$85,4,FALSE)*(1+'Inputs-System'!$C$42)+VLOOKUP(BX$3,Capacity!$A$53:$E$85,5,FALSE)*'Inputs-System'!$C$29*(1+'Inputs-System'!$C$43)), $C31 = "2", ('Inputs-System'!$C$26*'Coincidence Factors'!$B$7*(1+'Inputs-System'!$C$18))*'Inputs-Proposals'!$G$22*(VLOOKUP(BX$3,Capacity!$A$53:$E$85,4,FALSE)*(1+'Inputs-System'!$C$42)+VLOOKUP(BX$3,Capacity!$A$53:$E$85,5,FALSE)*'Inputs-System'!$C$29*(1+'Inputs-System'!$C$43)), $C31 = "3",('Inputs-System'!$C$26*'Coincidence Factors'!$B$7*(1+'Inputs-System'!$C$18))*'Inputs-Proposals'!$G$28*(VLOOKUP(BX$3,Capacity!$A$53:$E$85,4,FALSE)*(1+'Inputs-System'!$C$42)+VLOOKUP(BX$3,Capacity!$A$53:$E$85,5,FALSE)*'Inputs-System'!$C$29*(1+'Inputs-System'!$C$43)), $C31 = "0", 0), 0)</f>
        <v>0</v>
      </c>
      <c r="CB31" s="44">
        <v>0</v>
      </c>
      <c r="CC31" s="342">
        <f>IFERROR(_xlfn.IFS($C31="1", 'Inputs-System'!$C$30*'Coincidence Factors'!$B$7*'Inputs-Proposals'!$G$17*'Inputs-Proposals'!$G$19*(VLOOKUP(BX$3,'Non-Embedded Emissions'!$A$56:$D$90,2,FALSE)+VLOOKUP(BX$3,'Non-Embedded Emissions'!$A$143:$D$174,2,FALSE)+VLOOKUP(BX$3,'Non-Embedded Emissions'!$A$230:$D$259,2,FALSE)), $C31 = "2", 'Inputs-System'!$C$30*'Coincidence Factors'!$B$7*'Inputs-Proposals'!$G$23*'Inputs-Proposals'!$G$25*(VLOOKUP(BX$3,'Non-Embedded Emissions'!$A$56:$D$90,2,FALSE)+VLOOKUP(BX$3,'Non-Embedded Emissions'!$A$143:$D$174,2,FALSE)+VLOOKUP(BX$3,'Non-Embedded Emissions'!$A$230:$D$259,2,FALSE)), $C31 = "3", 'Inputs-System'!$C$30*'Coincidence Factors'!$B$7*'Inputs-Proposals'!$G$29*'Inputs-Proposals'!$G$31*(VLOOKUP(BX$3,'Non-Embedded Emissions'!$A$56:$D$90,2,FALSE)+VLOOKUP(BX$3,'Non-Embedded Emissions'!$A$143:$D$174,2,FALSE)+VLOOKUP(BX$3,'Non-Embedded Emissions'!$A$230:$D$259,2,FALSE)), $C31 = "0", 0), 0)</f>
        <v>0</v>
      </c>
      <c r="CD31" s="347">
        <f>IFERROR(_xlfn.IFS($C31="1",('Inputs-System'!$C$30*'Coincidence Factors'!$B$7*(1+'Inputs-System'!$C$18)*(1+'Inputs-System'!$C$41)*('Inputs-Proposals'!$G$17*'Inputs-Proposals'!$G$19*('Inputs-Proposals'!$G$20))*(VLOOKUP(CD$3,Energy!$A$51:$K$83,5,FALSE))), $C31 = "2",('Inputs-System'!$C$30*'Coincidence Factors'!$B$7)*(1+'Inputs-System'!$C$18)*(1+'Inputs-System'!$C$41)*('Inputs-Proposals'!$G$23*'Inputs-Proposals'!$G$25*('Inputs-Proposals'!$G$26))*(VLOOKUP(CD$3,Energy!$A$51:$K$83,5,FALSE)), $C31= "3", ('Inputs-System'!$C$30*'Coincidence Factors'!$B$7*(1+'Inputs-System'!$C$18)*(1+'Inputs-System'!$C$41)*('Inputs-Proposals'!$G$29*'Inputs-Proposals'!$G$31*('Inputs-Proposals'!$G$32))*(VLOOKUP(CD$3,Energy!$A$51:$K$83,5,FALSE))), $C31= "0", 0), 0)</f>
        <v>0</v>
      </c>
      <c r="CE31" s="44">
        <f>IFERROR(_xlfn.IFS($C31="1",'Inputs-System'!$C$30*'Coincidence Factors'!$B$7*(1+'Inputs-System'!$C$18)*(1+'Inputs-System'!$C$41)*'Inputs-Proposals'!$G$17*'Inputs-Proposals'!$G$19*('Inputs-Proposals'!$G$20)*(VLOOKUP(CD$3,'Embedded Emissions'!$A$47:$B$78,2,FALSE)+VLOOKUP(CD$3,'Embedded Emissions'!$A$129:$B$158,2,FALSE)), $C31 = "2",'Inputs-System'!$C$30*'Coincidence Factors'!$B$7*(1+'Inputs-System'!$C$18)*(1+'Inputs-System'!$C$41)*'Inputs-Proposals'!$G$23*'Inputs-Proposals'!$G$25*('Inputs-Proposals'!$G$20)*(VLOOKUP(CD$3,'Embedded Emissions'!$A$47:$B$78,2,FALSE)+VLOOKUP(CD$3,'Embedded Emissions'!$A$129:$B$158,2,FALSE)), $C31 = "3", 'Inputs-System'!$C$30*'Coincidence Factors'!$B$7*(1+'Inputs-System'!$C$18)*(1+'Inputs-System'!$C$41)*'Inputs-Proposals'!$G$29*'Inputs-Proposals'!$G$31*('Inputs-Proposals'!$G$20)*(VLOOKUP(CD$3,'Embedded Emissions'!$A$47:$B$78,2,FALSE)+VLOOKUP(CD$3,'Embedded Emissions'!$A$129:$B$158,2,FALSE)), $C31 = "0", 0), 0)</f>
        <v>0</v>
      </c>
      <c r="CF31" s="44">
        <f>IFERROR(_xlfn.IFS($C31="1",( 'Inputs-System'!$C$30*'Coincidence Factors'!$B$7*(1+'Inputs-System'!$C$18)*(1+'Inputs-System'!$C$41))*('Inputs-Proposals'!$G$17*'Inputs-Proposals'!$G$19*('Inputs-Proposals'!$G$20))*(VLOOKUP(CD$3,DRIPE!$A$54:$I$82,5,FALSE)+VLOOKUP(CD$3,DRIPE!$A$54:$I$82,9,FALSE))+ ('Inputs-System'!$C$26*'Coincidence Factors'!$B$7*(1+'Inputs-System'!$C$18)*(1+'Inputs-System'!$C$42))*'Inputs-Proposals'!$G$16*VLOOKUP(CD$3,DRIPE!$A$54:$I$82,8,FALSE), $C31 = "2",( 'Inputs-System'!$C$30*'Coincidence Factors'!$B$7*(1+'Inputs-System'!$C$18)*(1+'Inputs-System'!$C$41))*('Inputs-Proposals'!$G$23*'Inputs-Proposals'!$G$25*('Inputs-Proposals'!$G$26))*(VLOOKUP(CD$3,DRIPE!$A$54:$I$82,5,FALSE)+VLOOKUP(CD$3,DRIPE!$A$54:$I$82,12,FALSE))+ ('Inputs-System'!$C$26*'Coincidence Factors'!$B$7*(1+'Inputs-System'!$C$18)*(1+'Inputs-System'!$C$42))*'Inputs-Proposals'!$G$22*VLOOKUP(CD$3,DRIPE!$A$54:$I$82,8,FALSE), $C31= "3", ( 'Inputs-System'!$C$30*'Coincidence Factors'!$B$7*(1+'Inputs-System'!$C$18)*(1+'Inputs-System'!$C$41))*('Inputs-Proposals'!$G$29*'Inputs-Proposals'!$G$31*('Inputs-Proposals'!$G$32))*(VLOOKUP(CD$3,DRIPE!$A$54:$I$82,5,FALSE)+VLOOKUP(CD$3,DRIPE!$A$54:$I$82,12,FALSE))+ ('Inputs-System'!$C$26*'Coincidence Factors'!$B$7*(1+'Inputs-System'!$C$18)*(1+'Inputs-System'!$C$42))*'Inputs-Proposals'!$G$28*VLOOKUP(CD$3,DRIPE!$A$54:$I$82,8,FALSE), $C31 = "0", 0), 0)</f>
        <v>0</v>
      </c>
      <c r="CG31" s="45">
        <f>IFERROR(_xlfn.IFS($C31="1",('Inputs-System'!$C$26*'Coincidence Factors'!$B$7*(1+'Inputs-System'!$C$18))*'Inputs-Proposals'!$G$16*(VLOOKUP(CD$3,Capacity!$A$53:$E$85,4,FALSE)*(1+'Inputs-System'!$C$42)+VLOOKUP(CD$3,Capacity!$A$53:$E$85,5,FALSE)*'Inputs-System'!$C$29*(1+'Inputs-System'!$C$43)), $C31 = "2", ('Inputs-System'!$C$26*'Coincidence Factors'!$B$7*(1+'Inputs-System'!$C$18))*'Inputs-Proposals'!$G$22*(VLOOKUP(CD$3,Capacity!$A$53:$E$85,4,FALSE)*(1+'Inputs-System'!$C$42)+VLOOKUP(CD$3,Capacity!$A$53:$E$85,5,FALSE)*'Inputs-System'!$C$29*(1+'Inputs-System'!$C$43)), $C31 = "3",('Inputs-System'!$C$26*'Coincidence Factors'!$B$7*(1+'Inputs-System'!$C$18))*'Inputs-Proposals'!$G$28*(VLOOKUP(CD$3,Capacity!$A$53:$E$85,4,FALSE)*(1+'Inputs-System'!$C$42)+VLOOKUP(CD$3,Capacity!$A$53:$E$85,5,FALSE)*'Inputs-System'!$C$29*(1+'Inputs-System'!$C$43)), $C31 = "0", 0), 0)</f>
        <v>0</v>
      </c>
      <c r="CH31" s="44">
        <v>0</v>
      </c>
      <c r="CI31" s="342">
        <f>IFERROR(_xlfn.IFS($C31="1", 'Inputs-System'!$C$30*'Coincidence Factors'!$B$7*'Inputs-Proposals'!$G$17*'Inputs-Proposals'!$G$19*(VLOOKUP(CD$3,'Non-Embedded Emissions'!$A$56:$D$90,2,FALSE)+VLOOKUP(CD$3,'Non-Embedded Emissions'!$A$143:$D$174,2,FALSE)+VLOOKUP(CD$3,'Non-Embedded Emissions'!$A$230:$D$259,2,FALSE)), $C31 = "2", 'Inputs-System'!$C$30*'Coincidence Factors'!$B$7*'Inputs-Proposals'!$G$23*'Inputs-Proposals'!$G$25*(VLOOKUP(CD$3,'Non-Embedded Emissions'!$A$56:$D$90,2,FALSE)+VLOOKUP(CD$3,'Non-Embedded Emissions'!$A$143:$D$174,2,FALSE)+VLOOKUP(CD$3,'Non-Embedded Emissions'!$A$230:$D$259,2,FALSE)), $C31 = "3", 'Inputs-System'!$C$30*'Coincidence Factors'!$B$7*'Inputs-Proposals'!$G$29*'Inputs-Proposals'!$G$31*(VLOOKUP(CD$3,'Non-Embedded Emissions'!$A$56:$D$90,2,FALSE)+VLOOKUP(CD$3,'Non-Embedded Emissions'!$A$143:$D$174,2,FALSE)+VLOOKUP(CD$3,'Non-Embedded Emissions'!$A$230:$D$259,2,FALSE)), $C31 = "0", 0), 0)</f>
        <v>0</v>
      </c>
      <c r="CJ31" s="347">
        <f>IFERROR(_xlfn.IFS($C31="1",('Inputs-System'!$C$30*'Coincidence Factors'!$B$7*(1+'Inputs-System'!$C$18)*(1+'Inputs-System'!$C$41)*('Inputs-Proposals'!$G$17*'Inputs-Proposals'!$G$19*('Inputs-Proposals'!$G$20))*(VLOOKUP(CJ$3,Energy!$A$51:$K$83,5,FALSE))), $C31 = "2",('Inputs-System'!$C$30*'Coincidence Factors'!$B$7)*(1+'Inputs-System'!$C$18)*(1+'Inputs-System'!$C$41)*('Inputs-Proposals'!$G$23*'Inputs-Proposals'!$G$25*('Inputs-Proposals'!$G$26))*(VLOOKUP(CJ$3,Energy!$A$51:$K$83,5,FALSE)), $C31= "3", ('Inputs-System'!$C$30*'Coincidence Factors'!$B$7*(1+'Inputs-System'!$C$18)*(1+'Inputs-System'!$C$41)*('Inputs-Proposals'!$G$29*'Inputs-Proposals'!$G$31*('Inputs-Proposals'!$G$32))*(VLOOKUP(CJ$3,Energy!$A$51:$K$83,5,FALSE))), $C31= "0", 0), 0)</f>
        <v>0</v>
      </c>
      <c r="CK31" s="44">
        <f>IFERROR(_xlfn.IFS($C31="1",'Inputs-System'!$C$30*'Coincidence Factors'!$B$7*(1+'Inputs-System'!$C$18)*(1+'Inputs-System'!$C$41)*'Inputs-Proposals'!$G$17*'Inputs-Proposals'!$G$19*('Inputs-Proposals'!$G$20)*(VLOOKUP(CJ$3,'Embedded Emissions'!$A$47:$B$78,2,FALSE)+VLOOKUP(CJ$3,'Embedded Emissions'!$A$129:$B$158,2,FALSE)), $C31 = "2",'Inputs-System'!$C$30*'Coincidence Factors'!$B$7*(1+'Inputs-System'!$C$18)*(1+'Inputs-System'!$C$41)*'Inputs-Proposals'!$G$23*'Inputs-Proposals'!$G$25*('Inputs-Proposals'!$G$20)*(VLOOKUP(CJ$3,'Embedded Emissions'!$A$47:$B$78,2,FALSE)+VLOOKUP(CJ$3,'Embedded Emissions'!$A$129:$B$158,2,FALSE)), $C31 = "3", 'Inputs-System'!$C$30*'Coincidence Factors'!$B$7*(1+'Inputs-System'!$C$18)*(1+'Inputs-System'!$C$41)*'Inputs-Proposals'!$G$29*'Inputs-Proposals'!$G$31*('Inputs-Proposals'!$G$20)*(VLOOKUP(CJ$3,'Embedded Emissions'!$A$47:$B$78,2,FALSE)+VLOOKUP(CJ$3,'Embedded Emissions'!$A$129:$B$158,2,FALSE)), $C31 = "0", 0), 0)</f>
        <v>0</v>
      </c>
      <c r="CL31" s="44">
        <f>IFERROR(_xlfn.IFS($C31="1",( 'Inputs-System'!$C$30*'Coincidence Factors'!$B$7*(1+'Inputs-System'!$C$18)*(1+'Inputs-System'!$C$41))*('Inputs-Proposals'!$G$17*'Inputs-Proposals'!$G$19*('Inputs-Proposals'!$G$20))*(VLOOKUP(CJ$3,DRIPE!$A$54:$I$82,5,FALSE)+VLOOKUP(CJ$3,DRIPE!$A$54:$I$82,9,FALSE))+ ('Inputs-System'!$C$26*'Coincidence Factors'!$B$7*(1+'Inputs-System'!$C$18)*(1+'Inputs-System'!$C$42))*'Inputs-Proposals'!$G$16*VLOOKUP(CJ$3,DRIPE!$A$54:$I$82,8,FALSE), $C31 = "2",( 'Inputs-System'!$C$30*'Coincidence Factors'!$B$7*(1+'Inputs-System'!$C$18)*(1+'Inputs-System'!$C$41))*('Inputs-Proposals'!$G$23*'Inputs-Proposals'!$G$25*('Inputs-Proposals'!$G$26))*(VLOOKUP(CJ$3,DRIPE!$A$54:$I$82,5,FALSE)+VLOOKUP(CJ$3,DRIPE!$A$54:$I$82,12,FALSE))+ ('Inputs-System'!$C$26*'Coincidence Factors'!$B$7*(1+'Inputs-System'!$C$18)*(1+'Inputs-System'!$C$42))*'Inputs-Proposals'!$G$22*VLOOKUP(CJ$3,DRIPE!$A$54:$I$82,8,FALSE), $C31= "3", ( 'Inputs-System'!$C$30*'Coincidence Factors'!$B$7*(1+'Inputs-System'!$C$18)*(1+'Inputs-System'!$C$41))*('Inputs-Proposals'!$G$29*'Inputs-Proposals'!$G$31*('Inputs-Proposals'!$G$32))*(VLOOKUP(CJ$3,DRIPE!$A$54:$I$82,5,FALSE)+VLOOKUP(CJ$3,DRIPE!$A$54:$I$82,12,FALSE))+ ('Inputs-System'!$C$26*'Coincidence Factors'!$B$7*(1+'Inputs-System'!$C$18)*(1+'Inputs-System'!$C$42))*'Inputs-Proposals'!$G$28*VLOOKUP(CJ$3,DRIPE!$A$54:$I$82,8,FALSE), $C31 = "0", 0), 0)</f>
        <v>0</v>
      </c>
      <c r="CM31" s="45">
        <f>IFERROR(_xlfn.IFS($C31="1",('Inputs-System'!$C$26*'Coincidence Factors'!$B$7*(1+'Inputs-System'!$C$18))*'Inputs-Proposals'!$G$16*(VLOOKUP(CJ$3,Capacity!$A$53:$E$85,4,FALSE)*(1+'Inputs-System'!$C$42)+VLOOKUP(CJ$3,Capacity!$A$53:$E$85,5,FALSE)*'Inputs-System'!$C$29*(1+'Inputs-System'!$C$43)), $C31 = "2", ('Inputs-System'!$C$26*'Coincidence Factors'!$B$7*(1+'Inputs-System'!$C$18))*'Inputs-Proposals'!$G$22*(VLOOKUP(CJ$3,Capacity!$A$53:$E$85,4,FALSE)*(1+'Inputs-System'!$C$42)+VLOOKUP(CJ$3,Capacity!$A$53:$E$85,5,FALSE)*'Inputs-System'!$C$29*(1+'Inputs-System'!$C$43)), $C31 = "3",('Inputs-System'!$C$26*'Coincidence Factors'!$B$7*(1+'Inputs-System'!$C$18))*'Inputs-Proposals'!$G$28*(VLOOKUP(CJ$3,Capacity!$A$53:$E$85,4,FALSE)*(1+'Inputs-System'!$C$42)+VLOOKUP(CJ$3,Capacity!$A$53:$E$85,5,FALSE)*'Inputs-System'!$C$29*(1+'Inputs-System'!$C$43)), $C31 = "0", 0), 0)</f>
        <v>0</v>
      </c>
      <c r="CN31" s="44">
        <v>0</v>
      </c>
      <c r="CO31" s="342">
        <f>IFERROR(_xlfn.IFS($C31="1", 'Inputs-System'!$C$30*'Coincidence Factors'!$B$7*'Inputs-Proposals'!$G$17*'Inputs-Proposals'!$G$19*(VLOOKUP(CJ$3,'Non-Embedded Emissions'!$A$56:$D$90,2,FALSE)+VLOOKUP(CJ$3,'Non-Embedded Emissions'!$A$143:$D$174,2,FALSE)+VLOOKUP(CJ$3,'Non-Embedded Emissions'!$A$230:$D$259,2,FALSE)), $C31 = "2", 'Inputs-System'!$C$30*'Coincidence Factors'!$B$7*'Inputs-Proposals'!$G$23*'Inputs-Proposals'!$G$25*(VLOOKUP(CJ$3,'Non-Embedded Emissions'!$A$56:$D$90,2,FALSE)+VLOOKUP(CJ$3,'Non-Embedded Emissions'!$A$143:$D$174,2,FALSE)+VLOOKUP(CJ$3,'Non-Embedded Emissions'!$A$230:$D$259,2,FALSE)), $C31 = "3", 'Inputs-System'!$C$30*'Coincidence Factors'!$B$7*'Inputs-Proposals'!$G$29*'Inputs-Proposals'!$G$31*(VLOOKUP(CJ$3,'Non-Embedded Emissions'!$A$56:$D$90,2,FALSE)+VLOOKUP(CJ$3,'Non-Embedded Emissions'!$A$143:$D$174,2,FALSE)+VLOOKUP(CJ$3,'Non-Embedded Emissions'!$A$230:$D$259,2,FALSE)), $C31 = "0", 0), 0)</f>
        <v>0</v>
      </c>
      <c r="CP31" s="347">
        <f>IFERROR(_xlfn.IFS($C31="1",('Inputs-System'!$C$30*'Coincidence Factors'!$B$7*(1+'Inputs-System'!$C$18)*(1+'Inputs-System'!$C$41)*('Inputs-Proposals'!$G$17*'Inputs-Proposals'!$G$19*('Inputs-Proposals'!$G$20))*(VLOOKUP(CP$3,Energy!$A$51:$K$83,5,FALSE))), $C31 = "2",('Inputs-System'!$C$30*'Coincidence Factors'!$B$7)*(1+'Inputs-System'!$C$18)*(1+'Inputs-System'!$C$41)*('Inputs-Proposals'!$G$23*'Inputs-Proposals'!$G$25*('Inputs-Proposals'!$G$26))*(VLOOKUP(CP$3,Energy!$A$51:$K$83,5,FALSE)), $C31= "3", ('Inputs-System'!$C$30*'Coincidence Factors'!$B$7*(1+'Inputs-System'!$C$18)*(1+'Inputs-System'!$C$41)*('Inputs-Proposals'!$G$29*'Inputs-Proposals'!$G$31*('Inputs-Proposals'!$G$32))*(VLOOKUP(CP$3,Energy!$A$51:$K$83,5,FALSE))), $C31= "0", 0), 0)</f>
        <v>0</v>
      </c>
      <c r="CQ31" s="44">
        <f>IFERROR(_xlfn.IFS($C31="1",'Inputs-System'!$C$30*'Coincidence Factors'!$B$7*(1+'Inputs-System'!$C$18)*(1+'Inputs-System'!$C$41)*'Inputs-Proposals'!$G$17*'Inputs-Proposals'!$G$19*('Inputs-Proposals'!$G$20)*(VLOOKUP(CP$3,'Embedded Emissions'!$A$47:$B$78,2,FALSE)+VLOOKUP(CP$3,'Embedded Emissions'!$A$129:$B$158,2,FALSE)), $C31 = "2",'Inputs-System'!$C$30*'Coincidence Factors'!$B$7*(1+'Inputs-System'!$C$18)*(1+'Inputs-System'!$C$41)*'Inputs-Proposals'!$G$23*'Inputs-Proposals'!$G$25*('Inputs-Proposals'!$G$20)*(VLOOKUP(CP$3,'Embedded Emissions'!$A$47:$B$78,2,FALSE)+VLOOKUP(CP$3,'Embedded Emissions'!$A$129:$B$158,2,FALSE)), $C31 = "3", 'Inputs-System'!$C$30*'Coincidence Factors'!$B$7*(1+'Inputs-System'!$C$18)*(1+'Inputs-System'!$C$41)*'Inputs-Proposals'!$G$29*'Inputs-Proposals'!$G$31*('Inputs-Proposals'!$G$20)*(VLOOKUP(CP$3,'Embedded Emissions'!$A$47:$B$78,2,FALSE)+VLOOKUP(CP$3,'Embedded Emissions'!$A$129:$B$158,2,FALSE)), $C31 = "0", 0), 0)</f>
        <v>0</v>
      </c>
      <c r="CR31" s="44">
        <f>IFERROR(_xlfn.IFS($C31="1",( 'Inputs-System'!$C$30*'Coincidence Factors'!$B$7*(1+'Inputs-System'!$C$18)*(1+'Inputs-System'!$C$41))*('Inputs-Proposals'!$G$17*'Inputs-Proposals'!$G$19*('Inputs-Proposals'!$G$20))*(VLOOKUP(CP$3,DRIPE!$A$54:$I$82,5,FALSE)+VLOOKUP(CP$3,DRIPE!$A$54:$I$82,9,FALSE))+ ('Inputs-System'!$C$26*'Coincidence Factors'!$B$7*(1+'Inputs-System'!$C$18)*(1+'Inputs-System'!$C$42))*'Inputs-Proposals'!$G$16*VLOOKUP(CP$3,DRIPE!$A$54:$I$82,8,FALSE), $C31 = "2",( 'Inputs-System'!$C$30*'Coincidence Factors'!$B$7*(1+'Inputs-System'!$C$18)*(1+'Inputs-System'!$C$41))*('Inputs-Proposals'!$G$23*'Inputs-Proposals'!$G$25*('Inputs-Proposals'!$G$26))*(VLOOKUP(CP$3,DRIPE!$A$54:$I$82,5,FALSE)+VLOOKUP(CP$3,DRIPE!$A$54:$I$82,12,FALSE))+ ('Inputs-System'!$C$26*'Coincidence Factors'!$B$7*(1+'Inputs-System'!$C$18)*(1+'Inputs-System'!$C$42))*'Inputs-Proposals'!$G$22*VLOOKUP(CP$3,DRIPE!$A$54:$I$82,8,FALSE), $C31= "3", ( 'Inputs-System'!$C$30*'Coincidence Factors'!$B$7*(1+'Inputs-System'!$C$18)*(1+'Inputs-System'!$C$41))*('Inputs-Proposals'!$G$29*'Inputs-Proposals'!$G$31*('Inputs-Proposals'!$G$32))*(VLOOKUP(CP$3,DRIPE!$A$54:$I$82,5,FALSE)+VLOOKUP(CP$3,DRIPE!$A$54:$I$82,12,FALSE))+ ('Inputs-System'!$C$26*'Coincidence Factors'!$B$7*(1+'Inputs-System'!$C$18)*(1+'Inputs-System'!$C$42))*'Inputs-Proposals'!$G$28*VLOOKUP(CP$3,DRIPE!$A$54:$I$82,8,FALSE), $C31 = "0", 0), 0)</f>
        <v>0</v>
      </c>
      <c r="CS31" s="45">
        <f>IFERROR(_xlfn.IFS($C31="1",('Inputs-System'!$C$26*'Coincidence Factors'!$B$7*(1+'Inputs-System'!$C$18))*'Inputs-Proposals'!$G$16*(VLOOKUP(CP$3,Capacity!$A$53:$E$85,4,FALSE)*(1+'Inputs-System'!$C$42)+VLOOKUP(CP$3,Capacity!$A$53:$E$85,5,FALSE)*'Inputs-System'!$C$29*(1+'Inputs-System'!$C$43)), $C31 = "2", ('Inputs-System'!$C$26*'Coincidence Factors'!$B$7*(1+'Inputs-System'!$C$18))*'Inputs-Proposals'!$G$22*(VLOOKUP(CP$3,Capacity!$A$53:$E$85,4,FALSE)*(1+'Inputs-System'!$C$42)+VLOOKUP(CP$3,Capacity!$A$53:$E$85,5,FALSE)*'Inputs-System'!$C$29*(1+'Inputs-System'!$C$43)), $C31 = "3",('Inputs-System'!$C$26*'Coincidence Factors'!$B$7*(1+'Inputs-System'!$C$18))*'Inputs-Proposals'!$G$28*(VLOOKUP(CP$3,Capacity!$A$53:$E$85,4,FALSE)*(1+'Inputs-System'!$C$42)+VLOOKUP(CP$3,Capacity!$A$53:$E$85,5,FALSE)*'Inputs-System'!$C$29*(1+'Inputs-System'!$C$43)), $C31 = "0", 0), 0)</f>
        <v>0</v>
      </c>
      <c r="CT31" s="44">
        <v>0</v>
      </c>
      <c r="CU31" s="342">
        <f>IFERROR(_xlfn.IFS($C31="1", 'Inputs-System'!$C$30*'Coincidence Factors'!$B$7*'Inputs-Proposals'!$G$17*'Inputs-Proposals'!$G$19*(VLOOKUP(CP$3,'Non-Embedded Emissions'!$A$56:$D$90,2,FALSE)+VLOOKUP(CP$3,'Non-Embedded Emissions'!$A$143:$D$174,2,FALSE)+VLOOKUP(CP$3,'Non-Embedded Emissions'!$A$230:$D$259,2,FALSE)), $C31 = "2", 'Inputs-System'!$C$30*'Coincidence Factors'!$B$7*'Inputs-Proposals'!$G$23*'Inputs-Proposals'!$G$25*(VLOOKUP(CP$3,'Non-Embedded Emissions'!$A$56:$D$90,2,FALSE)+VLOOKUP(CP$3,'Non-Embedded Emissions'!$A$143:$D$174,2,FALSE)+VLOOKUP(CP$3,'Non-Embedded Emissions'!$A$230:$D$259,2,FALSE)), $C31 = "3", 'Inputs-System'!$C$30*'Coincidence Factors'!$B$7*'Inputs-Proposals'!$G$29*'Inputs-Proposals'!$G$31*(VLOOKUP(CP$3,'Non-Embedded Emissions'!$A$56:$D$90,2,FALSE)+VLOOKUP(CP$3,'Non-Embedded Emissions'!$A$143:$D$174,2,FALSE)+VLOOKUP(CP$3,'Non-Embedded Emissions'!$A$230:$D$259,2,FALSE)), $C31 = "0", 0), 0)</f>
        <v>0</v>
      </c>
      <c r="CV31" s="347">
        <f>IFERROR(_xlfn.IFS($C31="1",('Inputs-System'!$C$30*'Coincidence Factors'!$B$7*(1+'Inputs-System'!$C$18)*(1+'Inputs-System'!$C$41)*('Inputs-Proposals'!$G$17*'Inputs-Proposals'!$G$19*('Inputs-Proposals'!$G$20))*(VLOOKUP(CV$3,Energy!$A$51:$K$83,5,FALSE))), $C31 = "2",('Inputs-System'!$C$30*'Coincidence Factors'!$B$7)*(1+'Inputs-System'!$C$18)*(1+'Inputs-System'!$C$41)*('Inputs-Proposals'!$G$23*'Inputs-Proposals'!$G$25*('Inputs-Proposals'!$G$26))*(VLOOKUP(CV$3,Energy!$A$51:$K$83,5,FALSE)), $C31= "3", ('Inputs-System'!$C$30*'Coincidence Factors'!$B$7*(1+'Inputs-System'!$C$18)*(1+'Inputs-System'!$C$41)*('Inputs-Proposals'!$G$29*'Inputs-Proposals'!$G$31*('Inputs-Proposals'!$G$32))*(VLOOKUP(CV$3,Energy!$A$51:$K$83,5,FALSE))), $C31= "0", 0), 0)</f>
        <v>0</v>
      </c>
      <c r="CW31" s="44">
        <f>IFERROR(_xlfn.IFS($C31="1",'Inputs-System'!$C$30*'Coincidence Factors'!$B$7*(1+'Inputs-System'!$C$18)*(1+'Inputs-System'!$C$41)*'Inputs-Proposals'!$G$17*'Inputs-Proposals'!$G$19*('Inputs-Proposals'!$G$20)*(VLOOKUP(CV$3,'Embedded Emissions'!$A$47:$B$78,2,FALSE)+VLOOKUP(CV$3,'Embedded Emissions'!$A$129:$B$158,2,FALSE)), $C31 = "2",'Inputs-System'!$C$30*'Coincidence Factors'!$B$7*(1+'Inputs-System'!$C$18)*(1+'Inputs-System'!$C$41)*'Inputs-Proposals'!$G$23*'Inputs-Proposals'!$G$25*('Inputs-Proposals'!$G$20)*(VLOOKUP(CV$3,'Embedded Emissions'!$A$47:$B$78,2,FALSE)+VLOOKUP(CV$3,'Embedded Emissions'!$A$129:$B$158,2,FALSE)), $C31 = "3", 'Inputs-System'!$C$30*'Coincidence Factors'!$B$7*(1+'Inputs-System'!$C$18)*(1+'Inputs-System'!$C$41)*'Inputs-Proposals'!$G$29*'Inputs-Proposals'!$G$31*('Inputs-Proposals'!$G$20)*(VLOOKUP(CV$3,'Embedded Emissions'!$A$47:$B$78,2,FALSE)+VLOOKUP(CV$3,'Embedded Emissions'!$A$129:$B$158,2,FALSE)), $C31 = "0", 0), 0)</f>
        <v>0</v>
      </c>
      <c r="CX31" s="44">
        <f>IFERROR(_xlfn.IFS($C31="1",( 'Inputs-System'!$C$30*'Coincidence Factors'!$B$7*(1+'Inputs-System'!$C$18)*(1+'Inputs-System'!$C$41))*('Inputs-Proposals'!$G$17*'Inputs-Proposals'!$G$19*('Inputs-Proposals'!$G$20))*(VLOOKUP(CV$3,DRIPE!$A$54:$I$82,5,FALSE)+VLOOKUP(CV$3,DRIPE!$A$54:$I$82,9,FALSE))+ ('Inputs-System'!$C$26*'Coincidence Factors'!$B$7*(1+'Inputs-System'!$C$18)*(1+'Inputs-System'!$C$42))*'Inputs-Proposals'!$G$16*VLOOKUP(CV$3,DRIPE!$A$54:$I$82,8,FALSE), $C31 = "2",( 'Inputs-System'!$C$30*'Coincidence Factors'!$B$7*(1+'Inputs-System'!$C$18)*(1+'Inputs-System'!$C$41))*('Inputs-Proposals'!$G$23*'Inputs-Proposals'!$G$25*('Inputs-Proposals'!$G$26))*(VLOOKUP(CV$3,DRIPE!$A$54:$I$82,5,FALSE)+VLOOKUP(CV$3,DRIPE!$A$54:$I$82,12,FALSE))+ ('Inputs-System'!$C$26*'Coincidence Factors'!$B$7*(1+'Inputs-System'!$C$18)*(1+'Inputs-System'!$C$42))*'Inputs-Proposals'!$G$22*VLOOKUP(CV$3,DRIPE!$A$54:$I$82,8,FALSE), $C31= "3", ( 'Inputs-System'!$C$30*'Coincidence Factors'!$B$7*(1+'Inputs-System'!$C$18)*(1+'Inputs-System'!$C$41))*('Inputs-Proposals'!$G$29*'Inputs-Proposals'!$G$31*('Inputs-Proposals'!$G$32))*(VLOOKUP(CV$3,DRIPE!$A$54:$I$82,5,FALSE)+VLOOKUP(CV$3,DRIPE!$A$54:$I$82,12,FALSE))+ ('Inputs-System'!$C$26*'Coincidence Factors'!$B$7*(1+'Inputs-System'!$C$18)*(1+'Inputs-System'!$C$42))*'Inputs-Proposals'!$G$28*VLOOKUP(CV$3,DRIPE!$A$54:$I$82,8,FALSE), $C31 = "0", 0), 0)</f>
        <v>0</v>
      </c>
      <c r="CY31" s="45">
        <f>IFERROR(_xlfn.IFS($C31="1",('Inputs-System'!$C$26*'Coincidence Factors'!$B$7*(1+'Inputs-System'!$C$18))*'Inputs-Proposals'!$G$16*(VLOOKUP(CV$3,Capacity!$A$53:$E$85,4,FALSE)*(1+'Inputs-System'!$C$42)+VLOOKUP(CV$3,Capacity!$A$53:$E$85,5,FALSE)*'Inputs-System'!$C$29*(1+'Inputs-System'!$C$43)), $C31 = "2", ('Inputs-System'!$C$26*'Coincidence Factors'!$B$7*(1+'Inputs-System'!$C$18))*'Inputs-Proposals'!$G$22*(VLOOKUP(CV$3,Capacity!$A$53:$E$85,4,FALSE)*(1+'Inputs-System'!$C$42)+VLOOKUP(CV$3,Capacity!$A$53:$E$85,5,FALSE)*'Inputs-System'!$C$29*(1+'Inputs-System'!$C$43)), $C31 = "3",('Inputs-System'!$C$26*'Coincidence Factors'!$B$7*(1+'Inputs-System'!$C$18))*'Inputs-Proposals'!$G$28*(VLOOKUP(CV$3,Capacity!$A$53:$E$85,4,FALSE)*(1+'Inputs-System'!$C$42)+VLOOKUP(CV$3,Capacity!$A$53:$E$85,5,FALSE)*'Inputs-System'!$C$29*(1+'Inputs-System'!$C$43)), $C31 = "0", 0), 0)</f>
        <v>0</v>
      </c>
      <c r="CZ31" s="44">
        <v>0</v>
      </c>
      <c r="DA31" s="342">
        <f>IFERROR(_xlfn.IFS($C31="1", 'Inputs-System'!$C$30*'Coincidence Factors'!$B$7*'Inputs-Proposals'!$G$17*'Inputs-Proposals'!$G$19*(VLOOKUP(CV$3,'Non-Embedded Emissions'!$A$56:$D$90,2,FALSE)+VLOOKUP(CV$3,'Non-Embedded Emissions'!$A$143:$D$174,2,FALSE)+VLOOKUP(CV$3,'Non-Embedded Emissions'!$A$230:$D$259,2,FALSE)), $C31 = "2", 'Inputs-System'!$C$30*'Coincidence Factors'!$B$7*'Inputs-Proposals'!$G$23*'Inputs-Proposals'!$G$25*(VLOOKUP(CV$3,'Non-Embedded Emissions'!$A$56:$D$90,2,FALSE)+VLOOKUP(CV$3,'Non-Embedded Emissions'!$A$143:$D$174,2,FALSE)+VLOOKUP(CV$3,'Non-Embedded Emissions'!$A$230:$D$259,2,FALSE)), $C31 = "3", 'Inputs-System'!$C$30*'Coincidence Factors'!$B$7*'Inputs-Proposals'!$G$29*'Inputs-Proposals'!$G$31*(VLOOKUP(CV$3,'Non-Embedded Emissions'!$A$56:$D$90,2,FALSE)+VLOOKUP(CV$3,'Non-Embedded Emissions'!$A$143:$D$174,2,FALSE)+VLOOKUP(CV$3,'Non-Embedded Emissions'!$A$230:$D$259,2,FALSE)), $C31 = "0", 0), 0)</f>
        <v>0</v>
      </c>
      <c r="DB31" s="347">
        <f>IFERROR(_xlfn.IFS($C31="1",('Inputs-System'!$C$30*'Coincidence Factors'!$B$7*(1+'Inputs-System'!$C$18)*(1+'Inputs-System'!$C$41)*('Inputs-Proposals'!$G$17*'Inputs-Proposals'!$G$19*('Inputs-Proposals'!$G$20))*(VLOOKUP(DB$3,Energy!$A$51:$K$83,5,FALSE))), $C31 = "2",('Inputs-System'!$C$30*'Coincidence Factors'!$B$7)*(1+'Inputs-System'!$C$18)*(1+'Inputs-System'!$C$41)*('Inputs-Proposals'!$G$23*'Inputs-Proposals'!$G$25*('Inputs-Proposals'!$G$26))*(VLOOKUP(DB$3,Energy!$A$51:$K$83,5,FALSE)), $C31= "3", ('Inputs-System'!$C$30*'Coincidence Factors'!$B$7*(1+'Inputs-System'!$C$18)*(1+'Inputs-System'!$C$41)*('Inputs-Proposals'!$G$29*'Inputs-Proposals'!$G$31*('Inputs-Proposals'!$G$32))*(VLOOKUP(DB$3,Energy!$A$51:$K$83,5,FALSE))), $C31= "0", 0), 0)</f>
        <v>0</v>
      </c>
      <c r="DC31" s="44">
        <f>IFERROR(_xlfn.IFS($C31="1",'Inputs-System'!$C$30*'Coincidence Factors'!$B$7*(1+'Inputs-System'!$C$18)*(1+'Inputs-System'!$C$41)*'Inputs-Proposals'!$G$17*'Inputs-Proposals'!$G$19*('Inputs-Proposals'!$G$20)*(VLOOKUP(DB$3,'Embedded Emissions'!$A$47:$B$78,2,FALSE)+VLOOKUP(DB$3,'Embedded Emissions'!$A$129:$B$158,2,FALSE)), $C31 = "2",'Inputs-System'!$C$30*'Coincidence Factors'!$B$7*(1+'Inputs-System'!$C$18)*(1+'Inputs-System'!$C$41)*'Inputs-Proposals'!$G$23*'Inputs-Proposals'!$G$25*('Inputs-Proposals'!$G$20)*(VLOOKUP(DB$3,'Embedded Emissions'!$A$47:$B$78,2,FALSE)+VLOOKUP(DB$3,'Embedded Emissions'!$A$129:$B$158,2,FALSE)), $C31 = "3", 'Inputs-System'!$C$30*'Coincidence Factors'!$B$7*(1+'Inputs-System'!$C$18)*(1+'Inputs-System'!$C$41)*'Inputs-Proposals'!$G$29*'Inputs-Proposals'!$G$31*('Inputs-Proposals'!$G$20)*(VLOOKUP(DB$3,'Embedded Emissions'!$A$47:$B$78,2,FALSE)+VLOOKUP(DB$3,'Embedded Emissions'!$A$129:$B$158,2,FALSE)), $C31 = "0", 0), 0)</f>
        <v>0</v>
      </c>
      <c r="DD31" s="44">
        <f>IFERROR(_xlfn.IFS($C31="1",( 'Inputs-System'!$C$30*'Coincidence Factors'!$B$7*(1+'Inputs-System'!$C$18)*(1+'Inputs-System'!$C$41))*('Inputs-Proposals'!$G$17*'Inputs-Proposals'!$G$19*('Inputs-Proposals'!$G$20))*(VLOOKUP(DB$3,DRIPE!$A$54:$I$82,5,FALSE)+VLOOKUP(DB$3,DRIPE!$A$54:$I$82,9,FALSE))+ ('Inputs-System'!$C$26*'Coincidence Factors'!$B$7*(1+'Inputs-System'!$C$18)*(1+'Inputs-System'!$C$42))*'Inputs-Proposals'!$G$16*VLOOKUP(DB$3,DRIPE!$A$54:$I$82,8,FALSE), $C31 = "2",( 'Inputs-System'!$C$30*'Coincidence Factors'!$B$7*(1+'Inputs-System'!$C$18)*(1+'Inputs-System'!$C$41))*('Inputs-Proposals'!$G$23*'Inputs-Proposals'!$G$25*('Inputs-Proposals'!$G$26))*(VLOOKUP(DB$3,DRIPE!$A$54:$I$82,5,FALSE)+VLOOKUP(DB$3,DRIPE!$A$54:$I$82,12,FALSE))+ ('Inputs-System'!$C$26*'Coincidence Factors'!$B$7*(1+'Inputs-System'!$C$18)*(1+'Inputs-System'!$C$42))*'Inputs-Proposals'!$G$22*VLOOKUP(DB$3,DRIPE!$A$54:$I$82,8,FALSE), $C31= "3", ( 'Inputs-System'!$C$30*'Coincidence Factors'!$B$7*(1+'Inputs-System'!$C$18)*(1+'Inputs-System'!$C$41))*('Inputs-Proposals'!$G$29*'Inputs-Proposals'!$G$31*('Inputs-Proposals'!$G$32))*(VLOOKUP(DB$3,DRIPE!$A$54:$I$82,5,FALSE)+VLOOKUP(DB$3,DRIPE!$A$54:$I$82,12,FALSE))+ ('Inputs-System'!$C$26*'Coincidence Factors'!$B$7*(1+'Inputs-System'!$C$18)*(1+'Inputs-System'!$C$42))*'Inputs-Proposals'!$G$28*VLOOKUP(DB$3,DRIPE!$A$54:$I$82,8,FALSE), $C31 = "0", 0), 0)</f>
        <v>0</v>
      </c>
      <c r="DE31" s="45">
        <f>IFERROR(_xlfn.IFS($C31="1",('Inputs-System'!$C$26*'Coincidence Factors'!$B$7*(1+'Inputs-System'!$C$18))*'Inputs-Proposals'!$G$16*(VLOOKUP(DB$3,Capacity!$A$53:$E$85,4,FALSE)*(1+'Inputs-System'!$C$42)+VLOOKUP(DB$3,Capacity!$A$53:$E$85,5,FALSE)*'Inputs-System'!$C$29*(1+'Inputs-System'!$C$43)), $C31 = "2", ('Inputs-System'!$C$26*'Coincidence Factors'!$B$7*(1+'Inputs-System'!$C$18))*'Inputs-Proposals'!$G$22*(VLOOKUP(DB$3,Capacity!$A$53:$E$85,4,FALSE)*(1+'Inputs-System'!$C$42)+VLOOKUP(DB$3,Capacity!$A$53:$E$85,5,FALSE)*'Inputs-System'!$C$29*(1+'Inputs-System'!$C$43)), $C31 = "3",('Inputs-System'!$C$26*'Coincidence Factors'!$B$7*(1+'Inputs-System'!$C$18))*'Inputs-Proposals'!$G$28*(VLOOKUP(DB$3,Capacity!$A$53:$E$85,4,FALSE)*(1+'Inputs-System'!$C$42)+VLOOKUP(DB$3,Capacity!$A$53:$E$85,5,FALSE)*'Inputs-System'!$C$29*(1+'Inputs-System'!$C$43)), $C31 = "0", 0), 0)</f>
        <v>0</v>
      </c>
      <c r="DF31" s="44">
        <v>0</v>
      </c>
      <c r="DG31" s="342">
        <f>IFERROR(_xlfn.IFS($C31="1", 'Inputs-System'!$C$30*'Coincidence Factors'!$B$7*'Inputs-Proposals'!$G$17*'Inputs-Proposals'!$G$19*(VLOOKUP(DB$3,'Non-Embedded Emissions'!$A$56:$D$90,2,FALSE)+VLOOKUP(DB$3,'Non-Embedded Emissions'!$A$143:$D$174,2,FALSE)+VLOOKUP(DB$3,'Non-Embedded Emissions'!$A$230:$D$259,2,FALSE)), $C31 = "2", 'Inputs-System'!$C$30*'Coincidence Factors'!$B$7*'Inputs-Proposals'!$G$23*'Inputs-Proposals'!$G$25*(VLOOKUP(DB$3,'Non-Embedded Emissions'!$A$56:$D$90,2,FALSE)+VLOOKUP(DB$3,'Non-Embedded Emissions'!$A$143:$D$174,2,FALSE)+VLOOKUP(DB$3,'Non-Embedded Emissions'!$A$230:$D$259,2,FALSE)), $C31 = "3", 'Inputs-System'!$C$30*'Coincidence Factors'!$B$7*'Inputs-Proposals'!$G$29*'Inputs-Proposals'!$G$31*(VLOOKUP(DB$3,'Non-Embedded Emissions'!$A$56:$D$90,2,FALSE)+VLOOKUP(DB$3,'Non-Embedded Emissions'!$A$143:$D$174,2,FALSE)+VLOOKUP(DB$3,'Non-Embedded Emissions'!$A$230:$D$259,2,FALSE)), $C31 = "0", 0), 0)</f>
        <v>0</v>
      </c>
      <c r="DH31" s="347">
        <f>IFERROR(_xlfn.IFS($C31="1",('Inputs-System'!$C$30*'Coincidence Factors'!$B$7*(1+'Inputs-System'!$C$18)*(1+'Inputs-System'!$C$41)*('Inputs-Proposals'!$G$17*'Inputs-Proposals'!$G$19*('Inputs-Proposals'!$G$20))*(VLOOKUP(DH$3,Energy!$A$51:$K$83,5,FALSE))), $C31 = "2",('Inputs-System'!$C$30*'Coincidence Factors'!$B$7)*(1+'Inputs-System'!$C$18)*(1+'Inputs-System'!$C$41)*('Inputs-Proposals'!$G$23*'Inputs-Proposals'!$G$25*('Inputs-Proposals'!$G$26))*(VLOOKUP(DH$3,Energy!$A$51:$K$83,5,FALSE)), $C31= "3", ('Inputs-System'!$C$30*'Coincidence Factors'!$B$7*(1+'Inputs-System'!$C$18)*(1+'Inputs-System'!$C$41)*('Inputs-Proposals'!$G$29*'Inputs-Proposals'!$G$31*('Inputs-Proposals'!$G$32))*(VLOOKUP(DH$3,Energy!$A$51:$K$83,5,FALSE))), $C31= "0", 0), 0)</f>
        <v>0</v>
      </c>
      <c r="DI31" s="44">
        <f>IFERROR(_xlfn.IFS($C31="1",'Inputs-System'!$C$30*'Coincidence Factors'!$B$7*(1+'Inputs-System'!$C$18)*(1+'Inputs-System'!$C$41)*'Inputs-Proposals'!$G$17*'Inputs-Proposals'!$G$19*('Inputs-Proposals'!$G$20)*(VLOOKUP(DH$3,'Embedded Emissions'!$A$47:$B$78,2,FALSE)+VLOOKUP(DH$3,'Embedded Emissions'!$A$129:$B$158,2,FALSE)), $C31 = "2",'Inputs-System'!$C$30*'Coincidence Factors'!$B$7*(1+'Inputs-System'!$C$18)*(1+'Inputs-System'!$C$41)*'Inputs-Proposals'!$G$23*'Inputs-Proposals'!$G$25*('Inputs-Proposals'!$G$20)*(VLOOKUP(DH$3,'Embedded Emissions'!$A$47:$B$78,2,FALSE)+VLOOKUP(DH$3,'Embedded Emissions'!$A$129:$B$158,2,FALSE)), $C31 = "3", 'Inputs-System'!$C$30*'Coincidence Factors'!$B$7*(1+'Inputs-System'!$C$18)*(1+'Inputs-System'!$C$41)*'Inputs-Proposals'!$G$29*'Inputs-Proposals'!$G$31*('Inputs-Proposals'!$G$20)*(VLOOKUP(DH$3,'Embedded Emissions'!$A$47:$B$78,2,FALSE)+VLOOKUP(DH$3,'Embedded Emissions'!$A$129:$B$158,2,FALSE)), $C31 = "0", 0), 0)</f>
        <v>0</v>
      </c>
      <c r="DJ31" s="44">
        <f>IFERROR(_xlfn.IFS($C31="1",( 'Inputs-System'!$C$30*'Coincidence Factors'!$B$7*(1+'Inputs-System'!$C$18)*(1+'Inputs-System'!$C$41))*('Inputs-Proposals'!$G$17*'Inputs-Proposals'!$G$19*('Inputs-Proposals'!$G$20))*(VLOOKUP(DH$3,DRIPE!$A$54:$I$82,5,FALSE)+VLOOKUP(DH$3,DRIPE!$A$54:$I$82,9,FALSE))+ ('Inputs-System'!$C$26*'Coincidence Factors'!$B$7*(1+'Inputs-System'!$C$18)*(1+'Inputs-System'!$C$42))*'Inputs-Proposals'!$G$16*VLOOKUP(DH$3,DRIPE!$A$54:$I$82,8,FALSE), $C31 = "2",( 'Inputs-System'!$C$30*'Coincidence Factors'!$B$7*(1+'Inputs-System'!$C$18)*(1+'Inputs-System'!$C$41))*('Inputs-Proposals'!$G$23*'Inputs-Proposals'!$G$25*('Inputs-Proposals'!$G$26))*(VLOOKUP(DH$3,DRIPE!$A$54:$I$82,5,FALSE)+VLOOKUP(DH$3,DRIPE!$A$54:$I$82,12,FALSE))+ ('Inputs-System'!$C$26*'Coincidence Factors'!$B$7*(1+'Inputs-System'!$C$18)*(1+'Inputs-System'!$C$42))*'Inputs-Proposals'!$G$22*VLOOKUP(DH$3,DRIPE!$A$54:$I$82,8,FALSE), $C31= "3", ( 'Inputs-System'!$C$30*'Coincidence Factors'!$B$7*(1+'Inputs-System'!$C$18)*(1+'Inputs-System'!$C$41))*('Inputs-Proposals'!$G$29*'Inputs-Proposals'!$G$31*('Inputs-Proposals'!$G$32))*(VLOOKUP(DH$3,DRIPE!$A$54:$I$82,5,FALSE)+VLOOKUP(DH$3,DRIPE!$A$54:$I$82,12,FALSE))+ ('Inputs-System'!$C$26*'Coincidence Factors'!$B$7*(1+'Inputs-System'!$C$18)*(1+'Inputs-System'!$C$42))*'Inputs-Proposals'!$G$28*VLOOKUP(DH$3,DRIPE!$A$54:$I$82,8,FALSE), $C31 = "0", 0), 0)</f>
        <v>0</v>
      </c>
      <c r="DK31" s="45">
        <f>IFERROR(_xlfn.IFS($C31="1",('Inputs-System'!$C$26*'Coincidence Factors'!$B$7*(1+'Inputs-System'!$C$18))*'Inputs-Proposals'!$G$16*(VLOOKUP(DH$3,Capacity!$A$53:$E$85,4,FALSE)*(1+'Inputs-System'!$C$42)+VLOOKUP(DH$3,Capacity!$A$53:$E$85,5,FALSE)*'Inputs-System'!$C$29*(1+'Inputs-System'!$C$43)), $C31 = "2", ('Inputs-System'!$C$26*'Coincidence Factors'!$B$7*(1+'Inputs-System'!$C$18))*'Inputs-Proposals'!$G$22*(VLOOKUP(DH$3,Capacity!$A$53:$E$85,4,FALSE)*(1+'Inputs-System'!$C$42)+VLOOKUP(DH$3,Capacity!$A$53:$E$85,5,FALSE)*'Inputs-System'!$C$29*(1+'Inputs-System'!$C$43)), $C31 = "3",('Inputs-System'!$C$26*'Coincidence Factors'!$B$7*(1+'Inputs-System'!$C$18))*'Inputs-Proposals'!$G$28*(VLOOKUP(DH$3,Capacity!$A$53:$E$85,4,FALSE)*(1+'Inputs-System'!$C$42)+VLOOKUP(DH$3,Capacity!$A$53:$E$85,5,FALSE)*'Inputs-System'!$C$29*(1+'Inputs-System'!$C$43)), $C31 = "0", 0), 0)</f>
        <v>0</v>
      </c>
      <c r="DL31" s="44">
        <v>0</v>
      </c>
      <c r="DM31" s="342">
        <f>IFERROR(_xlfn.IFS($C31="1", 'Inputs-System'!$C$30*'Coincidence Factors'!$B$7*'Inputs-Proposals'!$G$17*'Inputs-Proposals'!$G$19*(VLOOKUP(DH$3,'Non-Embedded Emissions'!$A$56:$D$90,2,FALSE)+VLOOKUP(DH$3,'Non-Embedded Emissions'!$A$143:$D$174,2,FALSE)+VLOOKUP(DH$3,'Non-Embedded Emissions'!$A$230:$D$259,2,FALSE)), $C31 = "2", 'Inputs-System'!$C$30*'Coincidence Factors'!$B$7*'Inputs-Proposals'!$G$23*'Inputs-Proposals'!$G$25*(VLOOKUP(DH$3,'Non-Embedded Emissions'!$A$56:$D$90,2,FALSE)+VLOOKUP(DH$3,'Non-Embedded Emissions'!$A$143:$D$174,2,FALSE)+VLOOKUP(DH$3,'Non-Embedded Emissions'!$A$230:$D$259,2,FALSE)), $C31 = "3", 'Inputs-System'!$C$30*'Coincidence Factors'!$B$7*'Inputs-Proposals'!$G$29*'Inputs-Proposals'!$G$31*(VLOOKUP(DH$3,'Non-Embedded Emissions'!$A$56:$D$90,2,FALSE)+VLOOKUP(DH$3,'Non-Embedded Emissions'!$A$143:$D$174,2,FALSE)+VLOOKUP(DH$3,'Non-Embedded Emissions'!$A$230:$D$259,2,FALSE)), $C31 = "0", 0), 0)</f>
        <v>0</v>
      </c>
      <c r="DN31" s="347">
        <f>IFERROR(_xlfn.IFS($C31="1",('Inputs-System'!$C$30*'Coincidence Factors'!$B$7*(1+'Inputs-System'!$C$18)*(1+'Inputs-System'!$C$41)*('Inputs-Proposals'!$G$17*'Inputs-Proposals'!$G$19*('Inputs-Proposals'!$G$20))*(VLOOKUP(DN$3,Energy!$A$51:$K$83,5,FALSE))), $C31 = "2",('Inputs-System'!$C$30*'Coincidence Factors'!$B$7)*(1+'Inputs-System'!$C$18)*(1+'Inputs-System'!$C$41)*('Inputs-Proposals'!$G$23*'Inputs-Proposals'!$G$25*('Inputs-Proposals'!$G$26))*(VLOOKUP(DN$3,Energy!$A$51:$K$83,5,FALSE)), $C31= "3", ('Inputs-System'!$C$30*'Coincidence Factors'!$B$7*(1+'Inputs-System'!$C$18)*(1+'Inputs-System'!$C$41)*('Inputs-Proposals'!$G$29*'Inputs-Proposals'!$G$31*('Inputs-Proposals'!$G$32))*(VLOOKUP(DN$3,Energy!$A$51:$K$83,5,FALSE))), $C31= "0", 0), 0)</f>
        <v>0</v>
      </c>
      <c r="DO31" s="44">
        <f>IFERROR(_xlfn.IFS($C31="1",'Inputs-System'!$C$30*'Coincidence Factors'!$B$7*(1+'Inputs-System'!$C$18)*(1+'Inputs-System'!$C$41)*'Inputs-Proposals'!$G$17*'Inputs-Proposals'!$G$19*('Inputs-Proposals'!$G$20)*(VLOOKUP(DN$3,'Embedded Emissions'!$A$47:$B$78,2,FALSE)+VLOOKUP(DN$3,'Embedded Emissions'!$A$129:$B$158,2,FALSE)), $C31 = "2",'Inputs-System'!$C$30*'Coincidence Factors'!$B$7*(1+'Inputs-System'!$C$18)*(1+'Inputs-System'!$C$41)*'Inputs-Proposals'!$G$23*'Inputs-Proposals'!$G$25*('Inputs-Proposals'!$G$20)*(VLOOKUP(DN$3,'Embedded Emissions'!$A$47:$B$78,2,FALSE)+VLOOKUP(DN$3,'Embedded Emissions'!$A$129:$B$158,2,FALSE)), $C31 = "3", 'Inputs-System'!$C$30*'Coincidence Factors'!$B$7*(1+'Inputs-System'!$C$18)*(1+'Inputs-System'!$C$41)*'Inputs-Proposals'!$G$29*'Inputs-Proposals'!$G$31*('Inputs-Proposals'!$G$20)*(VLOOKUP(DN$3,'Embedded Emissions'!$A$47:$B$78,2,FALSE)+VLOOKUP(DN$3,'Embedded Emissions'!$A$129:$B$158,2,FALSE)), $C31 = "0", 0), 0)</f>
        <v>0</v>
      </c>
      <c r="DP31" s="44">
        <f>IFERROR(_xlfn.IFS($C31="1",( 'Inputs-System'!$C$30*'Coincidence Factors'!$B$7*(1+'Inputs-System'!$C$18)*(1+'Inputs-System'!$C$41))*('Inputs-Proposals'!$G$17*'Inputs-Proposals'!$G$19*('Inputs-Proposals'!$G$20))*(VLOOKUP(DN$3,DRIPE!$A$54:$I$82,5,FALSE)+VLOOKUP(DN$3,DRIPE!$A$54:$I$82,9,FALSE))+ ('Inputs-System'!$C$26*'Coincidence Factors'!$B$7*(1+'Inputs-System'!$C$18)*(1+'Inputs-System'!$C$42))*'Inputs-Proposals'!$G$16*VLOOKUP(DN$3,DRIPE!$A$54:$I$82,8,FALSE), $C31 = "2",( 'Inputs-System'!$C$30*'Coincidence Factors'!$B$7*(1+'Inputs-System'!$C$18)*(1+'Inputs-System'!$C$41))*('Inputs-Proposals'!$G$23*'Inputs-Proposals'!$G$25*('Inputs-Proposals'!$G$26))*(VLOOKUP(DN$3,DRIPE!$A$54:$I$82,5,FALSE)+VLOOKUP(DN$3,DRIPE!$A$54:$I$82,12,FALSE))+ ('Inputs-System'!$C$26*'Coincidence Factors'!$B$7*(1+'Inputs-System'!$C$18)*(1+'Inputs-System'!$C$42))*'Inputs-Proposals'!$G$22*VLOOKUP(DN$3,DRIPE!$A$54:$I$82,8,FALSE), $C31= "3", ( 'Inputs-System'!$C$30*'Coincidence Factors'!$B$7*(1+'Inputs-System'!$C$18)*(1+'Inputs-System'!$C$41))*('Inputs-Proposals'!$G$29*'Inputs-Proposals'!$G$31*('Inputs-Proposals'!$G$32))*(VLOOKUP(DN$3,DRIPE!$A$54:$I$82,5,FALSE)+VLOOKUP(DN$3,DRIPE!$A$54:$I$82,12,FALSE))+ ('Inputs-System'!$C$26*'Coincidence Factors'!$B$7*(1+'Inputs-System'!$C$18)*(1+'Inputs-System'!$C$42))*'Inputs-Proposals'!$G$28*VLOOKUP(DN$3,DRIPE!$A$54:$I$82,8,FALSE), $C31 = "0", 0), 0)</f>
        <v>0</v>
      </c>
      <c r="DQ31" s="45">
        <f>IFERROR(_xlfn.IFS($C31="1",('Inputs-System'!$C$26*'Coincidence Factors'!$B$7*(1+'Inputs-System'!$C$18))*'Inputs-Proposals'!$G$16*(VLOOKUP(DN$3,Capacity!$A$53:$E$85,4,FALSE)*(1+'Inputs-System'!$C$42)+VLOOKUP(DN$3,Capacity!$A$53:$E$85,5,FALSE)*'Inputs-System'!$C$29*(1+'Inputs-System'!$C$43)), $C31 = "2", ('Inputs-System'!$C$26*'Coincidence Factors'!$B$7*(1+'Inputs-System'!$C$18))*'Inputs-Proposals'!$G$22*(VLOOKUP(DN$3,Capacity!$A$53:$E$85,4,FALSE)*(1+'Inputs-System'!$C$42)+VLOOKUP(DN$3,Capacity!$A$53:$E$85,5,FALSE)*'Inputs-System'!$C$29*(1+'Inputs-System'!$C$43)), $C31 = "3",('Inputs-System'!$C$26*'Coincidence Factors'!$B$7*(1+'Inputs-System'!$C$18))*'Inputs-Proposals'!$G$28*(VLOOKUP(DN$3,Capacity!$A$53:$E$85,4,FALSE)*(1+'Inputs-System'!$C$42)+VLOOKUP(DN$3,Capacity!$A$53:$E$85,5,FALSE)*'Inputs-System'!$C$29*(1+'Inputs-System'!$C$43)), $C31 = "0", 0), 0)</f>
        <v>0</v>
      </c>
      <c r="DR31" s="44">
        <v>0</v>
      </c>
      <c r="DS31" s="342">
        <f>IFERROR(_xlfn.IFS($C31="1", 'Inputs-System'!$C$30*'Coincidence Factors'!$B$7*'Inputs-Proposals'!$G$17*'Inputs-Proposals'!$G$19*(VLOOKUP(DN$3,'Non-Embedded Emissions'!$A$56:$D$90,2,FALSE)+VLOOKUP(DN$3,'Non-Embedded Emissions'!$A$143:$D$174,2,FALSE)+VLOOKUP(DN$3,'Non-Embedded Emissions'!$A$230:$D$259,2,FALSE)), $C31 = "2", 'Inputs-System'!$C$30*'Coincidence Factors'!$B$7*'Inputs-Proposals'!$G$23*'Inputs-Proposals'!$G$25*(VLOOKUP(DN$3,'Non-Embedded Emissions'!$A$56:$D$90,2,FALSE)+VLOOKUP(DN$3,'Non-Embedded Emissions'!$A$143:$D$174,2,FALSE)+VLOOKUP(DN$3,'Non-Embedded Emissions'!$A$230:$D$259,2,FALSE)), $C31 = "3", 'Inputs-System'!$C$30*'Coincidence Factors'!$B$7*'Inputs-Proposals'!$G$29*'Inputs-Proposals'!$G$31*(VLOOKUP(DN$3,'Non-Embedded Emissions'!$A$56:$D$90,2,FALSE)+VLOOKUP(DN$3,'Non-Embedded Emissions'!$A$143:$D$174,2,FALSE)+VLOOKUP(DN$3,'Non-Embedded Emissions'!$A$230:$D$259,2,FALSE)), $C31 = "0", 0), 0)</f>
        <v>0</v>
      </c>
      <c r="DT31" s="347">
        <f>IFERROR(_xlfn.IFS($C31="1",('Inputs-System'!$C$30*'Coincidence Factors'!$B$7*(1+'Inputs-System'!$C$18)*(1+'Inputs-System'!$C$41)*('Inputs-Proposals'!$G$17*'Inputs-Proposals'!$G$19*('Inputs-Proposals'!$G$20))*(VLOOKUP(DT$3,Energy!$A$51:$K$83,5,FALSE))), $C31 = "2",('Inputs-System'!$C$30*'Coincidence Factors'!$B$7)*(1+'Inputs-System'!$C$18)*(1+'Inputs-System'!$C$41)*('Inputs-Proposals'!$G$23*'Inputs-Proposals'!$G$25*('Inputs-Proposals'!$G$26))*(VLOOKUP(DT$3,Energy!$A$51:$K$83,5,FALSE)), $C31= "3", ('Inputs-System'!$C$30*'Coincidence Factors'!$B$7*(1+'Inputs-System'!$C$18)*(1+'Inputs-System'!$C$41)*('Inputs-Proposals'!$G$29*'Inputs-Proposals'!$G$31*('Inputs-Proposals'!$G$32))*(VLOOKUP(DT$3,Energy!$A$51:$K$83,5,FALSE))), $C31= "0", 0), 0)</f>
        <v>0</v>
      </c>
      <c r="DU31" s="44">
        <f>IFERROR(_xlfn.IFS($C31="1",'Inputs-System'!$C$30*'Coincidence Factors'!$B$7*(1+'Inputs-System'!$C$18)*(1+'Inputs-System'!$C$41)*'Inputs-Proposals'!$G$17*'Inputs-Proposals'!$G$19*('Inputs-Proposals'!$G$20)*(VLOOKUP(DT$3,'Embedded Emissions'!$A$47:$B$78,2,FALSE)+VLOOKUP(DT$3,'Embedded Emissions'!$A$129:$B$158,2,FALSE)), $C31 = "2",'Inputs-System'!$C$30*'Coincidence Factors'!$B$7*(1+'Inputs-System'!$C$18)*(1+'Inputs-System'!$C$41)*'Inputs-Proposals'!$G$23*'Inputs-Proposals'!$G$25*('Inputs-Proposals'!$G$20)*(VLOOKUP(DT$3,'Embedded Emissions'!$A$47:$B$78,2,FALSE)+VLOOKUP(DT$3,'Embedded Emissions'!$A$129:$B$158,2,FALSE)), $C31 = "3", 'Inputs-System'!$C$30*'Coincidence Factors'!$B$7*(1+'Inputs-System'!$C$18)*(1+'Inputs-System'!$C$41)*'Inputs-Proposals'!$G$29*'Inputs-Proposals'!$G$31*('Inputs-Proposals'!$G$20)*(VLOOKUP(DT$3,'Embedded Emissions'!$A$47:$B$78,2,FALSE)+VLOOKUP(DT$3,'Embedded Emissions'!$A$129:$B$158,2,FALSE)), $C31 = "0", 0), 0)</f>
        <v>0</v>
      </c>
      <c r="DV31" s="44">
        <f>IFERROR(_xlfn.IFS($C31="1",( 'Inputs-System'!$C$30*'Coincidence Factors'!$B$7*(1+'Inputs-System'!$C$18)*(1+'Inputs-System'!$C$41))*('Inputs-Proposals'!$G$17*'Inputs-Proposals'!$G$19*('Inputs-Proposals'!$G$20))*(VLOOKUP(DT$3,DRIPE!$A$54:$I$82,5,FALSE)+VLOOKUP(DT$3,DRIPE!$A$54:$I$82,9,FALSE))+ ('Inputs-System'!$C$26*'Coincidence Factors'!$B$7*(1+'Inputs-System'!$C$18)*(1+'Inputs-System'!$C$42))*'Inputs-Proposals'!$G$16*VLOOKUP(DT$3,DRIPE!$A$54:$I$82,8,FALSE), $C31 = "2",( 'Inputs-System'!$C$30*'Coincidence Factors'!$B$7*(1+'Inputs-System'!$C$18)*(1+'Inputs-System'!$C$41))*('Inputs-Proposals'!$G$23*'Inputs-Proposals'!$G$25*('Inputs-Proposals'!$G$26))*(VLOOKUP(DT$3,DRIPE!$A$54:$I$82,5,FALSE)+VLOOKUP(DT$3,DRIPE!$A$54:$I$82,12,FALSE))+ ('Inputs-System'!$C$26*'Coincidence Factors'!$B$7*(1+'Inputs-System'!$C$18)*(1+'Inputs-System'!$C$42))*'Inputs-Proposals'!$G$22*VLOOKUP(DT$3,DRIPE!$A$54:$I$82,8,FALSE), $C31= "3", ( 'Inputs-System'!$C$30*'Coincidence Factors'!$B$7*(1+'Inputs-System'!$C$18)*(1+'Inputs-System'!$C$41))*('Inputs-Proposals'!$G$29*'Inputs-Proposals'!$G$31*('Inputs-Proposals'!$G$32))*(VLOOKUP(DT$3,DRIPE!$A$54:$I$82,5,FALSE)+VLOOKUP(DT$3,DRIPE!$A$54:$I$82,12,FALSE))+ ('Inputs-System'!$C$26*'Coincidence Factors'!$B$7*(1+'Inputs-System'!$C$18)*(1+'Inputs-System'!$C$42))*'Inputs-Proposals'!$G$28*VLOOKUP(DT$3,DRIPE!$A$54:$I$82,8,FALSE), $C31 = "0", 0), 0)</f>
        <v>0</v>
      </c>
      <c r="DW31" s="45">
        <f>IFERROR(_xlfn.IFS($C31="1",('Inputs-System'!$C$26*'Coincidence Factors'!$B$7*(1+'Inputs-System'!$C$18))*'Inputs-Proposals'!$G$16*(VLOOKUP(DT$3,Capacity!$A$53:$E$85,4,FALSE)*(1+'Inputs-System'!$C$42)+VLOOKUP(DT$3,Capacity!$A$53:$E$85,5,FALSE)*'Inputs-System'!$C$29*(1+'Inputs-System'!$C$43)), $C31 = "2", ('Inputs-System'!$C$26*'Coincidence Factors'!$B$7*(1+'Inputs-System'!$C$18))*'Inputs-Proposals'!$G$22*(VLOOKUP(DT$3,Capacity!$A$53:$E$85,4,FALSE)*(1+'Inputs-System'!$C$42)+VLOOKUP(DT$3,Capacity!$A$53:$E$85,5,FALSE)*'Inputs-System'!$C$29*(1+'Inputs-System'!$C$43)), $C31 = "3",('Inputs-System'!$C$26*'Coincidence Factors'!$B$7*(1+'Inputs-System'!$C$18))*'Inputs-Proposals'!$G$28*(VLOOKUP(DT$3,Capacity!$A$53:$E$85,4,FALSE)*(1+'Inputs-System'!$C$42)+VLOOKUP(DT$3,Capacity!$A$53:$E$85,5,FALSE)*'Inputs-System'!$C$29*(1+'Inputs-System'!$C$43)), $C31 = "0", 0), 0)</f>
        <v>0</v>
      </c>
      <c r="DX31" s="44">
        <v>0</v>
      </c>
      <c r="DY31" s="342">
        <f>IFERROR(_xlfn.IFS($C31="1", 'Inputs-System'!$C$30*'Coincidence Factors'!$B$7*'Inputs-Proposals'!$G$17*'Inputs-Proposals'!$G$19*(VLOOKUP(DT$3,'Non-Embedded Emissions'!$A$56:$D$90,2,FALSE)+VLOOKUP(DT$3,'Non-Embedded Emissions'!$A$143:$D$174,2,FALSE)+VLOOKUP(DT$3,'Non-Embedded Emissions'!$A$230:$D$259,2,FALSE)), $C31 = "2", 'Inputs-System'!$C$30*'Coincidence Factors'!$B$7*'Inputs-Proposals'!$G$23*'Inputs-Proposals'!$G$25*(VLOOKUP(DT$3,'Non-Embedded Emissions'!$A$56:$D$90,2,FALSE)+VLOOKUP(DT$3,'Non-Embedded Emissions'!$A$143:$D$174,2,FALSE)+VLOOKUP(DT$3,'Non-Embedded Emissions'!$A$230:$D$259,2,FALSE)), $C31 = "3", 'Inputs-System'!$C$30*'Coincidence Factors'!$B$7*'Inputs-Proposals'!$G$29*'Inputs-Proposals'!$G$31*(VLOOKUP(DT$3,'Non-Embedded Emissions'!$A$56:$D$90,2,FALSE)+VLOOKUP(DT$3,'Non-Embedded Emissions'!$A$143:$D$174,2,FALSE)+VLOOKUP(DT$3,'Non-Embedded Emissions'!$A$230:$D$259,2,FALSE)), $C31 = "0", 0), 0)</f>
        <v>0</v>
      </c>
      <c r="DZ31" s="347">
        <f>IFERROR(_xlfn.IFS($C31="1",('Inputs-System'!$C$30*'Coincidence Factors'!$B$7*(1+'Inputs-System'!$C$18)*(1+'Inputs-System'!$C$41)*('Inputs-Proposals'!$G$17*'Inputs-Proposals'!$G$19*('Inputs-Proposals'!$G$20))*(VLOOKUP(DZ$3,Energy!$A$51:$K$83,5,FALSE))), $C31 = "2",('Inputs-System'!$C$30*'Coincidence Factors'!$B$7)*(1+'Inputs-System'!$C$18)*(1+'Inputs-System'!$C$41)*('Inputs-Proposals'!$G$23*'Inputs-Proposals'!$G$25*('Inputs-Proposals'!$G$26))*(VLOOKUP(DZ$3,Energy!$A$51:$K$83,5,FALSE)), $C31= "3", ('Inputs-System'!$C$30*'Coincidence Factors'!$B$7*(1+'Inputs-System'!$C$18)*(1+'Inputs-System'!$C$41)*('Inputs-Proposals'!$G$29*'Inputs-Proposals'!$G$31*('Inputs-Proposals'!$G$32))*(VLOOKUP(DZ$3,Energy!$A$51:$K$83,5,FALSE))), $C31= "0", 0), 0)</f>
        <v>0</v>
      </c>
      <c r="EA31" s="44">
        <f>IFERROR(_xlfn.IFS($C31="1",'Inputs-System'!$C$30*'Coincidence Factors'!$B$7*(1+'Inputs-System'!$C$18)*(1+'Inputs-System'!$C$41)*'Inputs-Proposals'!$G$17*'Inputs-Proposals'!$G$19*('Inputs-Proposals'!$G$20)*(VLOOKUP(DZ$3,'Embedded Emissions'!$A$47:$B$78,2,FALSE)+VLOOKUP(DZ$3,'Embedded Emissions'!$A$129:$B$158,2,FALSE)), $C31 = "2",'Inputs-System'!$C$30*'Coincidence Factors'!$B$7*(1+'Inputs-System'!$C$18)*(1+'Inputs-System'!$C$41)*'Inputs-Proposals'!$G$23*'Inputs-Proposals'!$G$25*('Inputs-Proposals'!$G$20)*(VLOOKUP(DZ$3,'Embedded Emissions'!$A$47:$B$78,2,FALSE)+VLOOKUP(DZ$3,'Embedded Emissions'!$A$129:$B$158,2,FALSE)), $C31 = "3", 'Inputs-System'!$C$30*'Coincidence Factors'!$B$7*(1+'Inputs-System'!$C$18)*(1+'Inputs-System'!$C$41)*'Inputs-Proposals'!$G$29*'Inputs-Proposals'!$G$31*('Inputs-Proposals'!$G$20)*(VLOOKUP(DZ$3,'Embedded Emissions'!$A$47:$B$78,2,FALSE)+VLOOKUP(DZ$3,'Embedded Emissions'!$A$129:$B$158,2,FALSE)), $C31 = "0", 0), 0)</f>
        <v>0</v>
      </c>
      <c r="EB31" s="44">
        <f>IFERROR(_xlfn.IFS($C31="1",( 'Inputs-System'!$C$30*'Coincidence Factors'!$B$7*(1+'Inputs-System'!$C$18)*(1+'Inputs-System'!$C$41))*('Inputs-Proposals'!$G$17*'Inputs-Proposals'!$G$19*('Inputs-Proposals'!$G$20))*(VLOOKUP(DZ$3,DRIPE!$A$54:$I$82,5,FALSE)+VLOOKUP(DZ$3,DRIPE!$A$54:$I$82,9,FALSE))+ ('Inputs-System'!$C$26*'Coincidence Factors'!$B$7*(1+'Inputs-System'!$C$18)*(1+'Inputs-System'!$C$42))*'Inputs-Proposals'!$G$16*VLOOKUP(DZ$3,DRIPE!$A$54:$I$82,8,FALSE), $C31 = "2",( 'Inputs-System'!$C$30*'Coincidence Factors'!$B$7*(1+'Inputs-System'!$C$18)*(1+'Inputs-System'!$C$41))*('Inputs-Proposals'!$G$23*'Inputs-Proposals'!$G$25*('Inputs-Proposals'!$G$26))*(VLOOKUP(DZ$3,DRIPE!$A$54:$I$82,5,FALSE)+VLOOKUP(DZ$3,DRIPE!$A$54:$I$82,12,FALSE))+ ('Inputs-System'!$C$26*'Coincidence Factors'!$B$7*(1+'Inputs-System'!$C$18)*(1+'Inputs-System'!$C$42))*'Inputs-Proposals'!$G$22*VLOOKUP(DZ$3,DRIPE!$A$54:$I$82,8,FALSE), $C31= "3", ( 'Inputs-System'!$C$30*'Coincidence Factors'!$B$7*(1+'Inputs-System'!$C$18)*(1+'Inputs-System'!$C$41))*('Inputs-Proposals'!$G$29*'Inputs-Proposals'!$G$31*('Inputs-Proposals'!$G$32))*(VLOOKUP(DZ$3,DRIPE!$A$54:$I$82,5,FALSE)+VLOOKUP(DZ$3,DRIPE!$A$54:$I$82,12,FALSE))+ ('Inputs-System'!$C$26*'Coincidence Factors'!$B$7*(1+'Inputs-System'!$C$18)*(1+'Inputs-System'!$C$42))*'Inputs-Proposals'!$G$28*VLOOKUP(DZ$3,DRIPE!$A$54:$I$82,8,FALSE), $C31 = "0", 0), 0)</f>
        <v>0</v>
      </c>
      <c r="EC31" s="45">
        <f>IFERROR(_xlfn.IFS($C31="1",('Inputs-System'!$C$26*'Coincidence Factors'!$B$7*(1+'Inputs-System'!$C$18))*'Inputs-Proposals'!$G$16*(VLOOKUP(DZ$3,Capacity!$A$53:$E$85,4,FALSE)*(1+'Inputs-System'!$C$42)+VLOOKUP(DZ$3,Capacity!$A$53:$E$85,5,FALSE)*'Inputs-System'!$C$29*(1+'Inputs-System'!$C$43)), $C31 = "2", ('Inputs-System'!$C$26*'Coincidence Factors'!$B$7*(1+'Inputs-System'!$C$18))*'Inputs-Proposals'!$G$22*(VLOOKUP(DZ$3,Capacity!$A$53:$E$85,4,FALSE)*(1+'Inputs-System'!$C$42)+VLOOKUP(DZ$3,Capacity!$A$53:$E$85,5,FALSE)*'Inputs-System'!$C$29*(1+'Inputs-System'!$C$43)), $C31 = "3",('Inputs-System'!$C$26*'Coincidence Factors'!$B$7*(1+'Inputs-System'!$C$18))*'Inputs-Proposals'!$G$28*(VLOOKUP(DZ$3,Capacity!$A$53:$E$85,4,FALSE)*(1+'Inputs-System'!$C$42)+VLOOKUP(DZ$3,Capacity!$A$53:$E$85,5,FALSE)*'Inputs-System'!$C$29*(1+'Inputs-System'!$C$43)), $C31 = "0", 0), 0)</f>
        <v>0</v>
      </c>
      <c r="ED31" s="44">
        <v>0</v>
      </c>
      <c r="EE31" s="342">
        <f>IFERROR(_xlfn.IFS($C31="1", 'Inputs-System'!$C$30*'Coincidence Factors'!$B$7*'Inputs-Proposals'!$G$17*'Inputs-Proposals'!$G$19*(VLOOKUP(DZ$3,'Non-Embedded Emissions'!$A$56:$D$90,2,FALSE)+VLOOKUP(DZ$3,'Non-Embedded Emissions'!$A$143:$D$174,2,FALSE)+VLOOKUP(DZ$3,'Non-Embedded Emissions'!$A$230:$D$259,2,FALSE)), $C31 = "2", 'Inputs-System'!$C$30*'Coincidence Factors'!$B$7*'Inputs-Proposals'!$G$23*'Inputs-Proposals'!$G$25*(VLOOKUP(DZ$3,'Non-Embedded Emissions'!$A$56:$D$90,2,FALSE)+VLOOKUP(DZ$3,'Non-Embedded Emissions'!$A$143:$D$174,2,FALSE)+VLOOKUP(DZ$3,'Non-Embedded Emissions'!$A$230:$D$259,2,FALSE)), $C31 = "3", 'Inputs-System'!$C$30*'Coincidence Factors'!$B$7*'Inputs-Proposals'!$G$29*'Inputs-Proposals'!$G$31*(VLOOKUP(DZ$3,'Non-Embedded Emissions'!$A$56:$D$90,2,FALSE)+VLOOKUP(DZ$3,'Non-Embedded Emissions'!$A$143:$D$174,2,FALSE)+VLOOKUP(DZ$3,'Non-Embedded Emissions'!$A$230:$D$259,2,FALSE)), $C31 = "0", 0), 0)</f>
        <v>0</v>
      </c>
    </row>
    <row r="32" spans="1:135" x14ac:dyDescent="0.35">
      <c r="A32" s="708"/>
      <c r="B32" s="3" t="s">
        <v>160</v>
      </c>
      <c r="C32" s="3" t="str">
        <f>IFERROR(_xlfn.IFS('Benefits Calc'!B32='Inputs-Proposals'!$G$15, "1", 'Benefits Calc'!B32='Inputs-Proposals'!$G$21, "2", 'Benefits Calc'!B32='Inputs-Proposals'!$G$27, "3"), "0")</f>
        <v>0</v>
      </c>
      <c r="D32" s="323">
        <f t="shared" si="0"/>
        <v>0</v>
      </c>
      <c r="E32" s="44">
        <f t="shared" si="1"/>
        <v>0</v>
      </c>
      <c r="F32" s="44">
        <f t="shared" si="2"/>
        <v>0</v>
      </c>
      <c r="G32" s="44">
        <f t="shared" si="3"/>
        <v>0</v>
      </c>
      <c r="H32" s="44">
        <f t="shared" si="4"/>
        <v>0</v>
      </c>
      <c r="I32" s="44">
        <f t="shared" si="5"/>
        <v>0</v>
      </c>
      <c r="J32" s="323">
        <f>NPV('Inputs-System'!$C$20,P32+V32+AB32+AH32+AN32+AT32+AZ32+BF32+BL32+BR32+BX32+CD32+CJ32+CP32+CV32+DB32+DH32+DN32+DT32+DZ32)</f>
        <v>0</v>
      </c>
      <c r="K32" s="44">
        <f>NPV('Inputs-System'!$C$20,Q32+W32+AC32+AI32+AO32+AU32+BA32+BG32+BM32+BS32+BY32+CE32+CK32+CQ32+CW32+DC32+DI32+DO32+DU32+EA32)</f>
        <v>0</v>
      </c>
      <c r="L32" s="44">
        <f>NPV('Inputs-System'!$C$20,R32+X32+AD32+AJ32+AP32+AV32+BB32+BH32+BN32+BT32+BZ32+CF32+CL32+CR32+CX32+DD32+DJ32+DP32+DV32+EB32)</f>
        <v>0</v>
      </c>
      <c r="M32" s="44">
        <f>NPV('Inputs-System'!$C$20,S32+Y32+AE32+AK32+AQ32+AW32+BC32+BI32+BO32+BU32+CA32+CG32+CM32+CS32+CY32+DE32+DK32+DQ32+DW32+EC32)</f>
        <v>0</v>
      </c>
      <c r="N32" s="44">
        <f>NPV('Inputs-System'!$C$20,T32+Z32+AF32+AL32+AR32+AX32+BD32+BJ32+BP32+BV32+CB32+CH32+CN32+CT32+CZ32+DF32+DL32+DR32+DX32+ED32)</f>
        <v>0</v>
      </c>
      <c r="O32" s="119">
        <f>NPV('Inputs-System'!$C$20,U32+AA32+AG32+AM32+AS32+AY32+BE32+BK32+BQ32+BW32+CC32+CI32+CO32+CU32+DA32+DG32+DM32+DS32+DY32+EE32)</f>
        <v>0</v>
      </c>
      <c r="P32" s="45">
        <f>IFERROR(_xlfn.IFS($C32="1",('Inputs-System'!$C$30*'Coincidence Factors'!$B$8*(1+'Inputs-System'!$C$18)*(1+'Inputs-System'!$C$41)*('Inputs-Proposals'!$G$17*'Inputs-Proposals'!$G$19*('Inputs-Proposals'!$G$20))*(VLOOKUP(P$3,Energy!$A$51:$K$83,5,FALSE))), $C32 = "2",('Inputs-System'!$C$30*'Coincidence Factors'!$B$8)*(1+'Inputs-System'!$C$18)*(1+'Inputs-System'!$C$41)*('Inputs-Proposals'!$G$23*'Inputs-Proposals'!$G$25*('Inputs-Proposals'!$G$26))*(VLOOKUP(P$3,Energy!$A$51:$K$83,5,FALSE)), $C32= "3", ('Inputs-System'!$C$30*'Coincidence Factors'!$B$8*(1+'Inputs-System'!$C$18)*(1+'Inputs-System'!$C$41)*('Inputs-Proposals'!$G$29*'Inputs-Proposals'!$G$31*('Inputs-Proposals'!$G$32))*(VLOOKUP(P$3,Energy!$A$51:$K$83,5,FALSE))), $C32= "0", 0), 0)</f>
        <v>0</v>
      </c>
      <c r="Q32" s="44">
        <f>IFERROR(_xlfn.IFS($C32="1",'Inputs-System'!$C$30*'Coincidence Factors'!$B$8*(1+'Inputs-System'!$C$18)*(1+'Inputs-System'!$C$41)*'Inputs-Proposals'!$G$17*'Inputs-Proposals'!$G$19*('Inputs-Proposals'!$G$20)*(VLOOKUP(P$3,'Embedded Emissions'!$A$47:$B$78,2,FALSE)+VLOOKUP(P$3,'Embedded Emissions'!$A$129:$B$158,2,FALSE)), $C32 = "2", 'Inputs-System'!$C$30*'Coincidence Factors'!$B$8*(1+'Inputs-System'!$C$18)*(1+'Inputs-System'!$C$41)*'Inputs-Proposals'!$G$23*'Inputs-Proposals'!$G$25*('Inputs-Proposals'!$G$20)*(VLOOKUP(P$3,'Embedded Emissions'!$A$47:$B$78,2,FALSE)+VLOOKUP(P$3,'Embedded Emissions'!$A$129:$B$158,2,FALSE)), $C32 = "3",'Inputs-System'!$C$30*'Coincidence Factors'!$B$8*(1+'Inputs-System'!$C$18)*(1+'Inputs-System'!$C$41)*'Inputs-Proposals'!$G$29*'Inputs-Proposals'!$G$31*('Inputs-Proposals'!$G$20)*(VLOOKUP(P$3,'Embedded Emissions'!$A$47:$B$78,2,FALSE)+VLOOKUP(P$3,'Embedded Emissions'!$A$129:$B$158,2,FALSE)), $C32 = "0", 0), 0)</f>
        <v>0</v>
      </c>
      <c r="R32" s="44">
        <f>IFERROR(_xlfn.IFS($C32="1",( 'Inputs-System'!$C$30*'Coincidence Factors'!$B$8*(1+'Inputs-System'!$C$18)*(1+'Inputs-System'!$C$41))*('Inputs-Proposals'!$G$17*'Inputs-Proposals'!$G$19*('Inputs-Proposals'!$G$20))*(VLOOKUP(P$3,DRIPE!$A$54:$I$82,5,FALSE)+VLOOKUP(P$3,DRIPE!$A$54:$I$82,9,FALSE))+ ('Inputs-System'!$C$26*'Coincidence Factors'!$B$8*(1+'Inputs-System'!$C$18)*(1+'Inputs-System'!$C$42))*'Inputs-Proposals'!$G$16*VLOOKUP(P$3,DRIPE!$A$54:$I$82,8,FALSE), $C32 = "2",( 'Inputs-System'!$C$30*'Coincidence Factors'!$B$8*(1+'Inputs-System'!$C$18)*(1+'Inputs-System'!$C$41))*('Inputs-Proposals'!$G$23*'Inputs-Proposals'!$G$25*('Inputs-Proposals'!$G$26))*(VLOOKUP(P$3,DRIPE!$A$54:$I$82,5,FALSE)+VLOOKUP(P$3,DRIPE!$A$54:$I$82,9,FALSE))+  ('Inputs-System'!$C$26*'Coincidence Factors'!$B$8*(1+'Inputs-System'!$C$18)*(1+'Inputs-System'!$C$42))*'Inputs-Proposals'!$G$22*VLOOKUP(P$3,DRIPE!$A$54:$I$82,8,FALSE), $C32= "3", ( 'Inputs-System'!$C$30*'Coincidence Factors'!$B$8*(1+'Inputs-System'!$C$18)*(1+'Inputs-System'!$C$41))*('Inputs-Proposals'!$G$29*'Inputs-Proposals'!$G$31*('Inputs-Proposals'!$G$32))*(VLOOKUP(P$3,DRIPE!$A$54:$I$82,5,FALSE)+VLOOKUP(P$3,DRIPE!$A$54:$I$82,9,FALSE))+  ('Inputs-System'!$C$26*'Coincidence Factors'!$B$8*(1+'Inputs-System'!$C$18)*(1+'Inputs-System'!$C$42))*'Inputs-Proposals'!$G$28*VLOOKUP(P$3,DRIPE!$A$54:$I$82,8,FALSE), $C32 = "0", 0), 0)</f>
        <v>0</v>
      </c>
      <c r="S32" s="45">
        <f>IFERROR(_xlfn.IFS($C32="1",('Inputs-System'!$C$30*'Coincidence Factors'!$B$8*(1+'Inputs-System'!$C$18))*'Inputs-Proposals'!$G$16*(VLOOKUP(P$3,Capacity!$A$53:$E$85,4,FALSE)*(1+'Inputs-System'!$C$42)+VLOOKUP(P$3,Capacity!$A$53:$E$85,5,FALSE)*'Inputs-System'!$C$29*(1+'Inputs-System'!$C$43)), $C32 = "2", ('Inputs-System'!$C$30*'Coincidence Factors'!$B$8*(1+'Inputs-System'!$C$18))*'Inputs-Proposals'!$G$22*(VLOOKUP(P$3,Capacity!$A$53:$E$85,4,FALSE)*(1+'Inputs-System'!$C$42)+VLOOKUP(P$3,Capacity!$A$53:$E$85,5,FALSE)*'Inputs-System'!$C$29*(1+'Inputs-System'!$C$43)), $C32 = "3",('Inputs-System'!$C$30*'Coincidence Factors'!$B$8*(1+'Inputs-System'!$C$18))*'Inputs-Proposals'!$G$28*(VLOOKUP(P$3,Capacity!$A$53:$E$85,4,FALSE)*(1+'Inputs-System'!$C$42)+VLOOKUP(P$3,Capacity!$A$53:$E$85,5,FALSE)*'Inputs-System'!$C$29*(1+'Inputs-System'!$C$43)), $C32 = "0", 0), 0)</f>
        <v>0</v>
      </c>
      <c r="T32" s="44">
        <v>0</v>
      </c>
      <c r="U32" s="44">
        <f>IFERROR(_xlfn.IFS($C32="1", 'Inputs-System'!$C$30*'Coincidence Factors'!$B$8*'Inputs-Proposals'!$G$17*'Inputs-Proposals'!$G$19*(VLOOKUP(P$3,'Non-Embedded Emissions'!$A$56:$D$90,2,FALSE)+VLOOKUP(P$3,'Non-Embedded Emissions'!$A$143:$D$174,2,FALSE)+VLOOKUP(P$3,'Non-Embedded Emissions'!$A$230:$D$259,2,FALSE)), $C32 = "2", 'Inputs-System'!$C$30*'Coincidence Factors'!$B$8*'Inputs-Proposals'!$G$23*'Inputs-Proposals'!$G$25*(VLOOKUP(P$3,'Non-Embedded Emissions'!$A$56:$D$90,2,FALSE)+VLOOKUP(P$3,'Non-Embedded Emissions'!$A$143:$D$174,2,FALSE)+VLOOKUP(P$3,'Non-Embedded Emissions'!$A$230:$D$259,2,FALSE)), $C32 = "3", 'Inputs-System'!$C$30*'Coincidence Factors'!$B$8*'Inputs-Proposals'!$G$29*'Inputs-Proposals'!$G$31*(VLOOKUP(P$3,'Non-Embedded Emissions'!$A$56:$D$90,2,FALSE)+VLOOKUP(P$3,'Non-Embedded Emissions'!$A$143:$D$174,2,FALSE)+VLOOKUP(P$3,'Non-Embedded Emissions'!$A$230:$D$259,2,FALSE)), $C32 = "0", 0), 0)</f>
        <v>0</v>
      </c>
      <c r="V32" s="347">
        <f>IFERROR(_xlfn.IFS($C32="1",('Inputs-System'!$C$30*'Coincidence Factors'!$B$8*(1+'Inputs-System'!$C$18)*(1+'Inputs-System'!$C$41)*('Inputs-Proposals'!$G$17*'Inputs-Proposals'!$G$19*('Inputs-Proposals'!$G$20))*(VLOOKUP(V$3,Energy!$A$51:$K$83,5,FALSE))), $C32 = "2",('Inputs-System'!$C$30*'Coincidence Factors'!$B$8)*(1+'Inputs-System'!$C$18)*(1+'Inputs-System'!$C$41)*('Inputs-Proposals'!$G$23*'Inputs-Proposals'!$G$25*('Inputs-Proposals'!$G$26))*(VLOOKUP(V$3,Energy!$A$51:$K$83,5,FALSE)), $C32= "3", ('Inputs-System'!$C$30*'Coincidence Factors'!$B$8*(1+'Inputs-System'!$C$18)*(1+'Inputs-System'!$C$41)*('Inputs-Proposals'!$G$29*'Inputs-Proposals'!$G$31*('Inputs-Proposals'!$G$32))*(VLOOKUP(V$3,Energy!$A$51:$K$83,5,FALSE))), $C32= "0", 0), 0)</f>
        <v>0</v>
      </c>
      <c r="W32" s="44">
        <f>IFERROR(_xlfn.IFS($C32="1",'Inputs-System'!$C$30*'Coincidence Factors'!$B$8*(1+'Inputs-System'!$C$18)*(1+'Inputs-System'!$C$41)*'Inputs-Proposals'!$G$17*'Inputs-Proposals'!$G$19*('Inputs-Proposals'!$G$20)*(VLOOKUP(V$3,'Embedded Emissions'!$A$47:$B$78,2,FALSE)+VLOOKUP(V$3,'Embedded Emissions'!$A$129:$B$158,2,FALSE)), $C32 = "2", 'Inputs-System'!$C$30*'Coincidence Factors'!$B$8*(1+'Inputs-System'!$C$18)*(1+'Inputs-System'!$C$41)*'Inputs-Proposals'!$G$23*'Inputs-Proposals'!$G$25*('Inputs-Proposals'!$G$20)*(VLOOKUP(V$3,'Embedded Emissions'!$A$47:$B$78,2,FALSE)+VLOOKUP(V$3,'Embedded Emissions'!$A$129:$B$158,2,FALSE)), $C32 = "3",'Inputs-System'!$C$30*'Coincidence Factors'!$B$8*(1+'Inputs-System'!$C$18)*(1+'Inputs-System'!$C$41)*'Inputs-Proposals'!$G$29*'Inputs-Proposals'!$G$31*('Inputs-Proposals'!$G$20)*(VLOOKUP(V$3,'Embedded Emissions'!$A$47:$B$78,2,FALSE)+VLOOKUP(V$3,'Embedded Emissions'!$A$129:$B$158,2,FALSE)), $C32 = "0", 0), 0)</f>
        <v>0</v>
      </c>
      <c r="X32" s="44">
        <f>IFERROR(_xlfn.IFS($C32="1",( 'Inputs-System'!$C$30*'Coincidence Factors'!$B$8*(1+'Inputs-System'!$C$18)*(1+'Inputs-System'!$C$41))*('Inputs-Proposals'!$G$17*'Inputs-Proposals'!$G$19*('Inputs-Proposals'!$G$20))*(VLOOKUP(V$3,DRIPE!$A$54:$I$82,5,FALSE)+VLOOKUP(V$3,DRIPE!$A$54:$I$82,9,FALSE))+ ('Inputs-System'!$C$26*'Coincidence Factors'!$B$8*(1+'Inputs-System'!$C$18)*(1+'Inputs-System'!$C$42))*'Inputs-Proposals'!$G$16*VLOOKUP(V$3,DRIPE!$A$54:$I$82,8,FALSE), $C32 = "2",( 'Inputs-System'!$C$30*'Coincidence Factors'!$B$8*(1+'Inputs-System'!$C$18)*(1+'Inputs-System'!$C$41))*('Inputs-Proposals'!$G$23*'Inputs-Proposals'!$G$25*('Inputs-Proposals'!$G$26))*(VLOOKUP(V$3,DRIPE!$A$54:$I$82,5,FALSE)+VLOOKUP(V$3,DRIPE!$A$54:$I$82,9,FALSE))+  ('Inputs-System'!$C$26*'Coincidence Factors'!$B$8*(1+'Inputs-System'!$C$18)*(1+'Inputs-System'!$C$42))*'Inputs-Proposals'!$G$22*VLOOKUP(V$3,DRIPE!$A$54:$I$82,8,FALSE), $C32= "3", ( 'Inputs-System'!$C$30*'Coincidence Factors'!$B$8*(1+'Inputs-System'!$C$18)*(1+'Inputs-System'!$C$41))*('Inputs-Proposals'!$G$29*'Inputs-Proposals'!$G$31*('Inputs-Proposals'!$G$32))*(VLOOKUP(V$3,DRIPE!$A$54:$I$82,5,FALSE)+VLOOKUP(V$3,DRIPE!$A$54:$I$82,9,FALSE))+  ('Inputs-System'!$C$26*'Coincidence Factors'!$B$8*(1+'Inputs-System'!$C$18)*(1+'Inputs-System'!$C$42))*'Inputs-Proposals'!$G$28*VLOOKUP(V$3,DRIPE!$A$54:$I$82,8,FALSE), $C32 = "0", 0), 0)</f>
        <v>0</v>
      </c>
      <c r="Y32" s="45">
        <f>IFERROR(_xlfn.IFS($C32="1",('Inputs-System'!$C$30*'Coincidence Factors'!$B$8*(1+'Inputs-System'!$C$18))*'Inputs-Proposals'!$G$16*(VLOOKUP(V$3,Capacity!$A$53:$E$85,4,FALSE)*(1+'Inputs-System'!$C$42)+VLOOKUP(V$3,Capacity!$A$53:$E$85,5,FALSE)*'Inputs-System'!$C$29*(1+'Inputs-System'!$C$43)), $C32 = "2", ('Inputs-System'!$C$30*'Coincidence Factors'!$B$8*(1+'Inputs-System'!$C$18))*'Inputs-Proposals'!$G$22*(VLOOKUP(V$3,Capacity!$A$53:$E$85,4,FALSE)*(1+'Inputs-System'!$C$42)+VLOOKUP(V$3,Capacity!$A$53:$E$85,5,FALSE)*'Inputs-System'!$C$29*(1+'Inputs-System'!$C$43)), $C32 = "3",('Inputs-System'!$C$30*'Coincidence Factors'!$B$8*(1+'Inputs-System'!$C$18))*'Inputs-Proposals'!$G$28*(VLOOKUP(V$3,Capacity!$A$53:$E$85,4,FALSE)*(1+'Inputs-System'!$C$42)+VLOOKUP(V$3,Capacity!$A$53:$E$85,5,FALSE)*'Inputs-System'!$C$29*(1+'Inputs-System'!$C$43)), $C32 = "0", 0), 0)</f>
        <v>0</v>
      </c>
      <c r="Z32" s="44">
        <v>0</v>
      </c>
      <c r="AA32" s="342">
        <f>IFERROR(_xlfn.IFS($C32="1", 'Inputs-System'!$C$30*'Coincidence Factors'!$B$8*'Inputs-Proposals'!$G$17*'Inputs-Proposals'!$G$19*(VLOOKUP(V$3,'Non-Embedded Emissions'!$A$56:$D$90,2,FALSE)+VLOOKUP(V$3,'Non-Embedded Emissions'!$A$143:$D$174,2,FALSE)+VLOOKUP(V$3,'Non-Embedded Emissions'!$A$230:$D$259,2,FALSE)), $C32 = "2", 'Inputs-System'!$C$30*'Coincidence Factors'!$B$8*'Inputs-Proposals'!$G$23*'Inputs-Proposals'!$G$25*(VLOOKUP(V$3,'Non-Embedded Emissions'!$A$56:$D$90,2,FALSE)+VLOOKUP(V$3,'Non-Embedded Emissions'!$A$143:$D$174,2,FALSE)+VLOOKUP(V$3,'Non-Embedded Emissions'!$A$230:$D$259,2,FALSE)), $C32 = "3", 'Inputs-System'!$C$30*'Coincidence Factors'!$B$8*'Inputs-Proposals'!$G$29*'Inputs-Proposals'!$G$31*(VLOOKUP(V$3,'Non-Embedded Emissions'!$A$56:$D$90,2,FALSE)+VLOOKUP(V$3,'Non-Embedded Emissions'!$A$143:$D$174,2,FALSE)+VLOOKUP(V$3,'Non-Embedded Emissions'!$A$230:$D$259,2,FALSE)), $C32 = "0", 0), 0)</f>
        <v>0</v>
      </c>
      <c r="AB32" s="347">
        <f>IFERROR(_xlfn.IFS($C32="1",('Inputs-System'!$C$30*'Coincidence Factors'!$B$8*(1+'Inputs-System'!$C$18)*(1+'Inputs-System'!$C$41)*('Inputs-Proposals'!$G$17*'Inputs-Proposals'!$G$19*('Inputs-Proposals'!$G$20))*(VLOOKUP(AB$3,Energy!$A$51:$K$83,5,FALSE))), $C32 = "2",('Inputs-System'!$C$30*'Coincidence Factors'!$B$8)*(1+'Inputs-System'!$C$18)*(1+'Inputs-System'!$C$41)*('Inputs-Proposals'!$G$23*'Inputs-Proposals'!$G$25*('Inputs-Proposals'!$G$26))*(VLOOKUP(AB$3,Energy!$A$51:$K$83,5,FALSE)), $C32= "3", ('Inputs-System'!$C$30*'Coincidence Factors'!$B$8*(1+'Inputs-System'!$C$18)*(1+'Inputs-System'!$C$41)*('Inputs-Proposals'!$G$29*'Inputs-Proposals'!$G$31*('Inputs-Proposals'!$G$32))*(VLOOKUP(AB$3,Energy!$A$51:$K$83,5,FALSE))), $C32= "0", 0), 0)</f>
        <v>0</v>
      </c>
      <c r="AC32" s="44">
        <f>IFERROR(_xlfn.IFS($C32="1",'Inputs-System'!$C$30*'Coincidence Factors'!$B$8*(1+'Inputs-System'!$C$18)*(1+'Inputs-System'!$C$41)*'Inputs-Proposals'!$G$17*'Inputs-Proposals'!$G$19*('Inputs-Proposals'!$G$20)*(VLOOKUP(AB$3,'Embedded Emissions'!$A$47:$B$78,2,FALSE)+VLOOKUP(AB$3,'Embedded Emissions'!$A$129:$B$158,2,FALSE)), $C32 = "2", 'Inputs-System'!$C$30*'Coincidence Factors'!$B$8*(1+'Inputs-System'!$C$18)*(1+'Inputs-System'!$C$41)*'Inputs-Proposals'!$G$23*'Inputs-Proposals'!$G$25*('Inputs-Proposals'!$G$20)*(VLOOKUP(AB$3,'Embedded Emissions'!$A$47:$B$78,2,FALSE)+VLOOKUP(AB$3,'Embedded Emissions'!$A$129:$B$158,2,FALSE)), $C32 = "3",'Inputs-System'!$C$30*'Coincidence Factors'!$B$8*(1+'Inputs-System'!$C$18)*(1+'Inputs-System'!$C$41)*'Inputs-Proposals'!$G$29*'Inputs-Proposals'!$G$31*('Inputs-Proposals'!$G$20)*(VLOOKUP(AB$3,'Embedded Emissions'!$A$47:$B$78,2,FALSE)+VLOOKUP(AB$3,'Embedded Emissions'!$A$129:$B$158,2,FALSE)), $C32 = "0", 0), 0)</f>
        <v>0</v>
      </c>
      <c r="AD32" s="44">
        <f>IFERROR(_xlfn.IFS($C32="1",( 'Inputs-System'!$C$30*'Coincidence Factors'!$B$8*(1+'Inputs-System'!$C$18)*(1+'Inputs-System'!$C$41))*('Inputs-Proposals'!$G$17*'Inputs-Proposals'!$G$19*('Inputs-Proposals'!$G$20))*(VLOOKUP(AB$3,DRIPE!$A$54:$I$82,5,FALSE)+VLOOKUP(AB$3,DRIPE!$A$54:$I$82,9,FALSE))+ ('Inputs-System'!$C$26*'Coincidence Factors'!$B$8*(1+'Inputs-System'!$C$18)*(1+'Inputs-System'!$C$42))*'Inputs-Proposals'!$G$16*VLOOKUP(AB$3,DRIPE!$A$54:$I$82,8,FALSE), $C32 = "2",( 'Inputs-System'!$C$30*'Coincidence Factors'!$B$8*(1+'Inputs-System'!$C$18)*(1+'Inputs-System'!$C$41))*('Inputs-Proposals'!$G$23*'Inputs-Proposals'!$G$25*('Inputs-Proposals'!$G$26))*(VLOOKUP(AB$3,DRIPE!$A$54:$I$82,5,FALSE)+VLOOKUP(AB$3,DRIPE!$A$54:$I$82,9,FALSE))+  ('Inputs-System'!$C$26*'Coincidence Factors'!$B$8*(1+'Inputs-System'!$C$18)*(1+'Inputs-System'!$C$42))*'Inputs-Proposals'!$G$22*VLOOKUP(AB$3,DRIPE!$A$54:$I$82,8,FALSE), $C32= "3", ( 'Inputs-System'!$C$30*'Coincidence Factors'!$B$8*(1+'Inputs-System'!$C$18)*(1+'Inputs-System'!$C$41))*('Inputs-Proposals'!$G$29*'Inputs-Proposals'!$G$31*('Inputs-Proposals'!$G$32))*(VLOOKUP(AB$3,DRIPE!$A$54:$I$82,5,FALSE)+VLOOKUP(AB$3,DRIPE!$A$54:$I$82,9,FALSE))+  ('Inputs-System'!$C$26*'Coincidence Factors'!$B$8*(1+'Inputs-System'!$C$18)*(1+'Inputs-System'!$C$42))*'Inputs-Proposals'!$G$28*VLOOKUP(AB$3,DRIPE!$A$54:$I$82,8,FALSE), $C32 = "0", 0), 0)</f>
        <v>0</v>
      </c>
      <c r="AE32" s="45">
        <f>IFERROR(_xlfn.IFS($C32="1",('Inputs-System'!$C$30*'Coincidence Factors'!$B$8*(1+'Inputs-System'!$C$18))*'Inputs-Proposals'!$G$16*(VLOOKUP(AB$3,Capacity!$A$53:$E$85,4,FALSE)*(1+'Inputs-System'!$C$42)+VLOOKUP(AB$3,Capacity!$A$53:$E$85,5,FALSE)*'Inputs-System'!$C$29*(1+'Inputs-System'!$C$43)), $C32 = "2", ('Inputs-System'!$C$30*'Coincidence Factors'!$B$8*(1+'Inputs-System'!$C$18))*'Inputs-Proposals'!$G$22*(VLOOKUP(AB$3,Capacity!$A$53:$E$85,4,FALSE)*(1+'Inputs-System'!$C$42)+VLOOKUP(AB$3,Capacity!$A$53:$E$85,5,FALSE)*'Inputs-System'!$C$29*(1+'Inputs-System'!$C$43)), $C32 = "3",('Inputs-System'!$C$30*'Coincidence Factors'!$B$8*(1+'Inputs-System'!$C$18))*'Inputs-Proposals'!$G$28*(VLOOKUP(AB$3,Capacity!$A$53:$E$85,4,FALSE)*(1+'Inputs-System'!$C$42)+VLOOKUP(AB$3,Capacity!$A$53:$E$85,5,FALSE)*'Inputs-System'!$C$29*(1+'Inputs-System'!$C$43)), $C32 = "0", 0), 0)</f>
        <v>0</v>
      </c>
      <c r="AF32" s="44">
        <v>0</v>
      </c>
      <c r="AG32" s="342">
        <f>IFERROR(_xlfn.IFS($C32="1", 'Inputs-System'!$C$30*'Coincidence Factors'!$B$8*'Inputs-Proposals'!$G$17*'Inputs-Proposals'!$G$19*(VLOOKUP(AB$3,'Non-Embedded Emissions'!$A$56:$D$90,2,FALSE)+VLOOKUP(AB$3,'Non-Embedded Emissions'!$A$143:$D$174,2,FALSE)+VLOOKUP(AB$3,'Non-Embedded Emissions'!$A$230:$D$259,2,FALSE)), $C32 = "2", 'Inputs-System'!$C$30*'Coincidence Factors'!$B$8*'Inputs-Proposals'!$G$23*'Inputs-Proposals'!$G$25*(VLOOKUP(AB$3,'Non-Embedded Emissions'!$A$56:$D$90,2,FALSE)+VLOOKUP(AB$3,'Non-Embedded Emissions'!$A$143:$D$174,2,FALSE)+VLOOKUP(AB$3,'Non-Embedded Emissions'!$A$230:$D$259,2,FALSE)), $C32 = "3", 'Inputs-System'!$C$30*'Coincidence Factors'!$B$8*'Inputs-Proposals'!$G$29*'Inputs-Proposals'!$G$31*(VLOOKUP(AB$3,'Non-Embedded Emissions'!$A$56:$D$90,2,FALSE)+VLOOKUP(AB$3,'Non-Embedded Emissions'!$A$143:$D$174,2,FALSE)+VLOOKUP(AB$3,'Non-Embedded Emissions'!$A$230:$D$259,2,FALSE)), $C32 = "0", 0), 0)</f>
        <v>0</v>
      </c>
      <c r="AH32" s="347">
        <f>IFERROR(_xlfn.IFS($C32="1",('Inputs-System'!$C$30*'Coincidence Factors'!$B$8*(1+'Inputs-System'!$C$18)*(1+'Inputs-System'!$C$41)*('Inputs-Proposals'!$G$17*'Inputs-Proposals'!$G$19*('Inputs-Proposals'!$G$20))*(VLOOKUP(AH$3,Energy!$A$51:$K$83,5,FALSE))), $C32 = "2",('Inputs-System'!$C$30*'Coincidence Factors'!$B$8)*(1+'Inputs-System'!$C$18)*(1+'Inputs-System'!$C$41)*('Inputs-Proposals'!$G$23*'Inputs-Proposals'!$G$25*('Inputs-Proposals'!$G$26))*(VLOOKUP(AH$3,Energy!$A$51:$K$83,5,FALSE)), $C32= "3", ('Inputs-System'!$C$30*'Coincidence Factors'!$B$8*(1+'Inputs-System'!$C$18)*(1+'Inputs-System'!$C$41)*('Inputs-Proposals'!$G$29*'Inputs-Proposals'!$G$31*('Inputs-Proposals'!$G$32))*(VLOOKUP(AH$3,Energy!$A$51:$K$83,5,FALSE))), $C32= "0", 0), 0)</f>
        <v>0</v>
      </c>
      <c r="AI32" s="44">
        <f>IFERROR(_xlfn.IFS($C32="1",'Inputs-System'!$C$30*'Coincidence Factors'!$B$8*(1+'Inputs-System'!$C$18)*(1+'Inputs-System'!$C$41)*'Inputs-Proposals'!$G$17*'Inputs-Proposals'!$G$19*('Inputs-Proposals'!$G$20)*(VLOOKUP(AH$3,'Embedded Emissions'!$A$47:$B$78,2,FALSE)+VLOOKUP(AH$3,'Embedded Emissions'!$A$129:$B$158,2,FALSE)), $C32 = "2", 'Inputs-System'!$C$30*'Coincidence Factors'!$B$8*(1+'Inputs-System'!$C$18)*(1+'Inputs-System'!$C$41)*'Inputs-Proposals'!$G$23*'Inputs-Proposals'!$G$25*('Inputs-Proposals'!$G$20)*(VLOOKUP(AH$3,'Embedded Emissions'!$A$47:$B$78,2,FALSE)+VLOOKUP(AH$3,'Embedded Emissions'!$A$129:$B$158,2,FALSE)), $C32 = "3",'Inputs-System'!$C$30*'Coincidence Factors'!$B$8*(1+'Inputs-System'!$C$18)*(1+'Inputs-System'!$C$41)*'Inputs-Proposals'!$G$29*'Inputs-Proposals'!$G$31*('Inputs-Proposals'!$G$20)*(VLOOKUP(AH$3,'Embedded Emissions'!$A$47:$B$78,2,FALSE)+VLOOKUP(AH$3,'Embedded Emissions'!$A$129:$B$158,2,FALSE)), $C32 = "0", 0), 0)</f>
        <v>0</v>
      </c>
      <c r="AJ32" s="44">
        <f>IFERROR(_xlfn.IFS($C32="1",( 'Inputs-System'!$C$30*'Coincidence Factors'!$B$8*(1+'Inputs-System'!$C$18)*(1+'Inputs-System'!$C$41))*('Inputs-Proposals'!$G$17*'Inputs-Proposals'!$G$19*('Inputs-Proposals'!$G$20))*(VLOOKUP(AH$3,DRIPE!$A$54:$I$82,5,FALSE)+VLOOKUP(AH$3,DRIPE!$A$54:$I$82,9,FALSE))+ ('Inputs-System'!$C$26*'Coincidence Factors'!$B$8*(1+'Inputs-System'!$C$18)*(1+'Inputs-System'!$C$42))*'Inputs-Proposals'!$G$16*VLOOKUP(AH$3,DRIPE!$A$54:$I$82,8,FALSE), $C32 = "2",( 'Inputs-System'!$C$30*'Coincidence Factors'!$B$8*(1+'Inputs-System'!$C$18)*(1+'Inputs-System'!$C$41))*('Inputs-Proposals'!$G$23*'Inputs-Proposals'!$G$25*('Inputs-Proposals'!$G$26))*(VLOOKUP(AH$3,DRIPE!$A$54:$I$82,5,FALSE)+VLOOKUP(AH$3,DRIPE!$A$54:$I$82,9,FALSE))+  ('Inputs-System'!$C$26*'Coincidence Factors'!$B$8*(1+'Inputs-System'!$C$18)*(1+'Inputs-System'!$C$42))*'Inputs-Proposals'!$G$22*VLOOKUP(AH$3,DRIPE!$A$54:$I$82,8,FALSE), $C32= "3", ( 'Inputs-System'!$C$30*'Coincidence Factors'!$B$8*(1+'Inputs-System'!$C$18)*(1+'Inputs-System'!$C$41))*('Inputs-Proposals'!$G$29*'Inputs-Proposals'!$G$31*('Inputs-Proposals'!$G$32))*(VLOOKUP(AH$3,DRIPE!$A$54:$I$82,5,FALSE)+VLOOKUP(AH$3,DRIPE!$A$54:$I$82,9,FALSE))+  ('Inputs-System'!$C$26*'Coincidence Factors'!$B$8*(1+'Inputs-System'!$C$18)*(1+'Inputs-System'!$C$42))*'Inputs-Proposals'!$G$28*VLOOKUP(AH$3,DRIPE!$A$54:$I$82,8,FALSE), $C32 = "0", 0), 0)</f>
        <v>0</v>
      </c>
      <c r="AK32" s="45">
        <f>IFERROR(_xlfn.IFS($C32="1",('Inputs-System'!$C$30*'Coincidence Factors'!$B$8*(1+'Inputs-System'!$C$18))*'Inputs-Proposals'!$G$16*(VLOOKUP(AH$3,Capacity!$A$53:$E$85,4,FALSE)*(1+'Inputs-System'!$C$42)+VLOOKUP(AH$3,Capacity!$A$53:$E$85,5,FALSE)*'Inputs-System'!$C$29*(1+'Inputs-System'!$C$43)), $C32 = "2", ('Inputs-System'!$C$30*'Coincidence Factors'!$B$8*(1+'Inputs-System'!$C$18))*'Inputs-Proposals'!$G$22*(VLOOKUP(AH$3,Capacity!$A$53:$E$85,4,FALSE)*(1+'Inputs-System'!$C$42)+VLOOKUP(AH$3,Capacity!$A$53:$E$85,5,FALSE)*'Inputs-System'!$C$29*(1+'Inputs-System'!$C$43)), $C32 = "3",('Inputs-System'!$C$30*'Coincidence Factors'!$B$8*(1+'Inputs-System'!$C$18))*'Inputs-Proposals'!$G$28*(VLOOKUP(AH$3,Capacity!$A$53:$E$85,4,FALSE)*(1+'Inputs-System'!$C$42)+VLOOKUP(AH$3,Capacity!$A$53:$E$85,5,FALSE)*'Inputs-System'!$C$29*(1+'Inputs-System'!$C$43)), $C32 = "0", 0), 0)</f>
        <v>0</v>
      </c>
      <c r="AL32" s="44">
        <v>0</v>
      </c>
      <c r="AM32" s="342">
        <f>IFERROR(_xlfn.IFS($C32="1", 'Inputs-System'!$C$30*'Coincidence Factors'!$B$8*'Inputs-Proposals'!$G$17*'Inputs-Proposals'!$G$19*(VLOOKUP(AH$3,'Non-Embedded Emissions'!$A$56:$D$90,2,FALSE)+VLOOKUP(AH$3,'Non-Embedded Emissions'!$A$143:$D$174,2,FALSE)+VLOOKUP(AH$3,'Non-Embedded Emissions'!$A$230:$D$259,2,FALSE)), $C32 = "2", 'Inputs-System'!$C$30*'Coincidence Factors'!$B$8*'Inputs-Proposals'!$G$23*'Inputs-Proposals'!$G$25*(VLOOKUP(AH$3,'Non-Embedded Emissions'!$A$56:$D$90,2,FALSE)+VLOOKUP(AH$3,'Non-Embedded Emissions'!$A$143:$D$174,2,FALSE)+VLOOKUP(AH$3,'Non-Embedded Emissions'!$A$230:$D$259,2,FALSE)), $C32 = "3", 'Inputs-System'!$C$30*'Coincidence Factors'!$B$8*'Inputs-Proposals'!$G$29*'Inputs-Proposals'!$G$31*(VLOOKUP(AH$3,'Non-Embedded Emissions'!$A$56:$D$90,2,FALSE)+VLOOKUP(AH$3,'Non-Embedded Emissions'!$A$143:$D$174,2,FALSE)+VLOOKUP(AH$3,'Non-Embedded Emissions'!$A$230:$D$259,2,FALSE)), $C32 = "0", 0), 0)</f>
        <v>0</v>
      </c>
      <c r="AN32" s="347">
        <f>IFERROR(_xlfn.IFS($C32="1",('Inputs-System'!$C$30*'Coincidence Factors'!$B$8*(1+'Inputs-System'!$C$18)*(1+'Inputs-System'!$C$41)*('Inputs-Proposals'!$G$17*'Inputs-Proposals'!$G$19*('Inputs-Proposals'!$G$20))*(VLOOKUP(AN$3,Energy!$A$51:$K$83,5,FALSE))), $C32 = "2",('Inputs-System'!$C$30*'Coincidence Factors'!$B$8)*(1+'Inputs-System'!$C$18)*(1+'Inputs-System'!$C$41)*('Inputs-Proposals'!$G$23*'Inputs-Proposals'!$G$25*('Inputs-Proposals'!$G$26))*(VLOOKUP(AN$3,Energy!$A$51:$K$83,5,FALSE)), $C32= "3", ('Inputs-System'!$C$30*'Coincidence Factors'!$B$8*(1+'Inputs-System'!$C$18)*(1+'Inputs-System'!$C$41)*('Inputs-Proposals'!$G$29*'Inputs-Proposals'!$G$31*('Inputs-Proposals'!$G$32))*(VLOOKUP(AN$3,Energy!$A$51:$K$83,5,FALSE))), $C32= "0", 0), 0)</f>
        <v>0</v>
      </c>
      <c r="AO32" s="44">
        <f>IFERROR(_xlfn.IFS($C32="1",'Inputs-System'!$C$30*'Coincidence Factors'!$B$8*(1+'Inputs-System'!$C$18)*(1+'Inputs-System'!$C$41)*'Inputs-Proposals'!$G$17*'Inputs-Proposals'!$G$19*('Inputs-Proposals'!$G$20)*(VLOOKUP(AN$3,'Embedded Emissions'!$A$47:$B$78,2,FALSE)+VLOOKUP(AN$3,'Embedded Emissions'!$A$129:$B$158,2,FALSE)), $C32 = "2", 'Inputs-System'!$C$30*'Coincidence Factors'!$B$8*(1+'Inputs-System'!$C$18)*(1+'Inputs-System'!$C$41)*'Inputs-Proposals'!$G$23*'Inputs-Proposals'!$G$25*('Inputs-Proposals'!$G$20)*(VLOOKUP(AN$3,'Embedded Emissions'!$A$47:$B$78,2,FALSE)+VLOOKUP(AN$3,'Embedded Emissions'!$A$129:$B$158,2,FALSE)), $C32 = "3",'Inputs-System'!$C$30*'Coincidence Factors'!$B$8*(1+'Inputs-System'!$C$18)*(1+'Inputs-System'!$C$41)*'Inputs-Proposals'!$G$29*'Inputs-Proposals'!$G$31*('Inputs-Proposals'!$G$20)*(VLOOKUP(AN$3,'Embedded Emissions'!$A$47:$B$78,2,FALSE)+VLOOKUP(AN$3,'Embedded Emissions'!$A$129:$B$158,2,FALSE)), $C32 = "0", 0), 0)</f>
        <v>0</v>
      </c>
      <c r="AP32" s="44">
        <f>IFERROR(_xlfn.IFS($C32="1",( 'Inputs-System'!$C$30*'Coincidence Factors'!$B$8*(1+'Inputs-System'!$C$18)*(1+'Inputs-System'!$C$41))*('Inputs-Proposals'!$G$17*'Inputs-Proposals'!$G$19*('Inputs-Proposals'!$G$20))*(VLOOKUP(AN$3,DRIPE!$A$54:$I$82,5,FALSE)+VLOOKUP(AN$3,DRIPE!$A$54:$I$82,9,FALSE))+ ('Inputs-System'!$C$26*'Coincidence Factors'!$B$8*(1+'Inputs-System'!$C$18)*(1+'Inputs-System'!$C$42))*'Inputs-Proposals'!$G$16*VLOOKUP(AN$3,DRIPE!$A$54:$I$82,8,FALSE), $C32 = "2",( 'Inputs-System'!$C$30*'Coincidence Factors'!$B$8*(1+'Inputs-System'!$C$18)*(1+'Inputs-System'!$C$41))*('Inputs-Proposals'!$G$23*'Inputs-Proposals'!$G$25*('Inputs-Proposals'!$G$26))*(VLOOKUP(AN$3,DRIPE!$A$54:$I$82,5,FALSE)+VLOOKUP(AN$3,DRIPE!$A$54:$I$82,9,FALSE))+  ('Inputs-System'!$C$26*'Coincidence Factors'!$B$8*(1+'Inputs-System'!$C$18)*(1+'Inputs-System'!$C$42))*'Inputs-Proposals'!$G$22*VLOOKUP(AN$3,DRIPE!$A$54:$I$82,8,FALSE), $C32= "3", ( 'Inputs-System'!$C$30*'Coincidence Factors'!$B$8*(1+'Inputs-System'!$C$18)*(1+'Inputs-System'!$C$41))*('Inputs-Proposals'!$G$29*'Inputs-Proposals'!$G$31*('Inputs-Proposals'!$G$32))*(VLOOKUP(AN$3,DRIPE!$A$54:$I$82,5,FALSE)+VLOOKUP(AN$3,DRIPE!$A$54:$I$82,9,FALSE))+  ('Inputs-System'!$C$26*'Coincidence Factors'!$B$8*(1+'Inputs-System'!$C$18)*(1+'Inputs-System'!$C$42))*'Inputs-Proposals'!$G$28*VLOOKUP(AN$3,DRIPE!$A$54:$I$82,8,FALSE), $C32 = "0", 0), 0)</f>
        <v>0</v>
      </c>
      <c r="AQ32" s="45">
        <f>IFERROR(_xlfn.IFS($C32="1",('Inputs-System'!$C$30*'Coincidence Factors'!$B$8*(1+'Inputs-System'!$C$18))*'Inputs-Proposals'!$G$16*(VLOOKUP(AN$3,Capacity!$A$53:$E$85,4,FALSE)*(1+'Inputs-System'!$C$42)+VLOOKUP(AN$3,Capacity!$A$53:$E$85,5,FALSE)*'Inputs-System'!$C$29*(1+'Inputs-System'!$C$43)), $C32 = "2", ('Inputs-System'!$C$30*'Coincidence Factors'!$B$8*(1+'Inputs-System'!$C$18))*'Inputs-Proposals'!$G$22*(VLOOKUP(AN$3,Capacity!$A$53:$E$85,4,FALSE)*(1+'Inputs-System'!$C$42)+VLOOKUP(AN$3,Capacity!$A$53:$E$85,5,FALSE)*'Inputs-System'!$C$29*(1+'Inputs-System'!$C$43)), $C32 = "3",('Inputs-System'!$C$30*'Coincidence Factors'!$B$8*(1+'Inputs-System'!$C$18))*'Inputs-Proposals'!$G$28*(VLOOKUP(AN$3,Capacity!$A$53:$E$85,4,FALSE)*(1+'Inputs-System'!$C$42)+VLOOKUP(AN$3,Capacity!$A$53:$E$85,5,FALSE)*'Inputs-System'!$C$29*(1+'Inputs-System'!$C$43)), $C32 = "0", 0), 0)</f>
        <v>0</v>
      </c>
      <c r="AR32" s="44">
        <v>0</v>
      </c>
      <c r="AS32" s="342">
        <f>IFERROR(_xlfn.IFS($C32="1", 'Inputs-System'!$C$30*'Coincidence Factors'!$B$8*'Inputs-Proposals'!$G$17*'Inputs-Proposals'!$G$19*(VLOOKUP(AN$3,'Non-Embedded Emissions'!$A$56:$D$90,2,FALSE)+VLOOKUP(AN$3,'Non-Embedded Emissions'!$A$143:$D$174,2,FALSE)+VLOOKUP(AN$3,'Non-Embedded Emissions'!$A$230:$D$259,2,FALSE)), $C32 = "2", 'Inputs-System'!$C$30*'Coincidence Factors'!$B$8*'Inputs-Proposals'!$G$23*'Inputs-Proposals'!$G$25*(VLOOKUP(AN$3,'Non-Embedded Emissions'!$A$56:$D$90,2,FALSE)+VLOOKUP(AN$3,'Non-Embedded Emissions'!$A$143:$D$174,2,FALSE)+VLOOKUP(AN$3,'Non-Embedded Emissions'!$A$230:$D$259,2,FALSE)), $C32 = "3", 'Inputs-System'!$C$30*'Coincidence Factors'!$B$8*'Inputs-Proposals'!$G$29*'Inputs-Proposals'!$G$31*(VLOOKUP(AN$3,'Non-Embedded Emissions'!$A$56:$D$90,2,FALSE)+VLOOKUP(AN$3,'Non-Embedded Emissions'!$A$143:$D$174,2,FALSE)+VLOOKUP(AN$3,'Non-Embedded Emissions'!$A$230:$D$259,2,FALSE)), $C32 = "0", 0), 0)</f>
        <v>0</v>
      </c>
      <c r="AT32" s="347">
        <f>IFERROR(_xlfn.IFS($C32="1",('Inputs-System'!$C$30*'Coincidence Factors'!$B$8*(1+'Inputs-System'!$C$18)*(1+'Inputs-System'!$C$41)*('Inputs-Proposals'!$G$17*'Inputs-Proposals'!$G$19*('Inputs-Proposals'!$G$20))*(VLOOKUP(AT$3,Energy!$A$51:$K$83,5,FALSE))), $C32 = "2",('Inputs-System'!$C$30*'Coincidence Factors'!$B$8)*(1+'Inputs-System'!$C$18)*(1+'Inputs-System'!$C$41)*('Inputs-Proposals'!$G$23*'Inputs-Proposals'!$G$25*('Inputs-Proposals'!$G$26))*(VLOOKUP(AT$3,Energy!$A$51:$K$83,5,FALSE)), $C32= "3", ('Inputs-System'!$C$30*'Coincidence Factors'!$B$8*(1+'Inputs-System'!$C$18)*(1+'Inputs-System'!$C$41)*('Inputs-Proposals'!$G$29*'Inputs-Proposals'!$G$31*('Inputs-Proposals'!$G$32))*(VLOOKUP(AT$3,Energy!$A$51:$K$83,5,FALSE))), $C32= "0", 0), 0)</f>
        <v>0</v>
      </c>
      <c r="AU32" s="44">
        <f>IFERROR(_xlfn.IFS($C32="1",'Inputs-System'!$C$30*'Coincidence Factors'!$B$8*(1+'Inputs-System'!$C$18)*(1+'Inputs-System'!$C$41)*'Inputs-Proposals'!$G$17*'Inputs-Proposals'!$G$19*('Inputs-Proposals'!$G$20)*(VLOOKUP(AT$3,'Embedded Emissions'!$A$47:$B$78,2,FALSE)+VLOOKUP(AT$3,'Embedded Emissions'!$A$129:$B$158,2,FALSE)), $C32 = "2", 'Inputs-System'!$C$30*'Coincidence Factors'!$B$8*(1+'Inputs-System'!$C$18)*(1+'Inputs-System'!$C$41)*'Inputs-Proposals'!$G$23*'Inputs-Proposals'!$G$25*('Inputs-Proposals'!$G$20)*(VLOOKUP(AT$3,'Embedded Emissions'!$A$47:$B$78,2,FALSE)+VLOOKUP(AT$3,'Embedded Emissions'!$A$129:$B$158,2,FALSE)), $C32 = "3",'Inputs-System'!$C$30*'Coincidence Factors'!$B$8*(1+'Inputs-System'!$C$18)*(1+'Inputs-System'!$C$41)*'Inputs-Proposals'!$G$29*'Inputs-Proposals'!$G$31*('Inputs-Proposals'!$G$20)*(VLOOKUP(AT$3,'Embedded Emissions'!$A$47:$B$78,2,FALSE)+VLOOKUP(AT$3,'Embedded Emissions'!$A$129:$B$158,2,FALSE)), $C32 = "0", 0), 0)</f>
        <v>0</v>
      </c>
      <c r="AV32" s="44">
        <f>IFERROR(_xlfn.IFS($C32="1",( 'Inputs-System'!$C$30*'Coincidence Factors'!$B$8*(1+'Inputs-System'!$C$18)*(1+'Inputs-System'!$C$41))*('Inputs-Proposals'!$G$17*'Inputs-Proposals'!$G$19*('Inputs-Proposals'!$G$20))*(VLOOKUP(AT$3,DRIPE!$A$54:$I$82,5,FALSE)+VLOOKUP(AT$3,DRIPE!$A$54:$I$82,9,FALSE))+ ('Inputs-System'!$C$26*'Coincidence Factors'!$B$8*(1+'Inputs-System'!$C$18)*(1+'Inputs-System'!$C$42))*'Inputs-Proposals'!$G$16*VLOOKUP(AT$3,DRIPE!$A$54:$I$82,8,FALSE), $C32 = "2",( 'Inputs-System'!$C$30*'Coincidence Factors'!$B$8*(1+'Inputs-System'!$C$18)*(1+'Inputs-System'!$C$41))*('Inputs-Proposals'!$G$23*'Inputs-Proposals'!$G$25*('Inputs-Proposals'!$G$26))*(VLOOKUP(AT$3,DRIPE!$A$54:$I$82,5,FALSE)+VLOOKUP(AT$3,DRIPE!$A$54:$I$82,9,FALSE))+  ('Inputs-System'!$C$26*'Coincidence Factors'!$B$8*(1+'Inputs-System'!$C$18)*(1+'Inputs-System'!$C$42))*'Inputs-Proposals'!$G$22*VLOOKUP(AT$3,DRIPE!$A$54:$I$82,8,FALSE), $C32= "3", ( 'Inputs-System'!$C$30*'Coincidence Factors'!$B$8*(1+'Inputs-System'!$C$18)*(1+'Inputs-System'!$C$41))*('Inputs-Proposals'!$G$29*'Inputs-Proposals'!$G$31*('Inputs-Proposals'!$G$32))*(VLOOKUP(AT$3,DRIPE!$A$54:$I$82,5,FALSE)+VLOOKUP(AT$3,DRIPE!$A$54:$I$82,9,FALSE))+  ('Inputs-System'!$C$26*'Coincidence Factors'!$B$8*(1+'Inputs-System'!$C$18)*(1+'Inputs-System'!$C$42))*'Inputs-Proposals'!$G$28*VLOOKUP(AT$3,DRIPE!$A$54:$I$82,8,FALSE), $C32 = "0", 0), 0)</f>
        <v>0</v>
      </c>
      <c r="AW32" s="45">
        <f>IFERROR(_xlfn.IFS($C32="1",('Inputs-System'!$C$30*'Coincidence Factors'!$B$8*(1+'Inputs-System'!$C$18))*'Inputs-Proposals'!$G$16*(VLOOKUP(AT$3,Capacity!$A$53:$E$85,4,FALSE)*(1+'Inputs-System'!$C$42)+VLOOKUP(AT$3,Capacity!$A$53:$E$85,5,FALSE)*'Inputs-System'!$C$29*(1+'Inputs-System'!$C$43)), $C32 = "2", ('Inputs-System'!$C$30*'Coincidence Factors'!$B$8*(1+'Inputs-System'!$C$18))*'Inputs-Proposals'!$G$22*(VLOOKUP(AT$3,Capacity!$A$53:$E$85,4,FALSE)*(1+'Inputs-System'!$C$42)+VLOOKUP(AT$3,Capacity!$A$53:$E$85,5,FALSE)*'Inputs-System'!$C$29*(1+'Inputs-System'!$C$43)), $C32 = "3",('Inputs-System'!$C$30*'Coincidence Factors'!$B$8*(1+'Inputs-System'!$C$18))*'Inputs-Proposals'!$G$28*(VLOOKUP(AT$3,Capacity!$A$53:$E$85,4,FALSE)*(1+'Inputs-System'!$C$42)+VLOOKUP(AT$3,Capacity!$A$53:$E$85,5,FALSE)*'Inputs-System'!$C$29*(1+'Inputs-System'!$C$43)), $C32 = "0", 0), 0)</f>
        <v>0</v>
      </c>
      <c r="AX32" s="44">
        <v>0</v>
      </c>
      <c r="AY32" s="342">
        <f>IFERROR(_xlfn.IFS($C32="1", 'Inputs-System'!$C$30*'Coincidence Factors'!$B$8*'Inputs-Proposals'!$G$17*'Inputs-Proposals'!$G$19*(VLOOKUP(AT$3,'Non-Embedded Emissions'!$A$56:$D$90,2,FALSE)+VLOOKUP(AT$3,'Non-Embedded Emissions'!$A$143:$D$174,2,FALSE)+VLOOKUP(AT$3,'Non-Embedded Emissions'!$A$230:$D$259,2,FALSE)), $C32 = "2", 'Inputs-System'!$C$30*'Coincidence Factors'!$B$8*'Inputs-Proposals'!$G$23*'Inputs-Proposals'!$G$25*(VLOOKUP(AT$3,'Non-Embedded Emissions'!$A$56:$D$90,2,FALSE)+VLOOKUP(AT$3,'Non-Embedded Emissions'!$A$143:$D$174,2,FALSE)+VLOOKUP(AT$3,'Non-Embedded Emissions'!$A$230:$D$259,2,FALSE)), $C32 = "3", 'Inputs-System'!$C$30*'Coincidence Factors'!$B$8*'Inputs-Proposals'!$G$29*'Inputs-Proposals'!$G$31*(VLOOKUP(AT$3,'Non-Embedded Emissions'!$A$56:$D$90,2,FALSE)+VLOOKUP(AT$3,'Non-Embedded Emissions'!$A$143:$D$174,2,FALSE)+VLOOKUP(AT$3,'Non-Embedded Emissions'!$A$230:$D$259,2,FALSE)), $C32 = "0", 0), 0)</f>
        <v>0</v>
      </c>
      <c r="AZ32" s="347">
        <f>IFERROR(_xlfn.IFS($C32="1",('Inputs-System'!$C$30*'Coincidence Factors'!$B$8*(1+'Inputs-System'!$C$18)*(1+'Inputs-System'!$C$41)*('Inputs-Proposals'!$G$17*'Inputs-Proposals'!$G$19*('Inputs-Proposals'!$G$20))*(VLOOKUP(AZ$3,Energy!$A$51:$K$83,5,FALSE))), $C32 = "2",('Inputs-System'!$C$30*'Coincidence Factors'!$B$8)*(1+'Inputs-System'!$C$18)*(1+'Inputs-System'!$C$41)*('Inputs-Proposals'!$G$23*'Inputs-Proposals'!$G$25*('Inputs-Proposals'!$G$26))*(VLOOKUP(AZ$3,Energy!$A$51:$K$83,5,FALSE)), $C32= "3", ('Inputs-System'!$C$30*'Coincidence Factors'!$B$8*(1+'Inputs-System'!$C$18)*(1+'Inputs-System'!$C$41)*('Inputs-Proposals'!$G$29*'Inputs-Proposals'!$G$31*('Inputs-Proposals'!$G$32))*(VLOOKUP(AZ$3,Energy!$A$51:$K$83,5,FALSE))), $C32= "0", 0), 0)</f>
        <v>0</v>
      </c>
      <c r="BA32" s="44">
        <f>IFERROR(_xlfn.IFS($C32="1",'Inputs-System'!$C$30*'Coincidence Factors'!$B$8*(1+'Inputs-System'!$C$18)*(1+'Inputs-System'!$C$41)*'Inputs-Proposals'!$G$17*'Inputs-Proposals'!$G$19*('Inputs-Proposals'!$G$20)*(VLOOKUP(AZ$3,'Embedded Emissions'!$A$47:$B$78,2,FALSE)+VLOOKUP(AZ$3,'Embedded Emissions'!$A$129:$B$158,2,FALSE)), $C32 = "2", 'Inputs-System'!$C$30*'Coincidence Factors'!$B$8*(1+'Inputs-System'!$C$18)*(1+'Inputs-System'!$C$41)*'Inputs-Proposals'!$G$23*'Inputs-Proposals'!$G$25*('Inputs-Proposals'!$G$20)*(VLOOKUP(AZ$3,'Embedded Emissions'!$A$47:$B$78,2,FALSE)+VLOOKUP(AZ$3,'Embedded Emissions'!$A$129:$B$158,2,FALSE)), $C32 = "3",'Inputs-System'!$C$30*'Coincidence Factors'!$B$8*(1+'Inputs-System'!$C$18)*(1+'Inputs-System'!$C$41)*'Inputs-Proposals'!$G$29*'Inputs-Proposals'!$G$31*('Inputs-Proposals'!$G$20)*(VLOOKUP(AZ$3,'Embedded Emissions'!$A$47:$B$78,2,FALSE)+VLOOKUP(AZ$3,'Embedded Emissions'!$A$129:$B$158,2,FALSE)), $C32 = "0", 0), 0)</f>
        <v>0</v>
      </c>
      <c r="BB32" s="44">
        <f>IFERROR(_xlfn.IFS($C32="1",( 'Inputs-System'!$C$30*'Coincidence Factors'!$B$8*(1+'Inputs-System'!$C$18)*(1+'Inputs-System'!$C$41))*('Inputs-Proposals'!$G$17*'Inputs-Proposals'!$G$19*('Inputs-Proposals'!$G$20))*(VLOOKUP(AZ$3,DRIPE!$A$54:$I$82,5,FALSE)+VLOOKUP(AZ$3,DRIPE!$A$54:$I$82,9,FALSE))+ ('Inputs-System'!$C$26*'Coincidence Factors'!$B$8*(1+'Inputs-System'!$C$18)*(1+'Inputs-System'!$C$42))*'Inputs-Proposals'!$G$16*VLOOKUP(AZ$3,DRIPE!$A$54:$I$82,8,FALSE), $C32 = "2",( 'Inputs-System'!$C$30*'Coincidence Factors'!$B$8*(1+'Inputs-System'!$C$18)*(1+'Inputs-System'!$C$41))*('Inputs-Proposals'!$G$23*'Inputs-Proposals'!$G$25*('Inputs-Proposals'!$G$26))*(VLOOKUP(AZ$3,DRIPE!$A$54:$I$82,5,FALSE)+VLOOKUP(AZ$3,DRIPE!$A$54:$I$82,9,FALSE))+  ('Inputs-System'!$C$26*'Coincidence Factors'!$B$8*(1+'Inputs-System'!$C$18)*(1+'Inputs-System'!$C$42))*'Inputs-Proposals'!$G$22*VLOOKUP(AZ$3,DRIPE!$A$54:$I$82,8,FALSE), $C32= "3", ( 'Inputs-System'!$C$30*'Coincidence Factors'!$B$8*(1+'Inputs-System'!$C$18)*(1+'Inputs-System'!$C$41))*('Inputs-Proposals'!$G$29*'Inputs-Proposals'!$G$31*('Inputs-Proposals'!$G$32))*(VLOOKUP(AZ$3,DRIPE!$A$54:$I$82,5,FALSE)+VLOOKUP(AZ$3,DRIPE!$A$54:$I$82,9,FALSE))+  ('Inputs-System'!$C$26*'Coincidence Factors'!$B$8*(1+'Inputs-System'!$C$18)*(1+'Inputs-System'!$C$42))*'Inputs-Proposals'!$G$28*VLOOKUP(AZ$3,DRIPE!$A$54:$I$82,8,FALSE), $C32 = "0", 0), 0)</f>
        <v>0</v>
      </c>
      <c r="BC32" s="45">
        <f>IFERROR(_xlfn.IFS($C32="1",('Inputs-System'!$C$30*'Coincidence Factors'!$B$8*(1+'Inputs-System'!$C$18))*'Inputs-Proposals'!$G$16*(VLOOKUP(AZ$3,Capacity!$A$53:$E$85,4,FALSE)*(1+'Inputs-System'!$C$42)+VLOOKUP(AZ$3,Capacity!$A$53:$E$85,5,FALSE)*'Inputs-System'!$C$29*(1+'Inputs-System'!$C$43)), $C32 = "2", ('Inputs-System'!$C$30*'Coincidence Factors'!$B$8*(1+'Inputs-System'!$C$18))*'Inputs-Proposals'!$G$22*(VLOOKUP(AZ$3,Capacity!$A$53:$E$85,4,FALSE)*(1+'Inputs-System'!$C$42)+VLOOKUP(AZ$3,Capacity!$A$53:$E$85,5,FALSE)*'Inputs-System'!$C$29*(1+'Inputs-System'!$C$43)), $C32 = "3",('Inputs-System'!$C$30*'Coincidence Factors'!$B$8*(1+'Inputs-System'!$C$18))*'Inputs-Proposals'!$G$28*(VLOOKUP(AZ$3,Capacity!$A$53:$E$85,4,FALSE)*(1+'Inputs-System'!$C$42)+VLOOKUP(AZ$3,Capacity!$A$53:$E$85,5,FALSE)*'Inputs-System'!$C$29*(1+'Inputs-System'!$C$43)), $C32 = "0", 0), 0)</f>
        <v>0</v>
      </c>
      <c r="BD32" s="44">
        <v>0</v>
      </c>
      <c r="BE32" s="342">
        <f>IFERROR(_xlfn.IFS($C32="1", 'Inputs-System'!$C$30*'Coincidence Factors'!$B$8*'Inputs-Proposals'!$G$17*'Inputs-Proposals'!$G$19*(VLOOKUP(AZ$3,'Non-Embedded Emissions'!$A$56:$D$90,2,FALSE)+VLOOKUP(AZ$3,'Non-Embedded Emissions'!$A$143:$D$174,2,FALSE)+VLOOKUP(AZ$3,'Non-Embedded Emissions'!$A$230:$D$259,2,FALSE)), $C32 = "2", 'Inputs-System'!$C$30*'Coincidence Factors'!$B$8*'Inputs-Proposals'!$G$23*'Inputs-Proposals'!$G$25*(VLOOKUP(AZ$3,'Non-Embedded Emissions'!$A$56:$D$90,2,FALSE)+VLOOKUP(AZ$3,'Non-Embedded Emissions'!$A$143:$D$174,2,FALSE)+VLOOKUP(AZ$3,'Non-Embedded Emissions'!$A$230:$D$259,2,FALSE)), $C32 = "3", 'Inputs-System'!$C$30*'Coincidence Factors'!$B$8*'Inputs-Proposals'!$G$29*'Inputs-Proposals'!$G$31*(VLOOKUP(AZ$3,'Non-Embedded Emissions'!$A$56:$D$90,2,FALSE)+VLOOKUP(AZ$3,'Non-Embedded Emissions'!$A$143:$D$174,2,FALSE)+VLOOKUP(AZ$3,'Non-Embedded Emissions'!$A$230:$D$259,2,FALSE)), $C32 = "0", 0), 0)</f>
        <v>0</v>
      </c>
      <c r="BF32" s="347">
        <f>IFERROR(_xlfn.IFS($C32="1",('Inputs-System'!$C$30*'Coincidence Factors'!$B$8*(1+'Inputs-System'!$C$18)*(1+'Inputs-System'!$C$41)*('Inputs-Proposals'!$G$17*'Inputs-Proposals'!$G$19*('Inputs-Proposals'!$G$20))*(VLOOKUP(BF$3,Energy!$A$51:$K$83,5,FALSE))), $C32 = "2",('Inputs-System'!$C$30*'Coincidence Factors'!$B$8)*(1+'Inputs-System'!$C$18)*(1+'Inputs-System'!$C$41)*('Inputs-Proposals'!$G$23*'Inputs-Proposals'!$G$25*('Inputs-Proposals'!$G$26))*(VLOOKUP(BF$3,Energy!$A$51:$K$83,5,FALSE)), $C32= "3", ('Inputs-System'!$C$30*'Coincidence Factors'!$B$8*(1+'Inputs-System'!$C$18)*(1+'Inputs-System'!$C$41)*('Inputs-Proposals'!$G$29*'Inputs-Proposals'!$G$31*('Inputs-Proposals'!$G$32))*(VLOOKUP(BF$3,Energy!$A$51:$K$83,5,FALSE))), $C32= "0", 0), 0)</f>
        <v>0</v>
      </c>
      <c r="BG32" s="44">
        <f>IFERROR(_xlfn.IFS($C32="1",'Inputs-System'!$C$30*'Coincidence Factors'!$B$8*(1+'Inputs-System'!$C$18)*(1+'Inputs-System'!$C$41)*'Inputs-Proposals'!$G$17*'Inputs-Proposals'!$G$19*('Inputs-Proposals'!$G$20)*(VLOOKUP(BF$3,'Embedded Emissions'!$A$47:$B$78,2,FALSE)+VLOOKUP(BF$3,'Embedded Emissions'!$A$129:$B$158,2,FALSE)), $C32 = "2", 'Inputs-System'!$C$30*'Coincidence Factors'!$B$8*(1+'Inputs-System'!$C$18)*(1+'Inputs-System'!$C$41)*'Inputs-Proposals'!$G$23*'Inputs-Proposals'!$G$25*('Inputs-Proposals'!$G$20)*(VLOOKUP(BF$3,'Embedded Emissions'!$A$47:$B$78,2,FALSE)+VLOOKUP(BF$3,'Embedded Emissions'!$A$129:$B$158,2,FALSE)), $C32 = "3",'Inputs-System'!$C$30*'Coincidence Factors'!$B$8*(1+'Inputs-System'!$C$18)*(1+'Inputs-System'!$C$41)*'Inputs-Proposals'!$G$29*'Inputs-Proposals'!$G$31*('Inputs-Proposals'!$G$20)*(VLOOKUP(BF$3,'Embedded Emissions'!$A$47:$B$78,2,FALSE)+VLOOKUP(BF$3,'Embedded Emissions'!$A$129:$B$158,2,FALSE)), $C32 = "0", 0), 0)</f>
        <v>0</v>
      </c>
      <c r="BH32" s="44">
        <f>IFERROR(_xlfn.IFS($C32="1",( 'Inputs-System'!$C$30*'Coincidence Factors'!$B$8*(1+'Inputs-System'!$C$18)*(1+'Inputs-System'!$C$41))*('Inputs-Proposals'!$G$17*'Inputs-Proposals'!$G$19*('Inputs-Proposals'!$G$20))*(VLOOKUP(BF$3,DRIPE!$A$54:$I$82,5,FALSE)+VLOOKUP(BF$3,DRIPE!$A$54:$I$82,9,FALSE))+ ('Inputs-System'!$C$26*'Coincidence Factors'!$B$8*(1+'Inputs-System'!$C$18)*(1+'Inputs-System'!$C$42))*'Inputs-Proposals'!$G$16*VLOOKUP(BF$3,DRIPE!$A$54:$I$82,8,FALSE), $C32 = "2",( 'Inputs-System'!$C$30*'Coincidence Factors'!$B$8*(1+'Inputs-System'!$C$18)*(1+'Inputs-System'!$C$41))*('Inputs-Proposals'!$G$23*'Inputs-Proposals'!$G$25*('Inputs-Proposals'!$G$26))*(VLOOKUP(BF$3,DRIPE!$A$54:$I$82,5,FALSE)+VLOOKUP(BF$3,DRIPE!$A$54:$I$82,9,FALSE))+  ('Inputs-System'!$C$26*'Coincidence Factors'!$B$8*(1+'Inputs-System'!$C$18)*(1+'Inputs-System'!$C$42))*'Inputs-Proposals'!$G$22*VLOOKUP(BF$3,DRIPE!$A$54:$I$82,8,FALSE), $C32= "3", ( 'Inputs-System'!$C$30*'Coincidence Factors'!$B$8*(1+'Inputs-System'!$C$18)*(1+'Inputs-System'!$C$41))*('Inputs-Proposals'!$G$29*'Inputs-Proposals'!$G$31*('Inputs-Proposals'!$G$32))*(VLOOKUP(BF$3,DRIPE!$A$54:$I$82,5,FALSE)+VLOOKUP(BF$3,DRIPE!$A$54:$I$82,9,FALSE))+  ('Inputs-System'!$C$26*'Coincidence Factors'!$B$8*(1+'Inputs-System'!$C$18)*(1+'Inputs-System'!$C$42))*'Inputs-Proposals'!$G$28*VLOOKUP(BF$3,DRIPE!$A$54:$I$82,8,FALSE), $C32 = "0", 0), 0)</f>
        <v>0</v>
      </c>
      <c r="BI32" s="45">
        <f>IFERROR(_xlfn.IFS($C32="1",('Inputs-System'!$C$30*'Coincidence Factors'!$B$8*(1+'Inputs-System'!$C$18))*'Inputs-Proposals'!$G$16*(VLOOKUP(BF$3,Capacity!$A$53:$E$85,4,FALSE)*(1+'Inputs-System'!$C$42)+VLOOKUP(BF$3,Capacity!$A$53:$E$85,5,FALSE)*'Inputs-System'!$C$29*(1+'Inputs-System'!$C$43)), $C32 = "2", ('Inputs-System'!$C$30*'Coincidence Factors'!$B$8*(1+'Inputs-System'!$C$18))*'Inputs-Proposals'!$G$22*(VLOOKUP(BF$3,Capacity!$A$53:$E$85,4,FALSE)*(1+'Inputs-System'!$C$42)+VLOOKUP(BF$3,Capacity!$A$53:$E$85,5,FALSE)*'Inputs-System'!$C$29*(1+'Inputs-System'!$C$43)), $C32 = "3",('Inputs-System'!$C$30*'Coincidence Factors'!$B$8*(1+'Inputs-System'!$C$18))*'Inputs-Proposals'!$G$28*(VLOOKUP(BF$3,Capacity!$A$53:$E$85,4,FALSE)*(1+'Inputs-System'!$C$42)+VLOOKUP(BF$3,Capacity!$A$53:$E$85,5,FALSE)*'Inputs-System'!$C$29*(1+'Inputs-System'!$C$43)), $C32 = "0", 0), 0)</f>
        <v>0</v>
      </c>
      <c r="BJ32" s="44">
        <v>0</v>
      </c>
      <c r="BK32" s="342">
        <f>IFERROR(_xlfn.IFS($C32="1", 'Inputs-System'!$C$30*'Coincidence Factors'!$B$8*'Inputs-Proposals'!$G$17*'Inputs-Proposals'!$G$19*(VLOOKUP(BF$3,'Non-Embedded Emissions'!$A$56:$D$90,2,FALSE)+VLOOKUP(BF$3,'Non-Embedded Emissions'!$A$143:$D$174,2,FALSE)+VLOOKUP(BF$3,'Non-Embedded Emissions'!$A$230:$D$259,2,FALSE)), $C32 = "2", 'Inputs-System'!$C$30*'Coincidence Factors'!$B$8*'Inputs-Proposals'!$G$23*'Inputs-Proposals'!$G$25*(VLOOKUP(BF$3,'Non-Embedded Emissions'!$A$56:$D$90,2,FALSE)+VLOOKUP(BF$3,'Non-Embedded Emissions'!$A$143:$D$174,2,FALSE)+VLOOKUP(BF$3,'Non-Embedded Emissions'!$A$230:$D$259,2,FALSE)), $C32 = "3", 'Inputs-System'!$C$30*'Coincidence Factors'!$B$8*'Inputs-Proposals'!$G$29*'Inputs-Proposals'!$G$31*(VLOOKUP(BF$3,'Non-Embedded Emissions'!$A$56:$D$90,2,FALSE)+VLOOKUP(BF$3,'Non-Embedded Emissions'!$A$143:$D$174,2,FALSE)+VLOOKUP(BF$3,'Non-Embedded Emissions'!$A$230:$D$259,2,FALSE)), $C32 = "0", 0), 0)</f>
        <v>0</v>
      </c>
      <c r="BL32" s="347">
        <f>IFERROR(_xlfn.IFS($C32="1",('Inputs-System'!$C$30*'Coincidence Factors'!$B$8*(1+'Inputs-System'!$C$18)*(1+'Inputs-System'!$C$41)*('Inputs-Proposals'!$G$17*'Inputs-Proposals'!$G$19*('Inputs-Proposals'!$G$20))*(VLOOKUP(BL$3,Energy!$A$51:$K$83,5,FALSE))), $C32 = "2",('Inputs-System'!$C$30*'Coincidence Factors'!$B$8)*(1+'Inputs-System'!$C$18)*(1+'Inputs-System'!$C$41)*('Inputs-Proposals'!$G$23*'Inputs-Proposals'!$G$25*('Inputs-Proposals'!$G$26))*(VLOOKUP(BL$3,Energy!$A$51:$K$83,5,FALSE)), $C32= "3", ('Inputs-System'!$C$30*'Coincidence Factors'!$B$8*(1+'Inputs-System'!$C$18)*(1+'Inputs-System'!$C$41)*('Inputs-Proposals'!$G$29*'Inputs-Proposals'!$G$31*('Inputs-Proposals'!$G$32))*(VLOOKUP(BL$3,Energy!$A$51:$K$83,5,FALSE))), $C32= "0", 0), 0)</f>
        <v>0</v>
      </c>
      <c r="BM32" s="44">
        <f>IFERROR(_xlfn.IFS($C32="1",'Inputs-System'!$C$30*'Coincidence Factors'!$B$8*(1+'Inputs-System'!$C$18)*(1+'Inputs-System'!$C$41)*'Inputs-Proposals'!$G$17*'Inputs-Proposals'!$G$19*('Inputs-Proposals'!$G$20)*(VLOOKUP(BL$3,'Embedded Emissions'!$A$47:$B$78,2,FALSE)+VLOOKUP(BL$3,'Embedded Emissions'!$A$129:$B$158,2,FALSE)), $C32 = "2", 'Inputs-System'!$C$30*'Coincidence Factors'!$B$8*(1+'Inputs-System'!$C$18)*(1+'Inputs-System'!$C$41)*'Inputs-Proposals'!$G$23*'Inputs-Proposals'!$G$25*('Inputs-Proposals'!$G$20)*(VLOOKUP(BL$3,'Embedded Emissions'!$A$47:$B$78,2,FALSE)+VLOOKUP(BL$3,'Embedded Emissions'!$A$129:$B$158,2,FALSE)), $C32 = "3",'Inputs-System'!$C$30*'Coincidence Factors'!$B$8*(1+'Inputs-System'!$C$18)*(1+'Inputs-System'!$C$41)*'Inputs-Proposals'!$G$29*'Inputs-Proposals'!$G$31*('Inputs-Proposals'!$G$20)*(VLOOKUP(BL$3,'Embedded Emissions'!$A$47:$B$78,2,FALSE)+VLOOKUP(BL$3,'Embedded Emissions'!$A$129:$B$158,2,FALSE)), $C32 = "0", 0), 0)</f>
        <v>0</v>
      </c>
      <c r="BN32" s="44">
        <f>IFERROR(_xlfn.IFS($C32="1",( 'Inputs-System'!$C$30*'Coincidence Factors'!$B$8*(1+'Inputs-System'!$C$18)*(1+'Inputs-System'!$C$41))*('Inputs-Proposals'!$G$17*'Inputs-Proposals'!$G$19*('Inputs-Proposals'!$G$20))*(VLOOKUP(BL$3,DRIPE!$A$54:$I$82,5,FALSE)+VLOOKUP(BL$3,DRIPE!$A$54:$I$82,9,FALSE))+ ('Inputs-System'!$C$26*'Coincidence Factors'!$B$8*(1+'Inputs-System'!$C$18)*(1+'Inputs-System'!$C$42))*'Inputs-Proposals'!$G$16*VLOOKUP(BL$3,DRIPE!$A$54:$I$82,8,FALSE), $C32 = "2",( 'Inputs-System'!$C$30*'Coincidence Factors'!$B$8*(1+'Inputs-System'!$C$18)*(1+'Inputs-System'!$C$41))*('Inputs-Proposals'!$G$23*'Inputs-Proposals'!$G$25*('Inputs-Proposals'!$G$26))*(VLOOKUP(BL$3,DRIPE!$A$54:$I$82,5,FALSE)+VLOOKUP(BL$3,DRIPE!$A$54:$I$82,9,FALSE))+  ('Inputs-System'!$C$26*'Coincidence Factors'!$B$8*(1+'Inputs-System'!$C$18)*(1+'Inputs-System'!$C$42))*'Inputs-Proposals'!$G$22*VLOOKUP(BL$3,DRIPE!$A$54:$I$82,8,FALSE), $C32= "3", ( 'Inputs-System'!$C$30*'Coincidence Factors'!$B$8*(1+'Inputs-System'!$C$18)*(1+'Inputs-System'!$C$41))*('Inputs-Proposals'!$G$29*'Inputs-Proposals'!$G$31*('Inputs-Proposals'!$G$32))*(VLOOKUP(BL$3,DRIPE!$A$54:$I$82,5,FALSE)+VLOOKUP(BL$3,DRIPE!$A$54:$I$82,9,FALSE))+  ('Inputs-System'!$C$26*'Coincidence Factors'!$B$8*(1+'Inputs-System'!$C$18)*(1+'Inputs-System'!$C$42))*'Inputs-Proposals'!$G$28*VLOOKUP(BL$3,DRIPE!$A$54:$I$82,8,FALSE), $C32 = "0", 0), 0)</f>
        <v>0</v>
      </c>
      <c r="BO32" s="45">
        <f>IFERROR(_xlfn.IFS($C32="1",('Inputs-System'!$C$30*'Coincidence Factors'!$B$8*(1+'Inputs-System'!$C$18))*'Inputs-Proposals'!$G$16*(VLOOKUP(BL$3,Capacity!$A$53:$E$85,4,FALSE)*(1+'Inputs-System'!$C$42)+VLOOKUP(BL$3,Capacity!$A$53:$E$85,5,FALSE)*'Inputs-System'!$C$29*(1+'Inputs-System'!$C$43)), $C32 = "2", ('Inputs-System'!$C$30*'Coincidence Factors'!$B$8*(1+'Inputs-System'!$C$18))*'Inputs-Proposals'!$G$22*(VLOOKUP(BL$3,Capacity!$A$53:$E$85,4,FALSE)*(1+'Inputs-System'!$C$42)+VLOOKUP(BL$3,Capacity!$A$53:$E$85,5,FALSE)*'Inputs-System'!$C$29*(1+'Inputs-System'!$C$43)), $C32 = "3",('Inputs-System'!$C$30*'Coincidence Factors'!$B$8*(1+'Inputs-System'!$C$18))*'Inputs-Proposals'!$G$28*(VLOOKUP(BL$3,Capacity!$A$53:$E$85,4,FALSE)*(1+'Inputs-System'!$C$42)+VLOOKUP(BL$3,Capacity!$A$53:$E$85,5,FALSE)*'Inputs-System'!$C$29*(1+'Inputs-System'!$C$43)), $C32 = "0", 0), 0)</f>
        <v>0</v>
      </c>
      <c r="BP32" s="44">
        <v>0</v>
      </c>
      <c r="BQ32" s="342">
        <f>IFERROR(_xlfn.IFS($C32="1", 'Inputs-System'!$C$30*'Coincidence Factors'!$B$8*'Inputs-Proposals'!$G$17*'Inputs-Proposals'!$G$19*(VLOOKUP(BL$3,'Non-Embedded Emissions'!$A$56:$D$90,2,FALSE)+VLOOKUP(BL$3,'Non-Embedded Emissions'!$A$143:$D$174,2,FALSE)+VLOOKUP(BL$3,'Non-Embedded Emissions'!$A$230:$D$259,2,FALSE)), $C32 = "2", 'Inputs-System'!$C$30*'Coincidence Factors'!$B$8*'Inputs-Proposals'!$G$23*'Inputs-Proposals'!$G$25*(VLOOKUP(BL$3,'Non-Embedded Emissions'!$A$56:$D$90,2,FALSE)+VLOOKUP(BL$3,'Non-Embedded Emissions'!$A$143:$D$174,2,FALSE)+VLOOKUP(BL$3,'Non-Embedded Emissions'!$A$230:$D$259,2,FALSE)), $C32 = "3", 'Inputs-System'!$C$30*'Coincidence Factors'!$B$8*'Inputs-Proposals'!$G$29*'Inputs-Proposals'!$G$31*(VLOOKUP(BL$3,'Non-Embedded Emissions'!$A$56:$D$90,2,FALSE)+VLOOKUP(BL$3,'Non-Embedded Emissions'!$A$143:$D$174,2,FALSE)+VLOOKUP(BL$3,'Non-Embedded Emissions'!$A$230:$D$259,2,FALSE)), $C32 = "0", 0), 0)</f>
        <v>0</v>
      </c>
      <c r="BR32" s="347">
        <f>IFERROR(_xlfn.IFS($C32="1",('Inputs-System'!$C$30*'Coincidence Factors'!$B$8*(1+'Inputs-System'!$C$18)*(1+'Inputs-System'!$C$41)*('Inputs-Proposals'!$G$17*'Inputs-Proposals'!$G$19*('Inputs-Proposals'!$G$20))*(VLOOKUP(BR$3,Energy!$A$51:$K$83,5,FALSE))), $C32 = "2",('Inputs-System'!$C$30*'Coincidence Factors'!$B$8)*(1+'Inputs-System'!$C$18)*(1+'Inputs-System'!$C$41)*('Inputs-Proposals'!$G$23*'Inputs-Proposals'!$G$25*('Inputs-Proposals'!$G$26))*(VLOOKUP(BR$3,Energy!$A$51:$K$83,5,FALSE)), $C32= "3", ('Inputs-System'!$C$30*'Coincidence Factors'!$B$8*(1+'Inputs-System'!$C$18)*(1+'Inputs-System'!$C$41)*('Inputs-Proposals'!$G$29*'Inputs-Proposals'!$G$31*('Inputs-Proposals'!$G$32))*(VLOOKUP(BR$3,Energy!$A$51:$K$83,5,FALSE))), $C32= "0", 0), 0)</f>
        <v>0</v>
      </c>
      <c r="BS32" s="44">
        <f>IFERROR(_xlfn.IFS($C32="1",'Inputs-System'!$C$30*'Coincidence Factors'!$B$8*(1+'Inputs-System'!$C$18)*(1+'Inputs-System'!$C$41)*'Inputs-Proposals'!$G$17*'Inputs-Proposals'!$G$19*('Inputs-Proposals'!$G$20)*(VLOOKUP(BR$3,'Embedded Emissions'!$A$47:$B$78,2,FALSE)+VLOOKUP(BR$3,'Embedded Emissions'!$A$129:$B$158,2,FALSE)), $C32 = "2", 'Inputs-System'!$C$30*'Coincidence Factors'!$B$8*(1+'Inputs-System'!$C$18)*(1+'Inputs-System'!$C$41)*'Inputs-Proposals'!$G$23*'Inputs-Proposals'!$G$25*('Inputs-Proposals'!$G$20)*(VLOOKUP(BR$3,'Embedded Emissions'!$A$47:$B$78,2,FALSE)+VLOOKUP(BR$3,'Embedded Emissions'!$A$129:$B$158,2,FALSE)), $C32 = "3",'Inputs-System'!$C$30*'Coincidence Factors'!$B$8*(1+'Inputs-System'!$C$18)*(1+'Inputs-System'!$C$41)*'Inputs-Proposals'!$G$29*'Inputs-Proposals'!$G$31*('Inputs-Proposals'!$G$20)*(VLOOKUP(BR$3,'Embedded Emissions'!$A$47:$B$78,2,FALSE)+VLOOKUP(BR$3,'Embedded Emissions'!$A$129:$B$158,2,FALSE)), $C32 = "0", 0), 0)</f>
        <v>0</v>
      </c>
      <c r="BT32" s="44">
        <f>IFERROR(_xlfn.IFS($C32="1",( 'Inputs-System'!$C$30*'Coincidence Factors'!$B$8*(1+'Inputs-System'!$C$18)*(1+'Inputs-System'!$C$41))*('Inputs-Proposals'!$G$17*'Inputs-Proposals'!$G$19*('Inputs-Proposals'!$G$20))*(VLOOKUP(BR$3,DRIPE!$A$54:$I$82,5,FALSE)+VLOOKUP(BR$3,DRIPE!$A$54:$I$82,9,FALSE))+ ('Inputs-System'!$C$26*'Coincidence Factors'!$B$8*(1+'Inputs-System'!$C$18)*(1+'Inputs-System'!$C$42))*'Inputs-Proposals'!$G$16*VLOOKUP(BR$3,DRIPE!$A$54:$I$82,8,FALSE), $C32 = "2",( 'Inputs-System'!$C$30*'Coincidence Factors'!$B$8*(1+'Inputs-System'!$C$18)*(1+'Inputs-System'!$C$41))*('Inputs-Proposals'!$G$23*'Inputs-Proposals'!$G$25*('Inputs-Proposals'!$G$26))*(VLOOKUP(BR$3,DRIPE!$A$54:$I$82,5,FALSE)+VLOOKUP(BR$3,DRIPE!$A$54:$I$82,9,FALSE))+  ('Inputs-System'!$C$26*'Coincidence Factors'!$B$8*(1+'Inputs-System'!$C$18)*(1+'Inputs-System'!$C$42))*'Inputs-Proposals'!$G$22*VLOOKUP(BR$3,DRIPE!$A$54:$I$82,8,FALSE), $C32= "3", ( 'Inputs-System'!$C$30*'Coincidence Factors'!$B$8*(1+'Inputs-System'!$C$18)*(1+'Inputs-System'!$C$41))*('Inputs-Proposals'!$G$29*'Inputs-Proposals'!$G$31*('Inputs-Proposals'!$G$32))*(VLOOKUP(BR$3,DRIPE!$A$54:$I$82,5,FALSE)+VLOOKUP(BR$3,DRIPE!$A$54:$I$82,9,FALSE))+  ('Inputs-System'!$C$26*'Coincidence Factors'!$B$8*(1+'Inputs-System'!$C$18)*(1+'Inputs-System'!$C$42))*'Inputs-Proposals'!$G$28*VLOOKUP(BR$3,DRIPE!$A$54:$I$82,8,FALSE), $C32 = "0", 0), 0)</f>
        <v>0</v>
      </c>
      <c r="BU32" s="45">
        <f>IFERROR(_xlfn.IFS($C32="1",('Inputs-System'!$C$30*'Coincidence Factors'!$B$8*(1+'Inputs-System'!$C$18))*'Inputs-Proposals'!$G$16*(VLOOKUP(BR$3,Capacity!$A$53:$E$85,4,FALSE)*(1+'Inputs-System'!$C$42)+VLOOKUP(BR$3,Capacity!$A$53:$E$85,5,FALSE)*'Inputs-System'!$C$29*(1+'Inputs-System'!$C$43)), $C32 = "2", ('Inputs-System'!$C$30*'Coincidence Factors'!$B$8*(1+'Inputs-System'!$C$18))*'Inputs-Proposals'!$G$22*(VLOOKUP(BR$3,Capacity!$A$53:$E$85,4,FALSE)*(1+'Inputs-System'!$C$42)+VLOOKUP(BR$3,Capacity!$A$53:$E$85,5,FALSE)*'Inputs-System'!$C$29*(1+'Inputs-System'!$C$43)), $C32 = "3",('Inputs-System'!$C$30*'Coincidence Factors'!$B$8*(1+'Inputs-System'!$C$18))*'Inputs-Proposals'!$G$28*(VLOOKUP(BR$3,Capacity!$A$53:$E$85,4,FALSE)*(1+'Inputs-System'!$C$42)+VLOOKUP(BR$3,Capacity!$A$53:$E$85,5,FALSE)*'Inputs-System'!$C$29*(1+'Inputs-System'!$C$43)), $C32 = "0", 0), 0)</f>
        <v>0</v>
      </c>
      <c r="BV32" s="44">
        <v>0</v>
      </c>
      <c r="BW32" s="342">
        <f>IFERROR(_xlfn.IFS($C32="1", 'Inputs-System'!$C$30*'Coincidence Factors'!$B$8*'Inputs-Proposals'!$G$17*'Inputs-Proposals'!$G$19*(VLOOKUP(BR$3,'Non-Embedded Emissions'!$A$56:$D$90,2,FALSE)+VLOOKUP(BR$3,'Non-Embedded Emissions'!$A$143:$D$174,2,FALSE)+VLOOKUP(BR$3,'Non-Embedded Emissions'!$A$230:$D$259,2,FALSE)), $C32 = "2", 'Inputs-System'!$C$30*'Coincidence Factors'!$B$8*'Inputs-Proposals'!$G$23*'Inputs-Proposals'!$G$25*(VLOOKUP(BR$3,'Non-Embedded Emissions'!$A$56:$D$90,2,FALSE)+VLOOKUP(BR$3,'Non-Embedded Emissions'!$A$143:$D$174,2,FALSE)+VLOOKUP(BR$3,'Non-Embedded Emissions'!$A$230:$D$259,2,FALSE)), $C32 = "3", 'Inputs-System'!$C$30*'Coincidence Factors'!$B$8*'Inputs-Proposals'!$G$29*'Inputs-Proposals'!$G$31*(VLOOKUP(BR$3,'Non-Embedded Emissions'!$A$56:$D$90,2,FALSE)+VLOOKUP(BR$3,'Non-Embedded Emissions'!$A$143:$D$174,2,FALSE)+VLOOKUP(BR$3,'Non-Embedded Emissions'!$A$230:$D$259,2,FALSE)), $C32 = "0", 0), 0)</f>
        <v>0</v>
      </c>
      <c r="BX32" s="347">
        <f>IFERROR(_xlfn.IFS($C32="1",('Inputs-System'!$C$30*'Coincidence Factors'!$B$8*(1+'Inputs-System'!$C$18)*(1+'Inputs-System'!$C$41)*('Inputs-Proposals'!$G$17*'Inputs-Proposals'!$G$19*('Inputs-Proposals'!$G$20))*(VLOOKUP(BX$3,Energy!$A$51:$K$83,5,FALSE))), $C32 = "2",('Inputs-System'!$C$30*'Coincidence Factors'!$B$8)*(1+'Inputs-System'!$C$18)*(1+'Inputs-System'!$C$41)*('Inputs-Proposals'!$G$23*'Inputs-Proposals'!$G$25*('Inputs-Proposals'!$G$26))*(VLOOKUP(BX$3,Energy!$A$51:$K$83,5,FALSE)), $C32= "3", ('Inputs-System'!$C$30*'Coincidence Factors'!$B$8*(1+'Inputs-System'!$C$18)*(1+'Inputs-System'!$C$41)*('Inputs-Proposals'!$G$29*'Inputs-Proposals'!$G$31*('Inputs-Proposals'!$G$32))*(VLOOKUP(BX$3,Energy!$A$51:$K$83,5,FALSE))), $C32= "0", 0), 0)</f>
        <v>0</v>
      </c>
      <c r="BY32" s="44">
        <f>IFERROR(_xlfn.IFS($C32="1",'Inputs-System'!$C$30*'Coincidence Factors'!$B$8*(1+'Inputs-System'!$C$18)*(1+'Inputs-System'!$C$41)*'Inputs-Proposals'!$G$17*'Inputs-Proposals'!$G$19*('Inputs-Proposals'!$G$20)*(VLOOKUP(BX$3,'Embedded Emissions'!$A$47:$B$78,2,FALSE)+VLOOKUP(BX$3,'Embedded Emissions'!$A$129:$B$158,2,FALSE)), $C32 = "2", 'Inputs-System'!$C$30*'Coincidence Factors'!$B$8*(1+'Inputs-System'!$C$18)*(1+'Inputs-System'!$C$41)*'Inputs-Proposals'!$G$23*'Inputs-Proposals'!$G$25*('Inputs-Proposals'!$G$20)*(VLOOKUP(BX$3,'Embedded Emissions'!$A$47:$B$78,2,FALSE)+VLOOKUP(BX$3,'Embedded Emissions'!$A$129:$B$158,2,FALSE)), $C32 = "3",'Inputs-System'!$C$30*'Coincidence Factors'!$B$8*(1+'Inputs-System'!$C$18)*(1+'Inputs-System'!$C$41)*'Inputs-Proposals'!$G$29*'Inputs-Proposals'!$G$31*('Inputs-Proposals'!$G$20)*(VLOOKUP(BX$3,'Embedded Emissions'!$A$47:$B$78,2,FALSE)+VLOOKUP(BX$3,'Embedded Emissions'!$A$129:$B$158,2,FALSE)), $C32 = "0", 0), 0)</f>
        <v>0</v>
      </c>
      <c r="BZ32" s="44">
        <f>IFERROR(_xlfn.IFS($C32="1",( 'Inputs-System'!$C$30*'Coincidence Factors'!$B$8*(1+'Inputs-System'!$C$18)*(1+'Inputs-System'!$C$41))*('Inputs-Proposals'!$G$17*'Inputs-Proposals'!$G$19*('Inputs-Proposals'!$G$20))*(VLOOKUP(BX$3,DRIPE!$A$54:$I$82,5,FALSE)+VLOOKUP(BX$3,DRIPE!$A$54:$I$82,9,FALSE))+ ('Inputs-System'!$C$26*'Coincidence Factors'!$B$8*(1+'Inputs-System'!$C$18)*(1+'Inputs-System'!$C$42))*'Inputs-Proposals'!$G$16*VLOOKUP(BX$3,DRIPE!$A$54:$I$82,8,FALSE), $C32 = "2",( 'Inputs-System'!$C$30*'Coincidence Factors'!$B$8*(1+'Inputs-System'!$C$18)*(1+'Inputs-System'!$C$41))*('Inputs-Proposals'!$G$23*'Inputs-Proposals'!$G$25*('Inputs-Proposals'!$G$26))*(VLOOKUP(BX$3,DRIPE!$A$54:$I$82,5,FALSE)+VLOOKUP(BX$3,DRIPE!$A$54:$I$82,9,FALSE))+  ('Inputs-System'!$C$26*'Coincidence Factors'!$B$8*(1+'Inputs-System'!$C$18)*(1+'Inputs-System'!$C$42))*'Inputs-Proposals'!$G$22*VLOOKUP(BX$3,DRIPE!$A$54:$I$82,8,FALSE), $C32= "3", ( 'Inputs-System'!$C$30*'Coincidence Factors'!$B$8*(1+'Inputs-System'!$C$18)*(1+'Inputs-System'!$C$41))*('Inputs-Proposals'!$G$29*'Inputs-Proposals'!$G$31*('Inputs-Proposals'!$G$32))*(VLOOKUP(BX$3,DRIPE!$A$54:$I$82,5,FALSE)+VLOOKUP(BX$3,DRIPE!$A$54:$I$82,9,FALSE))+  ('Inputs-System'!$C$26*'Coincidence Factors'!$B$8*(1+'Inputs-System'!$C$18)*(1+'Inputs-System'!$C$42))*'Inputs-Proposals'!$G$28*VLOOKUP(BX$3,DRIPE!$A$54:$I$82,8,FALSE), $C32 = "0", 0), 0)</f>
        <v>0</v>
      </c>
      <c r="CA32" s="45">
        <f>IFERROR(_xlfn.IFS($C32="1",('Inputs-System'!$C$30*'Coincidence Factors'!$B$8*(1+'Inputs-System'!$C$18))*'Inputs-Proposals'!$G$16*(VLOOKUP(BX$3,Capacity!$A$53:$E$85,4,FALSE)*(1+'Inputs-System'!$C$42)+VLOOKUP(BX$3,Capacity!$A$53:$E$85,5,FALSE)*'Inputs-System'!$C$29*(1+'Inputs-System'!$C$43)), $C32 = "2", ('Inputs-System'!$C$30*'Coincidence Factors'!$B$8*(1+'Inputs-System'!$C$18))*'Inputs-Proposals'!$G$22*(VLOOKUP(BX$3,Capacity!$A$53:$E$85,4,FALSE)*(1+'Inputs-System'!$C$42)+VLOOKUP(BX$3,Capacity!$A$53:$E$85,5,FALSE)*'Inputs-System'!$C$29*(1+'Inputs-System'!$C$43)), $C32 = "3",('Inputs-System'!$C$30*'Coincidence Factors'!$B$8*(1+'Inputs-System'!$C$18))*'Inputs-Proposals'!$G$28*(VLOOKUP(BX$3,Capacity!$A$53:$E$85,4,FALSE)*(1+'Inputs-System'!$C$42)+VLOOKUP(BX$3,Capacity!$A$53:$E$85,5,FALSE)*'Inputs-System'!$C$29*(1+'Inputs-System'!$C$43)), $C32 = "0", 0), 0)</f>
        <v>0</v>
      </c>
      <c r="CB32" s="44">
        <v>0</v>
      </c>
      <c r="CC32" s="342">
        <f>IFERROR(_xlfn.IFS($C32="1", 'Inputs-System'!$C$30*'Coincidence Factors'!$B$8*'Inputs-Proposals'!$G$17*'Inputs-Proposals'!$G$19*(VLOOKUP(BX$3,'Non-Embedded Emissions'!$A$56:$D$90,2,FALSE)+VLOOKUP(BX$3,'Non-Embedded Emissions'!$A$143:$D$174,2,FALSE)+VLOOKUP(BX$3,'Non-Embedded Emissions'!$A$230:$D$259,2,FALSE)), $C32 = "2", 'Inputs-System'!$C$30*'Coincidence Factors'!$B$8*'Inputs-Proposals'!$G$23*'Inputs-Proposals'!$G$25*(VLOOKUP(BX$3,'Non-Embedded Emissions'!$A$56:$D$90,2,FALSE)+VLOOKUP(BX$3,'Non-Embedded Emissions'!$A$143:$D$174,2,FALSE)+VLOOKUP(BX$3,'Non-Embedded Emissions'!$A$230:$D$259,2,FALSE)), $C32 = "3", 'Inputs-System'!$C$30*'Coincidence Factors'!$B$8*'Inputs-Proposals'!$G$29*'Inputs-Proposals'!$G$31*(VLOOKUP(BX$3,'Non-Embedded Emissions'!$A$56:$D$90,2,FALSE)+VLOOKUP(BX$3,'Non-Embedded Emissions'!$A$143:$D$174,2,FALSE)+VLOOKUP(BX$3,'Non-Embedded Emissions'!$A$230:$D$259,2,FALSE)), $C32 = "0", 0), 0)</f>
        <v>0</v>
      </c>
      <c r="CD32" s="347">
        <f>IFERROR(_xlfn.IFS($C32="1",('Inputs-System'!$C$30*'Coincidence Factors'!$B$8*(1+'Inputs-System'!$C$18)*(1+'Inputs-System'!$C$41)*('Inputs-Proposals'!$G$17*'Inputs-Proposals'!$G$19*('Inputs-Proposals'!$G$20))*(VLOOKUP(CD$3,Energy!$A$51:$K$83,5,FALSE))), $C32 = "2",('Inputs-System'!$C$30*'Coincidence Factors'!$B$8)*(1+'Inputs-System'!$C$18)*(1+'Inputs-System'!$C$41)*('Inputs-Proposals'!$G$23*'Inputs-Proposals'!$G$25*('Inputs-Proposals'!$G$26))*(VLOOKUP(CD$3,Energy!$A$51:$K$83,5,FALSE)), $C32= "3", ('Inputs-System'!$C$30*'Coincidence Factors'!$B$8*(1+'Inputs-System'!$C$18)*(1+'Inputs-System'!$C$41)*('Inputs-Proposals'!$G$29*'Inputs-Proposals'!$G$31*('Inputs-Proposals'!$G$32))*(VLOOKUP(CD$3,Energy!$A$51:$K$83,5,FALSE))), $C32= "0", 0), 0)</f>
        <v>0</v>
      </c>
      <c r="CE32" s="44">
        <f>IFERROR(_xlfn.IFS($C32="1",'Inputs-System'!$C$30*'Coincidence Factors'!$B$8*(1+'Inputs-System'!$C$18)*(1+'Inputs-System'!$C$41)*'Inputs-Proposals'!$G$17*'Inputs-Proposals'!$G$19*('Inputs-Proposals'!$G$20)*(VLOOKUP(CD$3,'Embedded Emissions'!$A$47:$B$78,2,FALSE)+VLOOKUP(CD$3,'Embedded Emissions'!$A$129:$B$158,2,FALSE)), $C32 = "2", 'Inputs-System'!$C$30*'Coincidence Factors'!$B$8*(1+'Inputs-System'!$C$18)*(1+'Inputs-System'!$C$41)*'Inputs-Proposals'!$G$23*'Inputs-Proposals'!$G$25*('Inputs-Proposals'!$G$20)*(VLOOKUP(CD$3,'Embedded Emissions'!$A$47:$B$78,2,FALSE)+VLOOKUP(CD$3,'Embedded Emissions'!$A$129:$B$158,2,FALSE)), $C32 = "3",'Inputs-System'!$C$30*'Coincidence Factors'!$B$8*(1+'Inputs-System'!$C$18)*(1+'Inputs-System'!$C$41)*'Inputs-Proposals'!$G$29*'Inputs-Proposals'!$G$31*('Inputs-Proposals'!$G$20)*(VLOOKUP(CD$3,'Embedded Emissions'!$A$47:$B$78,2,FALSE)+VLOOKUP(CD$3,'Embedded Emissions'!$A$129:$B$158,2,FALSE)), $C32 = "0", 0), 0)</f>
        <v>0</v>
      </c>
      <c r="CF32" s="44">
        <f>IFERROR(_xlfn.IFS($C32="1",( 'Inputs-System'!$C$30*'Coincidence Factors'!$B$8*(1+'Inputs-System'!$C$18)*(1+'Inputs-System'!$C$41))*('Inputs-Proposals'!$G$17*'Inputs-Proposals'!$G$19*('Inputs-Proposals'!$G$20))*(VLOOKUP(CD$3,DRIPE!$A$54:$I$82,5,FALSE)+VLOOKUP(CD$3,DRIPE!$A$54:$I$82,9,FALSE))+ ('Inputs-System'!$C$26*'Coincidence Factors'!$B$8*(1+'Inputs-System'!$C$18)*(1+'Inputs-System'!$C$42))*'Inputs-Proposals'!$G$16*VLOOKUP(CD$3,DRIPE!$A$54:$I$82,8,FALSE), $C32 = "2",( 'Inputs-System'!$C$30*'Coincidence Factors'!$B$8*(1+'Inputs-System'!$C$18)*(1+'Inputs-System'!$C$41))*('Inputs-Proposals'!$G$23*'Inputs-Proposals'!$G$25*('Inputs-Proposals'!$G$26))*(VLOOKUP(CD$3,DRIPE!$A$54:$I$82,5,FALSE)+VLOOKUP(CD$3,DRIPE!$A$54:$I$82,9,FALSE))+  ('Inputs-System'!$C$26*'Coincidence Factors'!$B$8*(1+'Inputs-System'!$C$18)*(1+'Inputs-System'!$C$42))*'Inputs-Proposals'!$G$22*VLOOKUP(CD$3,DRIPE!$A$54:$I$82,8,FALSE), $C32= "3", ( 'Inputs-System'!$C$30*'Coincidence Factors'!$B$8*(1+'Inputs-System'!$C$18)*(1+'Inputs-System'!$C$41))*('Inputs-Proposals'!$G$29*'Inputs-Proposals'!$G$31*('Inputs-Proposals'!$G$32))*(VLOOKUP(CD$3,DRIPE!$A$54:$I$82,5,FALSE)+VLOOKUP(CD$3,DRIPE!$A$54:$I$82,9,FALSE))+  ('Inputs-System'!$C$26*'Coincidence Factors'!$B$8*(1+'Inputs-System'!$C$18)*(1+'Inputs-System'!$C$42))*'Inputs-Proposals'!$G$28*VLOOKUP(CD$3,DRIPE!$A$54:$I$82,8,FALSE), $C32 = "0", 0), 0)</f>
        <v>0</v>
      </c>
      <c r="CG32" s="45">
        <f>IFERROR(_xlfn.IFS($C32="1",('Inputs-System'!$C$30*'Coincidence Factors'!$B$8*(1+'Inputs-System'!$C$18))*'Inputs-Proposals'!$G$16*(VLOOKUP(CD$3,Capacity!$A$53:$E$85,4,FALSE)*(1+'Inputs-System'!$C$42)+VLOOKUP(CD$3,Capacity!$A$53:$E$85,5,FALSE)*'Inputs-System'!$C$29*(1+'Inputs-System'!$C$43)), $C32 = "2", ('Inputs-System'!$C$30*'Coincidence Factors'!$B$8*(1+'Inputs-System'!$C$18))*'Inputs-Proposals'!$G$22*(VLOOKUP(CD$3,Capacity!$A$53:$E$85,4,FALSE)*(1+'Inputs-System'!$C$42)+VLOOKUP(CD$3,Capacity!$A$53:$E$85,5,FALSE)*'Inputs-System'!$C$29*(1+'Inputs-System'!$C$43)), $C32 = "3",('Inputs-System'!$C$30*'Coincidence Factors'!$B$8*(1+'Inputs-System'!$C$18))*'Inputs-Proposals'!$G$28*(VLOOKUP(CD$3,Capacity!$A$53:$E$85,4,FALSE)*(1+'Inputs-System'!$C$42)+VLOOKUP(CD$3,Capacity!$A$53:$E$85,5,FALSE)*'Inputs-System'!$C$29*(1+'Inputs-System'!$C$43)), $C32 = "0", 0), 0)</f>
        <v>0</v>
      </c>
      <c r="CH32" s="44">
        <v>0</v>
      </c>
      <c r="CI32" s="342">
        <f>IFERROR(_xlfn.IFS($C32="1", 'Inputs-System'!$C$30*'Coincidence Factors'!$B$8*'Inputs-Proposals'!$G$17*'Inputs-Proposals'!$G$19*(VLOOKUP(CD$3,'Non-Embedded Emissions'!$A$56:$D$90,2,FALSE)+VLOOKUP(CD$3,'Non-Embedded Emissions'!$A$143:$D$174,2,FALSE)+VLOOKUP(CD$3,'Non-Embedded Emissions'!$A$230:$D$259,2,FALSE)), $C32 = "2", 'Inputs-System'!$C$30*'Coincidence Factors'!$B$8*'Inputs-Proposals'!$G$23*'Inputs-Proposals'!$G$25*(VLOOKUP(CD$3,'Non-Embedded Emissions'!$A$56:$D$90,2,FALSE)+VLOOKUP(CD$3,'Non-Embedded Emissions'!$A$143:$D$174,2,FALSE)+VLOOKUP(CD$3,'Non-Embedded Emissions'!$A$230:$D$259,2,FALSE)), $C32 = "3", 'Inputs-System'!$C$30*'Coincidence Factors'!$B$8*'Inputs-Proposals'!$G$29*'Inputs-Proposals'!$G$31*(VLOOKUP(CD$3,'Non-Embedded Emissions'!$A$56:$D$90,2,FALSE)+VLOOKUP(CD$3,'Non-Embedded Emissions'!$A$143:$D$174,2,FALSE)+VLOOKUP(CD$3,'Non-Embedded Emissions'!$A$230:$D$259,2,FALSE)), $C32 = "0", 0), 0)</f>
        <v>0</v>
      </c>
      <c r="CJ32" s="347">
        <f>IFERROR(_xlfn.IFS($C32="1",('Inputs-System'!$C$30*'Coincidence Factors'!$B$8*(1+'Inputs-System'!$C$18)*(1+'Inputs-System'!$C$41)*('Inputs-Proposals'!$G$17*'Inputs-Proposals'!$G$19*('Inputs-Proposals'!$G$20))*(VLOOKUP(CJ$3,Energy!$A$51:$K$83,5,FALSE))), $C32 = "2",('Inputs-System'!$C$30*'Coincidence Factors'!$B$8)*(1+'Inputs-System'!$C$18)*(1+'Inputs-System'!$C$41)*('Inputs-Proposals'!$G$23*'Inputs-Proposals'!$G$25*('Inputs-Proposals'!$G$26))*(VLOOKUP(CJ$3,Energy!$A$51:$K$83,5,FALSE)), $C32= "3", ('Inputs-System'!$C$30*'Coincidence Factors'!$B$8*(1+'Inputs-System'!$C$18)*(1+'Inputs-System'!$C$41)*('Inputs-Proposals'!$G$29*'Inputs-Proposals'!$G$31*('Inputs-Proposals'!$G$32))*(VLOOKUP(CJ$3,Energy!$A$51:$K$83,5,FALSE))), $C32= "0", 0), 0)</f>
        <v>0</v>
      </c>
      <c r="CK32" s="44">
        <f>IFERROR(_xlfn.IFS($C32="1",'Inputs-System'!$C$30*'Coincidence Factors'!$B$8*(1+'Inputs-System'!$C$18)*(1+'Inputs-System'!$C$41)*'Inputs-Proposals'!$G$17*'Inputs-Proposals'!$G$19*('Inputs-Proposals'!$G$20)*(VLOOKUP(CJ$3,'Embedded Emissions'!$A$47:$B$78,2,FALSE)+VLOOKUP(CJ$3,'Embedded Emissions'!$A$129:$B$158,2,FALSE)), $C32 = "2", 'Inputs-System'!$C$30*'Coincidence Factors'!$B$8*(1+'Inputs-System'!$C$18)*(1+'Inputs-System'!$C$41)*'Inputs-Proposals'!$G$23*'Inputs-Proposals'!$G$25*('Inputs-Proposals'!$G$20)*(VLOOKUP(CJ$3,'Embedded Emissions'!$A$47:$B$78,2,FALSE)+VLOOKUP(CJ$3,'Embedded Emissions'!$A$129:$B$158,2,FALSE)), $C32 = "3",'Inputs-System'!$C$30*'Coincidence Factors'!$B$8*(1+'Inputs-System'!$C$18)*(1+'Inputs-System'!$C$41)*'Inputs-Proposals'!$G$29*'Inputs-Proposals'!$G$31*('Inputs-Proposals'!$G$20)*(VLOOKUP(CJ$3,'Embedded Emissions'!$A$47:$B$78,2,FALSE)+VLOOKUP(CJ$3,'Embedded Emissions'!$A$129:$B$158,2,FALSE)), $C32 = "0", 0), 0)</f>
        <v>0</v>
      </c>
      <c r="CL32" s="44">
        <f>IFERROR(_xlfn.IFS($C32="1",( 'Inputs-System'!$C$30*'Coincidence Factors'!$B$8*(1+'Inputs-System'!$C$18)*(1+'Inputs-System'!$C$41))*('Inputs-Proposals'!$G$17*'Inputs-Proposals'!$G$19*('Inputs-Proposals'!$G$20))*(VLOOKUP(CJ$3,DRIPE!$A$54:$I$82,5,FALSE)+VLOOKUP(CJ$3,DRIPE!$A$54:$I$82,9,FALSE))+ ('Inputs-System'!$C$26*'Coincidence Factors'!$B$8*(1+'Inputs-System'!$C$18)*(1+'Inputs-System'!$C$42))*'Inputs-Proposals'!$G$16*VLOOKUP(CJ$3,DRIPE!$A$54:$I$82,8,FALSE), $C32 = "2",( 'Inputs-System'!$C$30*'Coincidence Factors'!$B$8*(1+'Inputs-System'!$C$18)*(1+'Inputs-System'!$C$41))*('Inputs-Proposals'!$G$23*'Inputs-Proposals'!$G$25*('Inputs-Proposals'!$G$26))*(VLOOKUP(CJ$3,DRIPE!$A$54:$I$82,5,FALSE)+VLOOKUP(CJ$3,DRIPE!$A$54:$I$82,9,FALSE))+  ('Inputs-System'!$C$26*'Coincidence Factors'!$B$8*(1+'Inputs-System'!$C$18)*(1+'Inputs-System'!$C$42))*'Inputs-Proposals'!$G$22*VLOOKUP(CJ$3,DRIPE!$A$54:$I$82,8,FALSE), $C32= "3", ( 'Inputs-System'!$C$30*'Coincidence Factors'!$B$8*(1+'Inputs-System'!$C$18)*(1+'Inputs-System'!$C$41))*('Inputs-Proposals'!$G$29*'Inputs-Proposals'!$G$31*('Inputs-Proposals'!$G$32))*(VLOOKUP(CJ$3,DRIPE!$A$54:$I$82,5,FALSE)+VLOOKUP(CJ$3,DRIPE!$A$54:$I$82,9,FALSE))+  ('Inputs-System'!$C$26*'Coincidence Factors'!$B$8*(1+'Inputs-System'!$C$18)*(1+'Inputs-System'!$C$42))*'Inputs-Proposals'!$G$28*VLOOKUP(CJ$3,DRIPE!$A$54:$I$82,8,FALSE), $C32 = "0", 0), 0)</f>
        <v>0</v>
      </c>
      <c r="CM32" s="45">
        <f>IFERROR(_xlfn.IFS($C32="1",('Inputs-System'!$C$30*'Coincidence Factors'!$B$8*(1+'Inputs-System'!$C$18))*'Inputs-Proposals'!$G$16*(VLOOKUP(CJ$3,Capacity!$A$53:$E$85,4,FALSE)*(1+'Inputs-System'!$C$42)+VLOOKUP(CJ$3,Capacity!$A$53:$E$85,5,FALSE)*'Inputs-System'!$C$29*(1+'Inputs-System'!$C$43)), $C32 = "2", ('Inputs-System'!$C$30*'Coincidence Factors'!$B$8*(1+'Inputs-System'!$C$18))*'Inputs-Proposals'!$G$22*(VLOOKUP(CJ$3,Capacity!$A$53:$E$85,4,FALSE)*(1+'Inputs-System'!$C$42)+VLOOKUP(CJ$3,Capacity!$A$53:$E$85,5,FALSE)*'Inputs-System'!$C$29*(1+'Inputs-System'!$C$43)), $C32 = "3",('Inputs-System'!$C$30*'Coincidence Factors'!$B$8*(1+'Inputs-System'!$C$18))*'Inputs-Proposals'!$G$28*(VLOOKUP(CJ$3,Capacity!$A$53:$E$85,4,FALSE)*(1+'Inputs-System'!$C$42)+VLOOKUP(CJ$3,Capacity!$A$53:$E$85,5,FALSE)*'Inputs-System'!$C$29*(1+'Inputs-System'!$C$43)), $C32 = "0", 0), 0)</f>
        <v>0</v>
      </c>
      <c r="CN32" s="44">
        <v>0</v>
      </c>
      <c r="CO32" s="342">
        <f>IFERROR(_xlfn.IFS($C32="1", 'Inputs-System'!$C$30*'Coincidence Factors'!$B$8*'Inputs-Proposals'!$G$17*'Inputs-Proposals'!$G$19*(VLOOKUP(CJ$3,'Non-Embedded Emissions'!$A$56:$D$90,2,FALSE)+VLOOKUP(CJ$3,'Non-Embedded Emissions'!$A$143:$D$174,2,FALSE)+VLOOKUP(CJ$3,'Non-Embedded Emissions'!$A$230:$D$259,2,FALSE)), $C32 = "2", 'Inputs-System'!$C$30*'Coincidence Factors'!$B$8*'Inputs-Proposals'!$G$23*'Inputs-Proposals'!$G$25*(VLOOKUP(CJ$3,'Non-Embedded Emissions'!$A$56:$D$90,2,FALSE)+VLOOKUP(CJ$3,'Non-Embedded Emissions'!$A$143:$D$174,2,FALSE)+VLOOKUP(CJ$3,'Non-Embedded Emissions'!$A$230:$D$259,2,FALSE)), $C32 = "3", 'Inputs-System'!$C$30*'Coincidence Factors'!$B$8*'Inputs-Proposals'!$G$29*'Inputs-Proposals'!$G$31*(VLOOKUP(CJ$3,'Non-Embedded Emissions'!$A$56:$D$90,2,FALSE)+VLOOKUP(CJ$3,'Non-Embedded Emissions'!$A$143:$D$174,2,FALSE)+VLOOKUP(CJ$3,'Non-Embedded Emissions'!$A$230:$D$259,2,FALSE)), $C32 = "0", 0), 0)</f>
        <v>0</v>
      </c>
      <c r="CP32" s="347">
        <f>IFERROR(_xlfn.IFS($C32="1",('Inputs-System'!$C$30*'Coincidence Factors'!$B$8*(1+'Inputs-System'!$C$18)*(1+'Inputs-System'!$C$41)*('Inputs-Proposals'!$G$17*'Inputs-Proposals'!$G$19*('Inputs-Proposals'!$G$20))*(VLOOKUP(CP$3,Energy!$A$51:$K$83,5,FALSE))), $C32 = "2",('Inputs-System'!$C$30*'Coincidence Factors'!$B$8)*(1+'Inputs-System'!$C$18)*(1+'Inputs-System'!$C$41)*('Inputs-Proposals'!$G$23*'Inputs-Proposals'!$G$25*('Inputs-Proposals'!$G$26))*(VLOOKUP(CP$3,Energy!$A$51:$K$83,5,FALSE)), $C32= "3", ('Inputs-System'!$C$30*'Coincidence Factors'!$B$8*(1+'Inputs-System'!$C$18)*(1+'Inputs-System'!$C$41)*('Inputs-Proposals'!$G$29*'Inputs-Proposals'!$G$31*('Inputs-Proposals'!$G$32))*(VLOOKUP(CP$3,Energy!$A$51:$K$83,5,FALSE))), $C32= "0", 0), 0)</f>
        <v>0</v>
      </c>
      <c r="CQ32" s="44">
        <f>IFERROR(_xlfn.IFS($C32="1",'Inputs-System'!$C$30*'Coincidence Factors'!$B$8*(1+'Inputs-System'!$C$18)*(1+'Inputs-System'!$C$41)*'Inputs-Proposals'!$G$17*'Inputs-Proposals'!$G$19*('Inputs-Proposals'!$G$20)*(VLOOKUP(CP$3,'Embedded Emissions'!$A$47:$B$78,2,FALSE)+VLOOKUP(CP$3,'Embedded Emissions'!$A$129:$B$158,2,FALSE)), $C32 = "2", 'Inputs-System'!$C$30*'Coincidence Factors'!$B$8*(1+'Inputs-System'!$C$18)*(1+'Inputs-System'!$C$41)*'Inputs-Proposals'!$G$23*'Inputs-Proposals'!$G$25*('Inputs-Proposals'!$G$20)*(VLOOKUP(CP$3,'Embedded Emissions'!$A$47:$B$78,2,FALSE)+VLOOKUP(CP$3,'Embedded Emissions'!$A$129:$B$158,2,FALSE)), $C32 = "3",'Inputs-System'!$C$30*'Coincidence Factors'!$B$8*(1+'Inputs-System'!$C$18)*(1+'Inputs-System'!$C$41)*'Inputs-Proposals'!$G$29*'Inputs-Proposals'!$G$31*('Inputs-Proposals'!$G$20)*(VLOOKUP(CP$3,'Embedded Emissions'!$A$47:$B$78,2,FALSE)+VLOOKUP(CP$3,'Embedded Emissions'!$A$129:$B$158,2,FALSE)), $C32 = "0", 0), 0)</f>
        <v>0</v>
      </c>
      <c r="CR32" s="44">
        <f>IFERROR(_xlfn.IFS($C32="1",( 'Inputs-System'!$C$30*'Coincidence Factors'!$B$8*(1+'Inputs-System'!$C$18)*(1+'Inputs-System'!$C$41))*('Inputs-Proposals'!$G$17*'Inputs-Proposals'!$G$19*('Inputs-Proposals'!$G$20))*(VLOOKUP(CP$3,DRIPE!$A$54:$I$82,5,FALSE)+VLOOKUP(CP$3,DRIPE!$A$54:$I$82,9,FALSE))+ ('Inputs-System'!$C$26*'Coincidence Factors'!$B$8*(1+'Inputs-System'!$C$18)*(1+'Inputs-System'!$C$42))*'Inputs-Proposals'!$G$16*VLOOKUP(CP$3,DRIPE!$A$54:$I$82,8,FALSE), $C32 = "2",( 'Inputs-System'!$C$30*'Coincidence Factors'!$B$8*(1+'Inputs-System'!$C$18)*(1+'Inputs-System'!$C$41))*('Inputs-Proposals'!$G$23*'Inputs-Proposals'!$G$25*('Inputs-Proposals'!$G$26))*(VLOOKUP(CP$3,DRIPE!$A$54:$I$82,5,FALSE)+VLOOKUP(CP$3,DRIPE!$A$54:$I$82,9,FALSE))+  ('Inputs-System'!$C$26*'Coincidence Factors'!$B$8*(1+'Inputs-System'!$C$18)*(1+'Inputs-System'!$C$42))*'Inputs-Proposals'!$G$22*VLOOKUP(CP$3,DRIPE!$A$54:$I$82,8,FALSE), $C32= "3", ( 'Inputs-System'!$C$30*'Coincidence Factors'!$B$8*(1+'Inputs-System'!$C$18)*(1+'Inputs-System'!$C$41))*('Inputs-Proposals'!$G$29*'Inputs-Proposals'!$G$31*('Inputs-Proposals'!$G$32))*(VLOOKUP(CP$3,DRIPE!$A$54:$I$82,5,FALSE)+VLOOKUP(CP$3,DRIPE!$A$54:$I$82,9,FALSE))+  ('Inputs-System'!$C$26*'Coincidence Factors'!$B$8*(1+'Inputs-System'!$C$18)*(1+'Inputs-System'!$C$42))*'Inputs-Proposals'!$G$28*VLOOKUP(CP$3,DRIPE!$A$54:$I$82,8,FALSE), $C32 = "0", 0), 0)</f>
        <v>0</v>
      </c>
      <c r="CS32" s="45">
        <f>IFERROR(_xlfn.IFS($C32="1",('Inputs-System'!$C$30*'Coincidence Factors'!$B$8*(1+'Inputs-System'!$C$18))*'Inputs-Proposals'!$G$16*(VLOOKUP(CP$3,Capacity!$A$53:$E$85,4,FALSE)*(1+'Inputs-System'!$C$42)+VLOOKUP(CP$3,Capacity!$A$53:$E$85,5,FALSE)*'Inputs-System'!$C$29*(1+'Inputs-System'!$C$43)), $C32 = "2", ('Inputs-System'!$C$30*'Coincidence Factors'!$B$8*(1+'Inputs-System'!$C$18))*'Inputs-Proposals'!$G$22*(VLOOKUP(CP$3,Capacity!$A$53:$E$85,4,FALSE)*(1+'Inputs-System'!$C$42)+VLOOKUP(CP$3,Capacity!$A$53:$E$85,5,FALSE)*'Inputs-System'!$C$29*(1+'Inputs-System'!$C$43)), $C32 = "3",('Inputs-System'!$C$30*'Coincidence Factors'!$B$8*(1+'Inputs-System'!$C$18))*'Inputs-Proposals'!$G$28*(VLOOKUP(CP$3,Capacity!$A$53:$E$85,4,FALSE)*(1+'Inputs-System'!$C$42)+VLOOKUP(CP$3,Capacity!$A$53:$E$85,5,FALSE)*'Inputs-System'!$C$29*(1+'Inputs-System'!$C$43)), $C32 = "0", 0), 0)</f>
        <v>0</v>
      </c>
      <c r="CT32" s="44">
        <v>0</v>
      </c>
      <c r="CU32" s="342">
        <f>IFERROR(_xlfn.IFS($C32="1", 'Inputs-System'!$C$30*'Coincidence Factors'!$B$8*'Inputs-Proposals'!$G$17*'Inputs-Proposals'!$G$19*(VLOOKUP(CP$3,'Non-Embedded Emissions'!$A$56:$D$90,2,FALSE)+VLOOKUP(CP$3,'Non-Embedded Emissions'!$A$143:$D$174,2,FALSE)+VLOOKUP(CP$3,'Non-Embedded Emissions'!$A$230:$D$259,2,FALSE)), $C32 = "2", 'Inputs-System'!$C$30*'Coincidence Factors'!$B$8*'Inputs-Proposals'!$G$23*'Inputs-Proposals'!$G$25*(VLOOKUP(CP$3,'Non-Embedded Emissions'!$A$56:$D$90,2,FALSE)+VLOOKUP(CP$3,'Non-Embedded Emissions'!$A$143:$D$174,2,FALSE)+VLOOKUP(CP$3,'Non-Embedded Emissions'!$A$230:$D$259,2,FALSE)), $C32 = "3", 'Inputs-System'!$C$30*'Coincidence Factors'!$B$8*'Inputs-Proposals'!$G$29*'Inputs-Proposals'!$G$31*(VLOOKUP(CP$3,'Non-Embedded Emissions'!$A$56:$D$90,2,FALSE)+VLOOKUP(CP$3,'Non-Embedded Emissions'!$A$143:$D$174,2,FALSE)+VLOOKUP(CP$3,'Non-Embedded Emissions'!$A$230:$D$259,2,FALSE)), $C32 = "0", 0), 0)</f>
        <v>0</v>
      </c>
      <c r="CV32" s="347">
        <f>IFERROR(_xlfn.IFS($C32="1",('Inputs-System'!$C$30*'Coincidence Factors'!$B$8*(1+'Inputs-System'!$C$18)*(1+'Inputs-System'!$C$41)*('Inputs-Proposals'!$G$17*'Inputs-Proposals'!$G$19*('Inputs-Proposals'!$G$20))*(VLOOKUP(CV$3,Energy!$A$51:$K$83,5,FALSE))), $C32 = "2",('Inputs-System'!$C$30*'Coincidence Factors'!$B$8)*(1+'Inputs-System'!$C$18)*(1+'Inputs-System'!$C$41)*('Inputs-Proposals'!$G$23*'Inputs-Proposals'!$G$25*('Inputs-Proposals'!$G$26))*(VLOOKUP(CV$3,Energy!$A$51:$K$83,5,FALSE)), $C32= "3", ('Inputs-System'!$C$30*'Coincidence Factors'!$B$8*(1+'Inputs-System'!$C$18)*(1+'Inputs-System'!$C$41)*('Inputs-Proposals'!$G$29*'Inputs-Proposals'!$G$31*('Inputs-Proposals'!$G$32))*(VLOOKUP(CV$3,Energy!$A$51:$K$83,5,FALSE))), $C32= "0", 0), 0)</f>
        <v>0</v>
      </c>
      <c r="CW32" s="44">
        <f>IFERROR(_xlfn.IFS($C32="1",'Inputs-System'!$C$30*'Coincidence Factors'!$B$8*(1+'Inputs-System'!$C$18)*(1+'Inputs-System'!$C$41)*'Inputs-Proposals'!$G$17*'Inputs-Proposals'!$G$19*('Inputs-Proposals'!$G$20)*(VLOOKUP(CV$3,'Embedded Emissions'!$A$47:$B$78,2,FALSE)+VLOOKUP(CV$3,'Embedded Emissions'!$A$129:$B$158,2,FALSE)), $C32 = "2", 'Inputs-System'!$C$30*'Coincidence Factors'!$B$8*(1+'Inputs-System'!$C$18)*(1+'Inputs-System'!$C$41)*'Inputs-Proposals'!$G$23*'Inputs-Proposals'!$G$25*('Inputs-Proposals'!$G$20)*(VLOOKUP(CV$3,'Embedded Emissions'!$A$47:$B$78,2,FALSE)+VLOOKUP(CV$3,'Embedded Emissions'!$A$129:$B$158,2,FALSE)), $C32 = "3",'Inputs-System'!$C$30*'Coincidence Factors'!$B$8*(1+'Inputs-System'!$C$18)*(1+'Inputs-System'!$C$41)*'Inputs-Proposals'!$G$29*'Inputs-Proposals'!$G$31*('Inputs-Proposals'!$G$20)*(VLOOKUP(CV$3,'Embedded Emissions'!$A$47:$B$78,2,FALSE)+VLOOKUP(CV$3,'Embedded Emissions'!$A$129:$B$158,2,FALSE)), $C32 = "0", 0), 0)</f>
        <v>0</v>
      </c>
      <c r="CX32" s="44">
        <f>IFERROR(_xlfn.IFS($C32="1",( 'Inputs-System'!$C$30*'Coincidence Factors'!$B$8*(1+'Inputs-System'!$C$18)*(1+'Inputs-System'!$C$41))*('Inputs-Proposals'!$G$17*'Inputs-Proposals'!$G$19*('Inputs-Proposals'!$G$20))*(VLOOKUP(CV$3,DRIPE!$A$54:$I$82,5,FALSE)+VLOOKUP(CV$3,DRIPE!$A$54:$I$82,9,FALSE))+ ('Inputs-System'!$C$26*'Coincidence Factors'!$B$8*(1+'Inputs-System'!$C$18)*(1+'Inputs-System'!$C$42))*'Inputs-Proposals'!$G$16*VLOOKUP(CV$3,DRIPE!$A$54:$I$82,8,FALSE), $C32 = "2",( 'Inputs-System'!$C$30*'Coincidence Factors'!$B$8*(1+'Inputs-System'!$C$18)*(1+'Inputs-System'!$C$41))*('Inputs-Proposals'!$G$23*'Inputs-Proposals'!$G$25*('Inputs-Proposals'!$G$26))*(VLOOKUP(CV$3,DRIPE!$A$54:$I$82,5,FALSE)+VLOOKUP(CV$3,DRIPE!$A$54:$I$82,9,FALSE))+  ('Inputs-System'!$C$26*'Coincidence Factors'!$B$8*(1+'Inputs-System'!$C$18)*(1+'Inputs-System'!$C$42))*'Inputs-Proposals'!$G$22*VLOOKUP(CV$3,DRIPE!$A$54:$I$82,8,FALSE), $C32= "3", ( 'Inputs-System'!$C$30*'Coincidence Factors'!$B$8*(1+'Inputs-System'!$C$18)*(1+'Inputs-System'!$C$41))*('Inputs-Proposals'!$G$29*'Inputs-Proposals'!$G$31*('Inputs-Proposals'!$G$32))*(VLOOKUP(CV$3,DRIPE!$A$54:$I$82,5,FALSE)+VLOOKUP(CV$3,DRIPE!$A$54:$I$82,9,FALSE))+  ('Inputs-System'!$C$26*'Coincidence Factors'!$B$8*(1+'Inputs-System'!$C$18)*(1+'Inputs-System'!$C$42))*'Inputs-Proposals'!$G$28*VLOOKUP(CV$3,DRIPE!$A$54:$I$82,8,FALSE), $C32 = "0", 0), 0)</f>
        <v>0</v>
      </c>
      <c r="CY32" s="45">
        <f>IFERROR(_xlfn.IFS($C32="1",('Inputs-System'!$C$30*'Coincidence Factors'!$B$8*(1+'Inputs-System'!$C$18))*'Inputs-Proposals'!$G$16*(VLOOKUP(CV$3,Capacity!$A$53:$E$85,4,FALSE)*(1+'Inputs-System'!$C$42)+VLOOKUP(CV$3,Capacity!$A$53:$E$85,5,FALSE)*'Inputs-System'!$C$29*(1+'Inputs-System'!$C$43)), $C32 = "2", ('Inputs-System'!$C$30*'Coincidence Factors'!$B$8*(1+'Inputs-System'!$C$18))*'Inputs-Proposals'!$G$22*(VLOOKUP(CV$3,Capacity!$A$53:$E$85,4,FALSE)*(1+'Inputs-System'!$C$42)+VLOOKUP(CV$3,Capacity!$A$53:$E$85,5,FALSE)*'Inputs-System'!$C$29*(1+'Inputs-System'!$C$43)), $C32 = "3",('Inputs-System'!$C$30*'Coincidence Factors'!$B$8*(1+'Inputs-System'!$C$18))*'Inputs-Proposals'!$G$28*(VLOOKUP(CV$3,Capacity!$A$53:$E$85,4,FALSE)*(1+'Inputs-System'!$C$42)+VLOOKUP(CV$3,Capacity!$A$53:$E$85,5,FALSE)*'Inputs-System'!$C$29*(1+'Inputs-System'!$C$43)), $C32 = "0", 0), 0)</f>
        <v>0</v>
      </c>
      <c r="CZ32" s="44">
        <v>0</v>
      </c>
      <c r="DA32" s="342">
        <f>IFERROR(_xlfn.IFS($C32="1", 'Inputs-System'!$C$30*'Coincidence Factors'!$B$8*'Inputs-Proposals'!$G$17*'Inputs-Proposals'!$G$19*(VLOOKUP(CV$3,'Non-Embedded Emissions'!$A$56:$D$90,2,FALSE)+VLOOKUP(CV$3,'Non-Embedded Emissions'!$A$143:$D$174,2,FALSE)+VLOOKUP(CV$3,'Non-Embedded Emissions'!$A$230:$D$259,2,FALSE)), $C32 = "2", 'Inputs-System'!$C$30*'Coincidence Factors'!$B$8*'Inputs-Proposals'!$G$23*'Inputs-Proposals'!$G$25*(VLOOKUP(CV$3,'Non-Embedded Emissions'!$A$56:$D$90,2,FALSE)+VLOOKUP(CV$3,'Non-Embedded Emissions'!$A$143:$D$174,2,FALSE)+VLOOKUP(CV$3,'Non-Embedded Emissions'!$A$230:$D$259,2,FALSE)), $C32 = "3", 'Inputs-System'!$C$30*'Coincidence Factors'!$B$8*'Inputs-Proposals'!$G$29*'Inputs-Proposals'!$G$31*(VLOOKUP(CV$3,'Non-Embedded Emissions'!$A$56:$D$90,2,FALSE)+VLOOKUP(CV$3,'Non-Embedded Emissions'!$A$143:$D$174,2,FALSE)+VLOOKUP(CV$3,'Non-Embedded Emissions'!$A$230:$D$259,2,FALSE)), $C32 = "0", 0), 0)</f>
        <v>0</v>
      </c>
      <c r="DB32" s="347">
        <f>IFERROR(_xlfn.IFS($C32="1",('Inputs-System'!$C$30*'Coincidence Factors'!$B$8*(1+'Inputs-System'!$C$18)*(1+'Inputs-System'!$C$41)*('Inputs-Proposals'!$G$17*'Inputs-Proposals'!$G$19*('Inputs-Proposals'!$G$20))*(VLOOKUP(DB$3,Energy!$A$51:$K$83,5,FALSE))), $C32 = "2",('Inputs-System'!$C$30*'Coincidence Factors'!$B$8)*(1+'Inputs-System'!$C$18)*(1+'Inputs-System'!$C$41)*('Inputs-Proposals'!$G$23*'Inputs-Proposals'!$G$25*('Inputs-Proposals'!$G$26))*(VLOOKUP(DB$3,Energy!$A$51:$K$83,5,FALSE)), $C32= "3", ('Inputs-System'!$C$30*'Coincidence Factors'!$B$8*(1+'Inputs-System'!$C$18)*(1+'Inputs-System'!$C$41)*('Inputs-Proposals'!$G$29*'Inputs-Proposals'!$G$31*('Inputs-Proposals'!$G$32))*(VLOOKUP(DB$3,Energy!$A$51:$K$83,5,FALSE))), $C32= "0", 0), 0)</f>
        <v>0</v>
      </c>
      <c r="DC32" s="44">
        <f>IFERROR(_xlfn.IFS($C32="1",'Inputs-System'!$C$30*'Coincidence Factors'!$B$8*(1+'Inputs-System'!$C$18)*(1+'Inputs-System'!$C$41)*'Inputs-Proposals'!$G$17*'Inputs-Proposals'!$G$19*('Inputs-Proposals'!$G$20)*(VLOOKUP(DB$3,'Embedded Emissions'!$A$47:$B$78,2,FALSE)+VLOOKUP(DB$3,'Embedded Emissions'!$A$129:$B$158,2,FALSE)), $C32 = "2", 'Inputs-System'!$C$30*'Coincidence Factors'!$B$8*(1+'Inputs-System'!$C$18)*(1+'Inputs-System'!$C$41)*'Inputs-Proposals'!$G$23*'Inputs-Proposals'!$G$25*('Inputs-Proposals'!$G$20)*(VLOOKUP(DB$3,'Embedded Emissions'!$A$47:$B$78,2,FALSE)+VLOOKUP(DB$3,'Embedded Emissions'!$A$129:$B$158,2,FALSE)), $C32 = "3",'Inputs-System'!$C$30*'Coincidence Factors'!$B$8*(1+'Inputs-System'!$C$18)*(1+'Inputs-System'!$C$41)*'Inputs-Proposals'!$G$29*'Inputs-Proposals'!$G$31*('Inputs-Proposals'!$G$20)*(VLOOKUP(DB$3,'Embedded Emissions'!$A$47:$B$78,2,FALSE)+VLOOKUP(DB$3,'Embedded Emissions'!$A$129:$B$158,2,FALSE)), $C32 = "0", 0), 0)</f>
        <v>0</v>
      </c>
      <c r="DD32" s="44">
        <f>IFERROR(_xlfn.IFS($C32="1",( 'Inputs-System'!$C$30*'Coincidence Factors'!$B$8*(1+'Inputs-System'!$C$18)*(1+'Inputs-System'!$C$41))*('Inputs-Proposals'!$G$17*'Inputs-Proposals'!$G$19*('Inputs-Proposals'!$G$20))*(VLOOKUP(DB$3,DRIPE!$A$54:$I$82,5,FALSE)+VLOOKUP(DB$3,DRIPE!$A$54:$I$82,9,FALSE))+ ('Inputs-System'!$C$26*'Coincidence Factors'!$B$8*(1+'Inputs-System'!$C$18)*(1+'Inputs-System'!$C$42))*'Inputs-Proposals'!$G$16*VLOOKUP(DB$3,DRIPE!$A$54:$I$82,8,FALSE), $C32 = "2",( 'Inputs-System'!$C$30*'Coincidence Factors'!$B$8*(1+'Inputs-System'!$C$18)*(1+'Inputs-System'!$C$41))*('Inputs-Proposals'!$G$23*'Inputs-Proposals'!$G$25*('Inputs-Proposals'!$G$26))*(VLOOKUP(DB$3,DRIPE!$A$54:$I$82,5,FALSE)+VLOOKUP(DB$3,DRIPE!$A$54:$I$82,9,FALSE))+  ('Inputs-System'!$C$26*'Coincidence Factors'!$B$8*(1+'Inputs-System'!$C$18)*(1+'Inputs-System'!$C$42))*'Inputs-Proposals'!$G$22*VLOOKUP(DB$3,DRIPE!$A$54:$I$82,8,FALSE), $C32= "3", ( 'Inputs-System'!$C$30*'Coincidence Factors'!$B$8*(1+'Inputs-System'!$C$18)*(1+'Inputs-System'!$C$41))*('Inputs-Proposals'!$G$29*'Inputs-Proposals'!$G$31*('Inputs-Proposals'!$G$32))*(VLOOKUP(DB$3,DRIPE!$A$54:$I$82,5,FALSE)+VLOOKUP(DB$3,DRIPE!$A$54:$I$82,9,FALSE))+  ('Inputs-System'!$C$26*'Coincidence Factors'!$B$8*(1+'Inputs-System'!$C$18)*(1+'Inputs-System'!$C$42))*'Inputs-Proposals'!$G$28*VLOOKUP(DB$3,DRIPE!$A$54:$I$82,8,FALSE), $C32 = "0", 0), 0)</f>
        <v>0</v>
      </c>
      <c r="DE32" s="45">
        <f>IFERROR(_xlfn.IFS($C32="1",('Inputs-System'!$C$30*'Coincidence Factors'!$B$8*(1+'Inputs-System'!$C$18))*'Inputs-Proposals'!$G$16*(VLOOKUP(DB$3,Capacity!$A$53:$E$85,4,FALSE)*(1+'Inputs-System'!$C$42)+VLOOKUP(DB$3,Capacity!$A$53:$E$85,5,FALSE)*'Inputs-System'!$C$29*(1+'Inputs-System'!$C$43)), $C32 = "2", ('Inputs-System'!$C$30*'Coincidence Factors'!$B$8*(1+'Inputs-System'!$C$18))*'Inputs-Proposals'!$G$22*(VLOOKUP(DB$3,Capacity!$A$53:$E$85,4,FALSE)*(1+'Inputs-System'!$C$42)+VLOOKUP(DB$3,Capacity!$A$53:$E$85,5,FALSE)*'Inputs-System'!$C$29*(1+'Inputs-System'!$C$43)), $C32 = "3",('Inputs-System'!$C$30*'Coincidence Factors'!$B$8*(1+'Inputs-System'!$C$18))*'Inputs-Proposals'!$G$28*(VLOOKUP(DB$3,Capacity!$A$53:$E$85,4,FALSE)*(1+'Inputs-System'!$C$42)+VLOOKUP(DB$3,Capacity!$A$53:$E$85,5,FALSE)*'Inputs-System'!$C$29*(1+'Inputs-System'!$C$43)), $C32 = "0", 0), 0)</f>
        <v>0</v>
      </c>
      <c r="DF32" s="44">
        <v>0</v>
      </c>
      <c r="DG32" s="342">
        <f>IFERROR(_xlfn.IFS($C32="1", 'Inputs-System'!$C$30*'Coincidence Factors'!$B$8*'Inputs-Proposals'!$G$17*'Inputs-Proposals'!$G$19*(VLOOKUP(DB$3,'Non-Embedded Emissions'!$A$56:$D$90,2,FALSE)+VLOOKUP(DB$3,'Non-Embedded Emissions'!$A$143:$D$174,2,FALSE)+VLOOKUP(DB$3,'Non-Embedded Emissions'!$A$230:$D$259,2,FALSE)), $C32 = "2", 'Inputs-System'!$C$30*'Coincidence Factors'!$B$8*'Inputs-Proposals'!$G$23*'Inputs-Proposals'!$G$25*(VLOOKUP(DB$3,'Non-Embedded Emissions'!$A$56:$D$90,2,FALSE)+VLOOKUP(DB$3,'Non-Embedded Emissions'!$A$143:$D$174,2,FALSE)+VLOOKUP(DB$3,'Non-Embedded Emissions'!$A$230:$D$259,2,FALSE)), $C32 = "3", 'Inputs-System'!$C$30*'Coincidence Factors'!$B$8*'Inputs-Proposals'!$G$29*'Inputs-Proposals'!$G$31*(VLOOKUP(DB$3,'Non-Embedded Emissions'!$A$56:$D$90,2,FALSE)+VLOOKUP(DB$3,'Non-Embedded Emissions'!$A$143:$D$174,2,FALSE)+VLOOKUP(DB$3,'Non-Embedded Emissions'!$A$230:$D$259,2,FALSE)), $C32 = "0", 0), 0)</f>
        <v>0</v>
      </c>
      <c r="DH32" s="347">
        <f>IFERROR(_xlfn.IFS($C32="1",('Inputs-System'!$C$30*'Coincidence Factors'!$B$8*(1+'Inputs-System'!$C$18)*(1+'Inputs-System'!$C$41)*('Inputs-Proposals'!$G$17*'Inputs-Proposals'!$G$19*('Inputs-Proposals'!$G$20))*(VLOOKUP(DH$3,Energy!$A$51:$K$83,5,FALSE))), $C32 = "2",('Inputs-System'!$C$30*'Coincidence Factors'!$B$8)*(1+'Inputs-System'!$C$18)*(1+'Inputs-System'!$C$41)*('Inputs-Proposals'!$G$23*'Inputs-Proposals'!$G$25*('Inputs-Proposals'!$G$26))*(VLOOKUP(DH$3,Energy!$A$51:$K$83,5,FALSE)), $C32= "3", ('Inputs-System'!$C$30*'Coincidence Factors'!$B$8*(1+'Inputs-System'!$C$18)*(1+'Inputs-System'!$C$41)*('Inputs-Proposals'!$G$29*'Inputs-Proposals'!$G$31*('Inputs-Proposals'!$G$32))*(VLOOKUP(DH$3,Energy!$A$51:$K$83,5,FALSE))), $C32= "0", 0), 0)</f>
        <v>0</v>
      </c>
      <c r="DI32" s="44">
        <f>IFERROR(_xlfn.IFS($C32="1",'Inputs-System'!$C$30*'Coincidence Factors'!$B$8*(1+'Inputs-System'!$C$18)*(1+'Inputs-System'!$C$41)*'Inputs-Proposals'!$G$17*'Inputs-Proposals'!$G$19*('Inputs-Proposals'!$G$20)*(VLOOKUP(DH$3,'Embedded Emissions'!$A$47:$B$78,2,FALSE)+VLOOKUP(DH$3,'Embedded Emissions'!$A$129:$B$158,2,FALSE)), $C32 = "2", 'Inputs-System'!$C$30*'Coincidence Factors'!$B$8*(1+'Inputs-System'!$C$18)*(1+'Inputs-System'!$C$41)*'Inputs-Proposals'!$G$23*'Inputs-Proposals'!$G$25*('Inputs-Proposals'!$G$20)*(VLOOKUP(DH$3,'Embedded Emissions'!$A$47:$B$78,2,FALSE)+VLOOKUP(DH$3,'Embedded Emissions'!$A$129:$B$158,2,FALSE)), $C32 = "3",'Inputs-System'!$C$30*'Coincidence Factors'!$B$8*(1+'Inputs-System'!$C$18)*(1+'Inputs-System'!$C$41)*'Inputs-Proposals'!$G$29*'Inputs-Proposals'!$G$31*('Inputs-Proposals'!$G$20)*(VLOOKUP(DH$3,'Embedded Emissions'!$A$47:$B$78,2,FALSE)+VLOOKUP(DH$3,'Embedded Emissions'!$A$129:$B$158,2,FALSE)), $C32 = "0", 0), 0)</f>
        <v>0</v>
      </c>
      <c r="DJ32" s="44">
        <f>IFERROR(_xlfn.IFS($C32="1",( 'Inputs-System'!$C$30*'Coincidence Factors'!$B$8*(1+'Inputs-System'!$C$18)*(1+'Inputs-System'!$C$41))*('Inputs-Proposals'!$G$17*'Inputs-Proposals'!$G$19*('Inputs-Proposals'!$G$20))*(VLOOKUP(DH$3,DRIPE!$A$54:$I$82,5,FALSE)+VLOOKUP(DH$3,DRIPE!$A$54:$I$82,9,FALSE))+ ('Inputs-System'!$C$26*'Coincidence Factors'!$B$8*(1+'Inputs-System'!$C$18)*(1+'Inputs-System'!$C$42))*'Inputs-Proposals'!$G$16*VLOOKUP(DH$3,DRIPE!$A$54:$I$82,8,FALSE), $C32 = "2",( 'Inputs-System'!$C$30*'Coincidence Factors'!$B$8*(1+'Inputs-System'!$C$18)*(1+'Inputs-System'!$C$41))*('Inputs-Proposals'!$G$23*'Inputs-Proposals'!$G$25*('Inputs-Proposals'!$G$26))*(VLOOKUP(DH$3,DRIPE!$A$54:$I$82,5,FALSE)+VLOOKUP(DH$3,DRIPE!$A$54:$I$82,9,FALSE))+  ('Inputs-System'!$C$26*'Coincidence Factors'!$B$8*(1+'Inputs-System'!$C$18)*(1+'Inputs-System'!$C$42))*'Inputs-Proposals'!$G$22*VLOOKUP(DH$3,DRIPE!$A$54:$I$82,8,FALSE), $C32= "3", ( 'Inputs-System'!$C$30*'Coincidence Factors'!$B$8*(1+'Inputs-System'!$C$18)*(1+'Inputs-System'!$C$41))*('Inputs-Proposals'!$G$29*'Inputs-Proposals'!$G$31*('Inputs-Proposals'!$G$32))*(VLOOKUP(DH$3,DRIPE!$A$54:$I$82,5,FALSE)+VLOOKUP(DH$3,DRIPE!$A$54:$I$82,9,FALSE))+  ('Inputs-System'!$C$26*'Coincidence Factors'!$B$8*(1+'Inputs-System'!$C$18)*(1+'Inputs-System'!$C$42))*'Inputs-Proposals'!$G$28*VLOOKUP(DH$3,DRIPE!$A$54:$I$82,8,FALSE), $C32 = "0", 0), 0)</f>
        <v>0</v>
      </c>
      <c r="DK32" s="45">
        <f>IFERROR(_xlfn.IFS($C32="1",('Inputs-System'!$C$30*'Coincidence Factors'!$B$8*(1+'Inputs-System'!$C$18))*'Inputs-Proposals'!$G$16*(VLOOKUP(DH$3,Capacity!$A$53:$E$85,4,FALSE)*(1+'Inputs-System'!$C$42)+VLOOKUP(DH$3,Capacity!$A$53:$E$85,5,FALSE)*'Inputs-System'!$C$29*(1+'Inputs-System'!$C$43)), $C32 = "2", ('Inputs-System'!$C$30*'Coincidence Factors'!$B$8*(1+'Inputs-System'!$C$18))*'Inputs-Proposals'!$G$22*(VLOOKUP(DH$3,Capacity!$A$53:$E$85,4,FALSE)*(1+'Inputs-System'!$C$42)+VLOOKUP(DH$3,Capacity!$A$53:$E$85,5,FALSE)*'Inputs-System'!$C$29*(1+'Inputs-System'!$C$43)), $C32 = "3",('Inputs-System'!$C$30*'Coincidence Factors'!$B$8*(1+'Inputs-System'!$C$18))*'Inputs-Proposals'!$G$28*(VLOOKUP(DH$3,Capacity!$A$53:$E$85,4,FALSE)*(1+'Inputs-System'!$C$42)+VLOOKUP(DH$3,Capacity!$A$53:$E$85,5,FALSE)*'Inputs-System'!$C$29*(1+'Inputs-System'!$C$43)), $C32 = "0", 0), 0)</f>
        <v>0</v>
      </c>
      <c r="DL32" s="44">
        <v>0</v>
      </c>
      <c r="DM32" s="342">
        <f>IFERROR(_xlfn.IFS($C32="1", 'Inputs-System'!$C$30*'Coincidence Factors'!$B$8*'Inputs-Proposals'!$G$17*'Inputs-Proposals'!$G$19*(VLOOKUP(DH$3,'Non-Embedded Emissions'!$A$56:$D$90,2,FALSE)+VLOOKUP(DH$3,'Non-Embedded Emissions'!$A$143:$D$174,2,FALSE)+VLOOKUP(DH$3,'Non-Embedded Emissions'!$A$230:$D$259,2,FALSE)), $C32 = "2", 'Inputs-System'!$C$30*'Coincidence Factors'!$B$8*'Inputs-Proposals'!$G$23*'Inputs-Proposals'!$G$25*(VLOOKUP(DH$3,'Non-Embedded Emissions'!$A$56:$D$90,2,FALSE)+VLOOKUP(DH$3,'Non-Embedded Emissions'!$A$143:$D$174,2,FALSE)+VLOOKUP(DH$3,'Non-Embedded Emissions'!$A$230:$D$259,2,FALSE)), $C32 = "3", 'Inputs-System'!$C$30*'Coincidence Factors'!$B$8*'Inputs-Proposals'!$G$29*'Inputs-Proposals'!$G$31*(VLOOKUP(DH$3,'Non-Embedded Emissions'!$A$56:$D$90,2,FALSE)+VLOOKUP(DH$3,'Non-Embedded Emissions'!$A$143:$D$174,2,FALSE)+VLOOKUP(DH$3,'Non-Embedded Emissions'!$A$230:$D$259,2,FALSE)), $C32 = "0", 0), 0)</f>
        <v>0</v>
      </c>
      <c r="DN32" s="347">
        <f>IFERROR(_xlfn.IFS($C32="1",('Inputs-System'!$C$30*'Coincidence Factors'!$B$8*(1+'Inputs-System'!$C$18)*(1+'Inputs-System'!$C$41)*('Inputs-Proposals'!$G$17*'Inputs-Proposals'!$G$19*('Inputs-Proposals'!$G$20))*(VLOOKUP(DN$3,Energy!$A$51:$K$83,5,FALSE))), $C32 = "2",('Inputs-System'!$C$30*'Coincidence Factors'!$B$8)*(1+'Inputs-System'!$C$18)*(1+'Inputs-System'!$C$41)*('Inputs-Proposals'!$G$23*'Inputs-Proposals'!$G$25*('Inputs-Proposals'!$G$26))*(VLOOKUP(DN$3,Energy!$A$51:$K$83,5,FALSE)), $C32= "3", ('Inputs-System'!$C$30*'Coincidence Factors'!$B$8*(1+'Inputs-System'!$C$18)*(1+'Inputs-System'!$C$41)*('Inputs-Proposals'!$G$29*'Inputs-Proposals'!$G$31*('Inputs-Proposals'!$G$32))*(VLOOKUP(DN$3,Energy!$A$51:$K$83,5,FALSE))), $C32= "0", 0), 0)</f>
        <v>0</v>
      </c>
      <c r="DO32" s="44">
        <f>IFERROR(_xlfn.IFS($C32="1",'Inputs-System'!$C$30*'Coincidence Factors'!$B$8*(1+'Inputs-System'!$C$18)*(1+'Inputs-System'!$C$41)*'Inputs-Proposals'!$G$17*'Inputs-Proposals'!$G$19*('Inputs-Proposals'!$G$20)*(VLOOKUP(DN$3,'Embedded Emissions'!$A$47:$B$78,2,FALSE)+VLOOKUP(DN$3,'Embedded Emissions'!$A$129:$B$158,2,FALSE)), $C32 = "2", 'Inputs-System'!$C$30*'Coincidence Factors'!$B$8*(1+'Inputs-System'!$C$18)*(1+'Inputs-System'!$C$41)*'Inputs-Proposals'!$G$23*'Inputs-Proposals'!$G$25*('Inputs-Proposals'!$G$20)*(VLOOKUP(DN$3,'Embedded Emissions'!$A$47:$B$78,2,FALSE)+VLOOKUP(DN$3,'Embedded Emissions'!$A$129:$B$158,2,FALSE)), $C32 = "3",'Inputs-System'!$C$30*'Coincidence Factors'!$B$8*(1+'Inputs-System'!$C$18)*(1+'Inputs-System'!$C$41)*'Inputs-Proposals'!$G$29*'Inputs-Proposals'!$G$31*('Inputs-Proposals'!$G$20)*(VLOOKUP(DN$3,'Embedded Emissions'!$A$47:$B$78,2,FALSE)+VLOOKUP(DN$3,'Embedded Emissions'!$A$129:$B$158,2,FALSE)), $C32 = "0", 0), 0)</f>
        <v>0</v>
      </c>
      <c r="DP32" s="44">
        <f>IFERROR(_xlfn.IFS($C32="1",( 'Inputs-System'!$C$30*'Coincidence Factors'!$B$8*(1+'Inputs-System'!$C$18)*(1+'Inputs-System'!$C$41))*('Inputs-Proposals'!$G$17*'Inputs-Proposals'!$G$19*('Inputs-Proposals'!$G$20))*(VLOOKUP(DN$3,DRIPE!$A$54:$I$82,5,FALSE)+VLOOKUP(DN$3,DRIPE!$A$54:$I$82,9,FALSE))+ ('Inputs-System'!$C$26*'Coincidence Factors'!$B$8*(1+'Inputs-System'!$C$18)*(1+'Inputs-System'!$C$42))*'Inputs-Proposals'!$G$16*VLOOKUP(DN$3,DRIPE!$A$54:$I$82,8,FALSE), $C32 = "2",( 'Inputs-System'!$C$30*'Coincidence Factors'!$B$8*(1+'Inputs-System'!$C$18)*(1+'Inputs-System'!$C$41))*('Inputs-Proposals'!$G$23*'Inputs-Proposals'!$G$25*('Inputs-Proposals'!$G$26))*(VLOOKUP(DN$3,DRIPE!$A$54:$I$82,5,FALSE)+VLOOKUP(DN$3,DRIPE!$A$54:$I$82,9,FALSE))+  ('Inputs-System'!$C$26*'Coincidence Factors'!$B$8*(1+'Inputs-System'!$C$18)*(1+'Inputs-System'!$C$42))*'Inputs-Proposals'!$G$22*VLOOKUP(DN$3,DRIPE!$A$54:$I$82,8,FALSE), $C32= "3", ( 'Inputs-System'!$C$30*'Coincidence Factors'!$B$8*(1+'Inputs-System'!$C$18)*(1+'Inputs-System'!$C$41))*('Inputs-Proposals'!$G$29*'Inputs-Proposals'!$G$31*('Inputs-Proposals'!$G$32))*(VLOOKUP(DN$3,DRIPE!$A$54:$I$82,5,FALSE)+VLOOKUP(DN$3,DRIPE!$A$54:$I$82,9,FALSE))+  ('Inputs-System'!$C$26*'Coincidence Factors'!$B$8*(1+'Inputs-System'!$C$18)*(1+'Inputs-System'!$C$42))*'Inputs-Proposals'!$G$28*VLOOKUP(DN$3,DRIPE!$A$54:$I$82,8,FALSE), $C32 = "0", 0), 0)</f>
        <v>0</v>
      </c>
      <c r="DQ32" s="45">
        <f>IFERROR(_xlfn.IFS($C32="1",('Inputs-System'!$C$30*'Coincidence Factors'!$B$8*(1+'Inputs-System'!$C$18))*'Inputs-Proposals'!$G$16*(VLOOKUP(DN$3,Capacity!$A$53:$E$85,4,FALSE)*(1+'Inputs-System'!$C$42)+VLOOKUP(DN$3,Capacity!$A$53:$E$85,5,FALSE)*'Inputs-System'!$C$29*(1+'Inputs-System'!$C$43)), $C32 = "2", ('Inputs-System'!$C$30*'Coincidence Factors'!$B$8*(1+'Inputs-System'!$C$18))*'Inputs-Proposals'!$G$22*(VLOOKUP(DN$3,Capacity!$A$53:$E$85,4,FALSE)*(1+'Inputs-System'!$C$42)+VLOOKUP(DN$3,Capacity!$A$53:$E$85,5,FALSE)*'Inputs-System'!$C$29*(1+'Inputs-System'!$C$43)), $C32 = "3",('Inputs-System'!$C$30*'Coincidence Factors'!$B$8*(1+'Inputs-System'!$C$18))*'Inputs-Proposals'!$G$28*(VLOOKUP(DN$3,Capacity!$A$53:$E$85,4,FALSE)*(1+'Inputs-System'!$C$42)+VLOOKUP(DN$3,Capacity!$A$53:$E$85,5,FALSE)*'Inputs-System'!$C$29*(1+'Inputs-System'!$C$43)), $C32 = "0", 0), 0)</f>
        <v>0</v>
      </c>
      <c r="DR32" s="44">
        <v>0</v>
      </c>
      <c r="DS32" s="342">
        <f>IFERROR(_xlfn.IFS($C32="1", 'Inputs-System'!$C$30*'Coincidence Factors'!$B$8*'Inputs-Proposals'!$G$17*'Inputs-Proposals'!$G$19*(VLOOKUP(DN$3,'Non-Embedded Emissions'!$A$56:$D$90,2,FALSE)+VLOOKUP(DN$3,'Non-Embedded Emissions'!$A$143:$D$174,2,FALSE)+VLOOKUP(DN$3,'Non-Embedded Emissions'!$A$230:$D$259,2,FALSE)), $C32 = "2", 'Inputs-System'!$C$30*'Coincidence Factors'!$B$8*'Inputs-Proposals'!$G$23*'Inputs-Proposals'!$G$25*(VLOOKUP(DN$3,'Non-Embedded Emissions'!$A$56:$D$90,2,FALSE)+VLOOKUP(DN$3,'Non-Embedded Emissions'!$A$143:$D$174,2,FALSE)+VLOOKUP(DN$3,'Non-Embedded Emissions'!$A$230:$D$259,2,FALSE)), $C32 = "3", 'Inputs-System'!$C$30*'Coincidence Factors'!$B$8*'Inputs-Proposals'!$G$29*'Inputs-Proposals'!$G$31*(VLOOKUP(DN$3,'Non-Embedded Emissions'!$A$56:$D$90,2,FALSE)+VLOOKUP(DN$3,'Non-Embedded Emissions'!$A$143:$D$174,2,FALSE)+VLOOKUP(DN$3,'Non-Embedded Emissions'!$A$230:$D$259,2,FALSE)), $C32 = "0", 0), 0)</f>
        <v>0</v>
      </c>
      <c r="DT32" s="347">
        <f>IFERROR(_xlfn.IFS($C32="1",('Inputs-System'!$C$30*'Coincidence Factors'!$B$8*(1+'Inputs-System'!$C$18)*(1+'Inputs-System'!$C$41)*('Inputs-Proposals'!$G$17*'Inputs-Proposals'!$G$19*('Inputs-Proposals'!$G$20))*(VLOOKUP(DT$3,Energy!$A$51:$K$83,5,FALSE))), $C32 = "2",('Inputs-System'!$C$30*'Coincidence Factors'!$B$8)*(1+'Inputs-System'!$C$18)*(1+'Inputs-System'!$C$41)*('Inputs-Proposals'!$G$23*'Inputs-Proposals'!$G$25*('Inputs-Proposals'!$G$26))*(VLOOKUP(DT$3,Energy!$A$51:$K$83,5,FALSE)), $C32= "3", ('Inputs-System'!$C$30*'Coincidence Factors'!$B$8*(1+'Inputs-System'!$C$18)*(1+'Inputs-System'!$C$41)*('Inputs-Proposals'!$G$29*'Inputs-Proposals'!$G$31*('Inputs-Proposals'!$G$32))*(VLOOKUP(DT$3,Energy!$A$51:$K$83,5,FALSE))), $C32= "0", 0), 0)</f>
        <v>0</v>
      </c>
      <c r="DU32" s="44">
        <f>IFERROR(_xlfn.IFS($C32="1",'Inputs-System'!$C$30*'Coincidence Factors'!$B$8*(1+'Inputs-System'!$C$18)*(1+'Inputs-System'!$C$41)*'Inputs-Proposals'!$G$17*'Inputs-Proposals'!$G$19*('Inputs-Proposals'!$G$20)*(VLOOKUP(DT$3,'Embedded Emissions'!$A$47:$B$78,2,FALSE)+VLOOKUP(DT$3,'Embedded Emissions'!$A$129:$B$158,2,FALSE)), $C32 = "2", 'Inputs-System'!$C$30*'Coincidence Factors'!$B$8*(1+'Inputs-System'!$C$18)*(1+'Inputs-System'!$C$41)*'Inputs-Proposals'!$G$23*'Inputs-Proposals'!$G$25*('Inputs-Proposals'!$G$20)*(VLOOKUP(DT$3,'Embedded Emissions'!$A$47:$B$78,2,FALSE)+VLOOKUP(DT$3,'Embedded Emissions'!$A$129:$B$158,2,FALSE)), $C32 = "3",'Inputs-System'!$C$30*'Coincidence Factors'!$B$8*(1+'Inputs-System'!$C$18)*(1+'Inputs-System'!$C$41)*'Inputs-Proposals'!$G$29*'Inputs-Proposals'!$G$31*('Inputs-Proposals'!$G$20)*(VLOOKUP(DT$3,'Embedded Emissions'!$A$47:$B$78,2,FALSE)+VLOOKUP(DT$3,'Embedded Emissions'!$A$129:$B$158,2,FALSE)), $C32 = "0", 0), 0)</f>
        <v>0</v>
      </c>
      <c r="DV32" s="44">
        <f>IFERROR(_xlfn.IFS($C32="1",( 'Inputs-System'!$C$30*'Coincidence Factors'!$B$8*(1+'Inputs-System'!$C$18)*(1+'Inputs-System'!$C$41))*('Inputs-Proposals'!$G$17*'Inputs-Proposals'!$G$19*('Inputs-Proposals'!$G$20))*(VLOOKUP(DT$3,DRIPE!$A$54:$I$82,5,FALSE)+VLOOKUP(DT$3,DRIPE!$A$54:$I$82,9,FALSE))+ ('Inputs-System'!$C$26*'Coincidence Factors'!$B$8*(1+'Inputs-System'!$C$18)*(1+'Inputs-System'!$C$42))*'Inputs-Proposals'!$G$16*VLOOKUP(DT$3,DRIPE!$A$54:$I$82,8,FALSE), $C32 = "2",( 'Inputs-System'!$C$30*'Coincidence Factors'!$B$8*(1+'Inputs-System'!$C$18)*(1+'Inputs-System'!$C$41))*('Inputs-Proposals'!$G$23*'Inputs-Proposals'!$G$25*('Inputs-Proposals'!$G$26))*(VLOOKUP(DT$3,DRIPE!$A$54:$I$82,5,FALSE)+VLOOKUP(DT$3,DRIPE!$A$54:$I$82,9,FALSE))+  ('Inputs-System'!$C$26*'Coincidence Factors'!$B$8*(1+'Inputs-System'!$C$18)*(1+'Inputs-System'!$C$42))*'Inputs-Proposals'!$G$22*VLOOKUP(DT$3,DRIPE!$A$54:$I$82,8,FALSE), $C32= "3", ( 'Inputs-System'!$C$30*'Coincidence Factors'!$B$8*(1+'Inputs-System'!$C$18)*(1+'Inputs-System'!$C$41))*('Inputs-Proposals'!$G$29*'Inputs-Proposals'!$G$31*('Inputs-Proposals'!$G$32))*(VLOOKUP(DT$3,DRIPE!$A$54:$I$82,5,FALSE)+VLOOKUP(DT$3,DRIPE!$A$54:$I$82,9,FALSE))+  ('Inputs-System'!$C$26*'Coincidence Factors'!$B$8*(1+'Inputs-System'!$C$18)*(1+'Inputs-System'!$C$42))*'Inputs-Proposals'!$G$28*VLOOKUP(DT$3,DRIPE!$A$54:$I$82,8,FALSE), $C32 = "0", 0), 0)</f>
        <v>0</v>
      </c>
      <c r="DW32" s="45">
        <f>IFERROR(_xlfn.IFS($C32="1",('Inputs-System'!$C$30*'Coincidence Factors'!$B$8*(1+'Inputs-System'!$C$18))*'Inputs-Proposals'!$G$16*(VLOOKUP(DT$3,Capacity!$A$53:$E$85,4,FALSE)*(1+'Inputs-System'!$C$42)+VLOOKUP(DT$3,Capacity!$A$53:$E$85,5,FALSE)*'Inputs-System'!$C$29*(1+'Inputs-System'!$C$43)), $C32 = "2", ('Inputs-System'!$C$30*'Coincidence Factors'!$B$8*(1+'Inputs-System'!$C$18))*'Inputs-Proposals'!$G$22*(VLOOKUP(DT$3,Capacity!$A$53:$E$85,4,FALSE)*(1+'Inputs-System'!$C$42)+VLOOKUP(DT$3,Capacity!$A$53:$E$85,5,FALSE)*'Inputs-System'!$C$29*(1+'Inputs-System'!$C$43)), $C32 = "3",('Inputs-System'!$C$30*'Coincidence Factors'!$B$8*(1+'Inputs-System'!$C$18))*'Inputs-Proposals'!$G$28*(VLOOKUP(DT$3,Capacity!$A$53:$E$85,4,FALSE)*(1+'Inputs-System'!$C$42)+VLOOKUP(DT$3,Capacity!$A$53:$E$85,5,FALSE)*'Inputs-System'!$C$29*(1+'Inputs-System'!$C$43)), $C32 = "0", 0), 0)</f>
        <v>0</v>
      </c>
      <c r="DX32" s="44">
        <v>0</v>
      </c>
      <c r="DY32" s="342">
        <f>IFERROR(_xlfn.IFS($C32="1", 'Inputs-System'!$C$30*'Coincidence Factors'!$B$8*'Inputs-Proposals'!$G$17*'Inputs-Proposals'!$G$19*(VLOOKUP(DT$3,'Non-Embedded Emissions'!$A$56:$D$90,2,FALSE)+VLOOKUP(DT$3,'Non-Embedded Emissions'!$A$143:$D$174,2,FALSE)+VLOOKUP(DT$3,'Non-Embedded Emissions'!$A$230:$D$259,2,FALSE)), $C32 = "2", 'Inputs-System'!$C$30*'Coincidence Factors'!$B$8*'Inputs-Proposals'!$G$23*'Inputs-Proposals'!$G$25*(VLOOKUP(DT$3,'Non-Embedded Emissions'!$A$56:$D$90,2,FALSE)+VLOOKUP(DT$3,'Non-Embedded Emissions'!$A$143:$D$174,2,FALSE)+VLOOKUP(DT$3,'Non-Embedded Emissions'!$A$230:$D$259,2,FALSE)), $C32 = "3", 'Inputs-System'!$C$30*'Coincidence Factors'!$B$8*'Inputs-Proposals'!$G$29*'Inputs-Proposals'!$G$31*(VLOOKUP(DT$3,'Non-Embedded Emissions'!$A$56:$D$90,2,FALSE)+VLOOKUP(DT$3,'Non-Embedded Emissions'!$A$143:$D$174,2,FALSE)+VLOOKUP(DT$3,'Non-Embedded Emissions'!$A$230:$D$259,2,FALSE)), $C32 = "0", 0), 0)</f>
        <v>0</v>
      </c>
      <c r="DZ32" s="347">
        <f>IFERROR(_xlfn.IFS($C32="1",('Inputs-System'!$C$30*'Coincidence Factors'!$B$8*(1+'Inputs-System'!$C$18)*(1+'Inputs-System'!$C$41)*('Inputs-Proposals'!$G$17*'Inputs-Proposals'!$G$19*('Inputs-Proposals'!$G$20))*(VLOOKUP(DZ$3,Energy!$A$51:$K$83,5,FALSE))), $C32 = "2",('Inputs-System'!$C$30*'Coincidence Factors'!$B$8)*(1+'Inputs-System'!$C$18)*(1+'Inputs-System'!$C$41)*('Inputs-Proposals'!$G$23*'Inputs-Proposals'!$G$25*('Inputs-Proposals'!$G$26))*(VLOOKUP(DZ$3,Energy!$A$51:$K$83,5,FALSE)), $C32= "3", ('Inputs-System'!$C$30*'Coincidence Factors'!$B$8*(1+'Inputs-System'!$C$18)*(1+'Inputs-System'!$C$41)*('Inputs-Proposals'!$G$29*'Inputs-Proposals'!$G$31*('Inputs-Proposals'!$G$32))*(VLOOKUP(DZ$3,Energy!$A$51:$K$83,5,FALSE))), $C32= "0", 0), 0)</f>
        <v>0</v>
      </c>
      <c r="EA32" s="44">
        <f>IFERROR(_xlfn.IFS($C32="1",'Inputs-System'!$C$30*'Coincidence Factors'!$B$8*(1+'Inputs-System'!$C$18)*(1+'Inputs-System'!$C$41)*'Inputs-Proposals'!$G$17*'Inputs-Proposals'!$G$19*('Inputs-Proposals'!$G$20)*(VLOOKUP(DZ$3,'Embedded Emissions'!$A$47:$B$78,2,FALSE)+VLOOKUP(DZ$3,'Embedded Emissions'!$A$129:$B$158,2,FALSE)), $C32 = "2", 'Inputs-System'!$C$30*'Coincidence Factors'!$B$8*(1+'Inputs-System'!$C$18)*(1+'Inputs-System'!$C$41)*'Inputs-Proposals'!$G$23*'Inputs-Proposals'!$G$25*('Inputs-Proposals'!$G$20)*(VLOOKUP(DZ$3,'Embedded Emissions'!$A$47:$B$78,2,FALSE)+VLOOKUP(DZ$3,'Embedded Emissions'!$A$129:$B$158,2,FALSE)), $C32 = "3",'Inputs-System'!$C$30*'Coincidence Factors'!$B$8*(1+'Inputs-System'!$C$18)*(1+'Inputs-System'!$C$41)*'Inputs-Proposals'!$G$29*'Inputs-Proposals'!$G$31*('Inputs-Proposals'!$G$20)*(VLOOKUP(DZ$3,'Embedded Emissions'!$A$47:$B$78,2,FALSE)+VLOOKUP(DZ$3,'Embedded Emissions'!$A$129:$B$158,2,FALSE)), $C32 = "0", 0), 0)</f>
        <v>0</v>
      </c>
      <c r="EB32" s="44">
        <f>IFERROR(_xlfn.IFS($C32="1",( 'Inputs-System'!$C$30*'Coincidence Factors'!$B$8*(1+'Inputs-System'!$C$18)*(1+'Inputs-System'!$C$41))*('Inputs-Proposals'!$G$17*'Inputs-Proposals'!$G$19*('Inputs-Proposals'!$G$20))*(VLOOKUP(DZ$3,DRIPE!$A$54:$I$82,5,FALSE)+VLOOKUP(DZ$3,DRIPE!$A$54:$I$82,9,FALSE))+ ('Inputs-System'!$C$26*'Coincidence Factors'!$B$8*(1+'Inputs-System'!$C$18)*(1+'Inputs-System'!$C$42))*'Inputs-Proposals'!$G$16*VLOOKUP(DZ$3,DRIPE!$A$54:$I$82,8,FALSE), $C32 = "2",( 'Inputs-System'!$C$30*'Coincidence Factors'!$B$8*(1+'Inputs-System'!$C$18)*(1+'Inputs-System'!$C$41))*('Inputs-Proposals'!$G$23*'Inputs-Proposals'!$G$25*('Inputs-Proposals'!$G$26))*(VLOOKUP(DZ$3,DRIPE!$A$54:$I$82,5,FALSE)+VLOOKUP(DZ$3,DRIPE!$A$54:$I$82,9,FALSE))+  ('Inputs-System'!$C$26*'Coincidence Factors'!$B$8*(1+'Inputs-System'!$C$18)*(1+'Inputs-System'!$C$42))*'Inputs-Proposals'!$G$22*VLOOKUP(DZ$3,DRIPE!$A$54:$I$82,8,FALSE), $C32= "3", ( 'Inputs-System'!$C$30*'Coincidence Factors'!$B$8*(1+'Inputs-System'!$C$18)*(1+'Inputs-System'!$C$41))*('Inputs-Proposals'!$G$29*'Inputs-Proposals'!$G$31*('Inputs-Proposals'!$G$32))*(VLOOKUP(DZ$3,DRIPE!$A$54:$I$82,5,FALSE)+VLOOKUP(DZ$3,DRIPE!$A$54:$I$82,9,FALSE))+  ('Inputs-System'!$C$26*'Coincidence Factors'!$B$8*(1+'Inputs-System'!$C$18)*(1+'Inputs-System'!$C$42))*'Inputs-Proposals'!$G$28*VLOOKUP(DZ$3,DRIPE!$A$54:$I$82,8,FALSE), $C32 = "0", 0), 0)</f>
        <v>0</v>
      </c>
      <c r="EC32" s="45">
        <f>IFERROR(_xlfn.IFS($C32="1",('Inputs-System'!$C$30*'Coincidence Factors'!$B$8*(1+'Inputs-System'!$C$18))*'Inputs-Proposals'!$G$16*(VLOOKUP(DZ$3,Capacity!$A$53:$E$85,4,FALSE)*(1+'Inputs-System'!$C$42)+VLOOKUP(DZ$3,Capacity!$A$53:$E$85,5,FALSE)*'Inputs-System'!$C$29*(1+'Inputs-System'!$C$43)), $C32 = "2", ('Inputs-System'!$C$30*'Coincidence Factors'!$B$8*(1+'Inputs-System'!$C$18))*'Inputs-Proposals'!$G$22*(VLOOKUP(DZ$3,Capacity!$A$53:$E$85,4,FALSE)*(1+'Inputs-System'!$C$42)+VLOOKUP(DZ$3,Capacity!$A$53:$E$85,5,FALSE)*'Inputs-System'!$C$29*(1+'Inputs-System'!$C$43)), $C32 = "3",('Inputs-System'!$C$30*'Coincidence Factors'!$B$8*(1+'Inputs-System'!$C$18))*'Inputs-Proposals'!$G$28*(VLOOKUP(DZ$3,Capacity!$A$53:$E$85,4,FALSE)*(1+'Inputs-System'!$C$42)+VLOOKUP(DZ$3,Capacity!$A$53:$E$85,5,FALSE)*'Inputs-System'!$C$29*(1+'Inputs-System'!$C$43)), $C32 = "0", 0), 0)</f>
        <v>0</v>
      </c>
      <c r="ED32" s="44">
        <v>0</v>
      </c>
      <c r="EE32" s="342">
        <f>IFERROR(_xlfn.IFS($C32="1", 'Inputs-System'!$C$30*'Coincidence Factors'!$B$8*'Inputs-Proposals'!$G$17*'Inputs-Proposals'!$G$19*(VLOOKUP(DZ$3,'Non-Embedded Emissions'!$A$56:$D$90,2,FALSE)+VLOOKUP(DZ$3,'Non-Embedded Emissions'!$A$143:$D$174,2,FALSE)+VLOOKUP(DZ$3,'Non-Embedded Emissions'!$A$230:$D$259,2,FALSE)), $C32 = "2", 'Inputs-System'!$C$30*'Coincidence Factors'!$B$8*'Inputs-Proposals'!$G$23*'Inputs-Proposals'!$G$25*(VLOOKUP(DZ$3,'Non-Embedded Emissions'!$A$56:$D$90,2,FALSE)+VLOOKUP(DZ$3,'Non-Embedded Emissions'!$A$143:$D$174,2,FALSE)+VLOOKUP(DZ$3,'Non-Embedded Emissions'!$A$230:$D$259,2,FALSE)), $C32 = "3", 'Inputs-System'!$C$30*'Coincidence Factors'!$B$8*'Inputs-Proposals'!$G$29*'Inputs-Proposals'!$G$31*(VLOOKUP(DZ$3,'Non-Embedded Emissions'!$A$56:$D$90,2,FALSE)+VLOOKUP(DZ$3,'Non-Embedded Emissions'!$A$143:$D$174,2,FALSE)+VLOOKUP(DZ$3,'Non-Embedded Emissions'!$A$230:$D$259,2,FALSE)), $C32 = "0", 0), 0)</f>
        <v>0</v>
      </c>
    </row>
    <row r="33" spans="1:135" x14ac:dyDescent="0.35">
      <c r="A33" s="708"/>
      <c r="B33" s="3" t="str">
        <f>B27</f>
        <v>Diesel GenSet</v>
      </c>
      <c r="C33" s="3" t="str">
        <f>IFERROR(_xlfn.IFS('Benefits Calc'!B33='Inputs-Proposals'!$G$15, "1", 'Benefits Calc'!B33='Inputs-Proposals'!$G$21, "2", 'Benefits Calc'!B33='Inputs-Proposals'!$G$27, "3"), "0")</f>
        <v>0</v>
      </c>
      <c r="D33" s="323">
        <f t="shared" ref="D33:D34" si="30">P33+V33+AB33+AH33+AN33+AT33+AZ33+BF33+BL33+BR33+BX33+CD33+CJ33+CP33+CV33+DB33+DH33+DN33+DT33+DZ33</f>
        <v>0</v>
      </c>
      <c r="E33" s="44">
        <f t="shared" ref="E33:E34" si="31">Q33+W33+AC33+AI33+AO33+AU33+BA33+BG33+BM33+BS33+BY33+CE33+CK33+CQ33+CW33+DC33+DI33+DO33+DU33+EA33</f>
        <v>0</v>
      </c>
      <c r="F33" s="44">
        <f t="shared" ref="F33:F34" si="32">R33+X33+AD33+AJ33+AP33+AV33+BB33+BH33+BN33+BT33+BZ33+CF33+CL33+CR33+CX33+DD33+DJ33+DP33+DV33+EB33</f>
        <v>0</v>
      </c>
      <c r="G33" s="44">
        <f t="shared" ref="G33:G34" si="33">S33+Y33+AE33+AK33+AQ33+AW33+BC33+BI33+BO33+BU33+CA33+CG33+CM33+CS33+CY33+DE33+DK33+DQ33+DW33+EC33</f>
        <v>0</v>
      </c>
      <c r="H33" s="44">
        <f t="shared" ref="H33:H34" si="34">T33+Z33+AF33+AL33+AR33+AX33+BD33+BJ33+BP33+BV33+CB33+CH33+CN33+CT33+CZ33+DF33+DL33+DR33+DX33+ED33</f>
        <v>0</v>
      </c>
      <c r="I33" s="44">
        <f t="shared" ref="I33:I34" si="35">U33+AA33+AG33+AM33+AS33+AY33+BE33+BK33+BQ33+BW33+CC33+CI33+CO33+CU33+DA33+DG33+DM33+DS33+DY33+EE33</f>
        <v>0</v>
      </c>
      <c r="J33" s="323">
        <f>NPV('Inputs-System'!$C$20,P33+V33+AB33+AH33+AN33+AT33+AZ33+BF33+BL33+BR33+BX33+CD33+CJ33+CP33+CV33+DB33+DH33+DN33+DT33+DZ33)</f>
        <v>0</v>
      </c>
      <c r="K33" s="44">
        <f>NPV('Inputs-System'!$C$20,Q33+W33+AC33+AI33+AO33+AU33+BA33+BG33+BM33+BS33+BY33+CE33+CK33+CQ33+CW33+DC33+DI33+DO33+DU33+EA33)</f>
        <v>0</v>
      </c>
      <c r="L33" s="44">
        <f>NPV('Inputs-System'!$C$20,R33+X33+AD33+AJ33+AP33+AV33+BB33+BH33+BN33+BT33+BZ33+CF33+CL33+CR33+CX33+DD33+DJ33+DP33+DV33+EB33)</f>
        <v>0</v>
      </c>
      <c r="M33" s="44">
        <f>NPV('Inputs-System'!$C$20,S33+Y33+AE33+AK33+AQ33+AW33+BC33+BI33+BO33+BU33+CA33+CG33+CM33+CS33+CY33+DE33+DK33+DQ33+DW33+EC33)</f>
        <v>0</v>
      </c>
      <c r="N33" s="44">
        <f>NPV('Inputs-System'!$C$20,T33+Z33+AF33+AL33+AR33+AX33+BD33+BJ33+BP33+BV33+CB33+CH33+CN33+CT33+CZ33+DF33+DL33+DR33+DX33+ED33)</f>
        <v>0</v>
      </c>
      <c r="O33" s="119">
        <f>NPV('Inputs-System'!$C$20,U33+AA33+AG33+AM33+AS33+AY33+BE33+BK33+BQ33+BW33+CC33+CI33+CO33+CU33+DA33+DG33+DM33+DS33+DY33+EE33)</f>
        <v>0</v>
      </c>
      <c r="P33" s="366">
        <f>IFERROR(_xlfn.IFS($C33="1",('Inputs-System'!$C$30*'Coincidence Factors'!$B$9*(1+'Inputs-System'!$C$18)*(1+'Inputs-System'!$C$41)*('Inputs-Proposals'!$G$17*'Inputs-Proposals'!$G$19*(1-'Inputs-Proposals'!$G$20^(P$3-'Inputs-System'!$C$7+1)))*(VLOOKUP(P$3,Energy!$A$51:$K$83,5,FALSE))), $C33 = "2",('Inputs-System'!$C$30*'Coincidence Factors'!$B$9)*(1+'Inputs-System'!$C$18)*(1+'Inputs-System'!$C$41)*('Inputs-Proposals'!$G$23*'Inputs-Proposals'!$G$25*(1-'Inputs-Proposals'!$G$26^(P$3-'Inputs-System'!$C$7+1)))*(VLOOKUP(P$3,Energy!$A$51:$K$83,5,FALSE)), $C33= "3", ('Inputs-System'!$C$30*'Coincidence Factors'!$B$9*(1+'Inputs-System'!$C$18)*(1+'Inputs-System'!$C$41)*('Inputs-Proposals'!$G$29*'Inputs-Proposals'!$G$31*(1-'Inputs-Proposals'!$G$32^(P$3-'Inputs-System'!$C$7+1)))*(VLOOKUP(P$3,Energy!$A$51:$K$83,5,FALSE))), $C33= "0", 0), 0)</f>
        <v>0</v>
      </c>
      <c r="Q33" s="44">
        <f>IFERROR(_xlfn.IFS($C33="1",('Inputs-System'!$C$30*'Coincidence Factors'!$B$9*(1+'Inputs-System'!$C$18)*(1+'Inputs-System'!$C$41))*'Inputs-Proposals'!$G$17*'Inputs-Proposals'!$G$19*(1-'Inputs-Proposals'!$G$20^(P$3-'Inputs-System'!$C$7+1))*(VLOOKUP(P$3,'Embedded Emissions'!$A$47:$B$78,2,FALSE)+VLOOKUP(P$3,'Embedded Emissions'!$A$129:$B$158,2,FALSE)), $C33 = "2",('Inputs-System'!$C$30*'Coincidence Factors'!$B$9*(1+'Inputs-System'!$C$18)*(1+'Inputs-System'!$C$41))*'Inputs-Proposals'!$G$23*'Inputs-Proposals'!$G$25*(1-'Inputs-Proposals'!$G$20^(P$3-'Inputs-System'!$C$7+1))*(VLOOKUP(P$3,'Embedded Emissions'!$A$47:$B$78,2,FALSE)+VLOOKUP(P$3,'Embedded Emissions'!$A$129:$B$158,2,FALSE)), $C33 = "3", ('Inputs-System'!$C$30*'Coincidence Factors'!$B$9*(1+'Inputs-System'!$C$18)*(1+'Inputs-System'!$C$41))*'Inputs-Proposals'!$G$29*'Inputs-Proposals'!$G$31*(1-'Inputs-Proposals'!$G$20^(P$3-'Inputs-System'!$C$7+1))*(VLOOKUP(P$3,'Embedded Emissions'!$A$47:$B$78,2,FALSE)+VLOOKUP(P$3,'Embedded Emissions'!$A$129:$B$158,2,FALSE)), $C33 = "0", 0), 0)</f>
        <v>0</v>
      </c>
      <c r="R33" s="44">
        <f>IFERROR(_xlfn.IFS($C33="1",( 'Inputs-System'!$C$30*'Coincidence Factors'!$B$9*(1+'Inputs-System'!$C$18)*(1+'Inputs-System'!$C$41))*('Inputs-Proposals'!$G$17*'Inputs-Proposals'!$G$19*(1-'Inputs-Proposals'!$G$20)^(P$3-'Inputs-System'!$C$7))*(VLOOKUP(P$3,DRIPE!$A$54:$I$82,5,FALSE)+VLOOKUP(P$3,DRIPE!$A$54:$I$82,9,FALSE))+ ('Inputs-System'!$C$26*'Coincidence Factors'!$B$6*(1+'Inputs-System'!$C$18)*(1+'Inputs-System'!$C$42))*'Inputs-Proposals'!$G$16*VLOOKUP(P$3,DRIPE!$A$54:$I$82,8,FALSE), $C33 = "2",( 'Inputs-System'!$C$30*'Coincidence Factors'!$B$9*(1+'Inputs-System'!$C$18)*(1+'Inputs-System'!$C$41))*('Inputs-Proposals'!$G$23*'Inputs-Proposals'!$G$25*(1-'Inputs-Proposals'!$G$26)^(P$3-'Inputs-System'!$C$7))*(VLOOKUP(P$3,DRIPE!$A$54:$I$82,5,FALSE)+VLOOKUP(P$3,DRIPE!$A$54:$I$82,9,FALSE))+ ('Inputs-System'!$C$26*'Coincidence Factors'!$B$6*(1+'Inputs-System'!$C$18)*(1+'Inputs-System'!$C$42))*'Inputs-Proposals'!$G$22*VLOOKUP(P$3,DRIPE!$A$54:$I$82,8,FALSE), $C33= "3", ( 'Inputs-System'!$C$30*'Coincidence Factors'!$B$9*(1+'Inputs-System'!$C$18)*(1+'Inputs-System'!$C$41))*('Inputs-Proposals'!$G$29*'Inputs-Proposals'!$G$31*(1-'Inputs-Proposals'!$G$32)^(P$3-'Inputs-System'!$C$7))*(VLOOKUP(P$3,DRIPE!$A$54:$I$82,5,FALSE)+VLOOKUP(P$3,DRIPE!$A$54:$I$82,9,FALSE))+ ('Inputs-System'!$C$26*'Coincidence Factors'!$B$6*(1+'Inputs-System'!$C$18)*(1+'Inputs-System'!$C$42))*'Inputs-Proposals'!$G$28*VLOOKUP(P$3,DRIPE!$A$54:$I$82,8,FALSE), $C33 = "0", 0), 0)</f>
        <v>0</v>
      </c>
      <c r="S33" s="45">
        <f>IFERROR(_xlfn.IFS($C33="1",('Inputs-System'!$C$26*'Coincidence Factors'!$B$9*(1+'Inputs-System'!$C$18)*(1+'Inputs-System'!$C$42))*'Inputs-Proposals'!$D$16*(VLOOKUP(P$3,Capacity!$A$53:$E$85,4,FALSE)*(1+'Inputs-System'!$C$42)+VLOOKUP(P$3,Capacity!$A$53:$E$85,5,FALSE)*(1+'Inputs-System'!$C$43)*'Inputs-System'!$C$29), $C33 = "2", ('Inputs-System'!$C$26*'Coincidence Factors'!$B$9*(1+'Inputs-System'!$C$18))*'Inputs-Proposals'!$D$22*(VLOOKUP(P$3,Capacity!$A$53:$E$85,4,FALSE)*(1+'Inputs-System'!$C$42)+VLOOKUP(P$3,Capacity!$A$53:$E$85,5,FALSE)*'Inputs-System'!$C$29*(1+'Inputs-System'!$C$43)), $C33 = "3", ('Inputs-System'!$C$26*'Coincidence Factors'!$B$9*(1+'Inputs-System'!$C$18))*'Inputs-Proposals'!$D$28*(VLOOKUP(P$3,Capacity!$A$53:$E$85,4,FALSE)*(1+'Inputs-System'!$C$42)+VLOOKUP(P$3,Capacity!$A$53:$E$85,5,FALSE)*'Inputs-System'!$C$29*(1+'Inputs-System'!$C$43)), $C33 = "0", 0), 0)</f>
        <v>0</v>
      </c>
      <c r="T33" s="44">
        <v>0</v>
      </c>
      <c r="U33" s="342">
        <f>IFERROR(_xlfn.IFS($C33="1", 'Inputs-System'!$C$30*'Coincidence Factors'!$B$9*'Inputs-Proposals'!$G$17*'Inputs-Proposals'!$G$19*(VLOOKUP(P$3,'Non-Embedded Emissions'!$A$56:$D$90,2,FALSE)-VLOOKUP(P$3,'Non-Embedded Emissions'!$F$57:$H$88,2,FALSE)+VLOOKUP(P$3,'Non-Embedded Emissions'!$A$143:$D$174,2,FALSE)-VLOOKUP(P$3,'Non-Embedded Emissions'!$F$143:$H$174,2,FALSE)+VLOOKUP(P$3,'Non-Embedded Emissions'!$A$230:$D$259,2,FALSE)), $C33 = "2", 'Inputs-System'!$C$30*'Coincidence Factors'!$B$9*'Inputs-Proposals'!$G$23*'Inputs-Proposals'!$G$25*(VLOOKUP(P$3,'Non-Embedded Emissions'!$A$56:$D$90,2,FALSE)-VLOOKUP(P$3,'Non-Embedded Emissions'!$F$57:$H$88,2,FALSE)+VLOOKUP(P$3,'Non-Embedded Emissions'!$A$143:$D$174,2,FALSE)-VLOOKUP(P$3,'Non-Embedded Emissions'!$F$143:$H$174,2,FALSE)+VLOOKUP(P$3,'Non-Embedded Emissions'!$A$230:$D$259,2,FALSE)), $C33 = "3", 'Inputs-System'!$C$30*'Coincidence Factors'!$B$9*'Inputs-Proposals'!$G$29*'Inputs-Proposals'!$G$31*(VLOOKUP(P$3,'Non-Embedded Emissions'!$A$56:$D$90,2,FALSE)-VLOOKUP(P$3,'Non-Embedded Emissions'!$F$57:$H$88,2,FALSE)+VLOOKUP(P$3,'Non-Embedded Emissions'!$A$143:$D$174,2,FALSE)-VLOOKUP(P$3,'Non-Embedded Emissions'!$F$143:$H$174,2,FALSE)+VLOOKUP(P$3,'Non-Embedded Emissions'!$A$230:$D$259,2,FALSE)), $C33 = "0", 0), 0)</f>
        <v>0</v>
      </c>
      <c r="V33" s="45">
        <f>IFERROR(_xlfn.IFS($C33="1",('Inputs-System'!$C$30*'Coincidence Factors'!$B$9*(1+'Inputs-System'!$C$18)*(1+'Inputs-System'!$C$41)*('Inputs-Proposals'!$G$17*'Inputs-Proposals'!$G$19*(1-'Inputs-Proposals'!$G$20^(V$3-'Inputs-System'!$C$7)))*(VLOOKUP(V$3,Energy!$A$51:$K$83,5,FALSE))), $C33 = "2",('Inputs-System'!$C$30*'Coincidence Factors'!$B$9)*(1+'Inputs-System'!$C$18)*(1+'Inputs-System'!$C$41)*('Inputs-Proposals'!$G$23*'Inputs-Proposals'!$G$25*(1-'Inputs-Proposals'!$G$26^(V$3-'Inputs-System'!$C$7)))*(VLOOKUP(V$3,Energy!$A$51:$K$83,5,FALSE)), $C33= "3", ('Inputs-System'!$C$30*'Coincidence Factors'!$B$9*(1+'Inputs-System'!$C$18)*(1+'Inputs-System'!$C$41)*('Inputs-Proposals'!$G$29*'Inputs-Proposals'!$G$31*(1-'Inputs-Proposals'!$G$32^(V$3-'Inputs-System'!$C$7)))*(VLOOKUP(V$3,Energy!$A$51:$K$83,5,FALSE))), $C33= "0", 0), 0)</f>
        <v>0</v>
      </c>
      <c r="W33" s="44">
        <f>IFERROR(_xlfn.IFS($C33="1",('Inputs-System'!$C$30*'Coincidence Factors'!$B$9*(1+'Inputs-System'!$C$18)*(1+'Inputs-System'!$C$41))*'Inputs-Proposals'!$G$17*'Inputs-Proposals'!$G$19*(1-'Inputs-Proposals'!$G$20^(V$3-'Inputs-System'!$C$7))*(VLOOKUP(V$3,'Embedded Emissions'!$A$47:$B$78,2,FALSE)+VLOOKUP(V$3,'Embedded Emissions'!$A$129:$B$158,2,FALSE)), $C33 = "2",('Inputs-System'!$C$30*'Coincidence Factors'!$B$9*(1+'Inputs-System'!$C$18)*(1+'Inputs-System'!$C$41))*'Inputs-Proposals'!$G$23*'Inputs-Proposals'!$G$25*(1-'Inputs-Proposals'!$G$20^(V$3-'Inputs-System'!$C$7))*(VLOOKUP(V$3,'Embedded Emissions'!$A$47:$B$78,2,FALSE)+VLOOKUP(V$3,'Embedded Emissions'!$A$129:$B$158,2,FALSE)), $C33 = "3", ('Inputs-System'!$C$30*'Coincidence Factors'!$B$9*(1+'Inputs-System'!$C$18)*(1+'Inputs-System'!$C$41))*'Inputs-Proposals'!$G$29*'Inputs-Proposals'!$G$31*(1-'Inputs-Proposals'!$G$20^(V$3-'Inputs-System'!$C$7))*(VLOOKUP(V$3,'Embedded Emissions'!$A$47:$B$78,2,FALSE)+VLOOKUP(V$3,'Embedded Emissions'!$A$129:$B$158,2,FALSE)), $C33 = "0", 0), 0)</f>
        <v>0</v>
      </c>
      <c r="X33" s="44">
        <f>IFERROR(_xlfn.IFS($C33="1",( 'Inputs-System'!$C$30*'Coincidence Factors'!$B$9*(1+'Inputs-System'!$C$18)*(1+'Inputs-System'!$C$41))*('Inputs-Proposals'!$G$17*'Inputs-Proposals'!$G$19*(1-'Inputs-Proposals'!$G$20)^(V$3-'Inputs-System'!$C$7))*(VLOOKUP(V$3,DRIPE!$A$54:$I$82,5,FALSE)+VLOOKUP(V$3,DRIPE!$A$54:$I$82,9,FALSE))+ ('Inputs-System'!$C$26*'Coincidence Factors'!$B$6*(1+'Inputs-System'!$C$18)*(1+'Inputs-System'!$C$42))*'Inputs-Proposals'!$G$16*VLOOKUP(V$3,DRIPE!$A$54:$I$82,8,FALSE), $C33 = "2",( 'Inputs-System'!$C$30*'Coincidence Factors'!$B$9*(1+'Inputs-System'!$C$18)*(1+'Inputs-System'!$C$41))*('Inputs-Proposals'!$G$23*'Inputs-Proposals'!$G$25*(1-'Inputs-Proposals'!$G$26)^(V$3-'Inputs-System'!$C$7))*(VLOOKUP(V$3,DRIPE!$A$54:$I$82,5,FALSE)+VLOOKUP(V$3,DRIPE!$A$54:$I$82,9,FALSE))+ ('Inputs-System'!$C$26*'Coincidence Factors'!$B$6*(1+'Inputs-System'!$C$18)*(1+'Inputs-System'!$C$42))*'Inputs-Proposals'!$G$22*VLOOKUP(V$3,DRIPE!$A$54:$I$82,8,FALSE), $C33= "3", ( 'Inputs-System'!$C$30*'Coincidence Factors'!$B$9*(1+'Inputs-System'!$C$18)*(1+'Inputs-System'!$C$41))*('Inputs-Proposals'!$G$29*'Inputs-Proposals'!$G$31*(1-'Inputs-Proposals'!$G$32)^(V$3-'Inputs-System'!$C$7))*(VLOOKUP(V$3,DRIPE!$A$54:$I$82,5,FALSE)+VLOOKUP(V$3,DRIPE!$A$54:$I$82,9,FALSE))+ ('Inputs-System'!$C$26*'Coincidence Factors'!$B$6*(1+'Inputs-System'!$C$18)*(1+'Inputs-System'!$C$42))*'Inputs-Proposals'!$G$28*VLOOKUP(V$3,DRIPE!$A$54:$I$82,8,FALSE), $C33 = "0", 0), 0)</f>
        <v>0</v>
      </c>
      <c r="Y33" s="45">
        <f>IFERROR(_xlfn.IFS($C33="1",('Inputs-System'!$C$26*'Coincidence Factors'!$B$9*(1+'Inputs-System'!$C$18)*(1+'Inputs-System'!$C$42))*'Inputs-Proposals'!$D$16*(VLOOKUP(V$3,Capacity!$A$53:$E$85,4,FALSE)*(1+'Inputs-System'!$C$42)+VLOOKUP(V$3,Capacity!$A$53:$E$85,5,FALSE)*(1+'Inputs-System'!$C$43)*'Inputs-System'!$C$29), $C33 = "2", ('Inputs-System'!$C$26*'Coincidence Factors'!$B$9*(1+'Inputs-System'!$C$18))*'Inputs-Proposals'!$D$22*(VLOOKUP(V$3,Capacity!$A$53:$E$85,4,FALSE)*(1+'Inputs-System'!$C$42)+VLOOKUP(V$3,Capacity!$A$53:$E$85,5,FALSE)*'Inputs-System'!$C$29*(1+'Inputs-System'!$C$43)), $C33 = "3", ('Inputs-System'!$C$26*'Coincidence Factors'!$B$9*(1+'Inputs-System'!$C$18))*'Inputs-Proposals'!$D$28*(VLOOKUP(V$3,Capacity!$A$53:$E$85,4,FALSE)*(1+'Inputs-System'!$C$42)+VLOOKUP(V$3,Capacity!$A$53:$E$85,5,FALSE)*'Inputs-System'!$C$29*(1+'Inputs-System'!$C$43)), $C33 = "0", 0), 0)</f>
        <v>0</v>
      </c>
      <c r="Z33" s="44">
        <v>0</v>
      </c>
      <c r="AA33" s="342">
        <f>IFERROR(_xlfn.IFS($C33="1", 'Inputs-System'!$C$30*'Coincidence Factors'!$B$9*'Inputs-Proposals'!$G$17*'Inputs-Proposals'!$G$19*(VLOOKUP(V$3,'Non-Embedded Emissions'!$A$56:$D$90,2,FALSE)-VLOOKUP(V$3,'Non-Embedded Emissions'!$F$57:$H$88,2,FALSE)+VLOOKUP(V$3,'Non-Embedded Emissions'!$A$143:$D$174,2,FALSE)-VLOOKUP(V$3,'Non-Embedded Emissions'!$F$143:$H$174,2,FALSE)+VLOOKUP(V$3,'Non-Embedded Emissions'!$A$230:$D$259,2,FALSE)), $C33 = "2", 'Inputs-System'!$C$30*'Coincidence Factors'!$B$9*'Inputs-Proposals'!$G$23*'Inputs-Proposals'!$G$25*(VLOOKUP(V$3,'Non-Embedded Emissions'!$A$56:$D$90,2,FALSE)-VLOOKUP(V$3,'Non-Embedded Emissions'!$F$57:$H$88,2,FALSE)+VLOOKUP(V$3,'Non-Embedded Emissions'!$A$143:$D$174,2,FALSE)-VLOOKUP(V$3,'Non-Embedded Emissions'!$F$143:$H$174,2,FALSE)+VLOOKUP(V$3,'Non-Embedded Emissions'!$A$230:$D$259,2,FALSE)), $C33 = "3", 'Inputs-System'!$C$30*'Coincidence Factors'!$B$9*'Inputs-Proposals'!$G$29*'Inputs-Proposals'!$G$31*(VLOOKUP(V$3,'Non-Embedded Emissions'!$A$56:$D$90,2,FALSE)-VLOOKUP(V$3,'Non-Embedded Emissions'!$F$57:$H$88,2,FALSE)+VLOOKUP(V$3,'Non-Embedded Emissions'!$A$143:$D$174,2,FALSE)-VLOOKUP(V$3,'Non-Embedded Emissions'!$F$143:$H$174,2,FALSE)+VLOOKUP(V$3,'Non-Embedded Emissions'!$A$230:$D$259,2,FALSE)), $C33 = "0", 0), 0)</f>
        <v>0</v>
      </c>
      <c r="AB33" s="45">
        <f>IFERROR(_xlfn.IFS($C33="1",('Inputs-System'!$C$30*'Coincidence Factors'!$B$9*(1+'Inputs-System'!$C$18)*(1+'Inputs-System'!$C$41)*('Inputs-Proposals'!$G$17*'Inputs-Proposals'!$G$19*(1-'Inputs-Proposals'!$G$20^(AB$3-'Inputs-System'!$C$7)))*(VLOOKUP(AB$3,Energy!$A$51:$K$83,5,FALSE))), $C33 = "2",('Inputs-System'!$C$30*'Coincidence Factors'!$B$9)*(1+'Inputs-System'!$C$18)*(1+'Inputs-System'!$C$41)*('Inputs-Proposals'!$G$23*'Inputs-Proposals'!$G$25*(1-'Inputs-Proposals'!$G$26^(AB$3-'Inputs-System'!$C$7)))*(VLOOKUP(AB$3,Energy!$A$51:$K$83,5,FALSE)), $C33= "3", ('Inputs-System'!$C$30*'Coincidence Factors'!$B$9*(1+'Inputs-System'!$C$18)*(1+'Inputs-System'!$C$41)*('Inputs-Proposals'!$G$29*'Inputs-Proposals'!$G$31*(1-'Inputs-Proposals'!$G$32^(AB$3-'Inputs-System'!$C$7)))*(VLOOKUP(AB$3,Energy!$A$51:$K$83,5,FALSE))), $C33= "0", 0), 0)</f>
        <v>0</v>
      </c>
      <c r="AC33" s="44">
        <f>IFERROR(_xlfn.IFS($C33="1",('Inputs-System'!$C$30*'Coincidence Factors'!$B$9*(1+'Inputs-System'!$C$18)*(1+'Inputs-System'!$C$41))*'Inputs-Proposals'!$G$17*'Inputs-Proposals'!$G$19*(1-'Inputs-Proposals'!$G$20^(AB$3-'Inputs-System'!$C$7))*(VLOOKUP(AB$3,'Embedded Emissions'!$A$47:$B$78,2,FALSE)+VLOOKUP(AB$3,'Embedded Emissions'!$A$129:$B$158,2,FALSE)), $C33 = "2",('Inputs-System'!$C$30*'Coincidence Factors'!$B$9*(1+'Inputs-System'!$C$18)*(1+'Inputs-System'!$C$41))*'Inputs-Proposals'!$G$23*'Inputs-Proposals'!$G$25*(1-'Inputs-Proposals'!$G$20^(AB$3-'Inputs-System'!$C$7))*(VLOOKUP(AB$3,'Embedded Emissions'!$A$47:$B$78,2,FALSE)+VLOOKUP(AB$3,'Embedded Emissions'!$A$129:$B$158,2,FALSE)), $C33 = "3", ('Inputs-System'!$C$30*'Coincidence Factors'!$B$9*(1+'Inputs-System'!$C$18)*(1+'Inputs-System'!$C$41))*'Inputs-Proposals'!$G$29*'Inputs-Proposals'!$G$31*(1-'Inputs-Proposals'!$G$20^(AB$3-'Inputs-System'!$C$7))*(VLOOKUP(AB$3,'Embedded Emissions'!$A$47:$B$78,2,FALSE)+VLOOKUP(AB$3,'Embedded Emissions'!$A$129:$B$158,2,FALSE)), $C33 = "0", 0), 0)</f>
        <v>0</v>
      </c>
      <c r="AD33" s="44">
        <f>IFERROR(_xlfn.IFS($C33="1",( 'Inputs-System'!$C$30*'Coincidence Factors'!$B$9*(1+'Inputs-System'!$C$18)*(1+'Inputs-System'!$C$41))*('Inputs-Proposals'!$G$17*'Inputs-Proposals'!$G$19*(1-'Inputs-Proposals'!$G$20)^(AB$3-'Inputs-System'!$C$7))*(VLOOKUP(AB$3,DRIPE!$A$54:$I$82,5,FALSE)+VLOOKUP(AB$3,DRIPE!$A$54:$I$82,9,FALSE))+ ('Inputs-System'!$C$26*'Coincidence Factors'!$B$6*(1+'Inputs-System'!$C$18)*(1+'Inputs-System'!$C$42))*'Inputs-Proposals'!$G$16*VLOOKUP(AB$3,DRIPE!$A$54:$I$82,8,FALSE), $C33 = "2",( 'Inputs-System'!$C$30*'Coincidence Factors'!$B$9*(1+'Inputs-System'!$C$18)*(1+'Inputs-System'!$C$41))*('Inputs-Proposals'!$G$23*'Inputs-Proposals'!$G$25*(1-'Inputs-Proposals'!$G$26)^(AB$3-'Inputs-System'!$C$7))*(VLOOKUP(AB$3,DRIPE!$A$54:$I$82,5,FALSE)+VLOOKUP(AB$3,DRIPE!$A$54:$I$82,9,FALSE))+ ('Inputs-System'!$C$26*'Coincidence Factors'!$B$6*(1+'Inputs-System'!$C$18)*(1+'Inputs-System'!$C$42))*'Inputs-Proposals'!$G$22*VLOOKUP(AB$3,DRIPE!$A$54:$I$82,8,FALSE), $C33= "3", ( 'Inputs-System'!$C$30*'Coincidence Factors'!$B$9*(1+'Inputs-System'!$C$18)*(1+'Inputs-System'!$C$41))*('Inputs-Proposals'!$G$29*'Inputs-Proposals'!$G$31*(1-'Inputs-Proposals'!$G$32)^(AB$3-'Inputs-System'!$C$7))*(VLOOKUP(AB$3,DRIPE!$A$54:$I$82,5,FALSE)+VLOOKUP(AB$3,DRIPE!$A$54:$I$82,9,FALSE))+ ('Inputs-System'!$C$26*'Coincidence Factors'!$B$6*(1+'Inputs-System'!$C$18)*(1+'Inputs-System'!$C$42))*'Inputs-Proposals'!$G$28*VLOOKUP(AB$3,DRIPE!$A$54:$I$82,8,FALSE), $C33 = "0", 0), 0)</f>
        <v>0</v>
      </c>
      <c r="AE33" s="45">
        <f>IFERROR(_xlfn.IFS($C33="1",('Inputs-System'!$C$26*'Coincidence Factors'!$B$9*(1+'Inputs-System'!$C$18)*(1+'Inputs-System'!$C$42))*'Inputs-Proposals'!$D$16*(VLOOKUP(AB$3,Capacity!$A$53:$E$85,4,FALSE)*(1+'Inputs-System'!$C$42)+VLOOKUP(AB$3,Capacity!$A$53:$E$85,5,FALSE)*(1+'Inputs-System'!$C$43)*'Inputs-System'!$C$29), $C33 = "2", ('Inputs-System'!$C$26*'Coincidence Factors'!$B$9*(1+'Inputs-System'!$C$18))*'Inputs-Proposals'!$D$22*(VLOOKUP(AB$3,Capacity!$A$53:$E$85,4,FALSE)*(1+'Inputs-System'!$C$42)+VLOOKUP(AB$3,Capacity!$A$53:$E$85,5,FALSE)*'Inputs-System'!$C$29*(1+'Inputs-System'!$C$43)), $C33 = "3", ('Inputs-System'!$C$26*'Coincidence Factors'!$B$9*(1+'Inputs-System'!$C$18))*'Inputs-Proposals'!$D$28*(VLOOKUP(AB$3,Capacity!$A$53:$E$85,4,FALSE)*(1+'Inputs-System'!$C$42)+VLOOKUP(AB$3,Capacity!$A$53:$E$85,5,FALSE)*'Inputs-System'!$C$29*(1+'Inputs-System'!$C$43)), $C33 = "0", 0), 0)</f>
        <v>0</v>
      </c>
      <c r="AF33" s="44">
        <v>0</v>
      </c>
      <c r="AG33" s="342">
        <f>IFERROR(_xlfn.IFS($C33="1", 'Inputs-System'!$C$30*'Coincidence Factors'!$B$9*'Inputs-Proposals'!$G$17*'Inputs-Proposals'!$G$19*(VLOOKUP(AB$3,'Non-Embedded Emissions'!$A$56:$D$90,2,FALSE)-VLOOKUP(AB$3,'Non-Embedded Emissions'!$F$57:$H$88,2,FALSE)+VLOOKUP(AB$3,'Non-Embedded Emissions'!$A$143:$D$174,2,FALSE)-VLOOKUP(AB$3,'Non-Embedded Emissions'!$F$143:$H$174,2,FALSE)+VLOOKUP(AB$3,'Non-Embedded Emissions'!$A$230:$D$259,2,FALSE)), $C33 = "2", 'Inputs-System'!$C$30*'Coincidence Factors'!$B$9*'Inputs-Proposals'!$G$23*'Inputs-Proposals'!$G$25*(VLOOKUP(AB$3,'Non-Embedded Emissions'!$A$56:$D$90,2,FALSE)-VLOOKUP(AB$3,'Non-Embedded Emissions'!$F$57:$H$88,2,FALSE)+VLOOKUP(AB$3,'Non-Embedded Emissions'!$A$143:$D$174,2,FALSE)-VLOOKUP(AB$3,'Non-Embedded Emissions'!$F$143:$H$174,2,FALSE)+VLOOKUP(AB$3,'Non-Embedded Emissions'!$A$230:$D$259,2,FALSE)), $C33 = "3", 'Inputs-System'!$C$30*'Coincidence Factors'!$B$9*'Inputs-Proposals'!$G$29*'Inputs-Proposals'!$G$31*(VLOOKUP(AB$3,'Non-Embedded Emissions'!$A$56:$D$90,2,FALSE)-VLOOKUP(AB$3,'Non-Embedded Emissions'!$F$57:$H$88,2,FALSE)+VLOOKUP(AB$3,'Non-Embedded Emissions'!$A$143:$D$174,2,FALSE)-VLOOKUP(AB$3,'Non-Embedded Emissions'!$F$143:$H$174,2,FALSE)+VLOOKUP(AB$3,'Non-Embedded Emissions'!$A$230:$D$259,2,FALSE)), $C33 = "0", 0), 0)</f>
        <v>0</v>
      </c>
      <c r="AH33" s="45">
        <f>IFERROR(_xlfn.IFS($C33="1",('Inputs-System'!$C$30*'Coincidence Factors'!$B$9*(1+'Inputs-System'!$C$18)*(1+'Inputs-System'!$C$41)*('Inputs-Proposals'!$G$17*'Inputs-Proposals'!$G$19*(1-'Inputs-Proposals'!$G$20^(AH$3-'Inputs-System'!$C$7)))*(VLOOKUP(AH$3,Energy!$A$51:$K$83,5,FALSE))), $C33 = "2",('Inputs-System'!$C$30*'Coincidence Factors'!$B$9)*(1+'Inputs-System'!$C$18)*(1+'Inputs-System'!$C$41)*('Inputs-Proposals'!$G$23*'Inputs-Proposals'!$G$25*(1-'Inputs-Proposals'!$G$26^(AH$3-'Inputs-System'!$C$7)))*(VLOOKUP(AH$3,Energy!$A$51:$K$83,5,FALSE)), $C33= "3", ('Inputs-System'!$C$30*'Coincidence Factors'!$B$9*(1+'Inputs-System'!$C$18)*(1+'Inputs-System'!$C$41)*('Inputs-Proposals'!$G$29*'Inputs-Proposals'!$G$31*(1-'Inputs-Proposals'!$G$32^(AH$3-'Inputs-System'!$C$7)))*(VLOOKUP(AH$3,Energy!$A$51:$K$83,5,FALSE))), $C33= "0", 0), 0)</f>
        <v>0</v>
      </c>
      <c r="AI33" s="44">
        <f>IFERROR(_xlfn.IFS($C33="1",('Inputs-System'!$C$30*'Coincidence Factors'!$B$9*(1+'Inputs-System'!$C$18)*(1+'Inputs-System'!$C$41))*'Inputs-Proposals'!$G$17*'Inputs-Proposals'!$G$19*(1-'Inputs-Proposals'!$G$20^(AH$3-'Inputs-System'!$C$7))*(VLOOKUP(AH$3,'Embedded Emissions'!$A$47:$B$78,2,FALSE)+VLOOKUP(AH$3,'Embedded Emissions'!$A$129:$B$158,2,FALSE)), $C33 = "2",('Inputs-System'!$C$30*'Coincidence Factors'!$B$9*(1+'Inputs-System'!$C$18)*(1+'Inputs-System'!$C$41))*'Inputs-Proposals'!$G$23*'Inputs-Proposals'!$G$25*(1-'Inputs-Proposals'!$G$20^(AH$3-'Inputs-System'!$C$7))*(VLOOKUP(AH$3,'Embedded Emissions'!$A$47:$B$78,2,FALSE)+VLOOKUP(AH$3,'Embedded Emissions'!$A$129:$B$158,2,FALSE)), $C33 = "3", ('Inputs-System'!$C$30*'Coincidence Factors'!$B$9*(1+'Inputs-System'!$C$18)*(1+'Inputs-System'!$C$41))*'Inputs-Proposals'!$G$29*'Inputs-Proposals'!$G$31*(1-'Inputs-Proposals'!$G$20^(AH$3-'Inputs-System'!$C$7))*(VLOOKUP(AH$3,'Embedded Emissions'!$A$47:$B$78,2,FALSE)+VLOOKUP(AH$3,'Embedded Emissions'!$A$129:$B$158,2,FALSE)), $C33 = "0", 0), 0)</f>
        <v>0</v>
      </c>
      <c r="AJ33" s="44">
        <f>IFERROR(_xlfn.IFS($C33="1",( 'Inputs-System'!$C$30*'Coincidence Factors'!$B$9*(1+'Inputs-System'!$C$18)*(1+'Inputs-System'!$C$41))*('Inputs-Proposals'!$G$17*'Inputs-Proposals'!$G$19*(1-'Inputs-Proposals'!$G$20)^(AH$3-'Inputs-System'!$C$7))*(VLOOKUP(AH$3,DRIPE!$A$54:$I$82,5,FALSE)+VLOOKUP(AH$3,DRIPE!$A$54:$I$82,9,FALSE))+ ('Inputs-System'!$C$26*'Coincidence Factors'!$B$6*(1+'Inputs-System'!$C$18)*(1+'Inputs-System'!$C$42))*'Inputs-Proposals'!$G$16*VLOOKUP(AH$3,DRIPE!$A$54:$I$82,8,FALSE), $C33 = "2",( 'Inputs-System'!$C$30*'Coincidence Factors'!$B$9*(1+'Inputs-System'!$C$18)*(1+'Inputs-System'!$C$41))*('Inputs-Proposals'!$G$23*'Inputs-Proposals'!$G$25*(1-'Inputs-Proposals'!$G$26)^(AH$3-'Inputs-System'!$C$7))*(VLOOKUP(AH$3,DRIPE!$A$54:$I$82,5,FALSE)+VLOOKUP(AH$3,DRIPE!$A$54:$I$82,9,FALSE))+ ('Inputs-System'!$C$26*'Coincidence Factors'!$B$6*(1+'Inputs-System'!$C$18)*(1+'Inputs-System'!$C$42))*'Inputs-Proposals'!$G$22*VLOOKUP(AH$3,DRIPE!$A$54:$I$82,8,FALSE), $C33= "3", ( 'Inputs-System'!$C$30*'Coincidence Factors'!$B$9*(1+'Inputs-System'!$C$18)*(1+'Inputs-System'!$C$41))*('Inputs-Proposals'!$G$29*'Inputs-Proposals'!$G$31*(1-'Inputs-Proposals'!$G$32)^(AH$3-'Inputs-System'!$C$7))*(VLOOKUP(AH$3,DRIPE!$A$54:$I$82,5,FALSE)+VLOOKUP(AH$3,DRIPE!$A$54:$I$82,9,FALSE))+ ('Inputs-System'!$C$26*'Coincidence Factors'!$B$6*(1+'Inputs-System'!$C$18)*(1+'Inputs-System'!$C$42))*'Inputs-Proposals'!$G$28*VLOOKUP(AH$3,DRIPE!$A$54:$I$82,8,FALSE), $C33 = "0", 0), 0)</f>
        <v>0</v>
      </c>
      <c r="AK33" s="45">
        <f>IFERROR(_xlfn.IFS($C33="1",('Inputs-System'!$C$26*'Coincidence Factors'!$B$9*(1+'Inputs-System'!$C$18)*(1+'Inputs-System'!$C$42))*'Inputs-Proposals'!$D$16*(VLOOKUP(AH$3,Capacity!$A$53:$E$85,4,FALSE)*(1+'Inputs-System'!$C$42)+VLOOKUP(AH$3,Capacity!$A$53:$E$85,5,FALSE)*(1+'Inputs-System'!$C$43)*'Inputs-System'!$C$29), $C33 = "2", ('Inputs-System'!$C$26*'Coincidence Factors'!$B$9*(1+'Inputs-System'!$C$18))*'Inputs-Proposals'!$D$22*(VLOOKUP(AH$3,Capacity!$A$53:$E$85,4,FALSE)*(1+'Inputs-System'!$C$42)+VLOOKUP(AH$3,Capacity!$A$53:$E$85,5,FALSE)*'Inputs-System'!$C$29*(1+'Inputs-System'!$C$43)), $C33 = "3", ('Inputs-System'!$C$26*'Coincidence Factors'!$B$9*(1+'Inputs-System'!$C$18))*'Inputs-Proposals'!$D$28*(VLOOKUP(AH$3,Capacity!$A$53:$E$85,4,FALSE)*(1+'Inputs-System'!$C$42)+VLOOKUP(AH$3,Capacity!$A$53:$E$85,5,FALSE)*'Inputs-System'!$C$29*(1+'Inputs-System'!$C$43)), $C33 = "0", 0), 0)</f>
        <v>0</v>
      </c>
      <c r="AL33" s="44">
        <v>0</v>
      </c>
      <c r="AM33" s="342">
        <f>IFERROR(_xlfn.IFS($C33="1", 'Inputs-System'!$C$30*'Coincidence Factors'!$B$9*'Inputs-Proposals'!$G$17*'Inputs-Proposals'!$G$19*(VLOOKUP(AH$3,'Non-Embedded Emissions'!$A$56:$D$90,2,FALSE)-VLOOKUP(AH$3,'Non-Embedded Emissions'!$F$57:$H$88,2,FALSE)+VLOOKUP(AH$3,'Non-Embedded Emissions'!$A$143:$D$174,2,FALSE)-VLOOKUP(AH$3,'Non-Embedded Emissions'!$F$143:$H$174,2,FALSE)+VLOOKUP(AH$3,'Non-Embedded Emissions'!$A$230:$D$259,2,FALSE)), $C33 = "2", 'Inputs-System'!$C$30*'Coincidence Factors'!$B$9*'Inputs-Proposals'!$G$23*'Inputs-Proposals'!$G$25*(VLOOKUP(AH$3,'Non-Embedded Emissions'!$A$56:$D$90,2,FALSE)-VLOOKUP(AH$3,'Non-Embedded Emissions'!$F$57:$H$88,2,FALSE)+VLOOKUP(AH$3,'Non-Embedded Emissions'!$A$143:$D$174,2,FALSE)-VLOOKUP(AH$3,'Non-Embedded Emissions'!$F$143:$H$174,2,FALSE)+VLOOKUP(AH$3,'Non-Embedded Emissions'!$A$230:$D$259,2,FALSE)), $C33 = "3", 'Inputs-System'!$C$30*'Coincidence Factors'!$B$9*'Inputs-Proposals'!$G$29*'Inputs-Proposals'!$G$31*(VLOOKUP(AH$3,'Non-Embedded Emissions'!$A$56:$D$90,2,FALSE)-VLOOKUP(AH$3,'Non-Embedded Emissions'!$F$57:$H$88,2,FALSE)+VLOOKUP(AH$3,'Non-Embedded Emissions'!$A$143:$D$174,2,FALSE)-VLOOKUP(AH$3,'Non-Embedded Emissions'!$F$143:$H$174,2,FALSE)+VLOOKUP(AH$3,'Non-Embedded Emissions'!$A$230:$D$259,2,FALSE)), $C33 = "0", 0), 0)</f>
        <v>0</v>
      </c>
      <c r="AN33" s="45">
        <f>IFERROR(_xlfn.IFS($C33="1",('Inputs-System'!$C$30*'Coincidence Factors'!$B$9*(1+'Inputs-System'!$C$18)*(1+'Inputs-System'!$C$41)*('Inputs-Proposals'!$G$17*'Inputs-Proposals'!$G$19*(1-'Inputs-Proposals'!$G$20^(AN$3-'Inputs-System'!$C$7)))*(VLOOKUP(AN$3,Energy!$A$51:$K$83,5,FALSE))), $C33 = "2",('Inputs-System'!$C$30*'Coincidence Factors'!$B$9)*(1+'Inputs-System'!$C$18)*(1+'Inputs-System'!$C$41)*('Inputs-Proposals'!$G$23*'Inputs-Proposals'!$G$25*(1-'Inputs-Proposals'!$G$26^(AN$3-'Inputs-System'!$C$7)))*(VLOOKUP(AN$3,Energy!$A$51:$K$83,5,FALSE)), $C33= "3", ('Inputs-System'!$C$30*'Coincidence Factors'!$B$9*(1+'Inputs-System'!$C$18)*(1+'Inputs-System'!$C$41)*('Inputs-Proposals'!$G$29*'Inputs-Proposals'!$G$31*(1-'Inputs-Proposals'!$G$32^(AN$3-'Inputs-System'!$C$7)))*(VLOOKUP(AN$3,Energy!$A$51:$K$83,5,FALSE))), $C33= "0", 0), 0)</f>
        <v>0</v>
      </c>
      <c r="AO33" s="44">
        <f>IFERROR(_xlfn.IFS($C33="1",('Inputs-System'!$C$30*'Coincidence Factors'!$B$9*(1+'Inputs-System'!$C$18)*(1+'Inputs-System'!$C$41))*'Inputs-Proposals'!$G$17*'Inputs-Proposals'!$G$19*(1-'Inputs-Proposals'!$G$20^(AN$3-'Inputs-System'!$C$7))*(VLOOKUP(AN$3,'Embedded Emissions'!$A$47:$B$78,2,FALSE)+VLOOKUP(AN$3,'Embedded Emissions'!$A$129:$B$158,2,FALSE)), $C33 = "2",('Inputs-System'!$C$30*'Coincidence Factors'!$B$9*(1+'Inputs-System'!$C$18)*(1+'Inputs-System'!$C$41))*'Inputs-Proposals'!$G$23*'Inputs-Proposals'!$G$25*(1-'Inputs-Proposals'!$G$20^(AN$3-'Inputs-System'!$C$7))*(VLOOKUP(AN$3,'Embedded Emissions'!$A$47:$B$78,2,FALSE)+VLOOKUP(AN$3,'Embedded Emissions'!$A$129:$B$158,2,FALSE)), $C33 = "3", ('Inputs-System'!$C$30*'Coincidence Factors'!$B$9*(1+'Inputs-System'!$C$18)*(1+'Inputs-System'!$C$41))*'Inputs-Proposals'!$G$29*'Inputs-Proposals'!$G$31*(1-'Inputs-Proposals'!$G$20^(AN$3-'Inputs-System'!$C$7))*(VLOOKUP(AN$3,'Embedded Emissions'!$A$47:$B$78,2,FALSE)+VLOOKUP(AN$3,'Embedded Emissions'!$A$129:$B$158,2,FALSE)), $C33 = "0", 0), 0)</f>
        <v>0</v>
      </c>
      <c r="AP33" s="44">
        <f>IFERROR(_xlfn.IFS($C33="1",( 'Inputs-System'!$C$30*'Coincidence Factors'!$B$9*(1+'Inputs-System'!$C$18)*(1+'Inputs-System'!$C$41))*('Inputs-Proposals'!$G$17*'Inputs-Proposals'!$G$19*(1-'Inputs-Proposals'!$G$20)^(AN$3-'Inputs-System'!$C$7))*(VLOOKUP(AN$3,DRIPE!$A$54:$I$82,5,FALSE)+VLOOKUP(AN$3,DRIPE!$A$54:$I$82,9,FALSE))+ ('Inputs-System'!$C$26*'Coincidence Factors'!$B$6*(1+'Inputs-System'!$C$18)*(1+'Inputs-System'!$C$42))*'Inputs-Proposals'!$G$16*VLOOKUP(AN$3,DRIPE!$A$54:$I$82,8,FALSE), $C33 = "2",( 'Inputs-System'!$C$30*'Coincidence Factors'!$B$9*(1+'Inputs-System'!$C$18)*(1+'Inputs-System'!$C$41))*('Inputs-Proposals'!$G$23*'Inputs-Proposals'!$G$25*(1-'Inputs-Proposals'!$G$26)^(AN$3-'Inputs-System'!$C$7))*(VLOOKUP(AN$3,DRIPE!$A$54:$I$82,5,FALSE)+VLOOKUP(AN$3,DRIPE!$A$54:$I$82,9,FALSE))+ ('Inputs-System'!$C$26*'Coincidence Factors'!$B$6*(1+'Inputs-System'!$C$18)*(1+'Inputs-System'!$C$42))*'Inputs-Proposals'!$G$22*VLOOKUP(AN$3,DRIPE!$A$54:$I$82,8,FALSE), $C33= "3", ( 'Inputs-System'!$C$30*'Coincidence Factors'!$B$9*(1+'Inputs-System'!$C$18)*(1+'Inputs-System'!$C$41))*('Inputs-Proposals'!$G$29*'Inputs-Proposals'!$G$31*(1-'Inputs-Proposals'!$G$32)^(AN$3-'Inputs-System'!$C$7))*(VLOOKUP(AN$3,DRIPE!$A$54:$I$82,5,FALSE)+VLOOKUP(AN$3,DRIPE!$A$54:$I$82,9,FALSE))+ ('Inputs-System'!$C$26*'Coincidence Factors'!$B$6*(1+'Inputs-System'!$C$18)*(1+'Inputs-System'!$C$42))*'Inputs-Proposals'!$G$28*VLOOKUP(AN$3,DRIPE!$A$54:$I$82,8,FALSE), $C33 = "0", 0), 0)</f>
        <v>0</v>
      </c>
      <c r="AQ33" s="45">
        <f>IFERROR(_xlfn.IFS($C33="1",('Inputs-System'!$C$26*'Coincidence Factors'!$B$9*(1+'Inputs-System'!$C$18)*(1+'Inputs-System'!$C$42))*'Inputs-Proposals'!$D$16*(VLOOKUP(AN$3,Capacity!$A$53:$E$85,4,FALSE)*(1+'Inputs-System'!$C$42)+VLOOKUP(AN$3,Capacity!$A$53:$E$85,5,FALSE)*(1+'Inputs-System'!$C$43)*'Inputs-System'!$C$29), $C33 = "2", ('Inputs-System'!$C$26*'Coincidence Factors'!$B$9*(1+'Inputs-System'!$C$18))*'Inputs-Proposals'!$D$22*(VLOOKUP(AN$3,Capacity!$A$53:$E$85,4,FALSE)*(1+'Inputs-System'!$C$42)+VLOOKUP(AN$3,Capacity!$A$53:$E$85,5,FALSE)*'Inputs-System'!$C$29*(1+'Inputs-System'!$C$43)), $C33 = "3", ('Inputs-System'!$C$26*'Coincidence Factors'!$B$9*(1+'Inputs-System'!$C$18))*'Inputs-Proposals'!$D$28*(VLOOKUP(AN$3,Capacity!$A$53:$E$85,4,FALSE)*(1+'Inputs-System'!$C$42)+VLOOKUP(AN$3,Capacity!$A$53:$E$85,5,FALSE)*'Inputs-System'!$C$29*(1+'Inputs-System'!$C$43)), $C33 = "0", 0), 0)</f>
        <v>0</v>
      </c>
      <c r="AR33" s="44">
        <v>0</v>
      </c>
      <c r="AS33" s="342">
        <f>IFERROR(_xlfn.IFS($C33="1", 'Inputs-System'!$C$30*'Coincidence Factors'!$B$9*'Inputs-Proposals'!$G$17*'Inputs-Proposals'!$G$19*(VLOOKUP(AN$3,'Non-Embedded Emissions'!$A$56:$D$90,2,FALSE)-VLOOKUP(AN$3,'Non-Embedded Emissions'!$F$57:$H$88,2,FALSE)+VLOOKUP(AN$3,'Non-Embedded Emissions'!$A$143:$D$174,2,FALSE)-VLOOKUP(AN$3,'Non-Embedded Emissions'!$F$143:$H$174,2,FALSE)+VLOOKUP(AN$3,'Non-Embedded Emissions'!$A$230:$D$259,2,FALSE)), $C33 = "2", 'Inputs-System'!$C$30*'Coincidence Factors'!$B$9*'Inputs-Proposals'!$G$23*'Inputs-Proposals'!$G$25*(VLOOKUP(AN$3,'Non-Embedded Emissions'!$A$56:$D$90,2,FALSE)-VLOOKUP(AN$3,'Non-Embedded Emissions'!$F$57:$H$88,2,FALSE)+VLOOKUP(AN$3,'Non-Embedded Emissions'!$A$143:$D$174,2,FALSE)-VLOOKUP(AN$3,'Non-Embedded Emissions'!$F$143:$H$174,2,FALSE)+VLOOKUP(AN$3,'Non-Embedded Emissions'!$A$230:$D$259,2,FALSE)), $C33 = "3", 'Inputs-System'!$C$30*'Coincidence Factors'!$B$9*'Inputs-Proposals'!$G$29*'Inputs-Proposals'!$G$31*(VLOOKUP(AN$3,'Non-Embedded Emissions'!$A$56:$D$90,2,FALSE)-VLOOKUP(AN$3,'Non-Embedded Emissions'!$F$57:$H$88,2,FALSE)+VLOOKUP(AN$3,'Non-Embedded Emissions'!$A$143:$D$174,2,FALSE)-VLOOKUP(AN$3,'Non-Embedded Emissions'!$F$143:$H$174,2,FALSE)+VLOOKUP(AN$3,'Non-Embedded Emissions'!$A$230:$D$259,2,FALSE)), $C33 = "0", 0), 0)</f>
        <v>0</v>
      </c>
      <c r="AT33" s="45">
        <f>IFERROR(_xlfn.IFS($C33="1",('Inputs-System'!$C$30*'Coincidence Factors'!$B$9*(1+'Inputs-System'!$C$18)*(1+'Inputs-System'!$C$41)*('Inputs-Proposals'!$G$17*'Inputs-Proposals'!$G$19*(1-'Inputs-Proposals'!$G$20^(AT$3-'Inputs-System'!$C$7)))*(VLOOKUP(AT$3,Energy!$A$51:$K$83,5,FALSE))), $C33 = "2",('Inputs-System'!$C$30*'Coincidence Factors'!$B$9)*(1+'Inputs-System'!$C$18)*(1+'Inputs-System'!$C$41)*('Inputs-Proposals'!$G$23*'Inputs-Proposals'!$G$25*(1-'Inputs-Proposals'!$G$26^(AT$3-'Inputs-System'!$C$7)))*(VLOOKUP(AT$3,Energy!$A$51:$K$83,5,FALSE)), $C33= "3", ('Inputs-System'!$C$30*'Coincidence Factors'!$B$9*(1+'Inputs-System'!$C$18)*(1+'Inputs-System'!$C$41)*('Inputs-Proposals'!$G$29*'Inputs-Proposals'!$G$31*(1-'Inputs-Proposals'!$G$32^(AT$3-'Inputs-System'!$C$7)))*(VLOOKUP(AT$3,Energy!$A$51:$K$83,5,FALSE))), $C33= "0", 0), 0)</f>
        <v>0</v>
      </c>
      <c r="AU33" s="44">
        <f>IFERROR(_xlfn.IFS($C33="1",('Inputs-System'!$C$30*'Coincidence Factors'!$B$9*(1+'Inputs-System'!$C$18)*(1+'Inputs-System'!$C$41))*'Inputs-Proposals'!$G$17*'Inputs-Proposals'!$G$19*(1-'Inputs-Proposals'!$G$20^(AT$3-'Inputs-System'!$C$7))*(VLOOKUP(AT$3,'Embedded Emissions'!$A$47:$B$78,2,FALSE)+VLOOKUP(AT$3,'Embedded Emissions'!$A$129:$B$158,2,FALSE)), $C33 = "2",('Inputs-System'!$C$30*'Coincidence Factors'!$B$9*(1+'Inputs-System'!$C$18)*(1+'Inputs-System'!$C$41))*'Inputs-Proposals'!$G$23*'Inputs-Proposals'!$G$25*(1-'Inputs-Proposals'!$G$20^(AT$3-'Inputs-System'!$C$7))*(VLOOKUP(AT$3,'Embedded Emissions'!$A$47:$B$78,2,FALSE)+VLOOKUP(AT$3,'Embedded Emissions'!$A$129:$B$158,2,FALSE)), $C33 = "3", ('Inputs-System'!$C$30*'Coincidence Factors'!$B$9*(1+'Inputs-System'!$C$18)*(1+'Inputs-System'!$C$41))*'Inputs-Proposals'!$G$29*'Inputs-Proposals'!$G$31*(1-'Inputs-Proposals'!$G$20^(AT$3-'Inputs-System'!$C$7))*(VLOOKUP(AT$3,'Embedded Emissions'!$A$47:$B$78,2,FALSE)+VLOOKUP(AT$3,'Embedded Emissions'!$A$129:$B$158,2,FALSE)), $C33 = "0", 0), 0)</f>
        <v>0</v>
      </c>
      <c r="AV33" s="44">
        <f>IFERROR(_xlfn.IFS($C33="1",( 'Inputs-System'!$C$30*'Coincidence Factors'!$B$9*(1+'Inputs-System'!$C$18)*(1+'Inputs-System'!$C$41))*('Inputs-Proposals'!$G$17*'Inputs-Proposals'!$G$19*(1-'Inputs-Proposals'!$G$20)^(AT$3-'Inputs-System'!$C$7))*(VLOOKUP(AT$3,DRIPE!$A$54:$I$82,5,FALSE)+VLOOKUP(AT$3,DRIPE!$A$54:$I$82,9,FALSE))+ ('Inputs-System'!$C$26*'Coincidence Factors'!$B$6*(1+'Inputs-System'!$C$18)*(1+'Inputs-System'!$C$42))*'Inputs-Proposals'!$G$16*VLOOKUP(AT$3,DRIPE!$A$54:$I$82,8,FALSE), $C33 = "2",( 'Inputs-System'!$C$30*'Coincidence Factors'!$B$9*(1+'Inputs-System'!$C$18)*(1+'Inputs-System'!$C$41))*('Inputs-Proposals'!$G$23*'Inputs-Proposals'!$G$25*(1-'Inputs-Proposals'!$G$26)^(AT$3-'Inputs-System'!$C$7))*(VLOOKUP(AT$3,DRIPE!$A$54:$I$82,5,FALSE)+VLOOKUP(AT$3,DRIPE!$A$54:$I$82,9,FALSE))+ ('Inputs-System'!$C$26*'Coincidence Factors'!$B$6*(1+'Inputs-System'!$C$18)*(1+'Inputs-System'!$C$42))*'Inputs-Proposals'!$G$22*VLOOKUP(AT$3,DRIPE!$A$54:$I$82,8,FALSE), $C33= "3", ( 'Inputs-System'!$C$30*'Coincidence Factors'!$B$9*(1+'Inputs-System'!$C$18)*(1+'Inputs-System'!$C$41))*('Inputs-Proposals'!$G$29*'Inputs-Proposals'!$G$31*(1-'Inputs-Proposals'!$G$32)^(AT$3-'Inputs-System'!$C$7))*(VLOOKUP(AT$3,DRIPE!$A$54:$I$82,5,FALSE)+VLOOKUP(AT$3,DRIPE!$A$54:$I$82,9,FALSE))+ ('Inputs-System'!$C$26*'Coincidence Factors'!$B$6*(1+'Inputs-System'!$C$18)*(1+'Inputs-System'!$C$42))*'Inputs-Proposals'!$G$28*VLOOKUP(AT$3,DRIPE!$A$54:$I$82,8,FALSE), $C33 = "0", 0), 0)</f>
        <v>0</v>
      </c>
      <c r="AW33" s="45">
        <f>IFERROR(_xlfn.IFS($C33="1",('Inputs-System'!$C$26*'Coincidence Factors'!$B$9*(1+'Inputs-System'!$C$18)*(1+'Inputs-System'!$C$42))*'Inputs-Proposals'!$D$16*(VLOOKUP(AT$3,Capacity!$A$53:$E$85,4,FALSE)*(1+'Inputs-System'!$C$42)+VLOOKUP(AT$3,Capacity!$A$53:$E$85,5,FALSE)*(1+'Inputs-System'!$C$43)*'Inputs-System'!$C$29), $C33 = "2", ('Inputs-System'!$C$26*'Coincidence Factors'!$B$9*(1+'Inputs-System'!$C$18))*'Inputs-Proposals'!$D$22*(VLOOKUP(AT$3,Capacity!$A$53:$E$85,4,FALSE)*(1+'Inputs-System'!$C$42)+VLOOKUP(AT$3,Capacity!$A$53:$E$85,5,FALSE)*'Inputs-System'!$C$29*(1+'Inputs-System'!$C$43)), $C33 = "3", ('Inputs-System'!$C$26*'Coincidence Factors'!$B$9*(1+'Inputs-System'!$C$18))*'Inputs-Proposals'!$D$28*(VLOOKUP(AT$3,Capacity!$A$53:$E$85,4,FALSE)*(1+'Inputs-System'!$C$42)+VLOOKUP(AT$3,Capacity!$A$53:$E$85,5,FALSE)*'Inputs-System'!$C$29*(1+'Inputs-System'!$C$43)), $C33 = "0", 0), 0)</f>
        <v>0</v>
      </c>
      <c r="AX33" s="44">
        <v>0</v>
      </c>
      <c r="AY33" s="342">
        <f>IFERROR(_xlfn.IFS($C33="1", 'Inputs-System'!$C$30*'Coincidence Factors'!$B$9*'Inputs-Proposals'!$G$17*'Inputs-Proposals'!$G$19*(VLOOKUP(AT$3,'Non-Embedded Emissions'!$A$56:$D$90,2,FALSE)-VLOOKUP(AT$3,'Non-Embedded Emissions'!$F$57:$H$88,2,FALSE)+VLOOKUP(AT$3,'Non-Embedded Emissions'!$A$143:$D$174,2,FALSE)-VLOOKUP(AT$3,'Non-Embedded Emissions'!$F$143:$H$174,2,FALSE)+VLOOKUP(AT$3,'Non-Embedded Emissions'!$A$230:$D$259,2,FALSE)), $C33 = "2", 'Inputs-System'!$C$30*'Coincidence Factors'!$B$9*'Inputs-Proposals'!$G$23*'Inputs-Proposals'!$G$25*(VLOOKUP(AT$3,'Non-Embedded Emissions'!$A$56:$D$90,2,FALSE)-VLOOKUP(AT$3,'Non-Embedded Emissions'!$F$57:$H$88,2,FALSE)+VLOOKUP(AT$3,'Non-Embedded Emissions'!$A$143:$D$174,2,FALSE)-VLOOKUP(AT$3,'Non-Embedded Emissions'!$F$143:$H$174,2,FALSE)+VLOOKUP(AT$3,'Non-Embedded Emissions'!$A$230:$D$259,2,FALSE)), $C33 = "3", 'Inputs-System'!$C$30*'Coincidence Factors'!$B$9*'Inputs-Proposals'!$G$29*'Inputs-Proposals'!$G$31*(VLOOKUP(AT$3,'Non-Embedded Emissions'!$A$56:$D$90,2,FALSE)-VLOOKUP(AT$3,'Non-Embedded Emissions'!$F$57:$H$88,2,FALSE)+VLOOKUP(AT$3,'Non-Embedded Emissions'!$A$143:$D$174,2,FALSE)-VLOOKUP(AT$3,'Non-Embedded Emissions'!$F$143:$H$174,2,FALSE)+VLOOKUP(AT$3,'Non-Embedded Emissions'!$A$230:$D$259,2,FALSE)), $C33 = "0", 0), 0)</f>
        <v>0</v>
      </c>
      <c r="AZ33" s="45">
        <f>IFERROR(_xlfn.IFS($C33="1",('Inputs-System'!$C$30*'Coincidence Factors'!$B$9*(1+'Inputs-System'!$C$18)*(1+'Inputs-System'!$C$41)*('Inputs-Proposals'!$G$17*'Inputs-Proposals'!$G$19*(1-'Inputs-Proposals'!$G$20^(AZ$3-'Inputs-System'!$C$7)))*(VLOOKUP(AZ$3,Energy!$A$51:$K$83,5,FALSE))), $C33 = "2",('Inputs-System'!$C$30*'Coincidence Factors'!$B$9)*(1+'Inputs-System'!$C$18)*(1+'Inputs-System'!$C$41)*('Inputs-Proposals'!$G$23*'Inputs-Proposals'!$G$25*(1-'Inputs-Proposals'!$G$26^(AZ$3-'Inputs-System'!$C$7)))*(VLOOKUP(AZ$3,Energy!$A$51:$K$83,5,FALSE)), $C33= "3", ('Inputs-System'!$C$30*'Coincidence Factors'!$B$9*(1+'Inputs-System'!$C$18)*(1+'Inputs-System'!$C$41)*('Inputs-Proposals'!$G$29*'Inputs-Proposals'!$G$31*(1-'Inputs-Proposals'!$G$32^(AZ$3-'Inputs-System'!$C$7)))*(VLOOKUP(AZ$3,Energy!$A$51:$K$83,5,FALSE))), $C33= "0", 0), 0)</f>
        <v>0</v>
      </c>
      <c r="BA33" s="44">
        <f>IFERROR(_xlfn.IFS($C33="1",('Inputs-System'!$C$30*'Coincidence Factors'!$B$9*(1+'Inputs-System'!$C$18)*(1+'Inputs-System'!$C$41))*'Inputs-Proposals'!$G$17*'Inputs-Proposals'!$G$19*(1-'Inputs-Proposals'!$G$20^(AZ$3-'Inputs-System'!$C$7))*(VLOOKUP(AZ$3,'Embedded Emissions'!$A$47:$B$78,2,FALSE)+VLOOKUP(AZ$3,'Embedded Emissions'!$A$129:$B$158,2,FALSE)), $C33 = "2",('Inputs-System'!$C$30*'Coincidence Factors'!$B$9*(1+'Inputs-System'!$C$18)*(1+'Inputs-System'!$C$41))*'Inputs-Proposals'!$G$23*'Inputs-Proposals'!$G$25*(1-'Inputs-Proposals'!$G$20^(AZ$3-'Inputs-System'!$C$7))*(VLOOKUP(AZ$3,'Embedded Emissions'!$A$47:$B$78,2,FALSE)+VLOOKUP(AZ$3,'Embedded Emissions'!$A$129:$B$158,2,FALSE)), $C33 = "3", ('Inputs-System'!$C$30*'Coincidence Factors'!$B$9*(1+'Inputs-System'!$C$18)*(1+'Inputs-System'!$C$41))*'Inputs-Proposals'!$G$29*'Inputs-Proposals'!$G$31*(1-'Inputs-Proposals'!$G$20^(AZ$3-'Inputs-System'!$C$7))*(VLOOKUP(AZ$3,'Embedded Emissions'!$A$47:$B$78,2,FALSE)+VLOOKUP(AZ$3,'Embedded Emissions'!$A$129:$B$158,2,FALSE)), $C33 = "0", 0), 0)</f>
        <v>0</v>
      </c>
      <c r="BB33" s="44">
        <f>IFERROR(_xlfn.IFS($C33="1",( 'Inputs-System'!$C$30*'Coincidence Factors'!$B$9*(1+'Inputs-System'!$C$18)*(1+'Inputs-System'!$C$41))*('Inputs-Proposals'!$G$17*'Inputs-Proposals'!$G$19*(1-'Inputs-Proposals'!$G$20)^(AZ$3-'Inputs-System'!$C$7))*(VLOOKUP(AZ$3,DRIPE!$A$54:$I$82,5,FALSE)+VLOOKUP(AZ$3,DRIPE!$A$54:$I$82,9,FALSE))+ ('Inputs-System'!$C$26*'Coincidence Factors'!$B$6*(1+'Inputs-System'!$C$18)*(1+'Inputs-System'!$C$42))*'Inputs-Proposals'!$G$16*VLOOKUP(AZ$3,DRIPE!$A$54:$I$82,8,FALSE), $C33 = "2",( 'Inputs-System'!$C$30*'Coincidence Factors'!$B$9*(1+'Inputs-System'!$C$18)*(1+'Inputs-System'!$C$41))*('Inputs-Proposals'!$G$23*'Inputs-Proposals'!$G$25*(1-'Inputs-Proposals'!$G$26)^(AZ$3-'Inputs-System'!$C$7))*(VLOOKUP(AZ$3,DRIPE!$A$54:$I$82,5,FALSE)+VLOOKUP(AZ$3,DRIPE!$A$54:$I$82,9,FALSE))+ ('Inputs-System'!$C$26*'Coincidence Factors'!$B$6*(1+'Inputs-System'!$C$18)*(1+'Inputs-System'!$C$42))*'Inputs-Proposals'!$G$22*VLOOKUP(AZ$3,DRIPE!$A$54:$I$82,8,FALSE), $C33= "3", ( 'Inputs-System'!$C$30*'Coincidence Factors'!$B$9*(1+'Inputs-System'!$C$18)*(1+'Inputs-System'!$C$41))*('Inputs-Proposals'!$G$29*'Inputs-Proposals'!$G$31*(1-'Inputs-Proposals'!$G$32)^(AZ$3-'Inputs-System'!$C$7))*(VLOOKUP(AZ$3,DRIPE!$A$54:$I$82,5,FALSE)+VLOOKUP(AZ$3,DRIPE!$A$54:$I$82,9,FALSE))+ ('Inputs-System'!$C$26*'Coincidence Factors'!$B$6*(1+'Inputs-System'!$C$18)*(1+'Inputs-System'!$C$42))*'Inputs-Proposals'!$G$28*VLOOKUP(AZ$3,DRIPE!$A$54:$I$82,8,FALSE), $C33 = "0", 0), 0)</f>
        <v>0</v>
      </c>
      <c r="BC33" s="45">
        <f>IFERROR(_xlfn.IFS($C33="1",('Inputs-System'!$C$26*'Coincidence Factors'!$B$9*(1+'Inputs-System'!$C$18)*(1+'Inputs-System'!$C$42))*'Inputs-Proposals'!$D$16*(VLOOKUP(AZ$3,Capacity!$A$53:$E$85,4,FALSE)*(1+'Inputs-System'!$C$42)+VLOOKUP(AZ$3,Capacity!$A$53:$E$85,5,FALSE)*(1+'Inputs-System'!$C$43)*'Inputs-System'!$C$29), $C33 = "2", ('Inputs-System'!$C$26*'Coincidence Factors'!$B$9*(1+'Inputs-System'!$C$18))*'Inputs-Proposals'!$D$22*(VLOOKUP(AZ$3,Capacity!$A$53:$E$85,4,FALSE)*(1+'Inputs-System'!$C$42)+VLOOKUP(AZ$3,Capacity!$A$53:$E$85,5,FALSE)*'Inputs-System'!$C$29*(1+'Inputs-System'!$C$43)), $C33 = "3", ('Inputs-System'!$C$26*'Coincidence Factors'!$B$9*(1+'Inputs-System'!$C$18))*'Inputs-Proposals'!$D$28*(VLOOKUP(AZ$3,Capacity!$A$53:$E$85,4,FALSE)*(1+'Inputs-System'!$C$42)+VLOOKUP(AZ$3,Capacity!$A$53:$E$85,5,FALSE)*'Inputs-System'!$C$29*(1+'Inputs-System'!$C$43)), $C33 = "0", 0), 0)</f>
        <v>0</v>
      </c>
      <c r="BD33" s="44">
        <v>0</v>
      </c>
      <c r="BE33" s="342">
        <f>IFERROR(_xlfn.IFS($C33="1", 'Inputs-System'!$C$30*'Coincidence Factors'!$B$9*'Inputs-Proposals'!$G$17*'Inputs-Proposals'!$G$19*(VLOOKUP(AZ$3,'Non-Embedded Emissions'!$A$56:$D$90,2,FALSE)-VLOOKUP(AZ$3,'Non-Embedded Emissions'!$F$57:$H$88,2,FALSE)+VLOOKUP(AZ$3,'Non-Embedded Emissions'!$A$143:$D$174,2,FALSE)-VLOOKUP(AZ$3,'Non-Embedded Emissions'!$F$143:$H$174,2,FALSE)+VLOOKUP(AZ$3,'Non-Embedded Emissions'!$A$230:$D$259,2,FALSE)), $C33 = "2", 'Inputs-System'!$C$30*'Coincidence Factors'!$B$9*'Inputs-Proposals'!$G$23*'Inputs-Proposals'!$G$25*(VLOOKUP(AZ$3,'Non-Embedded Emissions'!$A$56:$D$90,2,FALSE)-VLOOKUP(AZ$3,'Non-Embedded Emissions'!$F$57:$H$88,2,FALSE)+VLOOKUP(AZ$3,'Non-Embedded Emissions'!$A$143:$D$174,2,FALSE)-VLOOKUP(AZ$3,'Non-Embedded Emissions'!$F$143:$H$174,2,FALSE)+VLOOKUP(AZ$3,'Non-Embedded Emissions'!$A$230:$D$259,2,FALSE)), $C33 = "3", 'Inputs-System'!$C$30*'Coincidence Factors'!$B$9*'Inputs-Proposals'!$G$29*'Inputs-Proposals'!$G$31*(VLOOKUP(AZ$3,'Non-Embedded Emissions'!$A$56:$D$90,2,FALSE)-VLOOKUP(AZ$3,'Non-Embedded Emissions'!$F$57:$H$88,2,FALSE)+VLOOKUP(AZ$3,'Non-Embedded Emissions'!$A$143:$D$174,2,FALSE)-VLOOKUP(AZ$3,'Non-Embedded Emissions'!$F$143:$H$174,2,FALSE)+VLOOKUP(AZ$3,'Non-Embedded Emissions'!$A$230:$D$259,2,FALSE)), $C33 = "0", 0), 0)</f>
        <v>0</v>
      </c>
      <c r="BF33" s="45">
        <f>IFERROR(_xlfn.IFS($C33="1",('Inputs-System'!$C$30*'Coincidence Factors'!$B$9*(1+'Inputs-System'!$C$18)*(1+'Inputs-System'!$C$41)*('Inputs-Proposals'!$G$17*'Inputs-Proposals'!$G$19*(1-'Inputs-Proposals'!$G$20^(BF$3-'Inputs-System'!$C$7)))*(VLOOKUP(BF$3,Energy!$A$51:$K$83,5,FALSE))), $C33 = "2",('Inputs-System'!$C$30*'Coincidence Factors'!$B$9)*(1+'Inputs-System'!$C$18)*(1+'Inputs-System'!$C$41)*('Inputs-Proposals'!$G$23*'Inputs-Proposals'!$G$25*(1-'Inputs-Proposals'!$G$26^(BF$3-'Inputs-System'!$C$7)))*(VLOOKUP(BF$3,Energy!$A$51:$K$83,5,FALSE)), $C33= "3", ('Inputs-System'!$C$30*'Coincidence Factors'!$B$9*(1+'Inputs-System'!$C$18)*(1+'Inputs-System'!$C$41)*('Inputs-Proposals'!$G$29*'Inputs-Proposals'!$G$31*(1-'Inputs-Proposals'!$G$32^(BF$3-'Inputs-System'!$C$7)))*(VLOOKUP(BF$3,Energy!$A$51:$K$83,5,FALSE))), $C33= "0", 0), 0)</f>
        <v>0</v>
      </c>
      <c r="BG33" s="44">
        <f>IFERROR(_xlfn.IFS($C33="1",('Inputs-System'!$C$30*'Coincidence Factors'!$B$9*(1+'Inputs-System'!$C$18)*(1+'Inputs-System'!$C$41))*'Inputs-Proposals'!$G$17*'Inputs-Proposals'!$G$19*(1-'Inputs-Proposals'!$G$20^(BF$3-'Inputs-System'!$C$7))*(VLOOKUP(BF$3,'Embedded Emissions'!$A$47:$B$78,2,FALSE)+VLOOKUP(BF$3,'Embedded Emissions'!$A$129:$B$158,2,FALSE)), $C33 = "2",('Inputs-System'!$C$30*'Coincidence Factors'!$B$9*(1+'Inputs-System'!$C$18)*(1+'Inputs-System'!$C$41))*'Inputs-Proposals'!$G$23*'Inputs-Proposals'!$G$25*(1-'Inputs-Proposals'!$G$20^(BF$3-'Inputs-System'!$C$7))*(VLOOKUP(BF$3,'Embedded Emissions'!$A$47:$B$78,2,FALSE)+VLOOKUP(BF$3,'Embedded Emissions'!$A$129:$B$158,2,FALSE)), $C33 = "3", ('Inputs-System'!$C$30*'Coincidence Factors'!$B$9*(1+'Inputs-System'!$C$18)*(1+'Inputs-System'!$C$41))*'Inputs-Proposals'!$G$29*'Inputs-Proposals'!$G$31*(1-'Inputs-Proposals'!$G$20^(BF$3-'Inputs-System'!$C$7))*(VLOOKUP(BF$3,'Embedded Emissions'!$A$47:$B$78,2,FALSE)+VLOOKUP(BF$3,'Embedded Emissions'!$A$129:$B$158,2,FALSE)), $C33 = "0", 0), 0)</f>
        <v>0</v>
      </c>
      <c r="BH33" s="44">
        <f>IFERROR(_xlfn.IFS($C33="1",( 'Inputs-System'!$C$30*'Coincidence Factors'!$B$9*(1+'Inputs-System'!$C$18)*(1+'Inputs-System'!$C$41))*('Inputs-Proposals'!$G$17*'Inputs-Proposals'!$G$19*(1-'Inputs-Proposals'!$G$20)^(BF$3-'Inputs-System'!$C$7))*(VLOOKUP(BF$3,DRIPE!$A$54:$I$82,5,FALSE)+VLOOKUP(BF$3,DRIPE!$A$54:$I$82,9,FALSE))+ ('Inputs-System'!$C$26*'Coincidence Factors'!$B$6*(1+'Inputs-System'!$C$18)*(1+'Inputs-System'!$C$42))*'Inputs-Proposals'!$G$16*VLOOKUP(BF$3,DRIPE!$A$54:$I$82,8,FALSE), $C33 = "2",( 'Inputs-System'!$C$30*'Coincidence Factors'!$B$9*(1+'Inputs-System'!$C$18)*(1+'Inputs-System'!$C$41))*('Inputs-Proposals'!$G$23*'Inputs-Proposals'!$G$25*(1-'Inputs-Proposals'!$G$26)^(BF$3-'Inputs-System'!$C$7))*(VLOOKUP(BF$3,DRIPE!$A$54:$I$82,5,FALSE)+VLOOKUP(BF$3,DRIPE!$A$54:$I$82,9,FALSE))+ ('Inputs-System'!$C$26*'Coincidence Factors'!$B$6*(1+'Inputs-System'!$C$18)*(1+'Inputs-System'!$C$42))*'Inputs-Proposals'!$G$22*VLOOKUP(BF$3,DRIPE!$A$54:$I$82,8,FALSE), $C33= "3", ( 'Inputs-System'!$C$30*'Coincidence Factors'!$B$9*(1+'Inputs-System'!$C$18)*(1+'Inputs-System'!$C$41))*('Inputs-Proposals'!$G$29*'Inputs-Proposals'!$G$31*(1-'Inputs-Proposals'!$G$32)^(BF$3-'Inputs-System'!$C$7))*(VLOOKUP(BF$3,DRIPE!$A$54:$I$82,5,FALSE)+VLOOKUP(BF$3,DRIPE!$A$54:$I$82,9,FALSE))+ ('Inputs-System'!$C$26*'Coincidence Factors'!$B$6*(1+'Inputs-System'!$C$18)*(1+'Inputs-System'!$C$42))*'Inputs-Proposals'!$G$28*VLOOKUP(BF$3,DRIPE!$A$54:$I$82,8,FALSE), $C33 = "0", 0), 0)</f>
        <v>0</v>
      </c>
      <c r="BI33" s="45">
        <f>IFERROR(_xlfn.IFS($C33="1",('Inputs-System'!$C$26*'Coincidence Factors'!$B$9*(1+'Inputs-System'!$C$18)*(1+'Inputs-System'!$C$42))*'Inputs-Proposals'!$D$16*(VLOOKUP(BF$3,Capacity!$A$53:$E$85,4,FALSE)*(1+'Inputs-System'!$C$42)+VLOOKUP(BF$3,Capacity!$A$53:$E$85,5,FALSE)*(1+'Inputs-System'!$C$43)*'Inputs-System'!$C$29), $C33 = "2", ('Inputs-System'!$C$26*'Coincidence Factors'!$B$9*(1+'Inputs-System'!$C$18))*'Inputs-Proposals'!$D$22*(VLOOKUP(BF$3,Capacity!$A$53:$E$85,4,FALSE)*(1+'Inputs-System'!$C$42)+VLOOKUP(BF$3,Capacity!$A$53:$E$85,5,FALSE)*'Inputs-System'!$C$29*(1+'Inputs-System'!$C$43)), $C33 = "3", ('Inputs-System'!$C$26*'Coincidence Factors'!$B$9*(1+'Inputs-System'!$C$18))*'Inputs-Proposals'!$D$28*(VLOOKUP(BF$3,Capacity!$A$53:$E$85,4,FALSE)*(1+'Inputs-System'!$C$42)+VLOOKUP(BF$3,Capacity!$A$53:$E$85,5,FALSE)*'Inputs-System'!$C$29*(1+'Inputs-System'!$C$43)), $C33 = "0", 0), 0)</f>
        <v>0</v>
      </c>
      <c r="BJ33" s="44">
        <v>0</v>
      </c>
      <c r="BK33" s="342">
        <f>IFERROR(_xlfn.IFS($C33="1", 'Inputs-System'!$C$30*'Coincidence Factors'!$B$9*'Inputs-Proposals'!$G$17*'Inputs-Proposals'!$G$19*(VLOOKUP(BF$3,'Non-Embedded Emissions'!$A$56:$D$90,2,FALSE)-VLOOKUP(BF$3,'Non-Embedded Emissions'!$F$57:$H$88,2,FALSE)+VLOOKUP(BF$3,'Non-Embedded Emissions'!$A$143:$D$174,2,FALSE)-VLOOKUP(BF$3,'Non-Embedded Emissions'!$F$143:$H$174,2,FALSE)+VLOOKUP(BF$3,'Non-Embedded Emissions'!$A$230:$D$259,2,FALSE)), $C33 = "2", 'Inputs-System'!$C$30*'Coincidence Factors'!$B$9*'Inputs-Proposals'!$G$23*'Inputs-Proposals'!$G$25*(VLOOKUP(BF$3,'Non-Embedded Emissions'!$A$56:$D$90,2,FALSE)-VLOOKUP(BF$3,'Non-Embedded Emissions'!$F$57:$H$88,2,FALSE)+VLOOKUP(BF$3,'Non-Embedded Emissions'!$A$143:$D$174,2,FALSE)-VLOOKUP(BF$3,'Non-Embedded Emissions'!$F$143:$H$174,2,FALSE)+VLOOKUP(BF$3,'Non-Embedded Emissions'!$A$230:$D$259,2,FALSE)), $C33 = "3", 'Inputs-System'!$C$30*'Coincidence Factors'!$B$9*'Inputs-Proposals'!$G$29*'Inputs-Proposals'!$G$31*(VLOOKUP(BF$3,'Non-Embedded Emissions'!$A$56:$D$90,2,FALSE)-VLOOKUP(BF$3,'Non-Embedded Emissions'!$F$57:$H$88,2,FALSE)+VLOOKUP(BF$3,'Non-Embedded Emissions'!$A$143:$D$174,2,FALSE)-VLOOKUP(BF$3,'Non-Embedded Emissions'!$F$143:$H$174,2,FALSE)+VLOOKUP(BF$3,'Non-Embedded Emissions'!$A$230:$D$259,2,FALSE)), $C33 = "0", 0), 0)</f>
        <v>0</v>
      </c>
      <c r="BL33" s="45">
        <f>IFERROR(_xlfn.IFS($C33="1",('Inputs-System'!$C$30*'Coincidence Factors'!$B$9*(1+'Inputs-System'!$C$18)*(1+'Inputs-System'!$C$41)*('Inputs-Proposals'!$G$17*'Inputs-Proposals'!$G$19*(1-'Inputs-Proposals'!$G$20^(BL$3-'Inputs-System'!$C$7)))*(VLOOKUP(BL$3,Energy!$A$51:$K$83,5,FALSE))), $C33 = "2",('Inputs-System'!$C$30*'Coincidence Factors'!$B$9)*(1+'Inputs-System'!$C$18)*(1+'Inputs-System'!$C$41)*('Inputs-Proposals'!$G$23*'Inputs-Proposals'!$G$25*(1-'Inputs-Proposals'!$G$26^(BL$3-'Inputs-System'!$C$7)))*(VLOOKUP(BL$3,Energy!$A$51:$K$83,5,FALSE)), $C33= "3", ('Inputs-System'!$C$30*'Coincidence Factors'!$B$9*(1+'Inputs-System'!$C$18)*(1+'Inputs-System'!$C$41)*('Inputs-Proposals'!$G$29*'Inputs-Proposals'!$G$31*(1-'Inputs-Proposals'!$G$32^(BL$3-'Inputs-System'!$C$7)))*(VLOOKUP(BL$3,Energy!$A$51:$K$83,5,FALSE))), $C33= "0", 0), 0)</f>
        <v>0</v>
      </c>
      <c r="BM33" s="44">
        <f>IFERROR(_xlfn.IFS($C33="1",('Inputs-System'!$C$30*'Coincidence Factors'!$B$9*(1+'Inputs-System'!$C$18)*(1+'Inputs-System'!$C$41))*'Inputs-Proposals'!$G$17*'Inputs-Proposals'!$G$19*(1-'Inputs-Proposals'!$G$20^(BL$3-'Inputs-System'!$C$7))*(VLOOKUP(BL$3,'Embedded Emissions'!$A$47:$B$78,2,FALSE)+VLOOKUP(BL$3,'Embedded Emissions'!$A$129:$B$158,2,FALSE)), $C33 = "2",('Inputs-System'!$C$30*'Coincidence Factors'!$B$9*(1+'Inputs-System'!$C$18)*(1+'Inputs-System'!$C$41))*'Inputs-Proposals'!$G$23*'Inputs-Proposals'!$G$25*(1-'Inputs-Proposals'!$G$20^(BL$3-'Inputs-System'!$C$7))*(VLOOKUP(BL$3,'Embedded Emissions'!$A$47:$B$78,2,FALSE)+VLOOKUP(BL$3,'Embedded Emissions'!$A$129:$B$158,2,FALSE)), $C33 = "3", ('Inputs-System'!$C$30*'Coincidence Factors'!$B$9*(1+'Inputs-System'!$C$18)*(1+'Inputs-System'!$C$41))*'Inputs-Proposals'!$G$29*'Inputs-Proposals'!$G$31*(1-'Inputs-Proposals'!$G$20^(BL$3-'Inputs-System'!$C$7))*(VLOOKUP(BL$3,'Embedded Emissions'!$A$47:$B$78,2,FALSE)+VLOOKUP(BL$3,'Embedded Emissions'!$A$129:$B$158,2,FALSE)), $C33 = "0", 0), 0)</f>
        <v>0</v>
      </c>
      <c r="BN33" s="44">
        <f>IFERROR(_xlfn.IFS($C33="1",( 'Inputs-System'!$C$30*'Coincidence Factors'!$B$9*(1+'Inputs-System'!$C$18)*(1+'Inputs-System'!$C$41))*('Inputs-Proposals'!$G$17*'Inputs-Proposals'!$G$19*(1-'Inputs-Proposals'!$G$20)^(BL$3-'Inputs-System'!$C$7))*(VLOOKUP(BL$3,DRIPE!$A$54:$I$82,5,FALSE)+VLOOKUP(BL$3,DRIPE!$A$54:$I$82,9,FALSE))+ ('Inputs-System'!$C$26*'Coincidence Factors'!$B$6*(1+'Inputs-System'!$C$18)*(1+'Inputs-System'!$C$42))*'Inputs-Proposals'!$G$16*VLOOKUP(BL$3,DRIPE!$A$54:$I$82,8,FALSE), $C33 = "2",( 'Inputs-System'!$C$30*'Coincidence Factors'!$B$9*(1+'Inputs-System'!$C$18)*(1+'Inputs-System'!$C$41))*('Inputs-Proposals'!$G$23*'Inputs-Proposals'!$G$25*(1-'Inputs-Proposals'!$G$26)^(BL$3-'Inputs-System'!$C$7))*(VLOOKUP(BL$3,DRIPE!$A$54:$I$82,5,FALSE)+VLOOKUP(BL$3,DRIPE!$A$54:$I$82,9,FALSE))+ ('Inputs-System'!$C$26*'Coincidence Factors'!$B$6*(1+'Inputs-System'!$C$18)*(1+'Inputs-System'!$C$42))*'Inputs-Proposals'!$G$22*VLOOKUP(BL$3,DRIPE!$A$54:$I$82,8,FALSE), $C33= "3", ( 'Inputs-System'!$C$30*'Coincidence Factors'!$B$9*(1+'Inputs-System'!$C$18)*(1+'Inputs-System'!$C$41))*('Inputs-Proposals'!$G$29*'Inputs-Proposals'!$G$31*(1-'Inputs-Proposals'!$G$32)^(BL$3-'Inputs-System'!$C$7))*(VLOOKUP(BL$3,DRIPE!$A$54:$I$82,5,FALSE)+VLOOKUP(BL$3,DRIPE!$A$54:$I$82,9,FALSE))+ ('Inputs-System'!$C$26*'Coincidence Factors'!$B$6*(1+'Inputs-System'!$C$18)*(1+'Inputs-System'!$C$42))*'Inputs-Proposals'!$G$28*VLOOKUP(BL$3,DRIPE!$A$54:$I$82,8,FALSE), $C33 = "0", 0), 0)</f>
        <v>0</v>
      </c>
      <c r="BO33" s="45">
        <f>IFERROR(_xlfn.IFS($C33="1",('Inputs-System'!$C$26*'Coincidence Factors'!$B$9*(1+'Inputs-System'!$C$18)*(1+'Inputs-System'!$C$42))*'Inputs-Proposals'!$D$16*(VLOOKUP(BL$3,Capacity!$A$53:$E$85,4,FALSE)*(1+'Inputs-System'!$C$42)+VLOOKUP(BL$3,Capacity!$A$53:$E$85,5,FALSE)*(1+'Inputs-System'!$C$43)*'Inputs-System'!$C$29), $C33 = "2", ('Inputs-System'!$C$26*'Coincidence Factors'!$B$9*(1+'Inputs-System'!$C$18))*'Inputs-Proposals'!$D$22*(VLOOKUP(BL$3,Capacity!$A$53:$E$85,4,FALSE)*(1+'Inputs-System'!$C$42)+VLOOKUP(BL$3,Capacity!$A$53:$E$85,5,FALSE)*'Inputs-System'!$C$29*(1+'Inputs-System'!$C$43)), $C33 = "3", ('Inputs-System'!$C$26*'Coincidence Factors'!$B$9*(1+'Inputs-System'!$C$18))*'Inputs-Proposals'!$D$28*(VLOOKUP(BL$3,Capacity!$A$53:$E$85,4,FALSE)*(1+'Inputs-System'!$C$42)+VLOOKUP(BL$3,Capacity!$A$53:$E$85,5,FALSE)*'Inputs-System'!$C$29*(1+'Inputs-System'!$C$43)), $C33 = "0", 0), 0)</f>
        <v>0</v>
      </c>
      <c r="BP33" s="44">
        <v>0</v>
      </c>
      <c r="BQ33" s="342">
        <f>IFERROR(_xlfn.IFS($C33="1", 'Inputs-System'!$C$30*'Coincidence Factors'!$B$9*'Inputs-Proposals'!$G$17*'Inputs-Proposals'!$G$19*(VLOOKUP(BL$3,'Non-Embedded Emissions'!$A$56:$D$90,2,FALSE)-VLOOKUP(BL$3,'Non-Embedded Emissions'!$F$57:$H$88,2,FALSE)+VLOOKUP(BL$3,'Non-Embedded Emissions'!$A$143:$D$174,2,FALSE)-VLOOKUP(BL$3,'Non-Embedded Emissions'!$F$143:$H$174,2,FALSE)+VLOOKUP(BL$3,'Non-Embedded Emissions'!$A$230:$D$259,2,FALSE)), $C33 = "2", 'Inputs-System'!$C$30*'Coincidence Factors'!$B$9*'Inputs-Proposals'!$G$23*'Inputs-Proposals'!$G$25*(VLOOKUP(BL$3,'Non-Embedded Emissions'!$A$56:$D$90,2,FALSE)-VLOOKUP(BL$3,'Non-Embedded Emissions'!$F$57:$H$88,2,FALSE)+VLOOKUP(BL$3,'Non-Embedded Emissions'!$A$143:$D$174,2,FALSE)-VLOOKUP(BL$3,'Non-Embedded Emissions'!$F$143:$H$174,2,FALSE)+VLOOKUP(BL$3,'Non-Embedded Emissions'!$A$230:$D$259,2,FALSE)), $C33 = "3", 'Inputs-System'!$C$30*'Coincidence Factors'!$B$9*'Inputs-Proposals'!$G$29*'Inputs-Proposals'!$G$31*(VLOOKUP(BL$3,'Non-Embedded Emissions'!$A$56:$D$90,2,FALSE)-VLOOKUP(BL$3,'Non-Embedded Emissions'!$F$57:$H$88,2,FALSE)+VLOOKUP(BL$3,'Non-Embedded Emissions'!$A$143:$D$174,2,FALSE)-VLOOKUP(BL$3,'Non-Embedded Emissions'!$F$143:$H$174,2,FALSE)+VLOOKUP(BL$3,'Non-Embedded Emissions'!$A$230:$D$259,2,FALSE)), $C33 = "0", 0), 0)</f>
        <v>0</v>
      </c>
      <c r="BR33" s="45">
        <f>IFERROR(_xlfn.IFS($C33="1",('Inputs-System'!$C$30*'Coincidence Factors'!$B$9*(1+'Inputs-System'!$C$18)*(1+'Inputs-System'!$C$41)*('Inputs-Proposals'!$G$17*'Inputs-Proposals'!$G$19*(1-'Inputs-Proposals'!$G$20^(BR$3-'Inputs-System'!$C$7)))*(VLOOKUP(BR$3,Energy!$A$51:$K$83,5,FALSE))), $C33 = "2",('Inputs-System'!$C$30*'Coincidence Factors'!$B$9)*(1+'Inputs-System'!$C$18)*(1+'Inputs-System'!$C$41)*('Inputs-Proposals'!$G$23*'Inputs-Proposals'!$G$25*(1-'Inputs-Proposals'!$G$26^(BR$3-'Inputs-System'!$C$7)))*(VLOOKUP(BR$3,Energy!$A$51:$K$83,5,FALSE)), $C33= "3", ('Inputs-System'!$C$30*'Coincidence Factors'!$B$9*(1+'Inputs-System'!$C$18)*(1+'Inputs-System'!$C$41)*('Inputs-Proposals'!$G$29*'Inputs-Proposals'!$G$31*(1-'Inputs-Proposals'!$G$32^(BR$3-'Inputs-System'!$C$7)))*(VLOOKUP(BR$3,Energy!$A$51:$K$83,5,FALSE))), $C33= "0", 0), 0)</f>
        <v>0</v>
      </c>
      <c r="BS33" s="44">
        <f>IFERROR(_xlfn.IFS($C33="1",('Inputs-System'!$C$30*'Coincidence Factors'!$B$9*(1+'Inputs-System'!$C$18)*(1+'Inputs-System'!$C$41))*'Inputs-Proposals'!$G$17*'Inputs-Proposals'!$G$19*(1-'Inputs-Proposals'!$G$20^(BR$3-'Inputs-System'!$C$7))*(VLOOKUP(BR$3,'Embedded Emissions'!$A$47:$B$78,2,FALSE)+VLOOKUP(BR$3,'Embedded Emissions'!$A$129:$B$158,2,FALSE)), $C33 = "2",('Inputs-System'!$C$30*'Coincidence Factors'!$B$9*(1+'Inputs-System'!$C$18)*(1+'Inputs-System'!$C$41))*'Inputs-Proposals'!$G$23*'Inputs-Proposals'!$G$25*(1-'Inputs-Proposals'!$G$20^(BR$3-'Inputs-System'!$C$7))*(VLOOKUP(BR$3,'Embedded Emissions'!$A$47:$B$78,2,FALSE)+VLOOKUP(BR$3,'Embedded Emissions'!$A$129:$B$158,2,FALSE)), $C33 = "3", ('Inputs-System'!$C$30*'Coincidence Factors'!$B$9*(1+'Inputs-System'!$C$18)*(1+'Inputs-System'!$C$41))*'Inputs-Proposals'!$G$29*'Inputs-Proposals'!$G$31*(1-'Inputs-Proposals'!$G$20^(BR$3-'Inputs-System'!$C$7))*(VLOOKUP(BR$3,'Embedded Emissions'!$A$47:$B$78,2,FALSE)+VLOOKUP(BR$3,'Embedded Emissions'!$A$129:$B$158,2,FALSE)), $C33 = "0", 0), 0)</f>
        <v>0</v>
      </c>
      <c r="BT33" s="44">
        <f>IFERROR(_xlfn.IFS($C33="1",( 'Inputs-System'!$C$30*'Coincidence Factors'!$B$9*(1+'Inputs-System'!$C$18)*(1+'Inputs-System'!$C$41))*('Inputs-Proposals'!$G$17*'Inputs-Proposals'!$G$19*(1-'Inputs-Proposals'!$G$20)^(BR$3-'Inputs-System'!$C$7))*(VLOOKUP(BR$3,DRIPE!$A$54:$I$82,5,FALSE)+VLOOKUP(BR$3,DRIPE!$A$54:$I$82,9,FALSE))+ ('Inputs-System'!$C$26*'Coincidence Factors'!$B$6*(1+'Inputs-System'!$C$18)*(1+'Inputs-System'!$C$42))*'Inputs-Proposals'!$G$16*VLOOKUP(BR$3,DRIPE!$A$54:$I$82,8,FALSE), $C33 = "2",( 'Inputs-System'!$C$30*'Coincidence Factors'!$B$9*(1+'Inputs-System'!$C$18)*(1+'Inputs-System'!$C$41))*('Inputs-Proposals'!$G$23*'Inputs-Proposals'!$G$25*(1-'Inputs-Proposals'!$G$26)^(BR$3-'Inputs-System'!$C$7))*(VLOOKUP(BR$3,DRIPE!$A$54:$I$82,5,FALSE)+VLOOKUP(BR$3,DRIPE!$A$54:$I$82,9,FALSE))+ ('Inputs-System'!$C$26*'Coincidence Factors'!$B$6*(1+'Inputs-System'!$C$18)*(1+'Inputs-System'!$C$42))*'Inputs-Proposals'!$G$22*VLOOKUP(BR$3,DRIPE!$A$54:$I$82,8,FALSE), $C33= "3", ( 'Inputs-System'!$C$30*'Coincidence Factors'!$B$9*(1+'Inputs-System'!$C$18)*(1+'Inputs-System'!$C$41))*('Inputs-Proposals'!$G$29*'Inputs-Proposals'!$G$31*(1-'Inputs-Proposals'!$G$32)^(BR$3-'Inputs-System'!$C$7))*(VLOOKUP(BR$3,DRIPE!$A$54:$I$82,5,FALSE)+VLOOKUP(BR$3,DRIPE!$A$54:$I$82,9,FALSE))+ ('Inputs-System'!$C$26*'Coincidence Factors'!$B$6*(1+'Inputs-System'!$C$18)*(1+'Inputs-System'!$C$42))*'Inputs-Proposals'!$G$28*VLOOKUP(BR$3,DRIPE!$A$54:$I$82,8,FALSE), $C33 = "0", 0), 0)</f>
        <v>0</v>
      </c>
      <c r="BU33" s="45">
        <f>IFERROR(_xlfn.IFS($C33="1",('Inputs-System'!$C$26*'Coincidence Factors'!$B$9*(1+'Inputs-System'!$C$18)*(1+'Inputs-System'!$C$42))*'Inputs-Proposals'!$D$16*(VLOOKUP(BR$3,Capacity!$A$53:$E$85,4,FALSE)*(1+'Inputs-System'!$C$42)+VLOOKUP(BR$3,Capacity!$A$53:$E$85,5,FALSE)*(1+'Inputs-System'!$C$43)*'Inputs-System'!$C$29), $C33 = "2", ('Inputs-System'!$C$26*'Coincidence Factors'!$B$9*(1+'Inputs-System'!$C$18))*'Inputs-Proposals'!$D$22*(VLOOKUP(BR$3,Capacity!$A$53:$E$85,4,FALSE)*(1+'Inputs-System'!$C$42)+VLOOKUP(BR$3,Capacity!$A$53:$E$85,5,FALSE)*'Inputs-System'!$C$29*(1+'Inputs-System'!$C$43)), $C33 = "3", ('Inputs-System'!$C$26*'Coincidence Factors'!$B$9*(1+'Inputs-System'!$C$18))*'Inputs-Proposals'!$D$28*(VLOOKUP(BR$3,Capacity!$A$53:$E$85,4,FALSE)*(1+'Inputs-System'!$C$42)+VLOOKUP(BR$3,Capacity!$A$53:$E$85,5,FALSE)*'Inputs-System'!$C$29*(1+'Inputs-System'!$C$43)), $C33 = "0", 0), 0)</f>
        <v>0</v>
      </c>
      <c r="BV33" s="44">
        <v>0</v>
      </c>
      <c r="BW33" s="342">
        <f>IFERROR(_xlfn.IFS($C33="1", 'Inputs-System'!$C$30*'Coincidence Factors'!$B$9*'Inputs-Proposals'!$G$17*'Inputs-Proposals'!$G$19*(VLOOKUP(BR$3,'Non-Embedded Emissions'!$A$56:$D$90,2,FALSE)-VLOOKUP(BR$3,'Non-Embedded Emissions'!$F$57:$H$88,2,FALSE)+VLOOKUP(BR$3,'Non-Embedded Emissions'!$A$143:$D$174,2,FALSE)-VLOOKUP(BR$3,'Non-Embedded Emissions'!$F$143:$H$174,2,FALSE)+VLOOKUP(BR$3,'Non-Embedded Emissions'!$A$230:$D$259,2,FALSE)), $C33 = "2", 'Inputs-System'!$C$30*'Coincidence Factors'!$B$9*'Inputs-Proposals'!$G$23*'Inputs-Proposals'!$G$25*(VLOOKUP(BR$3,'Non-Embedded Emissions'!$A$56:$D$90,2,FALSE)-VLOOKUP(BR$3,'Non-Embedded Emissions'!$F$57:$H$88,2,FALSE)+VLOOKUP(BR$3,'Non-Embedded Emissions'!$A$143:$D$174,2,FALSE)-VLOOKUP(BR$3,'Non-Embedded Emissions'!$F$143:$H$174,2,FALSE)+VLOOKUP(BR$3,'Non-Embedded Emissions'!$A$230:$D$259,2,FALSE)), $C33 = "3", 'Inputs-System'!$C$30*'Coincidence Factors'!$B$9*'Inputs-Proposals'!$G$29*'Inputs-Proposals'!$G$31*(VLOOKUP(BR$3,'Non-Embedded Emissions'!$A$56:$D$90,2,FALSE)-VLOOKUP(BR$3,'Non-Embedded Emissions'!$F$57:$H$88,2,FALSE)+VLOOKUP(BR$3,'Non-Embedded Emissions'!$A$143:$D$174,2,FALSE)-VLOOKUP(BR$3,'Non-Embedded Emissions'!$F$143:$H$174,2,FALSE)+VLOOKUP(BR$3,'Non-Embedded Emissions'!$A$230:$D$259,2,FALSE)), $C33 = "0", 0), 0)</f>
        <v>0</v>
      </c>
      <c r="BX33" s="45">
        <f>IFERROR(_xlfn.IFS($C33="1",('Inputs-System'!$C$30*'Coincidence Factors'!$B$9*(1+'Inputs-System'!$C$18)*(1+'Inputs-System'!$C$41)*('Inputs-Proposals'!$G$17*'Inputs-Proposals'!$G$19*(1-'Inputs-Proposals'!$G$20^(BX$3-'Inputs-System'!$C$7)))*(VLOOKUP(BX$3,Energy!$A$51:$K$83,5,FALSE))), $C33 = "2",('Inputs-System'!$C$30*'Coincidence Factors'!$B$9)*(1+'Inputs-System'!$C$18)*(1+'Inputs-System'!$C$41)*('Inputs-Proposals'!$G$23*'Inputs-Proposals'!$G$25*(1-'Inputs-Proposals'!$G$26^(BX$3-'Inputs-System'!$C$7)))*(VLOOKUP(BX$3,Energy!$A$51:$K$83,5,FALSE)), $C33= "3", ('Inputs-System'!$C$30*'Coincidence Factors'!$B$9*(1+'Inputs-System'!$C$18)*(1+'Inputs-System'!$C$41)*('Inputs-Proposals'!$G$29*'Inputs-Proposals'!$G$31*(1-'Inputs-Proposals'!$G$32^(BX$3-'Inputs-System'!$C$7)))*(VLOOKUP(BX$3,Energy!$A$51:$K$83,5,FALSE))), $C33= "0", 0), 0)</f>
        <v>0</v>
      </c>
      <c r="BY33" s="44">
        <f>IFERROR(_xlfn.IFS($C33="1",('Inputs-System'!$C$30*'Coincidence Factors'!$B$9*(1+'Inputs-System'!$C$18)*(1+'Inputs-System'!$C$41))*'Inputs-Proposals'!$G$17*'Inputs-Proposals'!$G$19*(1-'Inputs-Proposals'!$G$20^(BX$3-'Inputs-System'!$C$7))*(VLOOKUP(BX$3,'Embedded Emissions'!$A$47:$B$78,2,FALSE)+VLOOKUP(BX$3,'Embedded Emissions'!$A$129:$B$158,2,FALSE)), $C33 = "2",('Inputs-System'!$C$30*'Coincidence Factors'!$B$9*(1+'Inputs-System'!$C$18)*(1+'Inputs-System'!$C$41))*'Inputs-Proposals'!$G$23*'Inputs-Proposals'!$G$25*(1-'Inputs-Proposals'!$G$20^(BX$3-'Inputs-System'!$C$7))*(VLOOKUP(BX$3,'Embedded Emissions'!$A$47:$B$78,2,FALSE)+VLOOKUP(BX$3,'Embedded Emissions'!$A$129:$B$158,2,FALSE)), $C33 = "3", ('Inputs-System'!$C$30*'Coincidence Factors'!$B$9*(1+'Inputs-System'!$C$18)*(1+'Inputs-System'!$C$41))*'Inputs-Proposals'!$G$29*'Inputs-Proposals'!$G$31*(1-'Inputs-Proposals'!$G$20^(BX$3-'Inputs-System'!$C$7))*(VLOOKUP(BX$3,'Embedded Emissions'!$A$47:$B$78,2,FALSE)+VLOOKUP(BX$3,'Embedded Emissions'!$A$129:$B$158,2,FALSE)), $C33 = "0", 0), 0)</f>
        <v>0</v>
      </c>
      <c r="BZ33" s="44">
        <f>IFERROR(_xlfn.IFS($C33="1",( 'Inputs-System'!$C$30*'Coincidence Factors'!$B$9*(1+'Inputs-System'!$C$18)*(1+'Inputs-System'!$C$41))*('Inputs-Proposals'!$G$17*'Inputs-Proposals'!$G$19*(1-'Inputs-Proposals'!$G$20)^(BX$3-'Inputs-System'!$C$7))*(VLOOKUP(BX$3,DRIPE!$A$54:$I$82,5,FALSE)+VLOOKUP(BX$3,DRIPE!$A$54:$I$82,9,FALSE))+ ('Inputs-System'!$C$26*'Coincidence Factors'!$B$6*(1+'Inputs-System'!$C$18)*(1+'Inputs-System'!$C$42))*'Inputs-Proposals'!$G$16*VLOOKUP(BX$3,DRIPE!$A$54:$I$82,8,FALSE), $C33 = "2",( 'Inputs-System'!$C$30*'Coincidence Factors'!$B$9*(1+'Inputs-System'!$C$18)*(1+'Inputs-System'!$C$41))*('Inputs-Proposals'!$G$23*'Inputs-Proposals'!$G$25*(1-'Inputs-Proposals'!$G$26)^(BX$3-'Inputs-System'!$C$7))*(VLOOKUP(BX$3,DRIPE!$A$54:$I$82,5,FALSE)+VLOOKUP(BX$3,DRIPE!$A$54:$I$82,9,FALSE))+ ('Inputs-System'!$C$26*'Coincidence Factors'!$B$6*(1+'Inputs-System'!$C$18)*(1+'Inputs-System'!$C$42))*'Inputs-Proposals'!$G$22*VLOOKUP(BX$3,DRIPE!$A$54:$I$82,8,FALSE), $C33= "3", ( 'Inputs-System'!$C$30*'Coincidence Factors'!$B$9*(1+'Inputs-System'!$C$18)*(1+'Inputs-System'!$C$41))*('Inputs-Proposals'!$G$29*'Inputs-Proposals'!$G$31*(1-'Inputs-Proposals'!$G$32)^(BX$3-'Inputs-System'!$C$7))*(VLOOKUP(BX$3,DRIPE!$A$54:$I$82,5,FALSE)+VLOOKUP(BX$3,DRIPE!$A$54:$I$82,9,FALSE))+ ('Inputs-System'!$C$26*'Coincidence Factors'!$B$6*(1+'Inputs-System'!$C$18)*(1+'Inputs-System'!$C$42))*'Inputs-Proposals'!$G$28*VLOOKUP(BX$3,DRIPE!$A$54:$I$82,8,FALSE), $C33 = "0", 0), 0)</f>
        <v>0</v>
      </c>
      <c r="CA33" s="45">
        <f>IFERROR(_xlfn.IFS($C33="1",('Inputs-System'!$C$26*'Coincidence Factors'!$B$9*(1+'Inputs-System'!$C$18)*(1+'Inputs-System'!$C$42))*'Inputs-Proposals'!$D$16*(VLOOKUP(BX$3,Capacity!$A$53:$E$85,4,FALSE)*(1+'Inputs-System'!$C$42)+VLOOKUP(BX$3,Capacity!$A$53:$E$85,5,FALSE)*(1+'Inputs-System'!$C$43)*'Inputs-System'!$C$29), $C33 = "2", ('Inputs-System'!$C$26*'Coincidence Factors'!$B$9*(1+'Inputs-System'!$C$18))*'Inputs-Proposals'!$D$22*(VLOOKUP(BX$3,Capacity!$A$53:$E$85,4,FALSE)*(1+'Inputs-System'!$C$42)+VLOOKUP(BX$3,Capacity!$A$53:$E$85,5,FALSE)*'Inputs-System'!$C$29*(1+'Inputs-System'!$C$43)), $C33 = "3", ('Inputs-System'!$C$26*'Coincidence Factors'!$B$9*(1+'Inputs-System'!$C$18))*'Inputs-Proposals'!$D$28*(VLOOKUP(BX$3,Capacity!$A$53:$E$85,4,FALSE)*(1+'Inputs-System'!$C$42)+VLOOKUP(BX$3,Capacity!$A$53:$E$85,5,FALSE)*'Inputs-System'!$C$29*(1+'Inputs-System'!$C$43)), $C33 = "0", 0), 0)</f>
        <v>0</v>
      </c>
      <c r="CB33" s="44">
        <v>0</v>
      </c>
      <c r="CC33" s="342">
        <f>IFERROR(_xlfn.IFS($C33="1", 'Inputs-System'!$C$30*'Coincidence Factors'!$B$9*'Inputs-Proposals'!$G$17*'Inputs-Proposals'!$G$19*(VLOOKUP(BX$3,'Non-Embedded Emissions'!$A$56:$D$90,2,FALSE)-VLOOKUP(BX$3,'Non-Embedded Emissions'!$F$57:$H$88,2,FALSE)+VLOOKUP(BX$3,'Non-Embedded Emissions'!$A$143:$D$174,2,FALSE)-VLOOKUP(BX$3,'Non-Embedded Emissions'!$F$143:$H$174,2,FALSE)+VLOOKUP(BX$3,'Non-Embedded Emissions'!$A$230:$D$259,2,FALSE)), $C33 = "2", 'Inputs-System'!$C$30*'Coincidence Factors'!$B$9*'Inputs-Proposals'!$G$23*'Inputs-Proposals'!$G$25*(VLOOKUP(BX$3,'Non-Embedded Emissions'!$A$56:$D$90,2,FALSE)-VLOOKUP(BX$3,'Non-Embedded Emissions'!$F$57:$H$88,2,FALSE)+VLOOKUP(BX$3,'Non-Embedded Emissions'!$A$143:$D$174,2,FALSE)-VLOOKUP(BX$3,'Non-Embedded Emissions'!$F$143:$H$174,2,FALSE)+VLOOKUP(BX$3,'Non-Embedded Emissions'!$A$230:$D$259,2,FALSE)), $C33 = "3", 'Inputs-System'!$C$30*'Coincidence Factors'!$B$9*'Inputs-Proposals'!$G$29*'Inputs-Proposals'!$G$31*(VLOOKUP(BX$3,'Non-Embedded Emissions'!$A$56:$D$90,2,FALSE)-VLOOKUP(BX$3,'Non-Embedded Emissions'!$F$57:$H$88,2,FALSE)+VLOOKUP(BX$3,'Non-Embedded Emissions'!$A$143:$D$174,2,FALSE)-VLOOKUP(BX$3,'Non-Embedded Emissions'!$F$143:$H$174,2,FALSE)+VLOOKUP(BX$3,'Non-Embedded Emissions'!$A$230:$D$259,2,FALSE)), $C33 = "0", 0), 0)</f>
        <v>0</v>
      </c>
      <c r="CD33" s="45">
        <f>IFERROR(_xlfn.IFS($C33="1",('Inputs-System'!$C$30*'Coincidence Factors'!$B$9*(1+'Inputs-System'!$C$18)*(1+'Inputs-System'!$C$41)*('Inputs-Proposals'!$G$17*'Inputs-Proposals'!$G$19*(1-'Inputs-Proposals'!$G$20^(CD$3-'Inputs-System'!$C$7)))*(VLOOKUP(CD$3,Energy!$A$51:$K$83,5,FALSE))), $C33 = "2",('Inputs-System'!$C$30*'Coincidence Factors'!$B$9)*(1+'Inputs-System'!$C$18)*(1+'Inputs-System'!$C$41)*('Inputs-Proposals'!$G$23*'Inputs-Proposals'!$G$25*(1-'Inputs-Proposals'!$G$26^(CD$3-'Inputs-System'!$C$7)))*(VLOOKUP(CD$3,Energy!$A$51:$K$83,5,FALSE)), $C33= "3", ('Inputs-System'!$C$30*'Coincidence Factors'!$B$9*(1+'Inputs-System'!$C$18)*(1+'Inputs-System'!$C$41)*('Inputs-Proposals'!$G$29*'Inputs-Proposals'!$G$31*(1-'Inputs-Proposals'!$G$32^(CD$3-'Inputs-System'!$C$7)))*(VLOOKUP(CD$3,Energy!$A$51:$K$83,5,FALSE))), $C33= "0", 0), 0)</f>
        <v>0</v>
      </c>
      <c r="CE33" s="44">
        <f>IFERROR(_xlfn.IFS($C33="1",('Inputs-System'!$C$30*'Coincidence Factors'!$B$9*(1+'Inputs-System'!$C$18)*(1+'Inputs-System'!$C$41))*'Inputs-Proposals'!$G$17*'Inputs-Proposals'!$G$19*(1-'Inputs-Proposals'!$G$20^(CD$3-'Inputs-System'!$C$7))*(VLOOKUP(CD$3,'Embedded Emissions'!$A$47:$B$78,2,FALSE)+VLOOKUP(CD$3,'Embedded Emissions'!$A$129:$B$158,2,FALSE)), $C33 = "2",('Inputs-System'!$C$30*'Coincidence Factors'!$B$9*(1+'Inputs-System'!$C$18)*(1+'Inputs-System'!$C$41))*'Inputs-Proposals'!$G$23*'Inputs-Proposals'!$G$25*(1-'Inputs-Proposals'!$G$20^(CD$3-'Inputs-System'!$C$7))*(VLOOKUP(CD$3,'Embedded Emissions'!$A$47:$B$78,2,FALSE)+VLOOKUP(CD$3,'Embedded Emissions'!$A$129:$B$158,2,FALSE)), $C33 = "3", ('Inputs-System'!$C$30*'Coincidence Factors'!$B$9*(1+'Inputs-System'!$C$18)*(1+'Inputs-System'!$C$41))*'Inputs-Proposals'!$G$29*'Inputs-Proposals'!$G$31*(1-'Inputs-Proposals'!$G$20^(CD$3-'Inputs-System'!$C$7))*(VLOOKUP(CD$3,'Embedded Emissions'!$A$47:$B$78,2,FALSE)+VLOOKUP(CD$3,'Embedded Emissions'!$A$129:$B$158,2,FALSE)), $C33 = "0", 0), 0)</f>
        <v>0</v>
      </c>
      <c r="CF33" s="44">
        <f>IFERROR(_xlfn.IFS($C33="1",( 'Inputs-System'!$C$30*'Coincidence Factors'!$B$9*(1+'Inputs-System'!$C$18)*(1+'Inputs-System'!$C$41))*('Inputs-Proposals'!$G$17*'Inputs-Proposals'!$G$19*(1-'Inputs-Proposals'!$G$20)^(CD$3-'Inputs-System'!$C$7))*(VLOOKUP(CD$3,DRIPE!$A$54:$I$82,5,FALSE)+VLOOKUP(CD$3,DRIPE!$A$54:$I$82,9,FALSE))+ ('Inputs-System'!$C$26*'Coincidence Factors'!$B$6*(1+'Inputs-System'!$C$18)*(1+'Inputs-System'!$C$42))*'Inputs-Proposals'!$G$16*VLOOKUP(CD$3,DRIPE!$A$54:$I$82,8,FALSE), $C33 = "2",( 'Inputs-System'!$C$30*'Coincidence Factors'!$B$9*(1+'Inputs-System'!$C$18)*(1+'Inputs-System'!$C$41))*('Inputs-Proposals'!$G$23*'Inputs-Proposals'!$G$25*(1-'Inputs-Proposals'!$G$26)^(CD$3-'Inputs-System'!$C$7))*(VLOOKUP(CD$3,DRIPE!$A$54:$I$82,5,FALSE)+VLOOKUP(CD$3,DRIPE!$A$54:$I$82,9,FALSE))+ ('Inputs-System'!$C$26*'Coincidence Factors'!$B$6*(1+'Inputs-System'!$C$18)*(1+'Inputs-System'!$C$42))*'Inputs-Proposals'!$G$22*VLOOKUP(CD$3,DRIPE!$A$54:$I$82,8,FALSE), $C33= "3", ( 'Inputs-System'!$C$30*'Coincidence Factors'!$B$9*(1+'Inputs-System'!$C$18)*(1+'Inputs-System'!$C$41))*('Inputs-Proposals'!$G$29*'Inputs-Proposals'!$G$31*(1-'Inputs-Proposals'!$G$32)^(CD$3-'Inputs-System'!$C$7))*(VLOOKUP(CD$3,DRIPE!$A$54:$I$82,5,FALSE)+VLOOKUP(CD$3,DRIPE!$A$54:$I$82,9,FALSE))+ ('Inputs-System'!$C$26*'Coincidence Factors'!$B$6*(1+'Inputs-System'!$C$18)*(1+'Inputs-System'!$C$42))*'Inputs-Proposals'!$G$28*VLOOKUP(CD$3,DRIPE!$A$54:$I$82,8,FALSE), $C33 = "0", 0), 0)</f>
        <v>0</v>
      </c>
      <c r="CG33" s="45">
        <f>IFERROR(_xlfn.IFS($C33="1",('Inputs-System'!$C$26*'Coincidence Factors'!$B$9*(1+'Inputs-System'!$C$18)*(1+'Inputs-System'!$C$42))*'Inputs-Proposals'!$D$16*(VLOOKUP(CD$3,Capacity!$A$53:$E$85,4,FALSE)*(1+'Inputs-System'!$C$42)+VLOOKUP(CD$3,Capacity!$A$53:$E$85,5,FALSE)*(1+'Inputs-System'!$C$43)*'Inputs-System'!$C$29), $C33 = "2", ('Inputs-System'!$C$26*'Coincidence Factors'!$B$9*(1+'Inputs-System'!$C$18))*'Inputs-Proposals'!$D$22*(VLOOKUP(CD$3,Capacity!$A$53:$E$85,4,FALSE)*(1+'Inputs-System'!$C$42)+VLOOKUP(CD$3,Capacity!$A$53:$E$85,5,FALSE)*'Inputs-System'!$C$29*(1+'Inputs-System'!$C$43)), $C33 = "3", ('Inputs-System'!$C$26*'Coincidence Factors'!$B$9*(1+'Inputs-System'!$C$18))*'Inputs-Proposals'!$D$28*(VLOOKUP(CD$3,Capacity!$A$53:$E$85,4,FALSE)*(1+'Inputs-System'!$C$42)+VLOOKUP(CD$3,Capacity!$A$53:$E$85,5,FALSE)*'Inputs-System'!$C$29*(1+'Inputs-System'!$C$43)), $C33 = "0", 0), 0)</f>
        <v>0</v>
      </c>
      <c r="CH33" s="44">
        <v>0</v>
      </c>
      <c r="CI33" s="342">
        <f>IFERROR(_xlfn.IFS($C33="1", 'Inputs-System'!$C$30*'Coincidence Factors'!$B$9*'Inputs-Proposals'!$G$17*'Inputs-Proposals'!$G$19*(VLOOKUP(CD$3,'Non-Embedded Emissions'!$A$56:$D$90,2,FALSE)-VLOOKUP(CD$3,'Non-Embedded Emissions'!$F$57:$H$88,2,FALSE)+VLOOKUP(CD$3,'Non-Embedded Emissions'!$A$143:$D$174,2,FALSE)-VLOOKUP(CD$3,'Non-Embedded Emissions'!$F$143:$H$174,2,FALSE)+VLOOKUP(CD$3,'Non-Embedded Emissions'!$A$230:$D$259,2,FALSE)), $C33 = "2", 'Inputs-System'!$C$30*'Coincidence Factors'!$B$9*'Inputs-Proposals'!$G$23*'Inputs-Proposals'!$G$25*(VLOOKUP(CD$3,'Non-Embedded Emissions'!$A$56:$D$90,2,FALSE)-VLOOKUP(CD$3,'Non-Embedded Emissions'!$F$57:$H$88,2,FALSE)+VLOOKUP(CD$3,'Non-Embedded Emissions'!$A$143:$D$174,2,FALSE)-VLOOKUP(CD$3,'Non-Embedded Emissions'!$F$143:$H$174,2,FALSE)+VLOOKUP(CD$3,'Non-Embedded Emissions'!$A$230:$D$259,2,FALSE)), $C33 = "3", 'Inputs-System'!$C$30*'Coincidence Factors'!$B$9*'Inputs-Proposals'!$G$29*'Inputs-Proposals'!$G$31*(VLOOKUP(CD$3,'Non-Embedded Emissions'!$A$56:$D$90,2,FALSE)-VLOOKUP(CD$3,'Non-Embedded Emissions'!$F$57:$H$88,2,FALSE)+VLOOKUP(CD$3,'Non-Embedded Emissions'!$A$143:$D$174,2,FALSE)-VLOOKUP(CD$3,'Non-Embedded Emissions'!$F$143:$H$174,2,FALSE)+VLOOKUP(CD$3,'Non-Embedded Emissions'!$A$230:$D$259,2,FALSE)), $C33 = "0", 0), 0)</f>
        <v>0</v>
      </c>
      <c r="CJ33" s="45">
        <f>IFERROR(_xlfn.IFS($C33="1",('Inputs-System'!$C$30*'Coincidence Factors'!$B$9*(1+'Inputs-System'!$C$18)*(1+'Inputs-System'!$C$41)*('Inputs-Proposals'!$G$17*'Inputs-Proposals'!$G$19*(1-'Inputs-Proposals'!$G$20^(CJ$3-'Inputs-System'!$C$7)))*(VLOOKUP(CJ$3,Energy!$A$51:$K$83,5,FALSE))), $C33 = "2",('Inputs-System'!$C$30*'Coincidence Factors'!$B$9)*(1+'Inputs-System'!$C$18)*(1+'Inputs-System'!$C$41)*('Inputs-Proposals'!$G$23*'Inputs-Proposals'!$G$25*(1-'Inputs-Proposals'!$G$26^(CJ$3-'Inputs-System'!$C$7)))*(VLOOKUP(CJ$3,Energy!$A$51:$K$83,5,FALSE)), $C33= "3", ('Inputs-System'!$C$30*'Coincidence Factors'!$B$9*(1+'Inputs-System'!$C$18)*(1+'Inputs-System'!$C$41)*('Inputs-Proposals'!$G$29*'Inputs-Proposals'!$G$31*(1-'Inputs-Proposals'!$G$32^(CJ$3-'Inputs-System'!$C$7)))*(VLOOKUP(CJ$3,Energy!$A$51:$K$83,5,FALSE))), $C33= "0", 0), 0)</f>
        <v>0</v>
      </c>
      <c r="CK33" s="44">
        <f>IFERROR(_xlfn.IFS($C33="1",('Inputs-System'!$C$30*'Coincidence Factors'!$B$9*(1+'Inputs-System'!$C$18)*(1+'Inputs-System'!$C$41))*'Inputs-Proposals'!$G$17*'Inputs-Proposals'!$G$19*(1-'Inputs-Proposals'!$G$20^(CJ$3-'Inputs-System'!$C$7))*(VLOOKUP(CJ$3,'Embedded Emissions'!$A$47:$B$78,2,FALSE)+VLOOKUP(CJ$3,'Embedded Emissions'!$A$129:$B$158,2,FALSE)), $C33 = "2",('Inputs-System'!$C$30*'Coincidence Factors'!$B$9*(1+'Inputs-System'!$C$18)*(1+'Inputs-System'!$C$41))*'Inputs-Proposals'!$G$23*'Inputs-Proposals'!$G$25*(1-'Inputs-Proposals'!$G$20^(CJ$3-'Inputs-System'!$C$7))*(VLOOKUP(CJ$3,'Embedded Emissions'!$A$47:$B$78,2,FALSE)+VLOOKUP(CJ$3,'Embedded Emissions'!$A$129:$B$158,2,FALSE)), $C33 = "3", ('Inputs-System'!$C$30*'Coincidence Factors'!$B$9*(1+'Inputs-System'!$C$18)*(1+'Inputs-System'!$C$41))*'Inputs-Proposals'!$G$29*'Inputs-Proposals'!$G$31*(1-'Inputs-Proposals'!$G$20^(CJ$3-'Inputs-System'!$C$7))*(VLOOKUP(CJ$3,'Embedded Emissions'!$A$47:$B$78,2,FALSE)+VLOOKUP(CJ$3,'Embedded Emissions'!$A$129:$B$158,2,FALSE)), $C33 = "0", 0), 0)</f>
        <v>0</v>
      </c>
      <c r="CL33" s="44">
        <f>IFERROR(_xlfn.IFS($C33="1",( 'Inputs-System'!$C$30*'Coincidence Factors'!$B$9*(1+'Inputs-System'!$C$18)*(1+'Inputs-System'!$C$41))*('Inputs-Proposals'!$G$17*'Inputs-Proposals'!$G$19*(1-'Inputs-Proposals'!$G$20)^(CJ$3-'Inputs-System'!$C$7))*(VLOOKUP(CJ$3,DRIPE!$A$54:$I$82,5,FALSE)+VLOOKUP(CJ$3,DRIPE!$A$54:$I$82,9,FALSE))+ ('Inputs-System'!$C$26*'Coincidence Factors'!$B$6*(1+'Inputs-System'!$C$18)*(1+'Inputs-System'!$C$42))*'Inputs-Proposals'!$G$16*VLOOKUP(CJ$3,DRIPE!$A$54:$I$82,8,FALSE), $C33 = "2",( 'Inputs-System'!$C$30*'Coincidence Factors'!$B$9*(1+'Inputs-System'!$C$18)*(1+'Inputs-System'!$C$41))*('Inputs-Proposals'!$G$23*'Inputs-Proposals'!$G$25*(1-'Inputs-Proposals'!$G$26)^(CJ$3-'Inputs-System'!$C$7))*(VLOOKUP(CJ$3,DRIPE!$A$54:$I$82,5,FALSE)+VLOOKUP(CJ$3,DRIPE!$A$54:$I$82,9,FALSE))+ ('Inputs-System'!$C$26*'Coincidence Factors'!$B$6*(1+'Inputs-System'!$C$18)*(1+'Inputs-System'!$C$42))*'Inputs-Proposals'!$G$22*VLOOKUP(CJ$3,DRIPE!$A$54:$I$82,8,FALSE), $C33= "3", ( 'Inputs-System'!$C$30*'Coincidence Factors'!$B$9*(1+'Inputs-System'!$C$18)*(1+'Inputs-System'!$C$41))*('Inputs-Proposals'!$G$29*'Inputs-Proposals'!$G$31*(1-'Inputs-Proposals'!$G$32)^(CJ$3-'Inputs-System'!$C$7))*(VLOOKUP(CJ$3,DRIPE!$A$54:$I$82,5,FALSE)+VLOOKUP(CJ$3,DRIPE!$A$54:$I$82,9,FALSE))+ ('Inputs-System'!$C$26*'Coincidence Factors'!$B$6*(1+'Inputs-System'!$C$18)*(1+'Inputs-System'!$C$42))*'Inputs-Proposals'!$G$28*VLOOKUP(CJ$3,DRIPE!$A$54:$I$82,8,FALSE), $C33 = "0", 0), 0)</f>
        <v>0</v>
      </c>
      <c r="CM33" s="45">
        <f>IFERROR(_xlfn.IFS($C33="1",('Inputs-System'!$C$26*'Coincidence Factors'!$B$9*(1+'Inputs-System'!$C$18)*(1+'Inputs-System'!$C$42))*'Inputs-Proposals'!$D$16*(VLOOKUP(CJ$3,Capacity!$A$53:$E$85,4,FALSE)*(1+'Inputs-System'!$C$42)+VLOOKUP(CJ$3,Capacity!$A$53:$E$85,5,FALSE)*(1+'Inputs-System'!$C$43)*'Inputs-System'!$C$29), $C33 = "2", ('Inputs-System'!$C$26*'Coincidence Factors'!$B$9*(1+'Inputs-System'!$C$18))*'Inputs-Proposals'!$D$22*(VLOOKUP(CJ$3,Capacity!$A$53:$E$85,4,FALSE)*(1+'Inputs-System'!$C$42)+VLOOKUP(CJ$3,Capacity!$A$53:$E$85,5,FALSE)*'Inputs-System'!$C$29*(1+'Inputs-System'!$C$43)), $C33 = "3", ('Inputs-System'!$C$26*'Coincidence Factors'!$B$9*(1+'Inputs-System'!$C$18))*'Inputs-Proposals'!$D$28*(VLOOKUP(CJ$3,Capacity!$A$53:$E$85,4,FALSE)*(1+'Inputs-System'!$C$42)+VLOOKUP(CJ$3,Capacity!$A$53:$E$85,5,FALSE)*'Inputs-System'!$C$29*(1+'Inputs-System'!$C$43)), $C33 = "0", 0), 0)</f>
        <v>0</v>
      </c>
      <c r="CN33" s="44">
        <v>0</v>
      </c>
      <c r="CO33" s="342">
        <f>IFERROR(_xlfn.IFS($C33="1", 'Inputs-System'!$C$30*'Coincidence Factors'!$B$9*'Inputs-Proposals'!$G$17*'Inputs-Proposals'!$G$19*(VLOOKUP(CJ$3,'Non-Embedded Emissions'!$A$56:$D$90,2,FALSE)-VLOOKUP(CJ$3,'Non-Embedded Emissions'!$F$57:$H$88,2,FALSE)+VLOOKUP(CJ$3,'Non-Embedded Emissions'!$A$143:$D$174,2,FALSE)-VLOOKUP(CJ$3,'Non-Embedded Emissions'!$F$143:$H$174,2,FALSE)+VLOOKUP(CJ$3,'Non-Embedded Emissions'!$A$230:$D$259,2,FALSE)), $C33 = "2", 'Inputs-System'!$C$30*'Coincidence Factors'!$B$9*'Inputs-Proposals'!$G$23*'Inputs-Proposals'!$G$25*(VLOOKUP(CJ$3,'Non-Embedded Emissions'!$A$56:$D$90,2,FALSE)-VLOOKUP(CJ$3,'Non-Embedded Emissions'!$F$57:$H$88,2,FALSE)+VLOOKUP(CJ$3,'Non-Embedded Emissions'!$A$143:$D$174,2,FALSE)-VLOOKUP(CJ$3,'Non-Embedded Emissions'!$F$143:$H$174,2,FALSE)+VLOOKUP(CJ$3,'Non-Embedded Emissions'!$A$230:$D$259,2,FALSE)), $C33 = "3", 'Inputs-System'!$C$30*'Coincidence Factors'!$B$9*'Inputs-Proposals'!$G$29*'Inputs-Proposals'!$G$31*(VLOOKUP(CJ$3,'Non-Embedded Emissions'!$A$56:$D$90,2,FALSE)-VLOOKUP(CJ$3,'Non-Embedded Emissions'!$F$57:$H$88,2,FALSE)+VLOOKUP(CJ$3,'Non-Embedded Emissions'!$A$143:$D$174,2,FALSE)-VLOOKUP(CJ$3,'Non-Embedded Emissions'!$F$143:$H$174,2,FALSE)+VLOOKUP(CJ$3,'Non-Embedded Emissions'!$A$230:$D$259,2,FALSE)), $C33 = "0", 0), 0)</f>
        <v>0</v>
      </c>
      <c r="CP33" s="45">
        <f>IFERROR(_xlfn.IFS($C33="1",('Inputs-System'!$C$30*'Coincidence Factors'!$B$9*(1+'Inputs-System'!$C$18)*(1+'Inputs-System'!$C$41)*('Inputs-Proposals'!$G$17*'Inputs-Proposals'!$G$19*(1-'Inputs-Proposals'!$G$20^(CP$3-'Inputs-System'!$C$7)))*(VLOOKUP(CP$3,Energy!$A$51:$K$83,5,FALSE))), $C33 = "2",('Inputs-System'!$C$30*'Coincidence Factors'!$B$9)*(1+'Inputs-System'!$C$18)*(1+'Inputs-System'!$C$41)*('Inputs-Proposals'!$G$23*'Inputs-Proposals'!$G$25*(1-'Inputs-Proposals'!$G$26^(CP$3-'Inputs-System'!$C$7)))*(VLOOKUP(CP$3,Energy!$A$51:$K$83,5,FALSE)), $C33= "3", ('Inputs-System'!$C$30*'Coincidence Factors'!$B$9*(1+'Inputs-System'!$C$18)*(1+'Inputs-System'!$C$41)*('Inputs-Proposals'!$G$29*'Inputs-Proposals'!$G$31*(1-'Inputs-Proposals'!$G$32^(CP$3-'Inputs-System'!$C$7)))*(VLOOKUP(CP$3,Energy!$A$51:$K$83,5,FALSE))), $C33= "0", 0), 0)</f>
        <v>0</v>
      </c>
      <c r="CQ33" s="44">
        <f>IFERROR(_xlfn.IFS($C33="1",('Inputs-System'!$C$30*'Coincidence Factors'!$B$9*(1+'Inputs-System'!$C$18)*(1+'Inputs-System'!$C$41))*'Inputs-Proposals'!$G$17*'Inputs-Proposals'!$G$19*(1-'Inputs-Proposals'!$G$20^(CP$3-'Inputs-System'!$C$7))*(VLOOKUP(CP$3,'Embedded Emissions'!$A$47:$B$78,2,FALSE)+VLOOKUP(CP$3,'Embedded Emissions'!$A$129:$B$158,2,FALSE)), $C33 = "2",('Inputs-System'!$C$30*'Coincidence Factors'!$B$9*(1+'Inputs-System'!$C$18)*(1+'Inputs-System'!$C$41))*'Inputs-Proposals'!$G$23*'Inputs-Proposals'!$G$25*(1-'Inputs-Proposals'!$G$20^(CP$3-'Inputs-System'!$C$7))*(VLOOKUP(CP$3,'Embedded Emissions'!$A$47:$B$78,2,FALSE)+VLOOKUP(CP$3,'Embedded Emissions'!$A$129:$B$158,2,FALSE)), $C33 = "3", ('Inputs-System'!$C$30*'Coincidence Factors'!$B$9*(1+'Inputs-System'!$C$18)*(1+'Inputs-System'!$C$41))*'Inputs-Proposals'!$G$29*'Inputs-Proposals'!$G$31*(1-'Inputs-Proposals'!$G$20^(CP$3-'Inputs-System'!$C$7))*(VLOOKUP(CP$3,'Embedded Emissions'!$A$47:$B$78,2,FALSE)+VLOOKUP(CP$3,'Embedded Emissions'!$A$129:$B$158,2,FALSE)), $C33 = "0", 0), 0)</f>
        <v>0</v>
      </c>
      <c r="CR33" s="44">
        <f>IFERROR(_xlfn.IFS($C33="1",( 'Inputs-System'!$C$30*'Coincidence Factors'!$B$9*(1+'Inputs-System'!$C$18)*(1+'Inputs-System'!$C$41))*('Inputs-Proposals'!$G$17*'Inputs-Proposals'!$G$19*(1-'Inputs-Proposals'!$G$20)^(CP$3-'Inputs-System'!$C$7))*(VLOOKUP(CP$3,DRIPE!$A$54:$I$82,5,FALSE)+VLOOKUP(CP$3,DRIPE!$A$54:$I$82,9,FALSE))+ ('Inputs-System'!$C$26*'Coincidence Factors'!$B$6*(1+'Inputs-System'!$C$18)*(1+'Inputs-System'!$C$42))*'Inputs-Proposals'!$G$16*VLOOKUP(CP$3,DRIPE!$A$54:$I$82,8,FALSE), $C33 = "2",( 'Inputs-System'!$C$30*'Coincidence Factors'!$B$9*(1+'Inputs-System'!$C$18)*(1+'Inputs-System'!$C$41))*('Inputs-Proposals'!$G$23*'Inputs-Proposals'!$G$25*(1-'Inputs-Proposals'!$G$26)^(CP$3-'Inputs-System'!$C$7))*(VLOOKUP(CP$3,DRIPE!$A$54:$I$82,5,FALSE)+VLOOKUP(CP$3,DRIPE!$A$54:$I$82,9,FALSE))+ ('Inputs-System'!$C$26*'Coincidence Factors'!$B$6*(1+'Inputs-System'!$C$18)*(1+'Inputs-System'!$C$42))*'Inputs-Proposals'!$G$22*VLOOKUP(CP$3,DRIPE!$A$54:$I$82,8,FALSE), $C33= "3", ( 'Inputs-System'!$C$30*'Coincidence Factors'!$B$9*(1+'Inputs-System'!$C$18)*(1+'Inputs-System'!$C$41))*('Inputs-Proposals'!$G$29*'Inputs-Proposals'!$G$31*(1-'Inputs-Proposals'!$G$32)^(CP$3-'Inputs-System'!$C$7))*(VLOOKUP(CP$3,DRIPE!$A$54:$I$82,5,FALSE)+VLOOKUP(CP$3,DRIPE!$A$54:$I$82,9,FALSE))+ ('Inputs-System'!$C$26*'Coincidence Factors'!$B$6*(1+'Inputs-System'!$C$18)*(1+'Inputs-System'!$C$42))*'Inputs-Proposals'!$G$28*VLOOKUP(CP$3,DRIPE!$A$54:$I$82,8,FALSE), $C33 = "0", 0), 0)</f>
        <v>0</v>
      </c>
      <c r="CS33" s="45">
        <f>IFERROR(_xlfn.IFS($C33="1",('Inputs-System'!$C$26*'Coincidence Factors'!$B$9*(1+'Inputs-System'!$C$18)*(1+'Inputs-System'!$C$42))*'Inputs-Proposals'!$D$16*(VLOOKUP(CP$3,Capacity!$A$53:$E$85,4,FALSE)*(1+'Inputs-System'!$C$42)+VLOOKUP(CP$3,Capacity!$A$53:$E$85,5,FALSE)*(1+'Inputs-System'!$C$43)*'Inputs-System'!$C$29), $C33 = "2", ('Inputs-System'!$C$26*'Coincidence Factors'!$B$9*(1+'Inputs-System'!$C$18))*'Inputs-Proposals'!$D$22*(VLOOKUP(CP$3,Capacity!$A$53:$E$85,4,FALSE)*(1+'Inputs-System'!$C$42)+VLOOKUP(CP$3,Capacity!$A$53:$E$85,5,FALSE)*'Inputs-System'!$C$29*(1+'Inputs-System'!$C$43)), $C33 = "3", ('Inputs-System'!$C$26*'Coincidence Factors'!$B$9*(1+'Inputs-System'!$C$18))*'Inputs-Proposals'!$D$28*(VLOOKUP(CP$3,Capacity!$A$53:$E$85,4,FALSE)*(1+'Inputs-System'!$C$42)+VLOOKUP(CP$3,Capacity!$A$53:$E$85,5,FALSE)*'Inputs-System'!$C$29*(1+'Inputs-System'!$C$43)), $C33 = "0", 0), 0)</f>
        <v>0</v>
      </c>
      <c r="CT33" s="44">
        <v>0</v>
      </c>
      <c r="CU33" s="342">
        <f>IFERROR(_xlfn.IFS($C33="1", 'Inputs-System'!$C$30*'Coincidence Factors'!$B$9*'Inputs-Proposals'!$G$17*'Inputs-Proposals'!$G$19*(VLOOKUP(CP$3,'Non-Embedded Emissions'!$A$56:$D$90,2,FALSE)-VLOOKUP(CP$3,'Non-Embedded Emissions'!$F$57:$H$88,2,FALSE)+VLOOKUP(CP$3,'Non-Embedded Emissions'!$A$143:$D$174,2,FALSE)-VLOOKUP(CP$3,'Non-Embedded Emissions'!$F$143:$H$174,2,FALSE)+VLOOKUP(CP$3,'Non-Embedded Emissions'!$A$230:$D$259,2,FALSE)), $C33 = "2", 'Inputs-System'!$C$30*'Coincidence Factors'!$B$9*'Inputs-Proposals'!$G$23*'Inputs-Proposals'!$G$25*(VLOOKUP(CP$3,'Non-Embedded Emissions'!$A$56:$D$90,2,FALSE)-VLOOKUP(CP$3,'Non-Embedded Emissions'!$F$57:$H$88,2,FALSE)+VLOOKUP(CP$3,'Non-Embedded Emissions'!$A$143:$D$174,2,FALSE)-VLOOKUP(CP$3,'Non-Embedded Emissions'!$F$143:$H$174,2,FALSE)+VLOOKUP(CP$3,'Non-Embedded Emissions'!$A$230:$D$259,2,FALSE)), $C33 = "3", 'Inputs-System'!$C$30*'Coincidence Factors'!$B$9*'Inputs-Proposals'!$G$29*'Inputs-Proposals'!$G$31*(VLOOKUP(CP$3,'Non-Embedded Emissions'!$A$56:$D$90,2,FALSE)-VLOOKUP(CP$3,'Non-Embedded Emissions'!$F$57:$H$88,2,FALSE)+VLOOKUP(CP$3,'Non-Embedded Emissions'!$A$143:$D$174,2,FALSE)-VLOOKUP(CP$3,'Non-Embedded Emissions'!$F$143:$H$174,2,FALSE)+VLOOKUP(CP$3,'Non-Embedded Emissions'!$A$230:$D$259,2,FALSE)), $C33 = "0", 0), 0)</f>
        <v>0</v>
      </c>
      <c r="CV33" s="45">
        <f>IFERROR(_xlfn.IFS($C33="1",('Inputs-System'!$C$30*'Coincidence Factors'!$B$9*(1+'Inputs-System'!$C$18)*(1+'Inputs-System'!$C$41)*('Inputs-Proposals'!$G$17*'Inputs-Proposals'!$G$19*(1-'Inputs-Proposals'!$G$20^(CV$3-'Inputs-System'!$C$7)))*(VLOOKUP(CV$3,Energy!$A$51:$K$83,5,FALSE))), $C33 = "2",('Inputs-System'!$C$30*'Coincidence Factors'!$B$9)*(1+'Inputs-System'!$C$18)*(1+'Inputs-System'!$C$41)*('Inputs-Proposals'!$G$23*'Inputs-Proposals'!$G$25*(1-'Inputs-Proposals'!$G$26^(CV$3-'Inputs-System'!$C$7)))*(VLOOKUP(CV$3,Energy!$A$51:$K$83,5,FALSE)), $C33= "3", ('Inputs-System'!$C$30*'Coincidence Factors'!$B$9*(1+'Inputs-System'!$C$18)*(1+'Inputs-System'!$C$41)*('Inputs-Proposals'!$G$29*'Inputs-Proposals'!$G$31*(1-'Inputs-Proposals'!$G$32^(CV$3-'Inputs-System'!$C$7)))*(VLOOKUP(CV$3,Energy!$A$51:$K$83,5,FALSE))), $C33= "0", 0), 0)</f>
        <v>0</v>
      </c>
      <c r="CW33" s="44">
        <f>IFERROR(_xlfn.IFS($C33="1",('Inputs-System'!$C$30*'Coincidence Factors'!$B$9*(1+'Inputs-System'!$C$18)*(1+'Inputs-System'!$C$41))*'Inputs-Proposals'!$G$17*'Inputs-Proposals'!$G$19*(1-'Inputs-Proposals'!$G$20^(CV$3-'Inputs-System'!$C$7))*(VLOOKUP(CV$3,'Embedded Emissions'!$A$47:$B$78,2,FALSE)+VLOOKUP(CV$3,'Embedded Emissions'!$A$129:$B$158,2,FALSE)), $C33 = "2",('Inputs-System'!$C$30*'Coincidence Factors'!$B$9*(1+'Inputs-System'!$C$18)*(1+'Inputs-System'!$C$41))*'Inputs-Proposals'!$G$23*'Inputs-Proposals'!$G$25*(1-'Inputs-Proposals'!$G$20^(CV$3-'Inputs-System'!$C$7))*(VLOOKUP(CV$3,'Embedded Emissions'!$A$47:$B$78,2,FALSE)+VLOOKUP(CV$3,'Embedded Emissions'!$A$129:$B$158,2,FALSE)), $C33 = "3", ('Inputs-System'!$C$30*'Coincidence Factors'!$B$9*(1+'Inputs-System'!$C$18)*(1+'Inputs-System'!$C$41))*'Inputs-Proposals'!$G$29*'Inputs-Proposals'!$G$31*(1-'Inputs-Proposals'!$G$20^(CV$3-'Inputs-System'!$C$7))*(VLOOKUP(CV$3,'Embedded Emissions'!$A$47:$B$78,2,FALSE)+VLOOKUP(CV$3,'Embedded Emissions'!$A$129:$B$158,2,FALSE)), $C33 = "0", 0), 0)</f>
        <v>0</v>
      </c>
      <c r="CX33" s="44">
        <f>IFERROR(_xlfn.IFS($C33="1",( 'Inputs-System'!$C$30*'Coincidence Factors'!$B$9*(1+'Inputs-System'!$C$18)*(1+'Inputs-System'!$C$41))*('Inputs-Proposals'!$G$17*'Inputs-Proposals'!$G$19*(1-'Inputs-Proposals'!$G$20)^(CV$3-'Inputs-System'!$C$7))*(VLOOKUP(CV$3,DRIPE!$A$54:$I$82,5,FALSE)+VLOOKUP(CV$3,DRIPE!$A$54:$I$82,9,FALSE))+ ('Inputs-System'!$C$26*'Coincidence Factors'!$B$6*(1+'Inputs-System'!$C$18)*(1+'Inputs-System'!$C$42))*'Inputs-Proposals'!$G$16*VLOOKUP(CV$3,DRIPE!$A$54:$I$82,8,FALSE), $C33 = "2",( 'Inputs-System'!$C$30*'Coincidence Factors'!$B$9*(1+'Inputs-System'!$C$18)*(1+'Inputs-System'!$C$41))*('Inputs-Proposals'!$G$23*'Inputs-Proposals'!$G$25*(1-'Inputs-Proposals'!$G$26)^(CV$3-'Inputs-System'!$C$7))*(VLOOKUP(CV$3,DRIPE!$A$54:$I$82,5,FALSE)+VLOOKUP(CV$3,DRIPE!$A$54:$I$82,9,FALSE))+ ('Inputs-System'!$C$26*'Coincidence Factors'!$B$6*(1+'Inputs-System'!$C$18)*(1+'Inputs-System'!$C$42))*'Inputs-Proposals'!$G$22*VLOOKUP(CV$3,DRIPE!$A$54:$I$82,8,FALSE), $C33= "3", ( 'Inputs-System'!$C$30*'Coincidence Factors'!$B$9*(1+'Inputs-System'!$C$18)*(1+'Inputs-System'!$C$41))*('Inputs-Proposals'!$G$29*'Inputs-Proposals'!$G$31*(1-'Inputs-Proposals'!$G$32)^(CV$3-'Inputs-System'!$C$7))*(VLOOKUP(CV$3,DRIPE!$A$54:$I$82,5,FALSE)+VLOOKUP(CV$3,DRIPE!$A$54:$I$82,9,FALSE))+ ('Inputs-System'!$C$26*'Coincidence Factors'!$B$6*(1+'Inputs-System'!$C$18)*(1+'Inputs-System'!$C$42))*'Inputs-Proposals'!$G$28*VLOOKUP(CV$3,DRIPE!$A$54:$I$82,8,FALSE), $C33 = "0", 0), 0)</f>
        <v>0</v>
      </c>
      <c r="CY33" s="45">
        <f>IFERROR(_xlfn.IFS($C33="1",('Inputs-System'!$C$26*'Coincidence Factors'!$B$9*(1+'Inputs-System'!$C$18)*(1+'Inputs-System'!$C$42))*'Inputs-Proposals'!$D$16*(VLOOKUP(CV$3,Capacity!$A$53:$E$85,4,FALSE)*(1+'Inputs-System'!$C$42)+VLOOKUP(CV$3,Capacity!$A$53:$E$85,5,FALSE)*(1+'Inputs-System'!$C$43)*'Inputs-System'!$C$29), $C33 = "2", ('Inputs-System'!$C$26*'Coincidence Factors'!$B$9*(1+'Inputs-System'!$C$18))*'Inputs-Proposals'!$D$22*(VLOOKUP(CV$3,Capacity!$A$53:$E$85,4,FALSE)*(1+'Inputs-System'!$C$42)+VLOOKUP(CV$3,Capacity!$A$53:$E$85,5,FALSE)*'Inputs-System'!$C$29*(1+'Inputs-System'!$C$43)), $C33 = "3", ('Inputs-System'!$C$26*'Coincidence Factors'!$B$9*(1+'Inputs-System'!$C$18))*'Inputs-Proposals'!$D$28*(VLOOKUP(CV$3,Capacity!$A$53:$E$85,4,FALSE)*(1+'Inputs-System'!$C$42)+VLOOKUP(CV$3,Capacity!$A$53:$E$85,5,FALSE)*'Inputs-System'!$C$29*(1+'Inputs-System'!$C$43)), $C33 = "0", 0), 0)</f>
        <v>0</v>
      </c>
      <c r="CZ33" s="44">
        <v>0</v>
      </c>
      <c r="DA33" s="342">
        <f>IFERROR(_xlfn.IFS($C33="1", 'Inputs-System'!$C$30*'Coincidence Factors'!$B$9*'Inputs-Proposals'!$G$17*'Inputs-Proposals'!$G$19*(VLOOKUP(CV$3,'Non-Embedded Emissions'!$A$56:$D$90,2,FALSE)-VLOOKUP(CV$3,'Non-Embedded Emissions'!$F$57:$H$88,2,FALSE)+VLOOKUP(CV$3,'Non-Embedded Emissions'!$A$143:$D$174,2,FALSE)-VLOOKUP(CV$3,'Non-Embedded Emissions'!$F$143:$H$174,2,FALSE)+VLOOKUP(CV$3,'Non-Embedded Emissions'!$A$230:$D$259,2,FALSE)), $C33 = "2", 'Inputs-System'!$C$30*'Coincidence Factors'!$B$9*'Inputs-Proposals'!$G$23*'Inputs-Proposals'!$G$25*(VLOOKUP(CV$3,'Non-Embedded Emissions'!$A$56:$D$90,2,FALSE)-VLOOKUP(CV$3,'Non-Embedded Emissions'!$F$57:$H$88,2,FALSE)+VLOOKUP(CV$3,'Non-Embedded Emissions'!$A$143:$D$174,2,FALSE)-VLOOKUP(CV$3,'Non-Embedded Emissions'!$F$143:$H$174,2,FALSE)+VLOOKUP(CV$3,'Non-Embedded Emissions'!$A$230:$D$259,2,FALSE)), $C33 = "3", 'Inputs-System'!$C$30*'Coincidence Factors'!$B$9*'Inputs-Proposals'!$G$29*'Inputs-Proposals'!$G$31*(VLOOKUP(CV$3,'Non-Embedded Emissions'!$A$56:$D$90,2,FALSE)-VLOOKUP(CV$3,'Non-Embedded Emissions'!$F$57:$H$88,2,FALSE)+VLOOKUP(CV$3,'Non-Embedded Emissions'!$A$143:$D$174,2,FALSE)-VLOOKUP(CV$3,'Non-Embedded Emissions'!$F$143:$H$174,2,FALSE)+VLOOKUP(CV$3,'Non-Embedded Emissions'!$A$230:$D$259,2,FALSE)), $C33 = "0", 0), 0)</f>
        <v>0</v>
      </c>
      <c r="DB33" s="45">
        <f>IFERROR(_xlfn.IFS($C33="1",('Inputs-System'!$C$30*'Coincidence Factors'!$B$9*(1+'Inputs-System'!$C$18)*(1+'Inputs-System'!$C$41)*('Inputs-Proposals'!$G$17*'Inputs-Proposals'!$G$19*(1-'Inputs-Proposals'!$G$20^(DB$3-'Inputs-System'!$C$7)))*(VLOOKUP(DB$3,Energy!$A$51:$K$83,5,FALSE))), $C33 = "2",('Inputs-System'!$C$30*'Coincidence Factors'!$B$9)*(1+'Inputs-System'!$C$18)*(1+'Inputs-System'!$C$41)*('Inputs-Proposals'!$G$23*'Inputs-Proposals'!$G$25*(1-'Inputs-Proposals'!$G$26^(DB$3-'Inputs-System'!$C$7)))*(VLOOKUP(DB$3,Energy!$A$51:$K$83,5,FALSE)), $C33= "3", ('Inputs-System'!$C$30*'Coincidence Factors'!$B$9*(1+'Inputs-System'!$C$18)*(1+'Inputs-System'!$C$41)*('Inputs-Proposals'!$G$29*'Inputs-Proposals'!$G$31*(1-'Inputs-Proposals'!$G$32^(DB$3-'Inputs-System'!$C$7)))*(VLOOKUP(DB$3,Energy!$A$51:$K$83,5,FALSE))), $C33= "0", 0), 0)</f>
        <v>0</v>
      </c>
      <c r="DC33" s="44">
        <f>IFERROR(_xlfn.IFS($C33="1",('Inputs-System'!$C$30*'Coincidence Factors'!$B$9*(1+'Inputs-System'!$C$18)*(1+'Inputs-System'!$C$41))*'Inputs-Proposals'!$G$17*'Inputs-Proposals'!$G$19*(1-'Inputs-Proposals'!$G$20^(DB$3-'Inputs-System'!$C$7))*(VLOOKUP(DB$3,'Embedded Emissions'!$A$47:$B$78,2,FALSE)+VLOOKUP(DB$3,'Embedded Emissions'!$A$129:$B$158,2,FALSE)), $C33 = "2",('Inputs-System'!$C$30*'Coincidence Factors'!$B$9*(1+'Inputs-System'!$C$18)*(1+'Inputs-System'!$C$41))*'Inputs-Proposals'!$G$23*'Inputs-Proposals'!$G$25*(1-'Inputs-Proposals'!$G$20^(DB$3-'Inputs-System'!$C$7))*(VLOOKUP(DB$3,'Embedded Emissions'!$A$47:$B$78,2,FALSE)+VLOOKUP(DB$3,'Embedded Emissions'!$A$129:$B$158,2,FALSE)), $C33 = "3", ('Inputs-System'!$C$30*'Coincidence Factors'!$B$9*(1+'Inputs-System'!$C$18)*(1+'Inputs-System'!$C$41))*'Inputs-Proposals'!$G$29*'Inputs-Proposals'!$G$31*(1-'Inputs-Proposals'!$G$20^(DB$3-'Inputs-System'!$C$7))*(VLOOKUP(DB$3,'Embedded Emissions'!$A$47:$B$78,2,FALSE)+VLOOKUP(DB$3,'Embedded Emissions'!$A$129:$B$158,2,FALSE)), $C33 = "0", 0), 0)</f>
        <v>0</v>
      </c>
      <c r="DD33" s="44">
        <f>IFERROR(_xlfn.IFS($C33="1",( 'Inputs-System'!$C$30*'Coincidence Factors'!$B$9*(1+'Inputs-System'!$C$18)*(1+'Inputs-System'!$C$41))*('Inputs-Proposals'!$G$17*'Inputs-Proposals'!$G$19*(1-'Inputs-Proposals'!$G$20)^(DB$3-'Inputs-System'!$C$7))*(VLOOKUP(DB$3,DRIPE!$A$54:$I$82,5,FALSE)+VLOOKUP(DB$3,DRIPE!$A$54:$I$82,9,FALSE))+ ('Inputs-System'!$C$26*'Coincidence Factors'!$B$6*(1+'Inputs-System'!$C$18)*(1+'Inputs-System'!$C$42))*'Inputs-Proposals'!$G$16*VLOOKUP(DB$3,DRIPE!$A$54:$I$82,8,FALSE), $C33 = "2",( 'Inputs-System'!$C$30*'Coincidence Factors'!$B$9*(1+'Inputs-System'!$C$18)*(1+'Inputs-System'!$C$41))*('Inputs-Proposals'!$G$23*'Inputs-Proposals'!$G$25*(1-'Inputs-Proposals'!$G$26)^(DB$3-'Inputs-System'!$C$7))*(VLOOKUP(DB$3,DRIPE!$A$54:$I$82,5,FALSE)+VLOOKUP(DB$3,DRIPE!$A$54:$I$82,9,FALSE))+ ('Inputs-System'!$C$26*'Coincidence Factors'!$B$6*(1+'Inputs-System'!$C$18)*(1+'Inputs-System'!$C$42))*'Inputs-Proposals'!$G$22*VLOOKUP(DB$3,DRIPE!$A$54:$I$82,8,FALSE), $C33= "3", ( 'Inputs-System'!$C$30*'Coincidence Factors'!$B$9*(1+'Inputs-System'!$C$18)*(1+'Inputs-System'!$C$41))*('Inputs-Proposals'!$G$29*'Inputs-Proposals'!$G$31*(1-'Inputs-Proposals'!$G$32)^(DB$3-'Inputs-System'!$C$7))*(VLOOKUP(DB$3,DRIPE!$A$54:$I$82,5,FALSE)+VLOOKUP(DB$3,DRIPE!$A$54:$I$82,9,FALSE))+ ('Inputs-System'!$C$26*'Coincidence Factors'!$B$6*(1+'Inputs-System'!$C$18)*(1+'Inputs-System'!$C$42))*'Inputs-Proposals'!$G$28*VLOOKUP(DB$3,DRIPE!$A$54:$I$82,8,FALSE), $C33 = "0", 0), 0)</f>
        <v>0</v>
      </c>
      <c r="DE33" s="45">
        <f>IFERROR(_xlfn.IFS($C33="1",('Inputs-System'!$C$26*'Coincidence Factors'!$B$9*(1+'Inputs-System'!$C$18)*(1+'Inputs-System'!$C$42))*'Inputs-Proposals'!$D$16*(VLOOKUP(DB$3,Capacity!$A$53:$E$85,4,FALSE)*(1+'Inputs-System'!$C$42)+VLOOKUP(DB$3,Capacity!$A$53:$E$85,5,FALSE)*(1+'Inputs-System'!$C$43)*'Inputs-System'!$C$29), $C33 = "2", ('Inputs-System'!$C$26*'Coincidence Factors'!$B$9*(1+'Inputs-System'!$C$18))*'Inputs-Proposals'!$D$22*(VLOOKUP(DB$3,Capacity!$A$53:$E$85,4,FALSE)*(1+'Inputs-System'!$C$42)+VLOOKUP(DB$3,Capacity!$A$53:$E$85,5,FALSE)*'Inputs-System'!$C$29*(1+'Inputs-System'!$C$43)), $C33 = "3", ('Inputs-System'!$C$26*'Coincidence Factors'!$B$9*(1+'Inputs-System'!$C$18))*'Inputs-Proposals'!$D$28*(VLOOKUP(DB$3,Capacity!$A$53:$E$85,4,FALSE)*(1+'Inputs-System'!$C$42)+VLOOKUP(DB$3,Capacity!$A$53:$E$85,5,FALSE)*'Inputs-System'!$C$29*(1+'Inputs-System'!$C$43)), $C33 = "0", 0), 0)</f>
        <v>0</v>
      </c>
      <c r="DF33" s="44">
        <v>0</v>
      </c>
      <c r="DG33" s="342">
        <f>IFERROR(_xlfn.IFS($C33="1", 'Inputs-System'!$C$30*'Coincidence Factors'!$B$9*'Inputs-Proposals'!$G$17*'Inputs-Proposals'!$G$19*(VLOOKUP(DB$3,'Non-Embedded Emissions'!$A$56:$D$90,2,FALSE)-VLOOKUP(DB$3,'Non-Embedded Emissions'!$F$57:$H$88,2,FALSE)+VLOOKUP(DB$3,'Non-Embedded Emissions'!$A$143:$D$174,2,FALSE)-VLOOKUP(DB$3,'Non-Embedded Emissions'!$F$143:$H$174,2,FALSE)+VLOOKUP(DB$3,'Non-Embedded Emissions'!$A$230:$D$259,2,FALSE)), $C33 = "2", 'Inputs-System'!$C$30*'Coincidence Factors'!$B$9*'Inputs-Proposals'!$G$23*'Inputs-Proposals'!$G$25*(VLOOKUP(DB$3,'Non-Embedded Emissions'!$A$56:$D$90,2,FALSE)-VLOOKUP(DB$3,'Non-Embedded Emissions'!$F$57:$H$88,2,FALSE)+VLOOKUP(DB$3,'Non-Embedded Emissions'!$A$143:$D$174,2,FALSE)-VLOOKUP(DB$3,'Non-Embedded Emissions'!$F$143:$H$174,2,FALSE)+VLOOKUP(DB$3,'Non-Embedded Emissions'!$A$230:$D$259,2,FALSE)), $C33 = "3", 'Inputs-System'!$C$30*'Coincidence Factors'!$B$9*'Inputs-Proposals'!$G$29*'Inputs-Proposals'!$G$31*(VLOOKUP(DB$3,'Non-Embedded Emissions'!$A$56:$D$90,2,FALSE)-VLOOKUP(DB$3,'Non-Embedded Emissions'!$F$57:$H$88,2,FALSE)+VLOOKUP(DB$3,'Non-Embedded Emissions'!$A$143:$D$174,2,FALSE)-VLOOKUP(DB$3,'Non-Embedded Emissions'!$F$143:$H$174,2,FALSE)+VLOOKUP(DB$3,'Non-Embedded Emissions'!$A$230:$D$259,2,FALSE)), $C33 = "0", 0), 0)</f>
        <v>0</v>
      </c>
      <c r="DH33" s="45">
        <f>IFERROR(_xlfn.IFS($C33="1",('Inputs-System'!$C$30*'Coincidence Factors'!$B$9*(1+'Inputs-System'!$C$18)*(1+'Inputs-System'!$C$41)*('Inputs-Proposals'!$G$17*'Inputs-Proposals'!$G$19*(1-'Inputs-Proposals'!$G$20^(DH$3-'Inputs-System'!$C$7)))*(VLOOKUP(DH$3,Energy!$A$51:$K$83,5,FALSE))), $C33 = "2",('Inputs-System'!$C$30*'Coincidence Factors'!$B$9)*(1+'Inputs-System'!$C$18)*(1+'Inputs-System'!$C$41)*('Inputs-Proposals'!$G$23*'Inputs-Proposals'!$G$25*(1-'Inputs-Proposals'!$G$26^(DH$3-'Inputs-System'!$C$7)))*(VLOOKUP(DH$3,Energy!$A$51:$K$83,5,FALSE)), $C33= "3", ('Inputs-System'!$C$30*'Coincidence Factors'!$B$9*(1+'Inputs-System'!$C$18)*(1+'Inputs-System'!$C$41)*('Inputs-Proposals'!$G$29*'Inputs-Proposals'!$G$31*(1-'Inputs-Proposals'!$G$32^(DH$3-'Inputs-System'!$C$7)))*(VLOOKUP(DH$3,Energy!$A$51:$K$83,5,FALSE))), $C33= "0", 0), 0)</f>
        <v>0</v>
      </c>
      <c r="DI33" s="44">
        <f>IFERROR(_xlfn.IFS($C33="1",('Inputs-System'!$C$30*'Coincidence Factors'!$B$9*(1+'Inputs-System'!$C$18)*(1+'Inputs-System'!$C$41))*'Inputs-Proposals'!$G$17*'Inputs-Proposals'!$G$19*(1-'Inputs-Proposals'!$G$20^(DH$3-'Inputs-System'!$C$7))*(VLOOKUP(DH$3,'Embedded Emissions'!$A$47:$B$78,2,FALSE)+VLOOKUP(DH$3,'Embedded Emissions'!$A$129:$B$158,2,FALSE)), $C33 = "2",('Inputs-System'!$C$30*'Coincidence Factors'!$B$9*(1+'Inputs-System'!$C$18)*(1+'Inputs-System'!$C$41))*'Inputs-Proposals'!$G$23*'Inputs-Proposals'!$G$25*(1-'Inputs-Proposals'!$G$20^(DH$3-'Inputs-System'!$C$7))*(VLOOKUP(DH$3,'Embedded Emissions'!$A$47:$B$78,2,FALSE)+VLOOKUP(DH$3,'Embedded Emissions'!$A$129:$B$158,2,FALSE)), $C33 = "3", ('Inputs-System'!$C$30*'Coincidence Factors'!$B$9*(1+'Inputs-System'!$C$18)*(1+'Inputs-System'!$C$41))*'Inputs-Proposals'!$G$29*'Inputs-Proposals'!$G$31*(1-'Inputs-Proposals'!$G$20^(DH$3-'Inputs-System'!$C$7))*(VLOOKUP(DH$3,'Embedded Emissions'!$A$47:$B$78,2,FALSE)+VLOOKUP(DH$3,'Embedded Emissions'!$A$129:$B$158,2,FALSE)), $C33 = "0", 0), 0)</f>
        <v>0</v>
      </c>
      <c r="DJ33" s="44">
        <f>IFERROR(_xlfn.IFS($C33="1",( 'Inputs-System'!$C$30*'Coincidence Factors'!$B$9*(1+'Inputs-System'!$C$18)*(1+'Inputs-System'!$C$41))*('Inputs-Proposals'!$G$17*'Inputs-Proposals'!$G$19*(1-'Inputs-Proposals'!$G$20)^(DH$3-'Inputs-System'!$C$7))*(VLOOKUP(DH$3,DRIPE!$A$54:$I$82,5,FALSE)+VLOOKUP(DH$3,DRIPE!$A$54:$I$82,9,FALSE))+ ('Inputs-System'!$C$26*'Coincidence Factors'!$B$6*(1+'Inputs-System'!$C$18)*(1+'Inputs-System'!$C$42))*'Inputs-Proposals'!$G$16*VLOOKUP(DH$3,DRIPE!$A$54:$I$82,8,FALSE), $C33 = "2",( 'Inputs-System'!$C$30*'Coincidence Factors'!$B$9*(1+'Inputs-System'!$C$18)*(1+'Inputs-System'!$C$41))*('Inputs-Proposals'!$G$23*'Inputs-Proposals'!$G$25*(1-'Inputs-Proposals'!$G$26)^(DH$3-'Inputs-System'!$C$7))*(VLOOKUP(DH$3,DRIPE!$A$54:$I$82,5,FALSE)+VLOOKUP(DH$3,DRIPE!$A$54:$I$82,9,FALSE))+ ('Inputs-System'!$C$26*'Coincidence Factors'!$B$6*(1+'Inputs-System'!$C$18)*(1+'Inputs-System'!$C$42))*'Inputs-Proposals'!$G$22*VLOOKUP(DH$3,DRIPE!$A$54:$I$82,8,FALSE), $C33= "3", ( 'Inputs-System'!$C$30*'Coincidence Factors'!$B$9*(1+'Inputs-System'!$C$18)*(1+'Inputs-System'!$C$41))*('Inputs-Proposals'!$G$29*'Inputs-Proposals'!$G$31*(1-'Inputs-Proposals'!$G$32)^(DH$3-'Inputs-System'!$C$7))*(VLOOKUP(DH$3,DRIPE!$A$54:$I$82,5,FALSE)+VLOOKUP(DH$3,DRIPE!$A$54:$I$82,9,FALSE))+ ('Inputs-System'!$C$26*'Coincidence Factors'!$B$6*(1+'Inputs-System'!$C$18)*(1+'Inputs-System'!$C$42))*'Inputs-Proposals'!$G$28*VLOOKUP(DH$3,DRIPE!$A$54:$I$82,8,FALSE), $C33 = "0", 0), 0)</f>
        <v>0</v>
      </c>
      <c r="DK33" s="45">
        <f>IFERROR(_xlfn.IFS($C33="1",('Inputs-System'!$C$26*'Coincidence Factors'!$B$9*(1+'Inputs-System'!$C$18)*(1+'Inputs-System'!$C$42))*'Inputs-Proposals'!$D$16*(VLOOKUP(DH$3,Capacity!$A$53:$E$85,4,FALSE)*(1+'Inputs-System'!$C$42)+VLOOKUP(DH$3,Capacity!$A$53:$E$85,5,FALSE)*(1+'Inputs-System'!$C$43)*'Inputs-System'!$C$29), $C33 = "2", ('Inputs-System'!$C$26*'Coincidence Factors'!$B$9*(1+'Inputs-System'!$C$18))*'Inputs-Proposals'!$D$22*(VLOOKUP(DH$3,Capacity!$A$53:$E$85,4,FALSE)*(1+'Inputs-System'!$C$42)+VLOOKUP(DH$3,Capacity!$A$53:$E$85,5,FALSE)*'Inputs-System'!$C$29*(1+'Inputs-System'!$C$43)), $C33 = "3", ('Inputs-System'!$C$26*'Coincidence Factors'!$B$9*(1+'Inputs-System'!$C$18))*'Inputs-Proposals'!$D$28*(VLOOKUP(DH$3,Capacity!$A$53:$E$85,4,FALSE)*(1+'Inputs-System'!$C$42)+VLOOKUP(DH$3,Capacity!$A$53:$E$85,5,FALSE)*'Inputs-System'!$C$29*(1+'Inputs-System'!$C$43)), $C33 = "0", 0), 0)</f>
        <v>0</v>
      </c>
      <c r="DL33" s="44">
        <v>0</v>
      </c>
      <c r="DM33" s="342">
        <f>IFERROR(_xlfn.IFS($C33="1", 'Inputs-System'!$C$30*'Coincidence Factors'!$B$9*'Inputs-Proposals'!$G$17*'Inputs-Proposals'!$G$19*(VLOOKUP(DH$3,'Non-Embedded Emissions'!$A$56:$D$90,2,FALSE)-VLOOKUP(DH$3,'Non-Embedded Emissions'!$F$57:$H$88,2,FALSE)+VLOOKUP(DH$3,'Non-Embedded Emissions'!$A$143:$D$174,2,FALSE)-VLOOKUP(DH$3,'Non-Embedded Emissions'!$F$143:$H$174,2,FALSE)+VLOOKUP(DH$3,'Non-Embedded Emissions'!$A$230:$D$259,2,FALSE)), $C33 = "2", 'Inputs-System'!$C$30*'Coincidence Factors'!$B$9*'Inputs-Proposals'!$G$23*'Inputs-Proposals'!$G$25*(VLOOKUP(DH$3,'Non-Embedded Emissions'!$A$56:$D$90,2,FALSE)-VLOOKUP(DH$3,'Non-Embedded Emissions'!$F$57:$H$88,2,FALSE)+VLOOKUP(DH$3,'Non-Embedded Emissions'!$A$143:$D$174,2,FALSE)-VLOOKUP(DH$3,'Non-Embedded Emissions'!$F$143:$H$174,2,FALSE)+VLOOKUP(DH$3,'Non-Embedded Emissions'!$A$230:$D$259,2,FALSE)), $C33 = "3", 'Inputs-System'!$C$30*'Coincidence Factors'!$B$9*'Inputs-Proposals'!$G$29*'Inputs-Proposals'!$G$31*(VLOOKUP(DH$3,'Non-Embedded Emissions'!$A$56:$D$90,2,FALSE)-VLOOKUP(DH$3,'Non-Embedded Emissions'!$F$57:$H$88,2,FALSE)+VLOOKUP(DH$3,'Non-Embedded Emissions'!$A$143:$D$174,2,FALSE)-VLOOKUP(DH$3,'Non-Embedded Emissions'!$F$143:$H$174,2,FALSE)+VLOOKUP(DH$3,'Non-Embedded Emissions'!$A$230:$D$259,2,FALSE)), $C33 = "0", 0), 0)</f>
        <v>0</v>
      </c>
      <c r="DN33" s="45">
        <f>IFERROR(_xlfn.IFS($C33="1",('Inputs-System'!$C$30*'Coincidence Factors'!$B$9*(1+'Inputs-System'!$C$18)*(1+'Inputs-System'!$C$41)*('Inputs-Proposals'!$G$17*'Inputs-Proposals'!$G$19*(1-'Inputs-Proposals'!$G$20^(DN$3-'Inputs-System'!$C$7)))*(VLOOKUP(DN$3,Energy!$A$51:$K$83,5,FALSE))), $C33 = "2",('Inputs-System'!$C$30*'Coincidence Factors'!$B$9)*(1+'Inputs-System'!$C$18)*(1+'Inputs-System'!$C$41)*('Inputs-Proposals'!$G$23*'Inputs-Proposals'!$G$25*(1-'Inputs-Proposals'!$G$26^(DN$3-'Inputs-System'!$C$7)))*(VLOOKUP(DN$3,Energy!$A$51:$K$83,5,FALSE)), $C33= "3", ('Inputs-System'!$C$30*'Coincidence Factors'!$B$9*(1+'Inputs-System'!$C$18)*(1+'Inputs-System'!$C$41)*('Inputs-Proposals'!$G$29*'Inputs-Proposals'!$G$31*(1-'Inputs-Proposals'!$G$32^(DN$3-'Inputs-System'!$C$7)))*(VLOOKUP(DN$3,Energy!$A$51:$K$83,5,FALSE))), $C33= "0", 0), 0)</f>
        <v>0</v>
      </c>
      <c r="DO33" s="44">
        <f>IFERROR(_xlfn.IFS($C33="1",('Inputs-System'!$C$30*'Coincidence Factors'!$B$9*(1+'Inputs-System'!$C$18)*(1+'Inputs-System'!$C$41))*'Inputs-Proposals'!$G$17*'Inputs-Proposals'!$G$19*(1-'Inputs-Proposals'!$G$20^(DN$3-'Inputs-System'!$C$7))*(VLOOKUP(DN$3,'Embedded Emissions'!$A$47:$B$78,2,FALSE)+VLOOKUP(DN$3,'Embedded Emissions'!$A$129:$B$158,2,FALSE)), $C33 = "2",('Inputs-System'!$C$30*'Coincidence Factors'!$B$9*(1+'Inputs-System'!$C$18)*(1+'Inputs-System'!$C$41))*'Inputs-Proposals'!$G$23*'Inputs-Proposals'!$G$25*(1-'Inputs-Proposals'!$G$20^(DN$3-'Inputs-System'!$C$7))*(VLOOKUP(DN$3,'Embedded Emissions'!$A$47:$B$78,2,FALSE)+VLOOKUP(DN$3,'Embedded Emissions'!$A$129:$B$158,2,FALSE)), $C33 = "3", ('Inputs-System'!$C$30*'Coincidence Factors'!$B$9*(1+'Inputs-System'!$C$18)*(1+'Inputs-System'!$C$41))*'Inputs-Proposals'!$G$29*'Inputs-Proposals'!$G$31*(1-'Inputs-Proposals'!$G$20^(DN$3-'Inputs-System'!$C$7))*(VLOOKUP(DN$3,'Embedded Emissions'!$A$47:$B$78,2,FALSE)+VLOOKUP(DN$3,'Embedded Emissions'!$A$129:$B$158,2,FALSE)), $C33 = "0", 0), 0)</f>
        <v>0</v>
      </c>
      <c r="DP33" s="44">
        <f>IFERROR(_xlfn.IFS($C33="1",( 'Inputs-System'!$C$30*'Coincidence Factors'!$B$9*(1+'Inputs-System'!$C$18)*(1+'Inputs-System'!$C$41))*('Inputs-Proposals'!$G$17*'Inputs-Proposals'!$G$19*(1-'Inputs-Proposals'!$G$20)^(DN$3-'Inputs-System'!$C$7))*(VLOOKUP(DN$3,DRIPE!$A$54:$I$82,5,FALSE)+VLOOKUP(DN$3,DRIPE!$A$54:$I$82,9,FALSE))+ ('Inputs-System'!$C$26*'Coincidence Factors'!$B$6*(1+'Inputs-System'!$C$18)*(1+'Inputs-System'!$C$42))*'Inputs-Proposals'!$G$16*VLOOKUP(DN$3,DRIPE!$A$54:$I$82,8,FALSE), $C33 = "2",( 'Inputs-System'!$C$30*'Coincidence Factors'!$B$9*(1+'Inputs-System'!$C$18)*(1+'Inputs-System'!$C$41))*('Inputs-Proposals'!$G$23*'Inputs-Proposals'!$G$25*(1-'Inputs-Proposals'!$G$26)^(DN$3-'Inputs-System'!$C$7))*(VLOOKUP(DN$3,DRIPE!$A$54:$I$82,5,FALSE)+VLOOKUP(DN$3,DRIPE!$A$54:$I$82,9,FALSE))+ ('Inputs-System'!$C$26*'Coincidence Factors'!$B$6*(1+'Inputs-System'!$C$18)*(1+'Inputs-System'!$C$42))*'Inputs-Proposals'!$G$22*VLOOKUP(DN$3,DRIPE!$A$54:$I$82,8,FALSE), $C33= "3", ( 'Inputs-System'!$C$30*'Coincidence Factors'!$B$9*(1+'Inputs-System'!$C$18)*(1+'Inputs-System'!$C$41))*('Inputs-Proposals'!$G$29*'Inputs-Proposals'!$G$31*(1-'Inputs-Proposals'!$G$32)^(DN$3-'Inputs-System'!$C$7))*(VLOOKUP(DN$3,DRIPE!$A$54:$I$82,5,FALSE)+VLOOKUP(DN$3,DRIPE!$A$54:$I$82,9,FALSE))+ ('Inputs-System'!$C$26*'Coincidence Factors'!$B$6*(1+'Inputs-System'!$C$18)*(1+'Inputs-System'!$C$42))*'Inputs-Proposals'!$G$28*VLOOKUP(DN$3,DRIPE!$A$54:$I$82,8,FALSE), $C33 = "0", 0), 0)</f>
        <v>0</v>
      </c>
      <c r="DQ33" s="45">
        <f>IFERROR(_xlfn.IFS($C33="1",('Inputs-System'!$C$26*'Coincidence Factors'!$B$9*(1+'Inputs-System'!$C$18)*(1+'Inputs-System'!$C$42))*'Inputs-Proposals'!$D$16*(VLOOKUP(DN$3,Capacity!$A$53:$E$85,4,FALSE)*(1+'Inputs-System'!$C$42)+VLOOKUP(DN$3,Capacity!$A$53:$E$85,5,FALSE)*(1+'Inputs-System'!$C$43)*'Inputs-System'!$C$29), $C33 = "2", ('Inputs-System'!$C$26*'Coincidence Factors'!$B$9*(1+'Inputs-System'!$C$18))*'Inputs-Proposals'!$D$22*(VLOOKUP(DN$3,Capacity!$A$53:$E$85,4,FALSE)*(1+'Inputs-System'!$C$42)+VLOOKUP(DN$3,Capacity!$A$53:$E$85,5,FALSE)*'Inputs-System'!$C$29*(1+'Inputs-System'!$C$43)), $C33 = "3", ('Inputs-System'!$C$26*'Coincidence Factors'!$B$9*(1+'Inputs-System'!$C$18))*'Inputs-Proposals'!$D$28*(VLOOKUP(DN$3,Capacity!$A$53:$E$85,4,FALSE)*(1+'Inputs-System'!$C$42)+VLOOKUP(DN$3,Capacity!$A$53:$E$85,5,FALSE)*'Inputs-System'!$C$29*(1+'Inputs-System'!$C$43)), $C33 = "0", 0), 0)</f>
        <v>0</v>
      </c>
      <c r="DR33" s="44">
        <v>0</v>
      </c>
      <c r="DS33" s="342">
        <f>IFERROR(_xlfn.IFS($C33="1", 'Inputs-System'!$C$30*'Coincidence Factors'!$B$9*'Inputs-Proposals'!$G$17*'Inputs-Proposals'!$G$19*(VLOOKUP(DN$3,'Non-Embedded Emissions'!$A$56:$D$90,2,FALSE)-VLOOKUP(DN$3,'Non-Embedded Emissions'!$F$57:$H$88,2,FALSE)+VLOOKUP(DN$3,'Non-Embedded Emissions'!$A$143:$D$174,2,FALSE)-VLOOKUP(DN$3,'Non-Embedded Emissions'!$F$143:$H$174,2,FALSE)+VLOOKUP(DN$3,'Non-Embedded Emissions'!$A$230:$D$259,2,FALSE)), $C33 = "2", 'Inputs-System'!$C$30*'Coincidence Factors'!$B$9*'Inputs-Proposals'!$G$23*'Inputs-Proposals'!$G$25*(VLOOKUP(DN$3,'Non-Embedded Emissions'!$A$56:$D$90,2,FALSE)-VLOOKUP(DN$3,'Non-Embedded Emissions'!$F$57:$H$88,2,FALSE)+VLOOKUP(DN$3,'Non-Embedded Emissions'!$A$143:$D$174,2,FALSE)-VLOOKUP(DN$3,'Non-Embedded Emissions'!$F$143:$H$174,2,FALSE)+VLOOKUP(DN$3,'Non-Embedded Emissions'!$A$230:$D$259,2,FALSE)), $C33 = "3", 'Inputs-System'!$C$30*'Coincidence Factors'!$B$9*'Inputs-Proposals'!$G$29*'Inputs-Proposals'!$G$31*(VLOOKUP(DN$3,'Non-Embedded Emissions'!$A$56:$D$90,2,FALSE)-VLOOKUP(DN$3,'Non-Embedded Emissions'!$F$57:$H$88,2,FALSE)+VLOOKUP(DN$3,'Non-Embedded Emissions'!$A$143:$D$174,2,FALSE)-VLOOKUP(DN$3,'Non-Embedded Emissions'!$F$143:$H$174,2,FALSE)+VLOOKUP(DN$3,'Non-Embedded Emissions'!$A$230:$D$259,2,FALSE)), $C33 = "0", 0), 0)</f>
        <v>0</v>
      </c>
      <c r="DT33" s="45">
        <f>IFERROR(_xlfn.IFS($C33="1",('Inputs-System'!$C$30*'Coincidence Factors'!$B$9*(1+'Inputs-System'!$C$18)*(1+'Inputs-System'!$C$41)*('Inputs-Proposals'!$G$17*'Inputs-Proposals'!$G$19*(1-'Inputs-Proposals'!$G$20^(DT$3-'Inputs-System'!$C$7)))*(VLOOKUP(DT$3,Energy!$A$51:$K$83,5,FALSE))), $C33 = "2",('Inputs-System'!$C$30*'Coincidence Factors'!$B$9)*(1+'Inputs-System'!$C$18)*(1+'Inputs-System'!$C$41)*('Inputs-Proposals'!$G$23*'Inputs-Proposals'!$G$25*(1-'Inputs-Proposals'!$G$26^(DT$3-'Inputs-System'!$C$7)))*(VLOOKUP(DT$3,Energy!$A$51:$K$83,5,FALSE)), $C33= "3", ('Inputs-System'!$C$30*'Coincidence Factors'!$B$9*(1+'Inputs-System'!$C$18)*(1+'Inputs-System'!$C$41)*('Inputs-Proposals'!$G$29*'Inputs-Proposals'!$G$31*(1-'Inputs-Proposals'!$G$32^(DT$3-'Inputs-System'!$C$7)))*(VLOOKUP(DT$3,Energy!$A$51:$K$83,5,FALSE))), $C33= "0", 0), 0)</f>
        <v>0</v>
      </c>
      <c r="DU33" s="44">
        <f>IFERROR(_xlfn.IFS($C33="1",('Inputs-System'!$C$30*'Coincidence Factors'!$B$9*(1+'Inputs-System'!$C$18)*(1+'Inputs-System'!$C$41))*'Inputs-Proposals'!$G$17*'Inputs-Proposals'!$G$19*(1-'Inputs-Proposals'!$G$20^(DT$3-'Inputs-System'!$C$7))*(VLOOKUP(DT$3,'Embedded Emissions'!$A$47:$B$78,2,FALSE)+VLOOKUP(DT$3,'Embedded Emissions'!$A$129:$B$158,2,FALSE)), $C33 = "2",('Inputs-System'!$C$30*'Coincidence Factors'!$B$9*(1+'Inputs-System'!$C$18)*(1+'Inputs-System'!$C$41))*'Inputs-Proposals'!$G$23*'Inputs-Proposals'!$G$25*(1-'Inputs-Proposals'!$G$20^(DT$3-'Inputs-System'!$C$7))*(VLOOKUP(DT$3,'Embedded Emissions'!$A$47:$B$78,2,FALSE)+VLOOKUP(DT$3,'Embedded Emissions'!$A$129:$B$158,2,FALSE)), $C33 = "3", ('Inputs-System'!$C$30*'Coincidence Factors'!$B$9*(1+'Inputs-System'!$C$18)*(1+'Inputs-System'!$C$41))*'Inputs-Proposals'!$G$29*'Inputs-Proposals'!$G$31*(1-'Inputs-Proposals'!$G$20^(DT$3-'Inputs-System'!$C$7))*(VLOOKUP(DT$3,'Embedded Emissions'!$A$47:$B$78,2,FALSE)+VLOOKUP(DT$3,'Embedded Emissions'!$A$129:$B$158,2,FALSE)), $C33 = "0", 0), 0)</f>
        <v>0</v>
      </c>
      <c r="DV33" s="44">
        <f>IFERROR(_xlfn.IFS($C33="1",( 'Inputs-System'!$C$30*'Coincidence Factors'!$B$9*(1+'Inputs-System'!$C$18)*(1+'Inputs-System'!$C$41))*('Inputs-Proposals'!$G$17*'Inputs-Proposals'!$G$19*(1-'Inputs-Proposals'!$G$20)^(DT$3-'Inputs-System'!$C$7))*(VLOOKUP(DT$3,DRIPE!$A$54:$I$82,5,FALSE)+VLOOKUP(DT$3,DRIPE!$A$54:$I$82,9,FALSE))+ ('Inputs-System'!$C$26*'Coincidence Factors'!$B$6*(1+'Inputs-System'!$C$18)*(1+'Inputs-System'!$C$42))*'Inputs-Proposals'!$G$16*VLOOKUP(DT$3,DRIPE!$A$54:$I$82,8,FALSE), $C33 = "2",( 'Inputs-System'!$C$30*'Coincidence Factors'!$B$9*(1+'Inputs-System'!$C$18)*(1+'Inputs-System'!$C$41))*('Inputs-Proposals'!$G$23*'Inputs-Proposals'!$G$25*(1-'Inputs-Proposals'!$G$26)^(DT$3-'Inputs-System'!$C$7))*(VLOOKUP(DT$3,DRIPE!$A$54:$I$82,5,FALSE)+VLOOKUP(DT$3,DRIPE!$A$54:$I$82,9,FALSE))+ ('Inputs-System'!$C$26*'Coincidence Factors'!$B$6*(1+'Inputs-System'!$C$18)*(1+'Inputs-System'!$C$42))*'Inputs-Proposals'!$G$22*VLOOKUP(DT$3,DRIPE!$A$54:$I$82,8,FALSE), $C33= "3", ( 'Inputs-System'!$C$30*'Coincidence Factors'!$B$9*(1+'Inputs-System'!$C$18)*(1+'Inputs-System'!$C$41))*('Inputs-Proposals'!$G$29*'Inputs-Proposals'!$G$31*(1-'Inputs-Proposals'!$G$32)^(DT$3-'Inputs-System'!$C$7))*(VLOOKUP(DT$3,DRIPE!$A$54:$I$82,5,FALSE)+VLOOKUP(DT$3,DRIPE!$A$54:$I$82,9,FALSE))+ ('Inputs-System'!$C$26*'Coincidence Factors'!$B$6*(1+'Inputs-System'!$C$18)*(1+'Inputs-System'!$C$42))*'Inputs-Proposals'!$G$28*VLOOKUP(DT$3,DRIPE!$A$54:$I$82,8,FALSE), $C33 = "0", 0), 0)</f>
        <v>0</v>
      </c>
      <c r="DW33" s="45">
        <f>IFERROR(_xlfn.IFS($C33="1",('Inputs-System'!$C$26*'Coincidence Factors'!$B$9*(1+'Inputs-System'!$C$18)*(1+'Inputs-System'!$C$42))*'Inputs-Proposals'!$D$16*(VLOOKUP(DT$3,Capacity!$A$53:$E$85,4,FALSE)*(1+'Inputs-System'!$C$42)+VLOOKUP(DT$3,Capacity!$A$53:$E$85,5,FALSE)*(1+'Inputs-System'!$C$43)*'Inputs-System'!$C$29), $C33 = "2", ('Inputs-System'!$C$26*'Coincidence Factors'!$B$9*(1+'Inputs-System'!$C$18))*'Inputs-Proposals'!$D$22*(VLOOKUP(DT$3,Capacity!$A$53:$E$85,4,FALSE)*(1+'Inputs-System'!$C$42)+VLOOKUP(DT$3,Capacity!$A$53:$E$85,5,FALSE)*'Inputs-System'!$C$29*(1+'Inputs-System'!$C$43)), $C33 = "3", ('Inputs-System'!$C$26*'Coincidence Factors'!$B$9*(1+'Inputs-System'!$C$18))*'Inputs-Proposals'!$D$28*(VLOOKUP(DT$3,Capacity!$A$53:$E$85,4,FALSE)*(1+'Inputs-System'!$C$42)+VLOOKUP(DT$3,Capacity!$A$53:$E$85,5,FALSE)*'Inputs-System'!$C$29*(1+'Inputs-System'!$C$43)), $C33 = "0", 0), 0)</f>
        <v>0</v>
      </c>
      <c r="DX33" s="44">
        <v>0</v>
      </c>
      <c r="DY33" s="342">
        <f>IFERROR(_xlfn.IFS($C33="1", 'Inputs-System'!$C$30*'Coincidence Factors'!$B$9*'Inputs-Proposals'!$G$17*'Inputs-Proposals'!$G$19*(VLOOKUP(DT$3,'Non-Embedded Emissions'!$A$56:$D$90,2,FALSE)-VLOOKUP(DT$3,'Non-Embedded Emissions'!$F$57:$H$88,2,FALSE)+VLOOKUP(DT$3,'Non-Embedded Emissions'!$A$143:$D$174,2,FALSE)-VLOOKUP(DT$3,'Non-Embedded Emissions'!$F$143:$H$174,2,FALSE)+VLOOKUP(DT$3,'Non-Embedded Emissions'!$A$230:$D$259,2,FALSE)), $C33 = "2", 'Inputs-System'!$C$30*'Coincidence Factors'!$B$9*'Inputs-Proposals'!$G$23*'Inputs-Proposals'!$G$25*(VLOOKUP(DT$3,'Non-Embedded Emissions'!$A$56:$D$90,2,FALSE)-VLOOKUP(DT$3,'Non-Embedded Emissions'!$F$57:$H$88,2,FALSE)+VLOOKUP(DT$3,'Non-Embedded Emissions'!$A$143:$D$174,2,FALSE)-VLOOKUP(DT$3,'Non-Embedded Emissions'!$F$143:$H$174,2,FALSE)+VLOOKUP(DT$3,'Non-Embedded Emissions'!$A$230:$D$259,2,FALSE)), $C33 = "3", 'Inputs-System'!$C$30*'Coincidence Factors'!$B$9*'Inputs-Proposals'!$G$29*'Inputs-Proposals'!$G$31*(VLOOKUP(DT$3,'Non-Embedded Emissions'!$A$56:$D$90,2,FALSE)-VLOOKUP(DT$3,'Non-Embedded Emissions'!$F$57:$H$88,2,FALSE)+VLOOKUP(DT$3,'Non-Embedded Emissions'!$A$143:$D$174,2,FALSE)-VLOOKUP(DT$3,'Non-Embedded Emissions'!$F$143:$H$174,2,FALSE)+VLOOKUP(DT$3,'Non-Embedded Emissions'!$A$230:$D$259,2,FALSE)), $C33 = "0", 0), 0)</f>
        <v>0</v>
      </c>
      <c r="DZ33" s="45">
        <f>IFERROR(_xlfn.IFS($C33="1",('Inputs-System'!$C$30*'Coincidence Factors'!$B$9*(1+'Inputs-System'!$C$18)*(1+'Inputs-System'!$C$41)*('Inputs-Proposals'!$G$17*'Inputs-Proposals'!$G$19*(1-'Inputs-Proposals'!$G$20^(DZ$3-'Inputs-System'!$C$7)))*(VLOOKUP(DZ$3,Energy!$A$51:$K$83,5,FALSE))), $C33 = "2",('Inputs-System'!$C$30*'Coincidence Factors'!$B$9)*(1+'Inputs-System'!$C$18)*(1+'Inputs-System'!$C$41)*('Inputs-Proposals'!$G$23*'Inputs-Proposals'!$G$25*(1-'Inputs-Proposals'!$G$26^(DZ$3-'Inputs-System'!$C$7)))*(VLOOKUP(DZ$3,Energy!$A$51:$K$83,5,FALSE)), $C33= "3", ('Inputs-System'!$C$30*'Coincidence Factors'!$B$9*(1+'Inputs-System'!$C$18)*(1+'Inputs-System'!$C$41)*('Inputs-Proposals'!$G$29*'Inputs-Proposals'!$G$31*(1-'Inputs-Proposals'!$G$32^(DZ$3-'Inputs-System'!$C$7)))*(VLOOKUP(DZ$3,Energy!$A$51:$K$83,5,FALSE))), $C33= "0", 0), 0)</f>
        <v>0</v>
      </c>
      <c r="EA33" s="44">
        <f>IFERROR(_xlfn.IFS($C33="1",('Inputs-System'!$C$30*'Coincidence Factors'!$B$9*(1+'Inputs-System'!$C$18)*(1+'Inputs-System'!$C$41))*'Inputs-Proposals'!$G$17*'Inputs-Proposals'!$G$19*(1-'Inputs-Proposals'!$G$20^(DZ$3-'Inputs-System'!$C$7))*(VLOOKUP(DZ$3,'Embedded Emissions'!$A$47:$B$78,2,FALSE)+VLOOKUP(DZ$3,'Embedded Emissions'!$A$129:$B$158,2,FALSE)), $C33 = "2",('Inputs-System'!$C$30*'Coincidence Factors'!$B$9*(1+'Inputs-System'!$C$18)*(1+'Inputs-System'!$C$41))*'Inputs-Proposals'!$G$23*'Inputs-Proposals'!$G$25*(1-'Inputs-Proposals'!$G$20^(DZ$3-'Inputs-System'!$C$7))*(VLOOKUP(DZ$3,'Embedded Emissions'!$A$47:$B$78,2,FALSE)+VLOOKUP(DZ$3,'Embedded Emissions'!$A$129:$B$158,2,FALSE)), $C33 = "3", ('Inputs-System'!$C$30*'Coincidence Factors'!$B$9*(1+'Inputs-System'!$C$18)*(1+'Inputs-System'!$C$41))*'Inputs-Proposals'!$G$29*'Inputs-Proposals'!$G$31*(1-'Inputs-Proposals'!$G$20^(DZ$3-'Inputs-System'!$C$7))*(VLOOKUP(DZ$3,'Embedded Emissions'!$A$47:$B$78,2,FALSE)+VLOOKUP(DZ$3,'Embedded Emissions'!$A$129:$B$158,2,FALSE)), $C33 = "0", 0), 0)</f>
        <v>0</v>
      </c>
      <c r="EB33" s="44">
        <f>IFERROR(_xlfn.IFS($C33="1",( 'Inputs-System'!$C$30*'Coincidence Factors'!$B$9*(1+'Inputs-System'!$C$18)*(1+'Inputs-System'!$C$41))*('Inputs-Proposals'!$G$17*'Inputs-Proposals'!$G$19*(1-'Inputs-Proposals'!$G$20)^(DZ$3-'Inputs-System'!$C$7))*(VLOOKUP(DZ$3,DRIPE!$A$54:$I$82,5,FALSE)+VLOOKUP(DZ$3,DRIPE!$A$54:$I$82,9,FALSE))+ ('Inputs-System'!$C$26*'Coincidence Factors'!$B$6*(1+'Inputs-System'!$C$18)*(1+'Inputs-System'!$C$42))*'Inputs-Proposals'!$G$16*VLOOKUP(DZ$3,DRIPE!$A$54:$I$82,8,FALSE), $C33 = "2",( 'Inputs-System'!$C$30*'Coincidence Factors'!$B$9*(1+'Inputs-System'!$C$18)*(1+'Inputs-System'!$C$41))*('Inputs-Proposals'!$G$23*'Inputs-Proposals'!$G$25*(1-'Inputs-Proposals'!$G$26)^(DZ$3-'Inputs-System'!$C$7))*(VLOOKUP(DZ$3,DRIPE!$A$54:$I$82,5,FALSE)+VLOOKUP(DZ$3,DRIPE!$A$54:$I$82,9,FALSE))+ ('Inputs-System'!$C$26*'Coincidence Factors'!$B$6*(1+'Inputs-System'!$C$18)*(1+'Inputs-System'!$C$42))*'Inputs-Proposals'!$G$22*VLOOKUP(DZ$3,DRIPE!$A$54:$I$82,8,FALSE), $C33= "3", ( 'Inputs-System'!$C$30*'Coincidence Factors'!$B$9*(1+'Inputs-System'!$C$18)*(1+'Inputs-System'!$C$41))*('Inputs-Proposals'!$G$29*'Inputs-Proposals'!$G$31*(1-'Inputs-Proposals'!$G$32)^(DZ$3-'Inputs-System'!$C$7))*(VLOOKUP(DZ$3,DRIPE!$A$54:$I$82,5,FALSE)+VLOOKUP(DZ$3,DRIPE!$A$54:$I$82,9,FALSE))+ ('Inputs-System'!$C$26*'Coincidence Factors'!$B$6*(1+'Inputs-System'!$C$18)*(1+'Inputs-System'!$C$42))*'Inputs-Proposals'!$G$28*VLOOKUP(DZ$3,DRIPE!$A$54:$I$82,8,FALSE), $C33 = "0", 0), 0)</f>
        <v>0</v>
      </c>
      <c r="EC33" s="45">
        <f>IFERROR(_xlfn.IFS($C33="1",('Inputs-System'!$C$26*'Coincidence Factors'!$B$9*(1+'Inputs-System'!$C$18)*(1+'Inputs-System'!$C$42))*'Inputs-Proposals'!$D$16*(VLOOKUP(DZ$3,Capacity!$A$53:$E$85,4,FALSE)*(1+'Inputs-System'!$C$42)+VLOOKUP(DZ$3,Capacity!$A$53:$E$85,5,FALSE)*(1+'Inputs-System'!$C$43)*'Inputs-System'!$C$29), $C33 = "2", ('Inputs-System'!$C$26*'Coincidence Factors'!$B$9*(1+'Inputs-System'!$C$18))*'Inputs-Proposals'!$D$22*(VLOOKUP(DZ$3,Capacity!$A$53:$E$85,4,FALSE)*(1+'Inputs-System'!$C$42)+VLOOKUP(DZ$3,Capacity!$A$53:$E$85,5,FALSE)*'Inputs-System'!$C$29*(1+'Inputs-System'!$C$43)), $C33 = "3", ('Inputs-System'!$C$26*'Coincidence Factors'!$B$9*(1+'Inputs-System'!$C$18))*'Inputs-Proposals'!$D$28*(VLOOKUP(DZ$3,Capacity!$A$53:$E$85,4,FALSE)*(1+'Inputs-System'!$C$42)+VLOOKUP(DZ$3,Capacity!$A$53:$E$85,5,FALSE)*'Inputs-System'!$C$29*(1+'Inputs-System'!$C$43)), $C33 = "0", 0), 0)</f>
        <v>0</v>
      </c>
      <c r="ED33" s="44">
        <v>0</v>
      </c>
      <c r="EE33" s="342">
        <f>IFERROR(_xlfn.IFS($C33="1", 'Inputs-System'!$C$30*'Coincidence Factors'!$B$9*'Inputs-Proposals'!$G$17*'Inputs-Proposals'!$G$19*(VLOOKUP(DZ$3,'Non-Embedded Emissions'!$A$56:$D$90,2,FALSE)-VLOOKUP(DZ$3,'Non-Embedded Emissions'!$F$57:$H$88,2,FALSE)+VLOOKUP(DZ$3,'Non-Embedded Emissions'!$A$143:$D$174,2,FALSE)-VLOOKUP(DZ$3,'Non-Embedded Emissions'!$F$143:$H$174,2,FALSE)+VLOOKUP(DZ$3,'Non-Embedded Emissions'!$A$230:$D$259,2,FALSE)), $C33 = "2", 'Inputs-System'!$C$30*'Coincidence Factors'!$B$9*'Inputs-Proposals'!$G$23*'Inputs-Proposals'!$G$25*(VLOOKUP(DZ$3,'Non-Embedded Emissions'!$A$56:$D$90,2,FALSE)-VLOOKUP(DZ$3,'Non-Embedded Emissions'!$F$57:$H$88,2,FALSE)+VLOOKUP(DZ$3,'Non-Embedded Emissions'!$A$143:$D$174,2,FALSE)-VLOOKUP(DZ$3,'Non-Embedded Emissions'!$F$143:$H$174,2,FALSE)+VLOOKUP(DZ$3,'Non-Embedded Emissions'!$A$230:$D$259,2,FALSE)), $C33 = "3", 'Inputs-System'!$C$30*'Coincidence Factors'!$B$9*'Inputs-Proposals'!$G$29*'Inputs-Proposals'!$G$31*(VLOOKUP(DZ$3,'Non-Embedded Emissions'!$A$56:$D$90,2,FALSE)-VLOOKUP(DZ$3,'Non-Embedded Emissions'!$F$57:$H$88,2,FALSE)+VLOOKUP(DZ$3,'Non-Embedded Emissions'!$A$143:$D$174,2,FALSE)-VLOOKUP(DZ$3,'Non-Embedded Emissions'!$F$143:$H$174,2,FALSE)+VLOOKUP(DZ$3,'Non-Embedded Emissions'!$A$230:$D$259,2,FALSE)), $C33 = "0", 0), 0)</f>
        <v>0</v>
      </c>
    </row>
    <row r="34" spans="1:135" x14ac:dyDescent="0.35">
      <c r="A34" s="709"/>
      <c r="B34" s="3" t="str">
        <f>B28</f>
        <v>LNG GenSet</v>
      </c>
      <c r="C34" s="3" t="str">
        <f>IFERROR(_xlfn.IFS('Benefits Calc'!B34='Inputs-Proposals'!$G$15, "1", 'Benefits Calc'!B34='Inputs-Proposals'!$G$21, "2", 'Benefits Calc'!B34='Inputs-Proposals'!$G$27, "3"), "0")</f>
        <v>0</v>
      </c>
      <c r="D34" s="324">
        <f t="shared" si="30"/>
        <v>0</v>
      </c>
      <c r="E34" s="320">
        <f t="shared" si="31"/>
        <v>0</v>
      </c>
      <c r="F34" s="320">
        <f t="shared" si="32"/>
        <v>0</v>
      </c>
      <c r="G34" s="320">
        <f t="shared" si="33"/>
        <v>0</v>
      </c>
      <c r="H34" s="320">
        <f t="shared" si="34"/>
        <v>0</v>
      </c>
      <c r="I34" s="320">
        <f t="shared" si="35"/>
        <v>0</v>
      </c>
      <c r="J34" s="323">
        <f>NPV('Inputs-System'!$C$20,P34+V34+AB34+AH34+AN34+AT34+AZ34+BF34+BL34+BR34+BX34+CD34+CJ34+CP34+CV34+DB34+DH34+DN34+DT34+DZ34)</f>
        <v>0</v>
      </c>
      <c r="K34" s="44">
        <f>NPV('Inputs-System'!$C$20,Q34+W34+AC34+AI34+AO34+AU34+BA34+BG34+BM34+BS34+BY34+CE34+CK34+CQ34+CW34+DC34+DI34+DO34+DU34+EA34)</f>
        <v>0</v>
      </c>
      <c r="L34" s="44">
        <f>NPV('Inputs-System'!$C$20,R34+X34+AD34+AJ34+AP34+AV34+BB34+BH34+BN34+BT34+BZ34+CF34+CL34+CR34+CX34+DD34+DJ34+DP34+DV34+EB34)</f>
        <v>0</v>
      </c>
      <c r="M34" s="44">
        <f>NPV('Inputs-System'!$C$20,S34+Y34+AE34+AK34+AQ34+AW34+BC34+BI34+BO34+BU34+CA34+CG34+CM34+CS34+CY34+DE34+DK34+DQ34+DW34+EC34)</f>
        <v>0</v>
      </c>
      <c r="N34" s="44">
        <f>NPV('Inputs-System'!$C$20,T34+Z34+AF34+AL34+AR34+AX34+BD34+BJ34+BP34+BV34+CB34+CH34+CN34+CT34+CZ34+DF34+DL34+DR34+DX34+ED34)</f>
        <v>0</v>
      </c>
      <c r="O34" s="119">
        <f>NPV('Inputs-System'!$C$20,U34+AA34+AG34+AM34+AS34+AY34+BE34+BK34+BQ34+BW34+CC34+CI34+CO34+CU34+DA34+DG34+DM34+DS34+DY34+EE34)</f>
        <v>0</v>
      </c>
      <c r="P34" s="366">
        <f>IFERROR(_xlfn.IFS($C34="1",('Inputs-System'!$C$30*'Coincidence Factors'!$B$10*(1+'Inputs-System'!$C$18)*(1+'Inputs-System'!$C$41)*('Inputs-Proposals'!$G$17*'Inputs-Proposals'!$G$19*(1-'Inputs-Proposals'!$G$20^(P$3-'Inputs-System'!$C$7+1)))*(VLOOKUP(P$3,Energy!$A$51:$K$83,5,FALSE))), $C34 = "2",('Inputs-System'!$C$30*'Coincidence Factors'!$B$10)*(1+'Inputs-System'!$C$18)*(1+'Inputs-System'!$C$41)*('Inputs-Proposals'!$G$23*'Inputs-Proposals'!$G$25*(1-'Inputs-Proposals'!$G$26^(P$3-'Inputs-System'!$C$7+1)))*(VLOOKUP(P$3,Energy!$A$51:$K$83,5,FALSE)), $C34= "3", ('Inputs-System'!$C$30*'Coincidence Factors'!$B$10*(1+'Inputs-System'!$C$18)*(1+'Inputs-System'!$C$41)*('Inputs-Proposals'!$G$29*'Inputs-Proposals'!$G$31*(1-'Inputs-Proposals'!$G$32^(P$3-'Inputs-System'!$C$7+1)))*(VLOOKUP(P$3,Energy!$A$51:$K$83,5,FALSE))), $C34= "0", 0), 0)</f>
        <v>0</v>
      </c>
      <c r="Q34" s="44">
        <f>IFERROR(_xlfn.IFS($C34="1",('Inputs-System'!$C$30*'Coincidence Factors'!$B$10*(1+'Inputs-System'!$C$18)*(1+'Inputs-System'!$C$41))*'Inputs-Proposals'!$G$17*'Inputs-Proposals'!$G$19*(1-'Inputs-Proposals'!$G$20^(P$3-'Inputs-System'!$C$7+1))*(VLOOKUP(P$3,'Embedded Emissions'!$A$47:$B$78,2,FALSE)+VLOOKUP(P$3,'Embedded Emissions'!$A$129:$B$158,2,FALSE)), $C34 = "2",('Inputs-System'!$C$30*'Coincidence Factors'!$B$10*(1+'Inputs-System'!$C$18)*(1+'Inputs-System'!$C$41))*'Inputs-Proposals'!$G$23*'Inputs-Proposals'!$G$25*(1-'Inputs-Proposals'!$G$20^(P$3-'Inputs-System'!$C$7+1))*(VLOOKUP(P$3,'Embedded Emissions'!$A$47:$B$78,2,FALSE)+VLOOKUP(P$3,'Embedded Emissions'!$A$129:$B$158,2,FALSE)), $C34 = "3", ('Inputs-System'!$C$30*'Coincidence Factors'!$B$10*(1+'Inputs-System'!$C$18)*(1+'Inputs-System'!$C$41))*'Inputs-Proposals'!$G$29*'Inputs-Proposals'!$G$31*(1-'Inputs-Proposals'!$G$20^(P$3-'Inputs-System'!$C$7+1))*(VLOOKUP(P$3,'Embedded Emissions'!$A$47:$B$78,2,FALSE)+VLOOKUP(P$3,'Embedded Emissions'!$A$129:$B$158,2,FALSE)), $C34 = "0", 0), 0)</f>
        <v>0</v>
      </c>
      <c r="R34" s="44">
        <f>IFERROR(_xlfn.IFS($C34="1",( 'Inputs-System'!$C$30*'Coincidence Factors'!$B$10*(1+'Inputs-System'!$C$18)*(1+'Inputs-System'!$C$41))*('Inputs-Proposals'!$G$17*'Inputs-Proposals'!$G$19*(1-'Inputs-Proposals'!$G$20)^(P$3-'Inputs-System'!$C$7))*(VLOOKUP(P$3,DRIPE!$A$54:$I$82,5,FALSE)+VLOOKUP(P$3,DRIPE!$A$54:$I$82,9,FALSE))+ ('Inputs-System'!$C$26*'Coincidence Factors'!$B$6*(1+'Inputs-System'!$C$18)*(1+'Inputs-System'!$C$42))*'Inputs-Proposals'!$G$16*VLOOKUP(P$3,DRIPE!$A$54:$I$82,8,FALSE), $C34 = "2",( 'Inputs-System'!$C$30*'Coincidence Factors'!$B$10*(1+'Inputs-System'!$C$18)*(1+'Inputs-System'!$C$41))*('Inputs-Proposals'!$G$23*'Inputs-Proposals'!$G$25*(1-'Inputs-Proposals'!$G$26)^(P$3-'Inputs-System'!$C$7))*(VLOOKUP(P$3,DRIPE!$A$54:$I$82,5,FALSE)+VLOOKUP(P$3,DRIPE!$A$54:$I$82,9,FALSE))+ ('Inputs-System'!$C$26*'Coincidence Factors'!$B$6*(1+'Inputs-System'!$C$18)*(1+'Inputs-System'!$C$42))*'Inputs-Proposals'!$G$22*VLOOKUP(P$3,DRIPE!$A$54:$I$82,8,FALSE), $C34= "3", ( 'Inputs-System'!$C$30*'Coincidence Factors'!$B$10*(1+'Inputs-System'!$C$18)*(1+'Inputs-System'!$C$41))*('Inputs-Proposals'!$G$29*'Inputs-Proposals'!$G$31*(1-'Inputs-Proposals'!$G$32)^(P$3-'Inputs-System'!$C$7))*(VLOOKUP(P$3,DRIPE!$A$54:$I$82,5,FALSE)+VLOOKUP(P$3,DRIPE!$A$54:$I$82,9,FALSE))+ ('Inputs-System'!$C$26*'Coincidence Factors'!$B$6*(1+'Inputs-System'!$C$18)*(1+'Inputs-System'!$C$42))*'Inputs-Proposals'!$G$28*VLOOKUP(P$3,DRIPE!$A$54:$I$82,8,FALSE), $C34 = "0", 0), 0)</f>
        <v>0</v>
      </c>
      <c r="S34" s="45">
        <f>IFERROR(_xlfn.IFS($C34="1",('Inputs-System'!$C$26*'Coincidence Factors'!$B$10*(1+'Inputs-System'!$C$18)*(1+'Inputs-System'!$C$42))*'Inputs-Proposals'!$D$16*(VLOOKUP(P$3,Capacity!$A$53:$E$85,4,FALSE)*(1+'Inputs-System'!$C$42)+VLOOKUP(P$3,Capacity!$A$53:$E$85,5,FALSE)*(1+'Inputs-System'!$C$43)*'Inputs-System'!$C$29), $C34 = "2", ('Inputs-System'!$C$26*'Coincidence Factors'!$B$10*(1+'Inputs-System'!$C$18))*'Inputs-Proposals'!$D$22*(VLOOKUP(P$3,Capacity!$A$53:$E$85,4,FALSE)*(1+'Inputs-System'!$C$42)+VLOOKUP(P$3,Capacity!$A$53:$E$85,5,FALSE)*'Inputs-System'!$C$29*(1+'Inputs-System'!$C$43)), $C34 = "3", ('Inputs-System'!$C$26*'Coincidence Factors'!$B$10*(1+'Inputs-System'!$C$18))*'Inputs-Proposals'!$D$28*(VLOOKUP(P$3,Capacity!$A$53:$E$85,4,FALSE)*(1+'Inputs-System'!$C$42)+VLOOKUP(P$3,Capacity!$A$53:$E$85,5,FALSE)*'Inputs-System'!$C$29*(1+'Inputs-System'!$C$43)), $C34 = "0", 0), 0)</f>
        <v>0</v>
      </c>
      <c r="T34" s="44">
        <v>0</v>
      </c>
      <c r="U34" s="342">
        <f>IFERROR(_xlfn.IFS($C34="1", 'Inputs-System'!$C$30*'Coincidence Factors'!$B$10*'Inputs-Proposals'!$G$17*'Inputs-Proposals'!$G$19*(VLOOKUP(P$3,'Non-Embedded Emissions'!$A$56:$D$90,2,FALSE)-VLOOKUP(P$3,'Non-Embedded Emissions'!$F$57:$H$88,3,FALSE)+VLOOKUP(P$3,'Non-Embedded Emissions'!$A$143:$D$174,2,FALSE)-VLOOKUP(P$3,'Non-Embedded Emissions'!$F$143:$H$174,3,FALSE)+VLOOKUP(P$3,'Non-Embedded Emissions'!$A$230:$D$259,2,FALSE)), $C34 = "2", 'Inputs-System'!$C$30*'Coincidence Factors'!$B$10*'Inputs-Proposals'!$G$23*'Inputs-Proposals'!$G$25*(VLOOKUP(P$3,'Non-Embedded Emissions'!$A$56:$D$90,2,FALSE)-VLOOKUP(P$3,'Non-Embedded Emissions'!$F$57:$H$88,3,FALSE)+VLOOKUP(P$3,'Non-Embedded Emissions'!$A$143:$D$174,2,FALSE)-VLOOKUP(P$3,'Non-Embedded Emissions'!$F$143:$H$174,3,FALSE)+VLOOKUP(P$3,'Non-Embedded Emissions'!$A$230:$D$259,2,FALSE)), $C34 = "3", 'Inputs-System'!$C$30*'Coincidence Factors'!$B$10*'Inputs-Proposals'!$G$29*'Inputs-Proposals'!$G$31*(VLOOKUP(P$3,'Non-Embedded Emissions'!$A$56:$D$90,2,FALSE)-VLOOKUP(P$3,'Non-Embedded Emissions'!$F$57:$H$88,3,FALSE)+VLOOKUP(P$3,'Non-Embedded Emissions'!$A$143:$D$174,2,FALSE)-VLOOKUP(P$3,'Non-Embedded Emissions'!$F$143:$H$174,3,FALSE)+VLOOKUP(P$3,'Non-Embedded Emissions'!$A$230:$D$259,2,FALSE)), $C34 = "0", 0), 0)</f>
        <v>0</v>
      </c>
      <c r="V34" s="45">
        <f>IFERROR(_xlfn.IFS($C34="1",('Inputs-System'!$C$30*'Coincidence Factors'!$B$10*(1+'Inputs-System'!$C$18)*(1+'Inputs-System'!$C$41)*('Inputs-Proposals'!$G$17*'Inputs-Proposals'!$G$19*(1-'Inputs-Proposals'!$G$20^(V$3-'Inputs-System'!$C$7)))*(VLOOKUP(V$3,Energy!$A$51:$K$83,5,FALSE))), $C34 = "2",('Inputs-System'!$C$30*'Coincidence Factors'!$B$10)*(1+'Inputs-System'!$C$18)*(1+'Inputs-System'!$C$41)*('Inputs-Proposals'!$G$23*'Inputs-Proposals'!$G$25*(1-'Inputs-Proposals'!$G$26^(V$3-'Inputs-System'!$C$7)))*(VLOOKUP(V$3,Energy!$A$51:$K$83,5,FALSE)), $C34= "3", ('Inputs-System'!$C$30*'Coincidence Factors'!$B$10*(1+'Inputs-System'!$C$18)*(1+'Inputs-System'!$C$41)*('Inputs-Proposals'!$G$29*'Inputs-Proposals'!$G$31*(1-'Inputs-Proposals'!$G$32^(V$3-'Inputs-System'!$C$7)))*(VLOOKUP(V$3,Energy!$A$51:$K$83,5,FALSE))), $C34= "0", 0), 0)</f>
        <v>0</v>
      </c>
      <c r="W34" s="44">
        <f>IFERROR(_xlfn.IFS($C34="1",('Inputs-System'!$C$30*'Coincidence Factors'!$B$10*(1+'Inputs-System'!$C$18)*(1+'Inputs-System'!$C$41))*'Inputs-Proposals'!$G$17*'Inputs-Proposals'!$G$19*(1-'Inputs-Proposals'!$G$20^(V$3-'Inputs-System'!$C$7))*(VLOOKUP(V$3,'Embedded Emissions'!$A$47:$B$78,2,FALSE)+VLOOKUP(V$3,'Embedded Emissions'!$A$129:$B$158,2,FALSE)), $C34 = "2",('Inputs-System'!$C$30*'Coincidence Factors'!$B$10*(1+'Inputs-System'!$C$18)*(1+'Inputs-System'!$C$41))*'Inputs-Proposals'!$G$23*'Inputs-Proposals'!$G$25*(1-'Inputs-Proposals'!$G$20^(V$3-'Inputs-System'!$C$7))*(VLOOKUP(V$3,'Embedded Emissions'!$A$47:$B$78,2,FALSE)+VLOOKUP(V$3,'Embedded Emissions'!$A$129:$B$158,2,FALSE)), $C34 = "3", ('Inputs-System'!$C$30*'Coincidence Factors'!$B$10*(1+'Inputs-System'!$C$18)*(1+'Inputs-System'!$C$41))*'Inputs-Proposals'!$G$29*'Inputs-Proposals'!$G$31*(1-'Inputs-Proposals'!$G$20^(V$3-'Inputs-System'!$C$7))*(VLOOKUP(V$3,'Embedded Emissions'!$A$47:$B$78,2,FALSE)+VLOOKUP(V$3,'Embedded Emissions'!$A$129:$B$158,2,FALSE)), $C34 = "0", 0), 0)</f>
        <v>0</v>
      </c>
      <c r="X34" s="44">
        <f>IFERROR(_xlfn.IFS($C34="1",( 'Inputs-System'!$C$30*'Coincidence Factors'!$B$10*(1+'Inputs-System'!$C$18)*(1+'Inputs-System'!$C$41))*('Inputs-Proposals'!$G$17*'Inputs-Proposals'!$G$19*(1-'Inputs-Proposals'!$G$20)^(V$3-'Inputs-System'!$C$7))*(VLOOKUP(V$3,DRIPE!$A$54:$I$82,5,FALSE)+VLOOKUP(V$3,DRIPE!$A$54:$I$82,9,FALSE))+ ('Inputs-System'!$C$26*'Coincidence Factors'!$B$6*(1+'Inputs-System'!$C$18)*(1+'Inputs-System'!$C$42))*'Inputs-Proposals'!$G$16*VLOOKUP(V$3,DRIPE!$A$54:$I$82,8,FALSE), $C34 = "2",( 'Inputs-System'!$C$30*'Coincidence Factors'!$B$10*(1+'Inputs-System'!$C$18)*(1+'Inputs-System'!$C$41))*('Inputs-Proposals'!$G$23*'Inputs-Proposals'!$G$25*(1-'Inputs-Proposals'!$G$26)^(V$3-'Inputs-System'!$C$7))*(VLOOKUP(V$3,DRIPE!$A$54:$I$82,5,FALSE)+VLOOKUP(V$3,DRIPE!$A$54:$I$82,9,FALSE))+ ('Inputs-System'!$C$26*'Coincidence Factors'!$B$6*(1+'Inputs-System'!$C$18)*(1+'Inputs-System'!$C$42))*'Inputs-Proposals'!$G$22*VLOOKUP(V$3,DRIPE!$A$54:$I$82,8,FALSE), $C34= "3", ( 'Inputs-System'!$C$30*'Coincidence Factors'!$B$10*(1+'Inputs-System'!$C$18)*(1+'Inputs-System'!$C$41))*('Inputs-Proposals'!$G$29*'Inputs-Proposals'!$G$31*(1-'Inputs-Proposals'!$G$32)^(V$3-'Inputs-System'!$C$7))*(VLOOKUP(V$3,DRIPE!$A$54:$I$82,5,FALSE)+VLOOKUP(V$3,DRIPE!$A$54:$I$82,9,FALSE))+ ('Inputs-System'!$C$26*'Coincidence Factors'!$B$6*(1+'Inputs-System'!$C$18)*(1+'Inputs-System'!$C$42))*'Inputs-Proposals'!$G$28*VLOOKUP(V$3,DRIPE!$A$54:$I$82,8,FALSE), $C34 = "0", 0), 0)</f>
        <v>0</v>
      </c>
      <c r="Y34" s="45">
        <f>IFERROR(_xlfn.IFS($C34="1",('Inputs-System'!$C$26*'Coincidence Factors'!$B$10*(1+'Inputs-System'!$C$18)*(1+'Inputs-System'!$C$42))*'Inputs-Proposals'!$D$16*(VLOOKUP(V$3,Capacity!$A$53:$E$85,4,FALSE)*(1+'Inputs-System'!$C$42)+VLOOKUP(V$3,Capacity!$A$53:$E$85,5,FALSE)*(1+'Inputs-System'!$C$43)*'Inputs-System'!$C$29), $C34 = "2", ('Inputs-System'!$C$26*'Coincidence Factors'!$B$10*(1+'Inputs-System'!$C$18))*'Inputs-Proposals'!$D$22*(VLOOKUP(V$3,Capacity!$A$53:$E$85,4,FALSE)*(1+'Inputs-System'!$C$42)+VLOOKUP(V$3,Capacity!$A$53:$E$85,5,FALSE)*'Inputs-System'!$C$29*(1+'Inputs-System'!$C$43)), $C34 = "3", ('Inputs-System'!$C$26*'Coincidence Factors'!$B$10*(1+'Inputs-System'!$C$18))*'Inputs-Proposals'!$D$28*(VLOOKUP(V$3,Capacity!$A$53:$E$85,4,FALSE)*(1+'Inputs-System'!$C$42)+VLOOKUP(V$3,Capacity!$A$53:$E$85,5,FALSE)*'Inputs-System'!$C$29*(1+'Inputs-System'!$C$43)), $C34 = "0", 0), 0)</f>
        <v>0</v>
      </c>
      <c r="Z34" s="44">
        <v>0</v>
      </c>
      <c r="AA34" s="342">
        <f>IFERROR(_xlfn.IFS($C34="1", 'Inputs-System'!$C$30*'Coincidence Factors'!$B$10*'Inputs-Proposals'!$G$17*'Inputs-Proposals'!$G$19*(VLOOKUP(V$3,'Non-Embedded Emissions'!$A$56:$D$90,2,FALSE)-VLOOKUP(V$3,'Non-Embedded Emissions'!$F$57:$H$88,3,FALSE)+VLOOKUP(V$3,'Non-Embedded Emissions'!$A$143:$D$174,2,FALSE)-VLOOKUP(V$3,'Non-Embedded Emissions'!$F$143:$H$174,3,FALSE)+VLOOKUP(V$3,'Non-Embedded Emissions'!$A$230:$D$259,2,FALSE)), $C34 = "2", 'Inputs-System'!$C$30*'Coincidence Factors'!$B$10*'Inputs-Proposals'!$G$23*'Inputs-Proposals'!$G$25*(VLOOKUP(V$3,'Non-Embedded Emissions'!$A$56:$D$90,2,FALSE)-VLOOKUP(V$3,'Non-Embedded Emissions'!$F$57:$H$88,3,FALSE)+VLOOKUP(V$3,'Non-Embedded Emissions'!$A$143:$D$174,2,FALSE)-VLOOKUP(V$3,'Non-Embedded Emissions'!$F$143:$H$174,3,FALSE)+VLOOKUP(V$3,'Non-Embedded Emissions'!$A$230:$D$259,2,FALSE)), $C34 = "3", 'Inputs-System'!$C$30*'Coincidence Factors'!$B$10*'Inputs-Proposals'!$G$29*'Inputs-Proposals'!$G$31*(VLOOKUP(V$3,'Non-Embedded Emissions'!$A$56:$D$90,2,FALSE)-VLOOKUP(V$3,'Non-Embedded Emissions'!$F$57:$H$88,3,FALSE)+VLOOKUP(V$3,'Non-Embedded Emissions'!$A$143:$D$174,2,FALSE)-VLOOKUP(V$3,'Non-Embedded Emissions'!$F$143:$H$174,3,FALSE)+VLOOKUP(V$3,'Non-Embedded Emissions'!$A$230:$D$259,2,FALSE)), $C34 = "0", 0), 0)</f>
        <v>0</v>
      </c>
      <c r="AB34" s="45">
        <f>IFERROR(_xlfn.IFS($C34="1",('Inputs-System'!$C$30*'Coincidence Factors'!$B$10*(1+'Inputs-System'!$C$18)*(1+'Inputs-System'!$C$41)*('Inputs-Proposals'!$G$17*'Inputs-Proposals'!$G$19*(1-'Inputs-Proposals'!$G$20^(AB$3-'Inputs-System'!$C$7)))*(VLOOKUP(AB$3,Energy!$A$51:$K$83,5,FALSE))), $C34 = "2",('Inputs-System'!$C$30*'Coincidence Factors'!$B$10)*(1+'Inputs-System'!$C$18)*(1+'Inputs-System'!$C$41)*('Inputs-Proposals'!$G$23*'Inputs-Proposals'!$G$25*(1-'Inputs-Proposals'!$G$26^(AB$3-'Inputs-System'!$C$7)))*(VLOOKUP(AB$3,Energy!$A$51:$K$83,5,FALSE)), $C34= "3", ('Inputs-System'!$C$30*'Coincidence Factors'!$B$10*(1+'Inputs-System'!$C$18)*(1+'Inputs-System'!$C$41)*('Inputs-Proposals'!$G$29*'Inputs-Proposals'!$G$31*(1-'Inputs-Proposals'!$G$32^(AB$3-'Inputs-System'!$C$7)))*(VLOOKUP(AB$3,Energy!$A$51:$K$83,5,FALSE))), $C34= "0", 0), 0)</f>
        <v>0</v>
      </c>
      <c r="AC34" s="44">
        <f>IFERROR(_xlfn.IFS($C34="1",('Inputs-System'!$C$30*'Coincidence Factors'!$B$10*(1+'Inputs-System'!$C$18)*(1+'Inputs-System'!$C$41))*'Inputs-Proposals'!$G$17*'Inputs-Proposals'!$G$19*(1-'Inputs-Proposals'!$G$20^(AB$3-'Inputs-System'!$C$7))*(VLOOKUP(AB$3,'Embedded Emissions'!$A$47:$B$78,2,FALSE)+VLOOKUP(AB$3,'Embedded Emissions'!$A$129:$B$158,2,FALSE)), $C34 = "2",('Inputs-System'!$C$30*'Coincidence Factors'!$B$10*(1+'Inputs-System'!$C$18)*(1+'Inputs-System'!$C$41))*'Inputs-Proposals'!$G$23*'Inputs-Proposals'!$G$25*(1-'Inputs-Proposals'!$G$20^(AB$3-'Inputs-System'!$C$7))*(VLOOKUP(AB$3,'Embedded Emissions'!$A$47:$B$78,2,FALSE)+VLOOKUP(AB$3,'Embedded Emissions'!$A$129:$B$158,2,FALSE)), $C34 = "3", ('Inputs-System'!$C$30*'Coincidence Factors'!$B$10*(1+'Inputs-System'!$C$18)*(1+'Inputs-System'!$C$41))*'Inputs-Proposals'!$G$29*'Inputs-Proposals'!$G$31*(1-'Inputs-Proposals'!$G$20^(AB$3-'Inputs-System'!$C$7))*(VLOOKUP(AB$3,'Embedded Emissions'!$A$47:$B$78,2,FALSE)+VLOOKUP(AB$3,'Embedded Emissions'!$A$129:$B$158,2,FALSE)), $C34 = "0", 0), 0)</f>
        <v>0</v>
      </c>
      <c r="AD34" s="44">
        <f>IFERROR(_xlfn.IFS($C34="1",( 'Inputs-System'!$C$30*'Coincidence Factors'!$B$10*(1+'Inputs-System'!$C$18)*(1+'Inputs-System'!$C$41))*('Inputs-Proposals'!$G$17*'Inputs-Proposals'!$G$19*(1-'Inputs-Proposals'!$G$20)^(AB$3-'Inputs-System'!$C$7))*(VLOOKUP(AB$3,DRIPE!$A$54:$I$82,5,FALSE)+VLOOKUP(AB$3,DRIPE!$A$54:$I$82,9,FALSE))+ ('Inputs-System'!$C$26*'Coincidence Factors'!$B$6*(1+'Inputs-System'!$C$18)*(1+'Inputs-System'!$C$42))*'Inputs-Proposals'!$G$16*VLOOKUP(AB$3,DRIPE!$A$54:$I$82,8,FALSE), $C34 = "2",( 'Inputs-System'!$C$30*'Coincidence Factors'!$B$10*(1+'Inputs-System'!$C$18)*(1+'Inputs-System'!$C$41))*('Inputs-Proposals'!$G$23*'Inputs-Proposals'!$G$25*(1-'Inputs-Proposals'!$G$26)^(AB$3-'Inputs-System'!$C$7))*(VLOOKUP(AB$3,DRIPE!$A$54:$I$82,5,FALSE)+VLOOKUP(AB$3,DRIPE!$A$54:$I$82,9,FALSE))+ ('Inputs-System'!$C$26*'Coincidence Factors'!$B$6*(1+'Inputs-System'!$C$18)*(1+'Inputs-System'!$C$42))*'Inputs-Proposals'!$G$22*VLOOKUP(AB$3,DRIPE!$A$54:$I$82,8,FALSE), $C34= "3", ( 'Inputs-System'!$C$30*'Coincidence Factors'!$B$10*(1+'Inputs-System'!$C$18)*(1+'Inputs-System'!$C$41))*('Inputs-Proposals'!$G$29*'Inputs-Proposals'!$G$31*(1-'Inputs-Proposals'!$G$32)^(AB$3-'Inputs-System'!$C$7))*(VLOOKUP(AB$3,DRIPE!$A$54:$I$82,5,FALSE)+VLOOKUP(AB$3,DRIPE!$A$54:$I$82,9,FALSE))+ ('Inputs-System'!$C$26*'Coincidence Factors'!$B$6*(1+'Inputs-System'!$C$18)*(1+'Inputs-System'!$C$42))*'Inputs-Proposals'!$G$28*VLOOKUP(AB$3,DRIPE!$A$54:$I$82,8,FALSE), $C34 = "0", 0), 0)</f>
        <v>0</v>
      </c>
      <c r="AE34" s="45">
        <f>IFERROR(_xlfn.IFS($C34="1",('Inputs-System'!$C$26*'Coincidence Factors'!$B$10*(1+'Inputs-System'!$C$18)*(1+'Inputs-System'!$C$42))*'Inputs-Proposals'!$D$16*(VLOOKUP(AB$3,Capacity!$A$53:$E$85,4,FALSE)*(1+'Inputs-System'!$C$42)+VLOOKUP(AB$3,Capacity!$A$53:$E$85,5,FALSE)*(1+'Inputs-System'!$C$43)*'Inputs-System'!$C$29), $C34 = "2", ('Inputs-System'!$C$26*'Coincidence Factors'!$B$10*(1+'Inputs-System'!$C$18))*'Inputs-Proposals'!$D$22*(VLOOKUP(AB$3,Capacity!$A$53:$E$85,4,FALSE)*(1+'Inputs-System'!$C$42)+VLOOKUP(AB$3,Capacity!$A$53:$E$85,5,FALSE)*'Inputs-System'!$C$29*(1+'Inputs-System'!$C$43)), $C34 = "3", ('Inputs-System'!$C$26*'Coincidence Factors'!$B$10*(1+'Inputs-System'!$C$18))*'Inputs-Proposals'!$D$28*(VLOOKUP(AB$3,Capacity!$A$53:$E$85,4,FALSE)*(1+'Inputs-System'!$C$42)+VLOOKUP(AB$3,Capacity!$A$53:$E$85,5,FALSE)*'Inputs-System'!$C$29*(1+'Inputs-System'!$C$43)), $C34 = "0", 0), 0)</f>
        <v>0</v>
      </c>
      <c r="AF34" s="44">
        <v>0</v>
      </c>
      <c r="AG34" s="342">
        <f>IFERROR(_xlfn.IFS($C34="1", 'Inputs-System'!$C$30*'Coincidence Factors'!$B$10*'Inputs-Proposals'!$G$17*'Inputs-Proposals'!$G$19*(VLOOKUP(AB$3,'Non-Embedded Emissions'!$A$56:$D$90,2,FALSE)-VLOOKUP(AB$3,'Non-Embedded Emissions'!$F$57:$H$88,3,FALSE)+VLOOKUP(AB$3,'Non-Embedded Emissions'!$A$143:$D$174,2,FALSE)-VLOOKUP(AB$3,'Non-Embedded Emissions'!$F$143:$H$174,3,FALSE)+VLOOKUP(AB$3,'Non-Embedded Emissions'!$A$230:$D$259,2,FALSE)), $C34 = "2", 'Inputs-System'!$C$30*'Coincidence Factors'!$B$10*'Inputs-Proposals'!$G$23*'Inputs-Proposals'!$G$25*(VLOOKUP(AB$3,'Non-Embedded Emissions'!$A$56:$D$90,2,FALSE)-VLOOKUP(AB$3,'Non-Embedded Emissions'!$F$57:$H$88,3,FALSE)+VLOOKUP(AB$3,'Non-Embedded Emissions'!$A$143:$D$174,2,FALSE)-VLOOKUP(AB$3,'Non-Embedded Emissions'!$F$143:$H$174,3,FALSE)+VLOOKUP(AB$3,'Non-Embedded Emissions'!$A$230:$D$259,2,FALSE)), $C34 = "3", 'Inputs-System'!$C$30*'Coincidence Factors'!$B$10*'Inputs-Proposals'!$G$29*'Inputs-Proposals'!$G$31*(VLOOKUP(AB$3,'Non-Embedded Emissions'!$A$56:$D$90,2,FALSE)-VLOOKUP(AB$3,'Non-Embedded Emissions'!$F$57:$H$88,3,FALSE)+VLOOKUP(AB$3,'Non-Embedded Emissions'!$A$143:$D$174,2,FALSE)-VLOOKUP(AB$3,'Non-Embedded Emissions'!$F$143:$H$174,3,FALSE)+VLOOKUP(AB$3,'Non-Embedded Emissions'!$A$230:$D$259,2,FALSE)), $C34 = "0", 0), 0)</f>
        <v>0</v>
      </c>
      <c r="AH34" s="45">
        <f>IFERROR(_xlfn.IFS($C34="1",('Inputs-System'!$C$30*'Coincidence Factors'!$B$10*(1+'Inputs-System'!$C$18)*(1+'Inputs-System'!$C$41)*('Inputs-Proposals'!$G$17*'Inputs-Proposals'!$G$19*(1-'Inputs-Proposals'!$G$20^(AH$3-'Inputs-System'!$C$7)))*(VLOOKUP(AH$3,Energy!$A$51:$K$83,5,FALSE))), $C34 = "2",('Inputs-System'!$C$30*'Coincidence Factors'!$B$10)*(1+'Inputs-System'!$C$18)*(1+'Inputs-System'!$C$41)*('Inputs-Proposals'!$G$23*'Inputs-Proposals'!$G$25*(1-'Inputs-Proposals'!$G$26^(AH$3-'Inputs-System'!$C$7)))*(VLOOKUP(AH$3,Energy!$A$51:$K$83,5,FALSE)), $C34= "3", ('Inputs-System'!$C$30*'Coincidence Factors'!$B$10*(1+'Inputs-System'!$C$18)*(1+'Inputs-System'!$C$41)*('Inputs-Proposals'!$G$29*'Inputs-Proposals'!$G$31*(1-'Inputs-Proposals'!$G$32^(AH$3-'Inputs-System'!$C$7)))*(VLOOKUP(AH$3,Energy!$A$51:$K$83,5,FALSE))), $C34= "0", 0), 0)</f>
        <v>0</v>
      </c>
      <c r="AI34" s="44">
        <f>IFERROR(_xlfn.IFS($C34="1",('Inputs-System'!$C$30*'Coincidence Factors'!$B$10*(1+'Inputs-System'!$C$18)*(1+'Inputs-System'!$C$41))*'Inputs-Proposals'!$G$17*'Inputs-Proposals'!$G$19*(1-'Inputs-Proposals'!$G$20^(AH$3-'Inputs-System'!$C$7))*(VLOOKUP(AH$3,'Embedded Emissions'!$A$47:$B$78,2,FALSE)+VLOOKUP(AH$3,'Embedded Emissions'!$A$129:$B$158,2,FALSE)), $C34 = "2",('Inputs-System'!$C$30*'Coincidence Factors'!$B$10*(1+'Inputs-System'!$C$18)*(1+'Inputs-System'!$C$41))*'Inputs-Proposals'!$G$23*'Inputs-Proposals'!$G$25*(1-'Inputs-Proposals'!$G$20^(AH$3-'Inputs-System'!$C$7))*(VLOOKUP(AH$3,'Embedded Emissions'!$A$47:$B$78,2,FALSE)+VLOOKUP(AH$3,'Embedded Emissions'!$A$129:$B$158,2,FALSE)), $C34 = "3", ('Inputs-System'!$C$30*'Coincidence Factors'!$B$10*(1+'Inputs-System'!$C$18)*(1+'Inputs-System'!$C$41))*'Inputs-Proposals'!$G$29*'Inputs-Proposals'!$G$31*(1-'Inputs-Proposals'!$G$20^(AH$3-'Inputs-System'!$C$7))*(VLOOKUP(AH$3,'Embedded Emissions'!$A$47:$B$78,2,FALSE)+VLOOKUP(AH$3,'Embedded Emissions'!$A$129:$B$158,2,FALSE)), $C34 = "0", 0), 0)</f>
        <v>0</v>
      </c>
      <c r="AJ34" s="44">
        <f>IFERROR(_xlfn.IFS($C34="1",( 'Inputs-System'!$C$30*'Coincidence Factors'!$B$10*(1+'Inputs-System'!$C$18)*(1+'Inputs-System'!$C$41))*('Inputs-Proposals'!$G$17*'Inputs-Proposals'!$G$19*(1-'Inputs-Proposals'!$G$20)^(AH$3-'Inputs-System'!$C$7))*(VLOOKUP(AH$3,DRIPE!$A$54:$I$82,5,FALSE)+VLOOKUP(AH$3,DRIPE!$A$54:$I$82,9,FALSE))+ ('Inputs-System'!$C$26*'Coincidence Factors'!$B$6*(1+'Inputs-System'!$C$18)*(1+'Inputs-System'!$C$42))*'Inputs-Proposals'!$G$16*VLOOKUP(AH$3,DRIPE!$A$54:$I$82,8,FALSE), $C34 = "2",( 'Inputs-System'!$C$30*'Coincidence Factors'!$B$10*(1+'Inputs-System'!$C$18)*(1+'Inputs-System'!$C$41))*('Inputs-Proposals'!$G$23*'Inputs-Proposals'!$G$25*(1-'Inputs-Proposals'!$G$26)^(AH$3-'Inputs-System'!$C$7))*(VLOOKUP(AH$3,DRIPE!$A$54:$I$82,5,FALSE)+VLOOKUP(AH$3,DRIPE!$A$54:$I$82,9,FALSE))+ ('Inputs-System'!$C$26*'Coincidence Factors'!$B$6*(1+'Inputs-System'!$C$18)*(1+'Inputs-System'!$C$42))*'Inputs-Proposals'!$G$22*VLOOKUP(AH$3,DRIPE!$A$54:$I$82,8,FALSE), $C34= "3", ( 'Inputs-System'!$C$30*'Coincidence Factors'!$B$10*(1+'Inputs-System'!$C$18)*(1+'Inputs-System'!$C$41))*('Inputs-Proposals'!$G$29*'Inputs-Proposals'!$G$31*(1-'Inputs-Proposals'!$G$32)^(AH$3-'Inputs-System'!$C$7))*(VLOOKUP(AH$3,DRIPE!$A$54:$I$82,5,FALSE)+VLOOKUP(AH$3,DRIPE!$A$54:$I$82,9,FALSE))+ ('Inputs-System'!$C$26*'Coincidence Factors'!$B$6*(1+'Inputs-System'!$C$18)*(1+'Inputs-System'!$C$42))*'Inputs-Proposals'!$G$28*VLOOKUP(AH$3,DRIPE!$A$54:$I$82,8,FALSE), $C34 = "0", 0), 0)</f>
        <v>0</v>
      </c>
      <c r="AK34" s="45">
        <f>IFERROR(_xlfn.IFS($C34="1",('Inputs-System'!$C$26*'Coincidence Factors'!$B$10*(1+'Inputs-System'!$C$18)*(1+'Inputs-System'!$C$42))*'Inputs-Proposals'!$D$16*(VLOOKUP(AH$3,Capacity!$A$53:$E$85,4,FALSE)*(1+'Inputs-System'!$C$42)+VLOOKUP(AH$3,Capacity!$A$53:$E$85,5,FALSE)*(1+'Inputs-System'!$C$43)*'Inputs-System'!$C$29), $C34 = "2", ('Inputs-System'!$C$26*'Coincidence Factors'!$B$10*(1+'Inputs-System'!$C$18))*'Inputs-Proposals'!$D$22*(VLOOKUP(AH$3,Capacity!$A$53:$E$85,4,FALSE)*(1+'Inputs-System'!$C$42)+VLOOKUP(AH$3,Capacity!$A$53:$E$85,5,FALSE)*'Inputs-System'!$C$29*(1+'Inputs-System'!$C$43)), $C34 = "3", ('Inputs-System'!$C$26*'Coincidence Factors'!$B$10*(1+'Inputs-System'!$C$18))*'Inputs-Proposals'!$D$28*(VLOOKUP(AH$3,Capacity!$A$53:$E$85,4,FALSE)*(1+'Inputs-System'!$C$42)+VLOOKUP(AH$3,Capacity!$A$53:$E$85,5,FALSE)*'Inputs-System'!$C$29*(1+'Inputs-System'!$C$43)), $C34 = "0", 0), 0)</f>
        <v>0</v>
      </c>
      <c r="AL34" s="44">
        <v>0</v>
      </c>
      <c r="AM34" s="342">
        <f>IFERROR(_xlfn.IFS($C34="1", 'Inputs-System'!$C$30*'Coincidence Factors'!$B$10*'Inputs-Proposals'!$G$17*'Inputs-Proposals'!$G$19*(VLOOKUP(AH$3,'Non-Embedded Emissions'!$A$56:$D$90,2,FALSE)-VLOOKUP(AH$3,'Non-Embedded Emissions'!$F$57:$H$88,3,FALSE)+VLOOKUP(AH$3,'Non-Embedded Emissions'!$A$143:$D$174,2,FALSE)-VLOOKUP(AH$3,'Non-Embedded Emissions'!$F$143:$H$174,3,FALSE)+VLOOKUP(AH$3,'Non-Embedded Emissions'!$A$230:$D$259,2,FALSE)), $C34 = "2", 'Inputs-System'!$C$30*'Coincidence Factors'!$B$10*'Inputs-Proposals'!$G$23*'Inputs-Proposals'!$G$25*(VLOOKUP(AH$3,'Non-Embedded Emissions'!$A$56:$D$90,2,FALSE)-VLOOKUP(AH$3,'Non-Embedded Emissions'!$F$57:$H$88,3,FALSE)+VLOOKUP(AH$3,'Non-Embedded Emissions'!$A$143:$D$174,2,FALSE)-VLOOKUP(AH$3,'Non-Embedded Emissions'!$F$143:$H$174,3,FALSE)+VLOOKUP(AH$3,'Non-Embedded Emissions'!$A$230:$D$259,2,FALSE)), $C34 = "3", 'Inputs-System'!$C$30*'Coincidence Factors'!$B$10*'Inputs-Proposals'!$G$29*'Inputs-Proposals'!$G$31*(VLOOKUP(AH$3,'Non-Embedded Emissions'!$A$56:$D$90,2,FALSE)-VLOOKUP(AH$3,'Non-Embedded Emissions'!$F$57:$H$88,3,FALSE)+VLOOKUP(AH$3,'Non-Embedded Emissions'!$A$143:$D$174,2,FALSE)-VLOOKUP(AH$3,'Non-Embedded Emissions'!$F$143:$H$174,3,FALSE)+VLOOKUP(AH$3,'Non-Embedded Emissions'!$A$230:$D$259,2,FALSE)), $C34 = "0", 0), 0)</f>
        <v>0</v>
      </c>
      <c r="AN34" s="45">
        <f>IFERROR(_xlfn.IFS($C34="1",('Inputs-System'!$C$30*'Coincidence Factors'!$B$10*(1+'Inputs-System'!$C$18)*(1+'Inputs-System'!$C$41)*('Inputs-Proposals'!$G$17*'Inputs-Proposals'!$G$19*(1-'Inputs-Proposals'!$G$20^(AN$3-'Inputs-System'!$C$7)))*(VLOOKUP(AN$3,Energy!$A$51:$K$83,5,FALSE))), $C34 = "2",('Inputs-System'!$C$30*'Coincidence Factors'!$B$10)*(1+'Inputs-System'!$C$18)*(1+'Inputs-System'!$C$41)*('Inputs-Proposals'!$G$23*'Inputs-Proposals'!$G$25*(1-'Inputs-Proposals'!$G$26^(AN$3-'Inputs-System'!$C$7)))*(VLOOKUP(AN$3,Energy!$A$51:$K$83,5,FALSE)), $C34= "3", ('Inputs-System'!$C$30*'Coincidence Factors'!$B$10*(1+'Inputs-System'!$C$18)*(1+'Inputs-System'!$C$41)*('Inputs-Proposals'!$G$29*'Inputs-Proposals'!$G$31*(1-'Inputs-Proposals'!$G$32^(AN$3-'Inputs-System'!$C$7)))*(VLOOKUP(AN$3,Energy!$A$51:$K$83,5,FALSE))), $C34= "0", 0), 0)</f>
        <v>0</v>
      </c>
      <c r="AO34" s="44">
        <f>IFERROR(_xlfn.IFS($C34="1",('Inputs-System'!$C$30*'Coincidence Factors'!$B$10*(1+'Inputs-System'!$C$18)*(1+'Inputs-System'!$C$41))*'Inputs-Proposals'!$G$17*'Inputs-Proposals'!$G$19*(1-'Inputs-Proposals'!$G$20^(AN$3-'Inputs-System'!$C$7))*(VLOOKUP(AN$3,'Embedded Emissions'!$A$47:$B$78,2,FALSE)+VLOOKUP(AN$3,'Embedded Emissions'!$A$129:$B$158,2,FALSE)), $C34 = "2",('Inputs-System'!$C$30*'Coincidence Factors'!$B$10*(1+'Inputs-System'!$C$18)*(1+'Inputs-System'!$C$41))*'Inputs-Proposals'!$G$23*'Inputs-Proposals'!$G$25*(1-'Inputs-Proposals'!$G$20^(AN$3-'Inputs-System'!$C$7))*(VLOOKUP(AN$3,'Embedded Emissions'!$A$47:$B$78,2,FALSE)+VLOOKUP(AN$3,'Embedded Emissions'!$A$129:$B$158,2,FALSE)), $C34 = "3", ('Inputs-System'!$C$30*'Coincidence Factors'!$B$10*(1+'Inputs-System'!$C$18)*(1+'Inputs-System'!$C$41))*'Inputs-Proposals'!$G$29*'Inputs-Proposals'!$G$31*(1-'Inputs-Proposals'!$G$20^(AN$3-'Inputs-System'!$C$7))*(VLOOKUP(AN$3,'Embedded Emissions'!$A$47:$B$78,2,FALSE)+VLOOKUP(AN$3,'Embedded Emissions'!$A$129:$B$158,2,FALSE)), $C34 = "0", 0), 0)</f>
        <v>0</v>
      </c>
      <c r="AP34" s="44">
        <f>IFERROR(_xlfn.IFS($C34="1",( 'Inputs-System'!$C$30*'Coincidence Factors'!$B$10*(1+'Inputs-System'!$C$18)*(1+'Inputs-System'!$C$41))*('Inputs-Proposals'!$G$17*'Inputs-Proposals'!$G$19*(1-'Inputs-Proposals'!$G$20)^(AN$3-'Inputs-System'!$C$7))*(VLOOKUP(AN$3,DRIPE!$A$54:$I$82,5,FALSE)+VLOOKUP(AN$3,DRIPE!$A$54:$I$82,9,FALSE))+ ('Inputs-System'!$C$26*'Coincidence Factors'!$B$6*(1+'Inputs-System'!$C$18)*(1+'Inputs-System'!$C$42))*'Inputs-Proposals'!$G$16*VLOOKUP(AN$3,DRIPE!$A$54:$I$82,8,FALSE), $C34 = "2",( 'Inputs-System'!$C$30*'Coincidence Factors'!$B$10*(1+'Inputs-System'!$C$18)*(1+'Inputs-System'!$C$41))*('Inputs-Proposals'!$G$23*'Inputs-Proposals'!$G$25*(1-'Inputs-Proposals'!$G$26)^(AN$3-'Inputs-System'!$C$7))*(VLOOKUP(AN$3,DRIPE!$A$54:$I$82,5,FALSE)+VLOOKUP(AN$3,DRIPE!$A$54:$I$82,9,FALSE))+ ('Inputs-System'!$C$26*'Coincidence Factors'!$B$6*(1+'Inputs-System'!$C$18)*(1+'Inputs-System'!$C$42))*'Inputs-Proposals'!$G$22*VLOOKUP(AN$3,DRIPE!$A$54:$I$82,8,FALSE), $C34= "3", ( 'Inputs-System'!$C$30*'Coincidence Factors'!$B$10*(1+'Inputs-System'!$C$18)*(1+'Inputs-System'!$C$41))*('Inputs-Proposals'!$G$29*'Inputs-Proposals'!$G$31*(1-'Inputs-Proposals'!$G$32)^(AN$3-'Inputs-System'!$C$7))*(VLOOKUP(AN$3,DRIPE!$A$54:$I$82,5,FALSE)+VLOOKUP(AN$3,DRIPE!$A$54:$I$82,9,FALSE))+ ('Inputs-System'!$C$26*'Coincidence Factors'!$B$6*(1+'Inputs-System'!$C$18)*(1+'Inputs-System'!$C$42))*'Inputs-Proposals'!$G$28*VLOOKUP(AN$3,DRIPE!$A$54:$I$82,8,FALSE), $C34 = "0", 0), 0)</f>
        <v>0</v>
      </c>
      <c r="AQ34" s="45">
        <f>IFERROR(_xlfn.IFS($C34="1",('Inputs-System'!$C$26*'Coincidence Factors'!$B$10*(1+'Inputs-System'!$C$18)*(1+'Inputs-System'!$C$42))*'Inputs-Proposals'!$D$16*(VLOOKUP(AN$3,Capacity!$A$53:$E$85,4,FALSE)*(1+'Inputs-System'!$C$42)+VLOOKUP(AN$3,Capacity!$A$53:$E$85,5,FALSE)*(1+'Inputs-System'!$C$43)*'Inputs-System'!$C$29), $C34 = "2", ('Inputs-System'!$C$26*'Coincidence Factors'!$B$10*(1+'Inputs-System'!$C$18))*'Inputs-Proposals'!$D$22*(VLOOKUP(AN$3,Capacity!$A$53:$E$85,4,FALSE)*(1+'Inputs-System'!$C$42)+VLOOKUP(AN$3,Capacity!$A$53:$E$85,5,FALSE)*'Inputs-System'!$C$29*(1+'Inputs-System'!$C$43)), $C34 = "3", ('Inputs-System'!$C$26*'Coincidence Factors'!$B$10*(1+'Inputs-System'!$C$18))*'Inputs-Proposals'!$D$28*(VLOOKUP(AN$3,Capacity!$A$53:$E$85,4,FALSE)*(1+'Inputs-System'!$C$42)+VLOOKUP(AN$3,Capacity!$A$53:$E$85,5,FALSE)*'Inputs-System'!$C$29*(1+'Inputs-System'!$C$43)), $C34 = "0", 0), 0)</f>
        <v>0</v>
      </c>
      <c r="AR34" s="44">
        <v>0</v>
      </c>
      <c r="AS34" s="342">
        <f>IFERROR(_xlfn.IFS($C34="1", 'Inputs-System'!$C$30*'Coincidence Factors'!$B$10*'Inputs-Proposals'!$G$17*'Inputs-Proposals'!$G$19*(VLOOKUP(AN$3,'Non-Embedded Emissions'!$A$56:$D$90,2,FALSE)-VLOOKUP(AN$3,'Non-Embedded Emissions'!$F$57:$H$88,3,FALSE)+VLOOKUP(AN$3,'Non-Embedded Emissions'!$A$143:$D$174,2,FALSE)-VLOOKUP(AN$3,'Non-Embedded Emissions'!$F$143:$H$174,3,FALSE)+VLOOKUP(AN$3,'Non-Embedded Emissions'!$A$230:$D$259,2,FALSE)), $C34 = "2", 'Inputs-System'!$C$30*'Coincidence Factors'!$B$10*'Inputs-Proposals'!$G$23*'Inputs-Proposals'!$G$25*(VLOOKUP(AN$3,'Non-Embedded Emissions'!$A$56:$D$90,2,FALSE)-VLOOKUP(AN$3,'Non-Embedded Emissions'!$F$57:$H$88,3,FALSE)+VLOOKUP(AN$3,'Non-Embedded Emissions'!$A$143:$D$174,2,FALSE)-VLOOKUP(AN$3,'Non-Embedded Emissions'!$F$143:$H$174,3,FALSE)+VLOOKUP(AN$3,'Non-Embedded Emissions'!$A$230:$D$259,2,FALSE)), $C34 = "3", 'Inputs-System'!$C$30*'Coincidence Factors'!$B$10*'Inputs-Proposals'!$G$29*'Inputs-Proposals'!$G$31*(VLOOKUP(AN$3,'Non-Embedded Emissions'!$A$56:$D$90,2,FALSE)-VLOOKUP(AN$3,'Non-Embedded Emissions'!$F$57:$H$88,3,FALSE)+VLOOKUP(AN$3,'Non-Embedded Emissions'!$A$143:$D$174,2,FALSE)-VLOOKUP(AN$3,'Non-Embedded Emissions'!$F$143:$H$174,3,FALSE)+VLOOKUP(AN$3,'Non-Embedded Emissions'!$A$230:$D$259,2,FALSE)), $C34 = "0", 0), 0)</f>
        <v>0</v>
      </c>
      <c r="AT34" s="45">
        <f>IFERROR(_xlfn.IFS($C34="1",('Inputs-System'!$C$30*'Coincidence Factors'!$B$10*(1+'Inputs-System'!$C$18)*(1+'Inputs-System'!$C$41)*('Inputs-Proposals'!$G$17*'Inputs-Proposals'!$G$19*(1-'Inputs-Proposals'!$G$20^(AT$3-'Inputs-System'!$C$7)))*(VLOOKUP(AT$3,Energy!$A$51:$K$83,5,FALSE))), $C34 = "2",('Inputs-System'!$C$30*'Coincidence Factors'!$B$10)*(1+'Inputs-System'!$C$18)*(1+'Inputs-System'!$C$41)*('Inputs-Proposals'!$G$23*'Inputs-Proposals'!$G$25*(1-'Inputs-Proposals'!$G$26^(AT$3-'Inputs-System'!$C$7)))*(VLOOKUP(AT$3,Energy!$A$51:$K$83,5,FALSE)), $C34= "3", ('Inputs-System'!$C$30*'Coincidence Factors'!$B$10*(1+'Inputs-System'!$C$18)*(1+'Inputs-System'!$C$41)*('Inputs-Proposals'!$G$29*'Inputs-Proposals'!$G$31*(1-'Inputs-Proposals'!$G$32^(AT$3-'Inputs-System'!$C$7)))*(VLOOKUP(AT$3,Energy!$A$51:$K$83,5,FALSE))), $C34= "0", 0), 0)</f>
        <v>0</v>
      </c>
      <c r="AU34" s="44">
        <f>IFERROR(_xlfn.IFS($C34="1",('Inputs-System'!$C$30*'Coincidence Factors'!$B$10*(1+'Inputs-System'!$C$18)*(1+'Inputs-System'!$C$41))*'Inputs-Proposals'!$G$17*'Inputs-Proposals'!$G$19*(1-'Inputs-Proposals'!$G$20^(AT$3-'Inputs-System'!$C$7))*(VLOOKUP(AT$3,'Embedded Emissions'!$A$47:$B$78,2,FALSE)+VLOOKUP(AT$3,'Embedded Emissions'!$A$129:$B$158,2,FALSE)), $C34 = "2",('Inputs-System'!$C$30*'Coincidence Factors'!$B$10*(1+'Inputs-System'!$C$18)*(1+'Inputs-System'!$C$41))*'Inputs-Proposals'!$G$23*'Inputs-Proposals'!$G$25*(1-'Inputs-Proposals'!$G$20^(AT$3-'Inputs-System'!$C$7))*(VLOOKUP(AT$3,'Embedded Emissions'!$A$47:$B$78,2,FALSE)+VLOOKUP(AT$3,'Embedded Emissions'!$A$129:$B$158,2,FALSE)), $C34 = "3", ('Inputs-System'!$C$30*'Coincidence Factors'!$B$10*(1+'Inputs-System'!$C$18)*(1+'Inputs-System'!$C$41))*'Inputs-Proposals'!$G$29*'Inputs-Proposals'!$G$31*(1-'Inputs-Proposals'!$G$20^(AT$3-'Inputs-System'!$C$7))*(VLOOKUP(AT$3,'Embedded Emissions'!$A$47:$B$78,2,FALSE)+VLOOKUP(AT$3,'Embedded Emissions'!$A$129:$B$158,2,FALSE)), $C34 = "0", 0), 0)</f>
        <v>0</v>
      </c>
      <c r="AV34" s="44">
        <f>IFERROR(_xlfn.IFS($C34="1",( 'Inputs-System'!$C$30*'Coincidence Factors'!$B$10*(1+'Inputs-System'!$C$18)*(1+'Inputs-System'!$C$41))*('Inputs-Proposals'!$G$17*'Inputs-Proposals'!$G$19*(1-'Inputs-Proposals'!$G$20)^(AT$3-'Inputs-System'!$C$7))*(VLOOKUP(AT$3,DRIPE!$A$54:$I$82,5,FALSE)+VLOOKUP(AT$3,DRIPE!$A$54:$I$82,9,FALSE))+ ('Inputs-System'!$C$26*'Coincidence Factors'!$B$6*(1+'Inputs-System'!$C$18)*(1+'Inputs-System'!$C$42))*'Inputs-Proposals'!$G$16*VLOOKUP(AT$3,DRIPE!$A$54:$I$82,8,FALSE), $C34 = "2",( 'Inputs-System'!$C$30*'Coincidence Factors'!$B$10*(1+'Inputs-System'!$C$18)*(1+'Inputs-System'!$C$41))*('Inputs-Proposals'!$G$23*'Inputs-Proposals'!$G$25*(1-'Inputs-Proposals'!$G$26)^(AT$3-'Inputs-System'!$C$7))*(VLOOKUP(AT$3,DRIPE!$A$54:$I$82,5,FALSE)+VLOOKUP(AT$3,DRIPE!$A$54:$I$82,9,FALSE))+ ('Inputs-System'!$C$26*'Coincidence Factors'!$B$6*(1+'Inputs-System'!$C$18)*(1+'Inputs-System'!$C$42))*'Inputs-Proposals'!$G$22*VLOOKUP(AT$3,DRIPE!$A$54:$I$82,8,FALSE), $C34= "3", ( 'Inputs-System'!$C$30*'Coincidence Factors'!$B$10*(1+'Inputs-System'!$C$18)*(1+'Inputs-System'!$C$41))*('Inputs-Proposals'!$G$29*'Inputs-Proposals'!$G$31*(1-'Inputs-Proposals'!$G$32)^(AT$3-'Inputs-System'!$C$7))*(VLOOKUP(AT$3,DRIPE!$A$54:$I$82,5,FALSE)+VLOOKUP(AT$3,DRIPE!$A$54:$I$82,9,FALSE))+ ('Inputs-System'!$C$26*'Coincidence Factors'!$B$6*(1+'Inputs-System'!$C$18)*(1+'Inputs-System'!$C$42))*'Inputs-Proposals'!$G$28*VLOOKUP(AT$3,DRIPE!$A$54:$I$82,8,FALSE), $C34 = "0", 0), 0)</f>
        <v>0</v>
      </c>
      <c r="AW34" s="45">
        <f>IFERROR(_xlfn.IFS($C34="1",('Inputs-System'!$C$26*'Coincidence Factors'!$B$10*(1+'Inputs-System'!$C$18)*(1+'Inputs-System'!$C$42))*'Inputs-Proposals'!$D$16*(VLOOKUP(AT$3,Capacity!$A$53:$E$85,4,FALSE)*(1+'Inputs-System'!$C$42)+VLOOKUP(AT$3,Capacity!$A$53:$E$85,5,FALSE)*(1+'Inputs-System'!$C$43)*'Inputs-System'!$C$29), $C34 = "2", ('Inputs-System'!$C$26*'Coincidence Factors'!$B$10*(1+'Inputs-System'!$C$18))*'Inputs-Proposals'!$D$22*(VLOOKUP(AT$3,Capacity!$A$53:$E$85,4,FALSE)*(1+'Inputs-System'!$C$42)+VLOOKUP(AT$3,Capacity!$A$53:$E$85,5,FALSE)*'Inputs-System'!$C$29*(1+'Inputs-System'!$C$43)), $C34 = "3", ('Inputs-System'!$C$26*'Coincidence Factors'!$B$10*(1+'Inputs-System'!$C$18))*'Inputs-Proposals'!$D$28*(VLOOKUP(AT$3,Capacity!$A$53:$E$85,4,FALSE)*(1+'Inputs-System'!$C$42)+VLOOKUP(AT$3,Capacity!$A$53:$E$85,5,FALSE)*'Inputs-System'!$C$29*(1+'Inputs-System'!$C$43)), $C34 = "0", 0), 0)</f>
        <v>0</v>
      </c>
      <c r="AX34" s="44">
        <v>0</v>
      </c>
      <c r="AY34" s="342">
        <f>IFERROR(_xlfn.IFS($C34="1", 'Inputs-System'!$C$30*'Coincidence Factors'!$B$10*'Inputs-Proposals'!$G$17*'Inputs-Proposals'!$G$19*(VLOOKUP(AT$3,'Non-Embedded Emissions'!$A$56:$D$90,2,FALSE)-VLOOKUP(AT$3,'Non-Embedded Emissions'!$F$57:$H$88,3,FALSE)+VLOOKUP(AT$3,'Non-Embedded Emissions'!$A$143:$D$174,2,FALSE)-VLOOKUP(AT$3,'Non-Embedded Emissions'!$F$143:$H$174,3,FALSE)+VLOOKUP(AT$3,'Non-Embedded Emissions'!$A$230:$D$259,2,FALSE)), $C34 = "2", 'Inputs-System'!$C$30*'Coincidence Factors'!$B$10*'Inputs-Proposals'!$G$23*'Inputs-Proposals'!$G$25*(VLOOKUP(AT$3,'Non-Embedded Emissions'!$A$56:$D$90,2,FALSE)-VLOOKUP(AT$3,'Non-Embedded Emissions'!$F$57:$H$88,3,FALSE)+VLOOKUP(AT$3,'Non-Embedded Emissions'!$A$143:$D$174,2,FALSE)-VLOOKUP(AT$3,'Non-Embedded Emissions'!$F$143:$H$174,3,FALSE)+VLOOKUP(AT$3,'Non-Embedded Emissions'!$A$230:$D$259,2,FALSE)), $C34 = "3", 'Inputs-System'!$C$30*'Coincidence Factors'!$B$10*'Inputs-Proposals'!$G$29*'Inputs-Proposals'!$G$31*(VLOOKUP(AT$3,'Non-Embedded Emissions'!$A$56:$D$90,2,FALSE)-VLOOKUP(AT$3,'Non-Embedded Emissions'!$F$57:$H$88,3,FALSE)+VLOOKUP(AT$3,'Non-Embedded Emissions'!$A$143:$D$174,2,FALSE)-VLOOKUP(AT$3,'Non-Embedded Emissions'!$F$143:$H$174,3,FALSE)+VLOOKUP(AT$3,'Non-Embedded Emissions'!$A$230:$D$259,2,FALSE)), $C34 = "0", 0), 0)</f>
        <v>0</v>
      </c>
      <c r="AZ34" s="45">
        <f>IFERROR(_xlfn.IFS($C34="1",('Inputs-System'!$C$30*'Coincidence Factors'!$B$10*(1+'Inputs-System'!$C$18)*(1+'Inputs-System'!$C$41)*('Inputs-Proposals'!$G$17*'Inputs-Proposals'!$G$19*(1-'Inputs-Proposals'!$G$20^(AZ$3-'Inputs-System'!$C$7)))*(VLOOKUP(AZ$3,Energy!$A$51:$K$83,5,FALSE))), $C34 = "2",('Inputs-System'!$C$30*'Coincidence Factors'!$B$10)*(1+'Inputs-System'!$C$18)*(1+'Inputs-System'!$C$41)*('Inputs-Proposals'!$G$23*'Inputs-Proposals'!$G$25*(1-'Inputs-Proposals'!$G$26^(AZ$3-'Inputs-System'!$C$7)))*(VLOOKUP(AZ$3,Energy!$A$51:$K$83,5,FALSE)), $C34= "3", ('Inputs-System'!$C$30*'Coincidence Factors'!$B$10*(1+'Inputs-System'!$C$18)*(1+'Inputs-System'!$C$41)*('Inputs-Proposals'!$G$29*'Inputs-Proposals'!$G$31*(1-'Inputs-Proposals'!$G$32^(AZ$3-'Inputs-System'!$C$7)))*(VLOOKUP(AZ$3,Energy!$A$51:$K$83,5,FALSE))), $C34= "0", 0), 0)</f>
        <v>0</v>
      </c>
      <c r="BA34" s="44">
        <f>IFERROR(_xlfn.IFS($C34="1",('Inputs-System'!$C$30*'Coincidence Factors'!$B$10*(1+'Inputs-System'!$C$18)*(1+'Inputs-System'!$C$41))*'Inputs-Proposals'!$G$17*'Inputs-Proposals'!$G$19*(1-'Inputs-Proposals'!$G$20^(AZ$3-'Inputs-System'!$C$7))*(VLOOKUP(AZ$3,'Embedded Emissions'!$A$47:$B$78,2,FALSE)+VLOOKUP(AZ$3,'Embedded Emissions'!$A$129:$B$158,2,FALSE)), $C34 = "2",('Inputs-System'!$C$30*'Coincidence Factors'!$B$10*(1+'Inputs-System'!$C$18)*(1+'Inputs-System'!$C$41))*'Inputs-Proposals'!$G$23*'Inputs-Proposals'!$G$25*(1-'Inputs-Proposals'!$G$20^(AZ$3-'Inputs-System'!$C$7))*(VLOOKUP(AZ$3,'Embedded Emissions'!$A$47:$B$78,2,FALSE)+VLOOKUP(AZ$3,'Embedded Emissions'!$A$129:$B$158,2,FALSE)), $C34 = "3", ('Inputs-System'!$C$30*'Coincidence Factors'!$B$10*(1+'Inputs-System'!$C$18)*(1+'Inputs-System'!$C$41))*'Inputs-Proposals'!$G$29*'Inputs-Proposals'!$G$31*(1-'Inputs-Proposals'!$G$20^(AZ$3-'Inputs-System'!$C$7))*(VLOOKUP(AZ$3,'Embedded Emissions'!$A$47:$B$78,2,FALSE)+VLOOKUP(AZ$3,'Embedded Emissions'!$A$129:$B$158,2,FALSE)), $C34 = "0", 0), 0)</f>
        <v>0</v>
      </c>
      <c r="BB34" s="44">
        <f>IFERROR(_xlfn.IFS($C34="1",( 'Inputs-System'!$C$30*'Coincidence Factors'!$B$10*(1+'Inputs-System'!$C$18)*(1+'Inputs-System'!$C$41))*('Inputs-Proposals'!$G$17*'Inputs-Proposals'!$G$19*(1-'Inputs-Proposals'!$G$20)^(AZ$3-'Inputs-System'!$C$7))*(VLOOKUP(AZ$3,DRIPE!$A$54:$I$82,5,FALSE)+VLOOKUP(AZ$3,DRIPE!$A$54:$I$82,9,FALSE))+ ('Inputs-System'!$C$26*'Coincidence Factors'!$B$6*(1+'Inputs-System'!$C$18)*(1+'Inputs-System'!$C$42))*'Inputs-Proposals'!$G$16*VLOOKUP(AZ$3,DRIPE!$A$54:$I$82,8,FALSE), $C34 = "2",( 'Inputs-System'!$C$30*'Coincidence Factors'!$B$10*(1+'Inputs-System'!$C$18)*(1+'Inputs-System'!$C$41))*('Inputs-Proposals'!$G$23*'Inputs-Proposals'!$G$25*(1-'Inputs-Proposals'!$G$26)^(AZ$3-'Inputs-System'!$C$7))*(VLOOKUP(AZ$3,DRIPE!$A$54:$I$82,5,FALSE)+VLOOKUP(AZ$3,DRIPE!$A$54:$I$82,9,FALSE))+ ('Inputs-System'!$C$26*'Coincidence Factors'!$B$6*(1+'Inputs-System'!$C$18)*(1+'Inputs-System'!$C$42))*'Inputs-Proposals'!$G$22*VLOOKUP(AZ$3,DRIPE!$A$54:$I$82,8,FALSE), $C34= "3", ( 'Inputs-System'!$C$30*'Coincidence Factors'!$B$10*(1+'Inputs-System'!$C$18)*(1+'Inputs-System'!$C$41))*('Inputs-Proposals'!$G$29*'Inputs-Proposals'!$G$31*(1-'Inputs-Proposals'!$G$32)^(AZ$3-'Inputs-System'!$C$7))*(VLOOKUP(AZ$3,DRIPE!$A$54:$I$82,5,FALSE)+VLOOKUP(AZ$3,DRIPE!$A$54:$I$82,9,FALSE))+ ('Inputs-System'!$C$26*'Coincidence Factors'!$B$6*(1+'Inputs-System'!$C$18)*(1+'Inputs-System'!$C$42))*'Inputs-Proposals'!$G$28*VLOOKUP(AZ$3,DRIPE!$A$54:$I$82,8,FALSE), $C34 = "0", 0), 0)</f>
        <v>0</v>
      </c>
      <c r="BC34" s="45">
        <f>IFERROR(_xlfn.IFS($C34="1",('Inputs-System'!$C$26*'Coincidence Factors'!$B$10*(1+'Inputs-System'!$C$18)*(1+'Inputs-System'!$C$42))*'Inputs-Proposals'!$D$16*(VLOOKUP(AZ$3,Capacity!$A$53:$E$85,4,FALSE)*(1+'Inputs-System'!$C$42)+VLOOKUP(AZ$3,Capacity!$A$53:$E$85,5,FALSE)*(1+'Inputs-System'!$C$43)*'Inputs-System'!$C$29), $C34 = "2", ('Inputs-System'!$C$26*'Coincidence Factors'!$B$10*(1+'Inputs-System'!$C$18))*'Inputs-Proposals'!$D$22*(VLOOKUP(AZ$3,Capacity!$A$53:$E$85,4,FALSE)*(1+'Inputs-System'!$C$42)+VLOOKUP(AZ$3,Capacity!$A$53:$E$85,5,FALSE)*'Inputs-System'!$C$29*(1+'Inputs-System'!$C$43)), $C34 = "3", ('Inputs-System'!$C$26*'Coincidence Factors'!$B$10*(1+'Inputs-System'!$C$18))*'Inputs-Proposals'!$D$28*(VLOOKUP(AZ$3,Capacity!$A$53:$E$85,4,FALSE)*(1+'Inputs-System'!$C$42)+VLOOKUP(AZ$3,Capacity!$A$53:$E$85,5,FALSE)*'Inputs-System'!$C$29*(1+'Inputs-System'!$C$43)), $C34 = "0", 0), 0)</f>
        <v>0</v>
      </c>
      <c r="BD34" s="44">
        <v>0</v>
      </c>
      <c r="BE34" s="342">
        <f>IFERROR(_xlfn.IFS($C34="1", 'Inputs-System'!$C$30*'Coincidence Factors'!$B$10*'Inputs-Proposals'!$G$17*'Inputs-Proposals'!$G$19*(VLOOKUP(AZ$3,'Non-Embedded Emissions'!$A$56:$D$90,2,FALSE)-VLOOKUP(AZ$3,'Non-Embedded Emissions'!$F$57:$H$88,3,FALSE)+VLOOKUP(AZ$3,'Non-Embedded Emissions'!$A$143:$D$174,2,FALSE)-VLOOKUP(AZ$3,'Non-Embedded Emissions'!$F$143:$H$174,3,FALSE)+VLOOKUP(AZ$3,'Non-Embedded Emissions'!$A$230:$D$259,2,FALSE)), $C34 = "2", 'Inputs-System'!$C$30*'Coincidence Factors'!$B$10*'Inputs-Proposals'!$G$23*'Inputs-Proposals'!$G$25*(VLOOKUP(AZ$3,'Non-Embedded Emissions'!$A$56:$D$90,2,FALSE)-VLOOKUP(AZ$3,'Non-Embedded Emissions'!$F$57:$H$88,3,FALSE)+VLOOKUP(AZ$3,'Non-Embedded Emissions'!$A$143:$D$174,2,FALSE)-VLOOKUP(AZ$3,'Non-Embedded Emissions'!$F$143:$H$174,3,FALSE)+VLOOKUP(AZ$3,'Non-Embedded Emissions'!$A$230:$D$259,2,FALSE)), $C34 = "3", 'Inputs-System'!$C$30*'Coincidence Factors'!$B$10*'Inputs-Proposals'!$G$29*'Inputs-Proposals'!$G$31*(VLOOKUP(AZ$3,'Non-Embedded Emissions'!$A$56:$D$90,2,FALSE)-VLOOKUP(AZ$3,'Non-Embedded Emissions'!$F$57:$H$88,3,FALSE)+VLOOKUP(AZ$3,'Non-Embedded Emissions'!$A$143:$D$174,2,FALSE)-VLOOKUP(AZ$3,'Non-Embedded Emissions'!$F$143:$H$174,3,FALSE)+VLOOKUP(AZ$3,'Non-Embedded Emissions'!$A$230:$D$259,2,FALSE)), $C34 = "0", 0), 0)</f>
        <v>0</v>
      </c>
      <c r="BF34" s="45">
        <f>IFERROR(_xlfn.IFS($C34="1",('Inputs-System'!$C$30*'Coincidence Factors'!$B$10*(1+'Inputs-System'!$C$18)*(1+'Inputs-System'!$C$41)*('Inputs-Proposals'!$G$17*'Inputs-Proposals'!$G$19*(1-'Inputs-Proposals'!$G$20^(BF$3-'Inputs-System'!$C$7)))*(VLOOKUP(BF$3,Energy!$A$51:$K$83,5,FALSE))), $C34 = "2",('Inputs-System'!$C$30*'Coincidence Factors'!$B$10)*(1+'Inputs-System'!$C$18)*(1+'Inputs-System'!$C$41)*('Inputs-Proposals'!$G$23*'Inputs-Proposals'!$G$25*(1-'Inputs-Proposals'!$G$26^(BF$3-'Inputs-System'!$C$7)))*(VLOOKUP(BF$3,Energy!$A$51:$K$83,5,FALSE)), $C34= "3", ('Inputs-System'!$C$30*'Coincidence Factors'!$B$10*(1+'Inputs-System'!$C$18)*(1+'Inputs-System'!$C$41)*('Inputs-Proposals'!$G$29*'Inputs-Proposals'!$G$31*(1-'Inputs-Proposals'!$G$32^(BF$3-'Inputs-System'!$C$7)))*(VLOOKUP(BF$3,Energy!$A$51:$K$83,5,FALSE))), $C34= "0", 0), 0)</f>
        <v>0</v>
      </c>
      <c r="BG34" s="44">
        <f>IFERROR(_xlfn.IFS($C34="1",('Inputs-System'!$C$30*'Coincidence Factors'!$B$10*(1+'Inputs-System'!$C$18)*(1+'Inputs-System'!$C$41))*'Inputs-Proposals'!$G$17*'Inputs-Proposals'!$G$19*(1-'Inputs-Proposals'!$G$20^(BF$3-'Inputs-System'!$C$7))*(VLOOKUP(BF$3,'Embedded Emissions'!$A$47:$B$78,2,FALSE)+VLOOKUP(BF$3,'Embedded Emissions'!$A$129:$B$158,2,FALSE)), $C34 = "2",('Inputs-System'!$C$30*'Coincidence Factors'!$B$10*(1+'Inputs-System'!$C$18)*(1+'Inputs-System'!$C$41))*'Inputs-Proposals'!$G$23*'Inputs-Proposals'!$G$25*(1-'Inputs-Proposals'!$G$20^(BF$3-'Inputs-System'!$C$7))*(VLOOKUP(BF$3,'Embedded Emissions'!$A$47:$B$78,2,FALSE)+VLOOKUP(BF$3,'Embedded Emissions'!$A$129:$B$158,2,FALSE)), $C34 = "3", ('Inputs-System'!$C$30*'Coincidence Factors'!$B$10*(1+'Inputs-System'!$C$18)*(1+'Inputs-System'!$C$41))*'Inputs-Proposals'!$G$29*'Inputs-Proposals'!$G$31*(1-'Inputs-Proposals'!$G$20^(BF$3-'Inputs-System'!$C$7))*(VLOOKUP(BF$3,'Embedded Emissions'!$A$47:$B$78,2,FALSE)+VLOOKUP(BF$3,'Embedded Emissions'!$A$129:$B$158,2,FALSE)), $C34 = "0", 0), 0)</f>
        <v>0</v>
      </c>
      <c r="BH34" s="44">
        <f>IFERROR(_xlfn.IFS($C34="1",( 'Inputs-System'!$C$30*'Coincidence Factors'!$B$10*(1+'Inputs-System'!$C$18)*(1+'Inputs-System'!$C$41))*('Inputs-Proposals'!$G$17*'Inputs-Proposals'!$G$19*(1-'Inputs-Proposals'!$G$20)^(BF$3-'Inputs-System'!$C$7))*(VLOOKUP(BF$3,DRIPE!$A$54:$I$82,5,FALSE)+VLOOKUP(BF$3,DRIPE!$A$54:$I$82,9,FALSE))+ ('Inputs-System'!$C$26*'Coincidence Factors'!$B$6*(1+'Inputs-System'!$C$18)*(1+'Inputs-System'!$C$42))*'Inputs-Proposals'!$G$16*VLOOKUP(BF$3,DRIPE!$A$54:$I$82,8,FALSE), $C34 = "2",( 'Inputs-System'!$C$30*'Coincidence Factors'!$B$10*(1+'Inputs-System'!$C$18)*(1+'Inputs-System'!$C$41))*('Inputs-Proposals'!$G$23*'Inputs-Proposals'!$G$25*(1-'Inputs-Proposals'!$G$26)^(BF$3-'Inputs-System'!$C$7))*(VLOOKUP(BF$3,DRIPE!$A$54:$I$82,5,FALSE)+VLOOKUP(BF$3,DRIPE!$A$54:$I$82,9,FALSE))+ ('Inputs-System'!$C$26*'Coincidence Factors'!$B$6*(1+'Inputs-System'!$C$18)*(1+'Inputs-System'!$C$42))*'Inputs-Proposals'!$G$22*VLOOKUP(BF$3,DRIPE!$A$54:$I$82,8,FALSE), $C34= "3", ( 'Inputs-System'!$C$30*'Coincidence Factors'!$B$10*(1+'Inputs-System'!$C$18)*(1+'Inputs-System'!$C$41))*('Inputs-Proposals'!$G$29*'Inputs-Proposals'!$G$31*(1-'Inputs-Proposals'!$G$32)^(BF$3-'Inputs-System'!$C$7))*(VLOOKUP(BF$3,DRIPE!$A$54:$I$82,5,FALSE)+VLOOKUP(BF$3,DRIPE!$A$54:$I$82,9,FALSE))+ ('Inputs-System'!$C$26*'Coincidence Factors'!$B$6*(1+'Inputs-System'!$C$18)*(1+'Inputs-System'!$C$42))*'Inputs-Proposals'!$G$28*VLOOKUP(BF$3,DRIPE!$A$54:$I$82,8,FALSE), $C34 = "0", 0), 0)</f>
        <v>0</v>
      </c>
      <c r="BI34" s="45">
        <f>IFERROR(_xlfn.IFS($C34="1",('Inputs-System'!$C$26*'Coincidence Factors'!$B$10*(1+'Inputs-System'!$C$18)*(1+'Inputs-System'!$C$42))*'Inputs-Proposals'!$D$16*(VLOOKUP(BF$3,Capacity!$A$53:$E$85,4,FALSE)*(1+'Inputs-System'!$C$42)+VLOOKUP(BF$3,Capacity!$A$53:$E$85,5,FALSE)*(1+'Inputs-System'!$C$43)*'Inputs-System'!$C$29), $C34 = "2", ('Inputs-System'!$C$26*'Coincidence Factors'!$B$10*(1+'Inputs-System'!$C$18))*'Inputs-Proposals'!$D$22*(VLOOKUP(BF$3,Capacity!$A$53:$E$85,4,FALSE)*(1+'Inputs-System'!$C$42)+VLOOKUP(BF$3,Capacity!$A$53:$E$85,5,FALSE)*'Inputs-System'!$C$29*(1+'Inputs-System'!$C$43)), $C34 = "3", ('Inputs-System'!$C$26*'Coincidence Factors'!$B$10*(1+'Inputs-System'!$C$18))*'Inputs-Proposals'!$D$28*(VLOOKUP(BF$3,Capacity!$A$53:$E$85,4,FALSE)*(1+'Inputs-System'!$C$42)+VLOOKUP(BF$3,Capacity!$A$53:$E$85,5,FALSE)*'Inputs-System'!$C$29*(1+'Inputs-System'!$C$43)), $C34 = "0", 0), 0)</f>
        <v>0</v>
      </c>
      <c r="BJ34" s="44">
        <v>0</v>
      </c>
      <c r="BK34" s="342">
        <f>IFERROR(_xlfn.IFS($C34="1", 'Inputs-System'!$C$30*'Coincidence Factors'!$B$10*'Inputs-Proposals'!$G$17*'Inputs-Proposals'!$G$19*(VLOOKUP(BF$3,'Non-Embedded Emissions'!$A$56:$D$90,2,FALSE)-VLOOKUP(BF$3,'Non-Embedded Emissions'!$F$57:$H$88,3,FALSE)+VLOOKUP(BF$3,'Non-Embedded Emissions'!$A$143:$D$174,2,FALSE)-VLOOKUP(BF$3,'Non-Embedded Emissions'!$F$143:$H$174,3,FALSE)+VLOOKUP(BF$3,'Non-Embedded Emissions'!$A$230:$D$259,2,FALSE)), $C34 = "2", 'Inputs-System'!$C$30*'Coincidence Factors'!$B$10*'Inputs-Proposals'!$G$23*'Inputs-Proposals'!$G$25*(VLOOKUP(BF$3,'Non-Embedded Emissions'!$A$56:$D$90,2,FALSE)-VLOOKUP(BF$3,'Non-Embedded Emissions'!$F$57:$H$88,3,FALSE)+VLOOKUP(BF$3,'Non-Embedded Emissions'!$A$143:$D$174,2,FALSE)-VLOOKUP(BF$3,'Non-Embedded Emissions'!$F$143:$H$174,3,FALSE)+VLOOKUP(BF$3,'Non-Embedded Emissions'!$A$230:$D$259,2,FALSE)), $C34 = "3", 'Inputs-System'!$C$30*'Coincidence Factors'!$B$10*'Inputs-Proposals'!$G$29*'Inputs-Proposals'!$G$31*(VLOOKUP(BF$3,'Non-Embedded Emissions'!$A$56:$D$90,2,FALSE)-VLOOKUP(BF$3,'Non-Embedded Emissions'!$F$57:$H$88,3,FALSE)+VLOOKUP(BF$3,'Non-Embedded Emissions'!$A$143:$D$174,2,FALSE)-VLOOKUP(BF$3,'Non-Embedded Emissions'!$F$143:$H$174,3,FALSE)+VLOOKUP(BF$3,'Non-Embedded Emissions'!$A$230:$D$259,2,FALSE)), $C34 = "0", 0), 0)</f>
        <v>0</v>
      </c>
      <c r="BL34" s="45">
        <f>IFERROR(_xlfn.IFS($C34="1",('Inputs-System'!$C$30*'Coincidence Factors'!$B$10*(1+'Inputs-System'!$C$18)*(1+'Inputs-System'!$C$41)*('Inputs-Proposals'!$G$17*'Inputs-Proposals'!$G$19*(1-'Inputs-Proposals'!$G$20^(BL$3-'Inputs-System'!$C$7)))*(VLOOKUP(BL$3,Energy!$A$51:$K$83,5,FALSE))), $C34 = "2",('Inputs-System'!$C$30*'Coincidence Factors'!$B$10)*(1+'Inputs-System'!$C$18)*(1+'Inputs-System'!$C$41)*('Inputs-Proposals'!$G$23*'Inputs-Proposals'!$G$25*(1-'Inputs-Proposals'!$G$26^(BL$3-'Inputs-System'!$C$7)))*(VLOOKUP(BL$3,Energy!$A$51:$K$83,5,FALSE)), $C34= "3", ('Inputs-System'!$C$30*'Coincidence Factors'!$B$10*(1+'Inputs-System'!$C$18)*(1+'Inputs-System'!$C$41)*('Inputs-Proposals'!$G$29*'Inputs-Proposals'!$G$31*(1-'Inputs-Proposals'!$G$32^(BL$3-'Inputs-System'!$C$7)))*(VLOOKUP(BL$3,Energy!$A$51:$K$83,5,FALSE))), $C34= "0", 0), 0)</f>
        <v>0</v>
      </c>
      <c r="BM34" s="44">
        <f>IFERROR(_xlfn.IFS($C34="1",('Inputs-System'!$C$30*'Coincidence Factors'!$B$10*(1+'Inputs-System'!$C$18)*(1+'Inputs-System'!$C$41))*'Inputs-Proposals'!$G$17*'Inputs-Proposals'!$G$19*(1-'Inputs-Proposals'!$G$20^(BL$3-'Inputs-System'!$C$7))*(VLOOKUP(BL$3,'Embedded Emissions'!$A$47:$B$78,2,FALSE)+VLOOKUP(BL$3,'Embedded Emissions'!$A$129:$B$158,2,FALSE)), $C34 = "2",('Inputs-System'!$C$30*'Coincidence Factors'!$B$10*(1+'Inputs-System'!$C$18)*(1+'Inputs-System'!$C$41))*'Inputs-Proposals'!$G$23*'Inputs-Proposals'!$G$25*(1-'Inputs-Proposals'!$G$20^(BL$3-'Inputs-System'!$C$7))*(VLOOKUP(BL$3,'Embedded Emissions'!$A$47:$B$78,2,FALSE)+VLOOKUP(BL$3,'Embedded Emissions'!$A$129:$B$158,2,FALSE)), $C34 = "3", ('Inputs-System'!$C$30*'Coincidence Factors'!$B$10*(1+'Inputs-System'!$C$18)*(1+'Inputs-System'!$C$41))*'Inputs-Proposals'!$G$29*'Inputs-Proposals'!$G$31*(1-'Inputs-Proposals'!$G$20^(BL$3-'Inputs-System'!$C$7))*(VLOOKUP(BL$3,'Embedded Emissions'!$A$47:$B$78,2,FALSE)+VLOOKUP(BL$3,'Embedded Emissions'!$A$129:$B$158,2,FALSE)), $C34 = "0", 0), 0)</f>
        <v>0</v>
      </c>
      <c r="BN34" s="44">
        <f>IFERROR(_xlfn.IFS($C34="1",( 'Inputs-System'!$C$30*'Coincidence Factors'!$B$10*(1+'Inputs-System'!$C$18)*(1+'Inputs-System'!$C$41))*('Inputs-Proposals'!$G$17*'Inputs-Proposals'!$G$19*(1-'Inputs-Proposals'!$G$20)^(BL$3-'Inputs-System'!$C$7))*(VLOOKUP(BL$3,DRIPE!$A$54:$I$82,5,FALSE)+VLOOKUP(BL$3,DRIPE!$A$54:$I$82,9,FALSE))+ ('Inputs-System'!$C$26*'Coincidence Factors'!$B$6*(1+'Inputs-System'!$C$18)*(1+'Inputs-System'!$C$42))*'Inputs-Proposals'!$G$16*VLOOKUP(BL$3,DRIPE!$A$54:$I$82,8,FALSE), $C34 = "2",( 'Inputs-System'!$C$30*'Coincidence Factors'!$B$10*(1+'Inputs-System'!$C$18)*(1+'Inputs-System'!$C$41))*('Inputs-Proposals'!$G$23*'Inputs-Proposals'!$G$25*(1-'Inputs-Proposals'!$G$26)^(BL$3-'Inputs-System'!$C$7))*(VLOOKUP(BL$3,DRIPE!$A$54:$I$82,5,FALSE)+VLOOKUP(BL$3,DRIPE!$A$54:$I$82,9,FALSE))+ ('Inputs-System'!$C$26*'Coincidence Factors'!$B$6*(1+'Inputs-System'!$C$18)*(1+'Inputs-System'!$C$42))*'Inputs-Proposals'!$G$22*VLOOKUP(BL$3,DRIPE!$A$54:$I$82,8,FALSE), $C34= "3", ( 'Inputs-System'!$C$30*'Coincidence Factors'!$B$10*(1+'Inputs-System'!$C$18)*(1+'Inputs-System'!$C$41))*('Inputs-Proposals'!$G$29*'Inputs-Proposals'!$G$31*(1-'Inputs-Proposals'!$G$32)^(BL$3-'Inputs-System'!$C$7))*(VLOOKUP(BL$3,DRIPE!$A$54:$I$82,5,FALSE)+VLOOKUP(BL$3,DRIPE!$A$54:$I$82,9,FALSE))+ ('Inputs-System'!$C$26*'Coincidence Factors'!$B$6*(1+'Inputs-System'!$C$18)*(1+'Inputs-System'!$C$42))*'Inputs-Proposals'!$G$28*VLOOKUP(BL$3,DRIPE!$A$54:$I$82,8,FALSE), $C34 = "0", 0), 0)</f>
        <v>0</v>
      </c>
      <c r="BO34" s="45">
        <f>IFERROR(_xlfn.IFS($C34="1",('Inputs-System'!$C$26*'Coincidence Factors'!$B$10*(1+'Inputs-System'!$C$18)*(1+'Inputs-System'!$C$42))*'Inputs-Proposals'!$D$16*(VLOOKUP(BL$3,Capacity!$A$53:$E$85,4,FALSE)*(1+'Inputs-System'!$C$42)+VLOOKUP(BL$3,Capacity!$A$53:$E$85,5,FALSE)*(1+'Inputs-System'!$C$43)*'Inputs-System'!$C$29), $C34 = "2", ('Inputs-System'!$C$26*'Coincidence Factors'!$B$10*(1+'Inputs-System'!$C$18))*'Inputs-Proposals'!$D$22*(VLOOKUP(BL$3,Capacity!$A$53:$E$85,4,FALSE)*(1+'Inputs-System'!$C$42)+VLOOKUP(BL$3,Capacity!$A$53:$E$85,5,FALSE)*'Inputs-System'!$C$29*(1+'Inputs-System'!$C$43)), $C34 = "3", ('Inputs-System'!$C$26*'Coincidence Factors'!$B$10*(1+'Inputs-System'!$C$18))*'Inputs-Proposals'!$D$28*(VLOOKUP(BL$3,Capacity!$A$53:$E$85,4,FALSE)*(1+'Inputs-System'!$C$42)+VLOOKUP(BL$3,Capacity!$A$53:$E$85,5,FALSE)*'Inputs-System'!$C$29*(1+'Inputs-System'!$C$43)), $C34 = "0", 0), 0)</f>
        <v>0</v>
      </c>
      <c r="BP34" s="44">
        <v>0</v>
      </c>
      <c r="BQ34" s="342">
        <f>IFERROR(_xlfn.IFS($C34="1", 'Inputs-System'!$C$30*'Coincidence Factors'!$B$10*'Inputs-Proposals'!$G$17*'Inputs-Proposals'!$G$19*(VLOOKUP(BL$3,'Non-Embedded Emissions'!$A$56:$D$90,2,FALSE)-VLOOKUP(BL$3,'Non-Embedded Emissions'!$F$57:$H$88,3,FALSE)+VLOOKUP(BL$3,'Non-Embedded Emissions'!$A$143:$D$174,2,FALSE)-VLOOKUP(BL$3,'Non-Embedded Emissions'!$F$143:$H$174,3,FALSE)+VLOOKUP(BL$3,'Non-Embedded Emissions'!$A$230:$D$259,2,FALSE)), $C34 = "2", 'Inputs-System'!$C$30*'Coincidence Factors'!$B$10*'Inputs-Proposals'!$G$23*'Inputs-Proposals'!$G$25*(VLOOKUP(BL$3,'Non-Embedded Emissions'!$A$56:$D$90,2,FALSE)-VLOOKUP(BL$3,'Non-Embedded Emissions'!$F$57:$H$88,3,FALSE)+VLOOKUP(BL$3,'Non-Embedded Emissions'!$A$143:$D$174,2,FALSE)-VLOOKUP(BL$3,'Non-Embedded Emissions'!$F$143:$H$174,3,FALSE)+VLOOKUP(BL$3,'Non-Embedded Emissions'!$A$230:$D$259,2,FALSE)), $C34 = "3", 'Inputs-System'!$C$30*'Coincidence Factors'!$B$10*'Inputs-Proposals'!$G$29*'Inputs-Proposals'!$G$31*(VLOOKUP(BL$3,'Non-Embedded Emissions'!$A$56:$D$90,2,FALSE)-VLOOKUP(BL$3,'Non-Embedded Emissions'!$F$57:$H$88,3,FALSE)+VLOOKUP(BL$3,'Non-Embedded Emissions'!$A$143:$D$174,2,FALSE)-VLOOKUP(BL$3,'Non-Embedded Emissions'!$F$143:$H$174,3,FALSE)+VLOOKUP(BL$3,'Non-Embedded Emissions'!$A$230:$D$259,2,FALSE)), $C34 = "0", 0), 0)</f>
        <v>0</v>
      </c>
      <c r="BR34" s="45">
        <f>IFERROR(_xlfn.IFS($C34="1",('Inputs-System'!$C$30*'Coincidence Factors'!$B$10*(1+'Inputs-System'!$C$18)*(1+'Inputs-System'!$C$41)*('Inputs-Proposals'!$G$17*'Inputs-Proposals'!$G$19*(1-'Inputs-Proposals'!$G$20^(BR$3-'Inputs-System'!$C$7)))*(VLOOKUP(BR$3,Energy!$A$51:$K$83,5,FALSE))), $C34 = "2",('Inputs-System'!$C$30*'Coincidence Factors'!$B$10)*(1+'Inputs-System'!$C$18)*(1+'Inputs-System'!$C$41)*('Inputs-Proposals'!$G$23*'Inputs-Proposals'!$G$25*(1-'Inputs-Proposals'!$G$26^(BR$3-'Inputs-System'!$C$7)))*(VLOOKUP(BR$3,Energy!$A$51:$K$83,5,FALSE)), $C34= "3", ('Inputs-System'!$C$30*'Coincidence Factors'!$B$10*(1+'Inputs-System'!$C$18)*(1+'Inputs-System'!$C$41)*('Inputs-Proposals'!$G$29*'Inputs-Proposals'!$G$31*(1-'Inputs-Proposals'!$G$32^(BR$3-'Inputs-System'!$C$7)))*(VLOOKUP(BR$3,Energy!$A$51:$K$83,5,FALSE))), $C34= "0", 0), 0)</f>
        <v>0</v>
      </c>
      <c r="BS34" s="44">
        <f>IFERROR(_xlfn.IFS($C34="1",('Inputs-System'!$C$30*'Coincidence Factors'!$B$10*(1+'Inputs-System'!$C$18)*(1+'Inputs-System'!$C$41))*'Inputs-Proposals'!$G$17*'Inputs-Proposals'!$G$19*(1-'Inputs-Proposals'!$G$20^(BR$3-'Inputs-System'!$C$7))*(VLOOKUP(BR$3,'Embedded Emissions'!$A$47:$B$78,2,FALSE)+VLOOKUP(BR$3,'Embedded Emissions'!$A$129:$B$158,2,FALSE)), $C34 = "2",('Inputs-System'!$C$30*'Coincidence Factors'!$B$10*(1+'Inputs-System'!$C$18)*(1+'Inputs-System'!$C$41))*'Inputs-Proposals'!$G$23*'Inputs-Proposals'!$G$25*(1-'Inputs-Proposals'!$G$20^(BR$3-'Inputs-System'!$C$7))*(VLOOKUP(BR$3,'Embedded Emissions'!$A$47:$B$78,2,FALSE)+VLOOKUP(BR$3,'Embedded Emissions'!$A$129:$B$158,2,FALSE)), $C34 = "3", ('Inputs-System'!$C$30*'Coincidence Factors'!$B$10*(1+'Inputs-System'!$C$18)*(1+'Inputs-System'!$C$41))*'Inputs-Proposals'!$G$29*'Inputs-Proposals'!$G$31*(1-'Inputs-Proposals'!$G$20^(BR$3-'Inputs-System'!$C$7))*(VLOOKUP(BR$3,'Embedded Emissions'!$A$47:$B$78,2,FALSE)+VLOOKUP(BR$3,'Embedded Emissions'!$A$129:$B$158,2,FALSE)), $C34 = "0", 0), 0)</f>
        <v>0</v>
      </c>
      <c r="BT34" s="44">
        <f>IFERROR(_xlfn.IFS($C34="1",( 'Inputs-System'!$C$30*'Coincidence Factors'!$B$10*(1+'Inputs-System'!$C$18)*(1+'Inputs-System'!$C$41))*('Inputs-Proposals'!$G$17*'Inputs-Proposals'!$G$19*(1-'Inputs-Proposals'!$G$20)^(BR$3-'Inputs-System'!$C$7))*(VLOOKUP(BR$3,DRIPE!$A$54:$I$82,5,FALSE)+VLOOKUP(BR$3,DRIPE!$A$54:$I$82,9,FALSE))+ ('Inputs-System'!$C$26*'Coincidence Factors'!$B$6*(1+'Inputs-System'!$C$18)*(1+'Inputs-System'!$C$42))*'Inputs-Proposals'!$G$16*VLOOKUP(BR$3,DRIPE!$A$54:$I$82,8,FALSE), $C34 = "2",( 'Inputs-System'!$C$30*'Coincidence Factors'!$B$10*(1+'Inputs-System'!$C$18)*(1+'Inputs-System'!$C$41))*('Inputs-Proposals'!$G$23*'Inputs-Proposals'!$G$25*(1-'Inputs-Proposals'!$G$26)^(BR$3-'Inputs-System'!$C$7))*(VLOOKUP(BR$3,DRIPE!$A$54:$I$82,5,FALSE)+VLOOKUP(BR$3,DRIPE!$A$54:$I$82,9,FALSE))+ ('Inputs-System'!$C$26*'Coincidence Factors'!$B$6*(1+'Inputs-System'!$C$18)*(1+'Inputs-System'!$C$42))*'Inputs-Proposals'!$G$22*VLOOKUP(BR$3,DRIPE!$A$54:$I$82,8,FALSE), $C34= "3", ( 'Inputs-System'!$C$30*'Coincidence Factors'!$B$10*(1+'Inputs-System'!$C$18)*(1+'Inputs-System'!$C$41))*('Inputs-Proposals'!$G$29*'Inputs-Proposals'!$G$31*(1-'Inputs-Proposals'!$G$32)^(BR$3-'Inputs-System'!$C$7))*(VLOOKUP(BR$3,DRIPE!$A$54:$I$82,5,FALSE)+VLOOKUP(BR$3,DRIPE!$A$54:$I$82,9,FALSE))+ ('Inputs-System'!$C$26*'Coincidence Factors'!$B$6*(1+'Inputs-System'!$C$18)*(1+'Inputs-System'!$C$42))*'Inputs-Proposals'!$G$28*VLOOKUP(BR$3,DRIPE!$A$54:$I$82,8,FALSE), $C34 = "0", 0), 0)</f>
        <v>0</v>
      </c>
      <c r="BU34" s="45">
        <f>IFERROR(_xlfn.IFS($C34="1",('Inputs-System'!$C$26*'Coincidence Factors'!$B$10*(1+'Inputs-System'!$C$18)*(1+'Inputs-System'!$C$42))*'Inputs-Proposals'!$D$16*(VLOOKUP(BR$3,Capacity!$A$53:$E$85,4,FALSE)*(1+'Inputs-System'!$C$42)+VLOOKUP(BR$3,Capacity!$A$53:$E$85,5,FALSE)*(1+'Inputs-System'!$C$43)*'Inputs-System'!$C$29), $C34 = "2", ('Inputs-System'!$C$26*'Coincidence Factors'!$B$10*(1+'Inputs-System'!$C$18))*'Inputs-Proposals'!$D$22*(VLOOKUP(BR$3,Capacity!$A$53:$E$85,4,FALSE)*(1+'Inputs-System'!$C$42)+VLOOKUP(BR$3,Capacity!$A$53:$E$85,5,FALSE)*'Inputs-System'!$C$29*(1+'Inputs-System'!$C$43)), $C34 = "3", ('Inputs-System'!$C$26*'Coincidence Factors'!$B$10*(1+'Inputs-System'!$C$18))*'Inputs-Proposals'!$D$28*(VLOOKUP(BR$3,Capacity!$A$53:$E$85,4,FALSE)*(1+'Inputs-System'!$C$42)+VLOOKUP(BR$3,Capacity!$A$53:$E$85,5,FALSE)*'Inputs-System'!$C$29*(1+'Inputs-System'!$C$43)), $C34 = "0", 0), 0)</f>
        <v>0</v>
      </c>
      <c r="BV34" s="44">
        <v>0</v>
      </c>
      <c r="BW34" s="342">
        <f>IFERROR(_xlfn.IFS($C34="1", 'Inputs-System'!$C$30*'Coincidence Factors'!$B$10*'Inputs-Proposals'!$G$17*'Inputs-Proposals'!$G$19*(VLOOKUP(BR$3,'Non-Embedded Emissions'!$A$56:$D$90,2,FALSE)-VLOOKUP(BR$3,'Non-Embedded Emissions'!$F$57:$H$88,3,FALSE)+VLOOKUP(BR$3,'Non-Embedded Emissions'!$A$143:$D$174,2,FALSE)-VLOOKUP(BR$3,'Non-Embedded Emissions'!$F$143:$H$174,3,FALSE)+VLOOKUP(BR$3,'Non-Embedded Emissions'!$A$230:$D$259,2,FALSE)), $C34 = "2", 'Inputs-System'!$C$30*'Coincidence Factors'!$B$10*'Inputs-Proposals'!$G$23*'Inputs-Proposals'!$G$25*(VLOOKUP(BR$3,'Non-Embedded Emissions'!$A$56:$D$90,2,FALSE)-VLOOKUP(BR$3,'Non-Embedded Emissions'!$F$57:$H$88,3,FALSE)+VLOOKUP(BR$3,'Non-Embedded Emissions'!$A$143:$D$174,2,FALSE)-VLOOKUP(BR$3,'Non-Embedded Emissions'!$F$143:$H$174,3,FALSE)+VLOOKUP(BR$3,'Non-Embedded Emissions'!$A$230:$D$259,2,FALSE)), $C34 = "3", 'Inputs-System'!$C$30*'Coincidence Factors'!$B$10*'Inputs-Proposals'!$G$29*'Inputs-Proposals'!$G$31*(VLOOKUP(BR$3,'Non-Embedded Emissions'!$A$56:$D$90,2,FALSE)-VLOOKUP(BR$3,'Non-Embedded Emissions'!$F$57:$H$88,3,FALSE)+VLOOKUP(BR$3,'Non-Embedded Emissions'!$A$143:$D$174,2,FALSE)-VLOOKUP(BR$3,'Non-Embedded Emissions'!$F$143:$H$174,3,FALSE)+VLOOKUP(BR$3,'Non-Embedded Emissions'!$A$230:$D$259,2,FALSE)), $C34 = "0", 0), 0)</f>
        <v>0</v>
      </c>
      <c r="BX34" s="45">
        <f>IFERROR(_xlfn.IFS($C34="1",('Inputs-System'!$C$30*'Coincidence Factors'!$B$10*(1+'Inputs-System'!$C$18)*(1+'Inputs-System'!$C$41)*('Inputs-Proposals'!$G$17*'Inputs-Proposals'!$G$19*(1-'Inputs-Proposals'!$G$20^(BX$3-'Inputs-System'!$C$7)))*(VLOOKUP(BX$3,Energy!$A$51:$K$83,5,FALSE))), $C34 = "2",('Inputs-System'!$C$30*'Coincidence Factors'!$B$10)*(1+'Inputs-System'!$C$18)*(1+'Inputs-System'!$C$41)*('Inputs-Proposals'!$G$23*'Inputs-Proposals'!$G$25*(1-'Inputs-Proposals'!$G$26^(BX$3-'Inputs-System'!$C$7)))*(VLOOKUP(BX$3,Energy!$A$51:$K$83,5,FALSE)), $C34= "3", ('Inputs-System'!$C$30*'Coincidence Factors'!$B$10*(1+'Inputs-System'!$C$18)*(1+'Inputs-System'!$C$41)*('Inputs-Proposals'!$G$29*'Inputs-Proposals'!$G$31*(1-'Inputs-Proposals'!$G$32^(BX$3-'Inputs-System'!$C$7)))*(VLOOKUP(BX$3,Energy!$A$51:$K$83,5,FALSE))), $C34= "0", 0), 0)</f>
        <v>0</v>
      </c>
      <c r="BY34" s="44">
        <f>IFERROR(_xlfn.IFS($C34="1",('Inputs-System'!$C$30*'Coincidence Factors'!$B$10*(1+'Inputs-System'!$C$18)*(1+'Inputs-System'!$C$41))*'Inputs-Proposals'!$G$17*'Inputs-Proposals'!$G$19*(1-'Inputs-Proposals'!$G$20^(BX$3-'Inputs-System'!$C$7))*(VLOOKUP(BX$3,'Embedded Emissions'!$A$47:$B$78,2,FALSE)+VLOOKUP(BX$3,'Embedded Emissions'!$A$129:$B$158,2,FALSE)), $C34 = "2",('Inputs-System'!$C$30*'Coincidence Factors'!$B$10*(1+'Inputs-System'!$C$18)*(1+'Inputs-System'!$C$41))*'Inputs-Proposals'!$G$23*'Inputs-Proposals'!$G$25*(1-'Inputs-Proposals'!$G$20^(BX$3-'Inputs-System'!$C$7))*(VLOOKUP(BX$3,'Embedded Emissions'!$A$47:$B$78,2,FALSE)+VLOOKUP(BX$3,'Embedded Emissions'!$A$129:$B$158,2,FALSE)), $C34 = "3", ('Inputs-System'!$C$30*'Coincidence Factors'!$B$10*(1+'Inputs-System'!$C$18)*(1+'Inputs-System'!$C$41))*'Inputs-Proposals'!$G$29*'Inputs-Proposals'!$G$31*(1-'Inputs-Proposals'!$G$20^(BX$3-'Inputs-System'!$C$7))*(VLOOKUP(BX$3,'Embedded Emissions'!$A$47:$B$78,2,FALSE)+VLOOKUP(BX$3,'Embedded Emissions'!$A$129:$B$158,2,FALSE)), $C34 = "0", 0), 0)</f>
        <v>0</v>
      </c>
      <c r="BZ34" s="44">
        <f>IFERROR(_xlfn.IFS($C34="1",( 'Inputs-System'!$C$30*'Coincidence Factors'!$B$10*(1+'Inputs-System'!$C$18)*(1+'Inputs-System'!$C$41))*('Inputs-Proposals'!$G$17*'Inputs-Proposals'!$G$19*(1-'Inputs-Proposals'!$G$20)^(BX$3-'Inputs-System'!$C$7))*(VLOOKUP(BX$3,DRIPE!$A$54:$I$82,5,FALSE)+VLOOKUP(BX$3,DRIPE!$A$54:$I$82,9,FALSE))+ ('Inputs-System'!$C$26*'Coincidence Factors'!$B$6*(1+'Inputs-System'!$C$18)*(1+'Inputs-System'!$C$42))*'Inputs-Proposals'!$G$16*VLOOKUP(BX$3,DRIPE!$A$54:$I$82,8,FALSE), $C34 = "2",( 'Inputs-System'!$C$30*'Coincidence Factors'!$B$10*(1+'Inputs-System'!$C$18)*(1+'Inputs-System'!$C$41))*('Inputs-Proposals'!$G$23*'Inputs-Proposals'!$G$25*(1-'Inputs-Proposals'!$G$26)^(BX$3-'Inputs-System'!$C$7))*(VLOOKUP(BX$3,DRIPE!$A$54:$I$82,5,FALSE)+VLOOKUP(BX$3,DRIPE!$A$54:$I$82,9,FALSE))+ ('Inputs-System'!$C$26*'Coincidence Factors'!$B$6*(1+'Inputs-System'!$C$18)*(1+'Inputs-System'!$C$42))*'Inputs-Proposals'!$G$22*VLOOKUP(BX$3,DRIPE!$A$54:$I$82,8,FALSE), $C34= "3", ( 'Inputs-System'!$C$30*'Coincidence Factors'!$B$10*(1+'Inputs-System'!$C$18)*(1+'Inputs-System'!$C$41))*('Inputs-Proposals'!$G$29*'Inputs-Proposals'!$G$31*(1-'Inputs-Proposals'!$G$32)^(BX$3-'Inputs-System'!$C$7))*(VLOOKUP(BX$3,DRIPE!$A$54:$I$82,5,FALSE)+VLOOKUP(BX$3,DRIPE!$A$54:$I$82,9,FALSE))+ ('Inputs-System'!$C$26*'Coincidence Factors'!$B$6*(1+'Inputs-System'!$C$18)*(1+'Inputs-System'!$C$42))*'Inputs-Proposals'!$G$28*VLOOKUP(BX$3,DRIPE!$A$54:$I$82,8,FALSE), $C34 = "0", 0), 0)</f>
        <v>0</v>
      </c>
      <c r="CA34" s="45">
        <f>IFERROR(_xlfn.IFS($C34="1",('Inputs-System'!$C$26*'Coincidence Factors'!$B$10*(1+'Inputs-System'!$C$18)*(1+'Inputs-System'!$C$42))*'Inputs-Proposals'!$D$16*(VLOOKUP(BX$3,Capacity!$A$53:$E$85,4,FALSE)*(1+'Inputs-System'!$C$42)+VLOOKUP(BX$3,Capacity!$A$53:$E$85,5,FALSE)*(1+'Inputs-System'!$C$43)*'Inputs-System'!$C$29), $C34 = "2", ('Inputs-System'!$C$26*'Coincidence Factors'!$B$10*(1+'Inputs-System'!$C$18))*'Inputs-Proposals'!$D$22*(VLOOKUP(BX$3,Capacity!$A$53:$E$85,4,FALSE)*(1+'Inputs-System'!$C$42)+VLOOKUP(BX$3,Capacity!$A$53:$E$85,5,FALSE)*'Inputs-System'!$C$29*(1+'Inputs-System'!$C$43)), $C34 = "3", ('Inputs-System'!$C$26*'Coincidence Factors'!$B$10*(1+'Inputs-System'!$C$18))*'Inputs-Proposals'!$D$28*(VLOOKUP(BX$3,Capacity!$A$53:$E$85,4,FALSE)*(1+'Inputs-System'!$C$42)+VLOOKUP(BX$3,Capacity!$A$53:$E$85,5,FALSE)*'Inputs-System'!$C$29*(1+'Inputs-System'!$C$43)), $C34 = "0", 0), 0)</f>
        <v>0</v>
      </c>
      <c r="CB34" s="44">
        <v>0</v>
      </c>
      <c r="CC34" s="342">
        <f>IFERROR(_xlfn.IFS($C34="1", 'Inputs-System'!$C$30*'Coincidence Factors'!$B$10*'Inputs-Proposals'!$G$17*'Inputs-Proposals'!$G$19*(VLOOKUP(BX$3,'Non-Embedded Emissions'!$A$56:$D$90,2,FALSE)-VLOOKUP(BX$3,'Non-Embedded Emissions'!$F$57:$H$88,3,FALSE)+VLOOKUP(BX$3,'Non-Embedded Emissions'!$A$143:$D$174,2,FALSE)-VLOOKUP(BX$3,'Non-Embedded Emissions'!$F$143:$H$174,3,FALSE)+VLOOKUP(BX$3,'Non-Embedded Emissions'!$A$230:$D$259,2,FALSE)), $C34 = "2", 'Inputs-System'!$C$30*'Coincidence Factors'!$B$10*'Inputs-Proposals'!$G$23*'Inputs-Proposals'!$G$25*(VLOOKUP(BX$3,'Non-Embedded Emissions'!$A$56:$D$90,2,FALSE)-VLOOKUP(BX$3,'Non-Embedded Emissions'!$F$57:$H$88,3,FALSE)+VLOOKUP(BX$3,'Non-Embedded Emissions'!$A$143:$D$174,2,FALSE)-VLOOKUP(BX$3,'Non-Embedded Emissions'!$F$143:$H$174,3,FALSE)+VLOOKUP(BX$3,'Non-Embedded Emissions'!$A$230:$D$259,2,FALSE)), $C34 = "3", 'Inputs-System'!$C$30*'Coincidence Factors'!$B$10*'Inputs-Proposals'!$G$29*'Inputs-Proposals'!$G$31*(VLOOKUP(BX$3,'Non-Embedded Emissions'!$A$56:$D$90,2,FALSE)-VLOOKUP(BX$3,'Non-Embedded Emissions'!$F$57:$H$88,3,FALSE)+VLOOKUP(BX$3,'Non-Embedded Emissions'!$A$143:$D$174,2,FALSE)-VLOOKUP(BX$3,'Non-Embedded Emissions'!$F$143:$H$174,3,FALSE)+VLOOKUP(BX$3,'Non-Embedded Emissions'!$A$230:$D$259,2,FALSE)), $C34 = "0", 0), 0)</f>
        <v>0</v>
      </c>
      <c r="CD34" s="45">
        <f>IFERROR(_xlfn.IFS($C34="1",('Inputs-System'!$C$30*'Coincidence Factors'!$B$10*(1+'Inputs-System'!$C$18)*(1+'Inputs-System'!$C$41)*('Inputs-Proposals'!$G$17*'Inputs-Proposals'!$G$19*(1-'Inputs-Proposals'!$G$20^(CD$3-'Inputs-System'!$C$7)))*(VLOOKUP(CD$3,Energy!$A$51:$K$83,5,FALSE))), $C34 = "2",('Inputs-System'!$C$30*'Coincidence Factors'!$B$10)*(1+'Inputs-System'!$C$18)*(1+'Inputs-System'!$C$41)*('Inputs-Proposals'!$G$23*'Inputs-Proposals'!$G$25*(1-'Inputs-Proposals'!$G$26^(CD$3-'Inputs-System'!$C$7)))*(VLOOKUP(CD$3,Energy!$A$51:$K$83,5,FALSE)), $C34= "3", ('Inputs-System'!$C$30*'Coincidence Factors'!$B$10*(1+'Inputs-System'!$C$18)*(1+'Inputs-System'!$C$41)*('Inputs-Proposals'!$G$29*'Inputs-Proposals'!$G$31*(1-'Inputs-Proposals'!$G$32^(CD$3-'Inputs-System'!$C$7)))*(VLOOKUP(CD$3,Energy!$A$51:$K$83,5,FALSE))), $C34= "0", 0), 0)</f>
        <v>0</v>
      </c>
      <c r="CE34" s="44">
        <f>IFERROR(_xlfn.IFS($C34="1",('Inputs-System'!$C$30*'Coincidence Factors'!$B$10*(1+'Inputs-System'!$C$18)*(1+'Inputs-System'!$C$41))*'Inputs-Proposals'!$G$17*'Inputs-Proposals'!$G$19*(1-'Inputs-Proposals'!$G$20^(CD$3-'Inputs-System'!$C$7))*(VLOOKUP(CD$3,'Embedded Emissions'!$A$47:$B$78,2,FALSE)+VLOOKUP(CD$3,'Embedded Emissions'!$A$129:$B$158,2,FALSE)), $C34 = "2",('Inputs-System'!$C$30*'Coincidence Factors'!$B$10*(1+'Inputs-System'!$C$18)*(1+'Inputs-System'!$C$41))*'Inputs-Proposals'!$G$23*'Inputs-Proposals'!$G$25*(1-'Inputs-Proposals'!$G$20^(CD$3-'Inputs-System'!$C$7))*(VLOOKUP(CD$3,'Embedded Emissions'!$A$47:$B$78,2,FALSE)+VLOOKUP(CD$3,'Embedded Emissions'!$A$129:$B$158,2,FALSE)), $C34 = "3", ('Inputs-System'!$C$30*'Coincidence Factors'!$B$10*(1+'Inputs-System'!$C$18)*(1+'Inputs-System'!$C$41))*'Inputs-Proposals'!$G$29*'Inputs-Proposals'!$G$31*(1-'Inputs-Proposals'!$G$20^(CD$3-'Inputs-System'!$C$7))*(VLOOKUP(CD$3,'Embedded Emissions'!$A$47:$B$78,2,FALSE)+VLOOKUP(CD$3,'Embedded Emissions'!$A$129:$B$158,2,FALSE)), $C34 = "0", 0), 0)</f>
        <v>0</v>
      </c>
      <c r="CF34" s="44">
        <f>IFERROR(_xlfn.IFS($C34="1",( 'Inputs-System'!$C$30*'Coincidence Factors'!$B$10*(1+'Inputs-System'!$C$18)*(1+'Inputs-System'!$C$41))*('Inputs-Proposals'!$G$17*'Inputs-Proposals'!$G$19*(1-'Inputs-Proposals'!$G$20)^(CD$3-'Inputs-System'!$C$7))*(VLOOKUP(CD$3,DRIPE!$A$54:$I$82,5,FALSE)+VLOOKUP(CD$3,DRIPE!$A$54:$I$82,9,FALSE))+ ('Inputs-System'!$C$26*'Coincidence Factors'!$B$6*(1+'Inputs-System'!$C$18)*(1+'Inputs-System'!$C$42))*'Inputs-Proposals'!$G$16*VLOOKUP(CD$3,DRIPE!$A$54:$I$82,8,FALSE), $C34 = "2",( 'Inputs-System'!$C$30*'Coincidence Factors'!$B$10*(1+'Inputs-System'!$C$18)*(1+'Inputs-System'!$C$41))*('Inputs-Proposals'!$G$23*'Inputs-Proposals'!$G$25*(1-'Inputs-Proposals'!$G$26)^(CD$3-'Inputs-System'!$C$7))*(VLOOKUP(CD$3,DRIPE!$A$54:$I$82,5,FALSE)+VLOOKUP(CD$3,DRIPE!$A$54:$I$82,9,FALSE))+ ('Inputs-System'!$C$26*'Coincidence Factors'!$B$6*(1+'Inputs-System'!$C$18)*(1+'Inputs-System'!$C$42))*'Inputs-Proposals'!$G$22*VLOOKUP(CD$3,DRIPE!$A$54:$I$82,8,FALSE), $C34= "3", ( 'Inputs-System'!$C$30*'Coincidence Factors'!$B$10*(1+'Inputs-System'!$C$18)*(1+'Inputs-System'!$C$41))*('Inputs-Proposals'!$G$29*'Inputs-Proposals'!$G$31*(1-'Inputs-Proposals'!$G$32)^(CD$3-'Inputs-System'!$C$7))*(VLOOKUP(CD$3,DRIPE!$A$54:$I$82,5,FALSE)+VLOOKUP(CD$3,DRIPE!$A$54:$I$82,9,FALSE))+ ('Inputs-System'!$C$26*'Coincidence Factors'!$B$6*(1+'Inputs-System'!$C$18)*(1+'Inputs-System'!$C$42))*'Inputs-Proposals'!$G$28*VLOOKUP(CD$3,DRIPE!$A$54:$I$82,8,FALSE), $C34 = "0", 0), 0)</f>
        <v>0</v>
      </c>
      <c r="CG34" s="45">
        <f>IFERROR(_xlfn.IFS($C34="1",('Inputs-System'!$C$26*'Coincidence Factors'!$B$10*(1+'Inputs-System'!$C$18)*(1+'Inputs-System'!$C$42))*'Inputs-Proposals'!$D$16*(VLOOKUP(CD$3,Capacity!$A$53:$E$85,4,FALSE)*(1+'Inputs-System'!$C$42)+VLOOKUP(CD$3,Capacity!$A$53:$E$85,5,FALSE)*(1+'Inputs-System'!$C$43)*'Inputs-System'!$C$29), $C34 = "2", ('Inputs-System'!$C$26*'Coincidence Factors'!$B$10*(1+'Inputs-System'!$C$18))*'Inputs-Proposals'!$D$22*(VLOOKUP(CD$3,Capacity!$A$53:$E$85,4,FALSE)*(1+'Inputs-System'!$C$42)+VLOOKUP(CD$3,Capacity!$A$53:$E$85,5,FALSE)*'Inputs-System'!$C$29*(1+'Inputs-System'!$C$43)), $C34 = "3", ('Inputs-System'!$C$26*'Coincidence Factors'!$B$10*(1+'Inputs-System'!$C$18))*'Inputs-Proposals'!$D$28*(VLOOKUP(CD$3,Capacity!$A$53:$E$85,4,FALSE)*(1+'Inputs-System'!$C$42)+VLOOKUP(CD$3,Capacity!$A$53:$E$85,5,FALSE)*'Inputs-System'!$C$29*(1+'Inputs-System'!$C$43)), $C34 = "0", 0), 0)</f>
        <v>0</v>
      </c>
      <c r="CH34" s="44">
        <v>0</v>
      </c>
      <c r="CI34" s="342">
        <f>IFERROR(_xlfn.IFS($C34="1", 'Inputs-System'!$C$30*'Coincidence Factors'!$B$10*'Inputs-Proposals'!$G$17*'Inputs-Proposals'!$G$19*(VLOOKUP(CD$3,'Non-Embedded Emissions'!$A$56:$D$90,2,FALSE)-VLOOKUP(CD$3,'Non-Embedded Emissions'!$F$57:$H$88,3,FALSE)+VLOOKUP(CD$3,'Non-Embedded Emissions'!$A$143:$D$174,2,FALSE)-VLOOKUP(CD$3,'Non-Embedded Emissions'!$F$143:$H$174,3,FALSE)+VLOOKUP(CD$3,'Non-Embedded Emissions'!$A$230:$D$259,2,FALSE)), $C34 = "2", 'Inputs-System'!$C$30*'Coincidence Factors'!$B$10*'Inputs-Proposals'!$G$23*'Inputs-Proposals'!$G$25*(VLOOKUP(CD$3,'Non-Embedded Emissions'!$A$56:$D$90,2,FALSE)-VLOOKUP(CD$3,'Non-Embedded Emissions'!$F$57:$H$88,3,FALSE)+VLOOKUP(CD$3,'Non-Embedded Emissions'!$A$143:$D$174,2,FALSE)-VLOOKUP(CD$3,'Non-Embedded Emissions'!$F$143:$H$174,3,FALSE)+VLOOKUP(CD$3,'Non-Embedded Emissions'!$A$230:$D$259,2,FALSE)), $C34 = "3", 'Inputs-System'!$C$30*'Coincidence Factors'!$B$10*'Inputs-Proposals'!$G$29*'Inputs-Proposals'!$G$31*(VLOOKUP(CD$3,'Non-Embedded Emissions'!$A$56:$D$90,2,FALSE)-VLOOKUP(CD$3,'Non-Embedded Emissions'!$F$57:$H$88,3,FALSE)+VLOOKUP(CD$3,'Non-Embedded Emissions'!$A$143:$D$174,2,FALSE)-VLOOKUP(CD$3,'Non-Embedded Emissions'!$F$143:$H$174,3,FALSE)+VLOOKUP(CD$3,'Non-Embedded Emissions'!$A$230:$D$259,2,FALSE)), $C34 = "0", 0), 0)</f>
        <v>0</v>
      </c>
      <c r="CJ34" s="45">
        <f>IFERROR(_xlfn.IFS($C34="1",('Inputs-System'!$C$30*'Coincidence Factors'!$B$10*(1+'Inputs-System'!$C$18)*(1+'Inputs-System'!$C$41)*('Inputs-Proposals'!$G$17*'Inputs-Proposals'!$G$19*(1-'Inputs-Proposals'!$G$20^(CJ$3-'Inputs-System'!$C$7)))*(VLOOKUP(CJ$3,Energy!$A$51:$K$83,5,FALSE))), $C34 = "2",('Inputs-System'!$C$30*'Coincidence Factors'!$B$10)*(1+'Inputs-System'!$C$18)*(1+'Inputs-System'!$C$41)*('Inputs-Proposals'!$G$23*'Inputs-Proposals'!$G$25*(1-'Inputs-Proposals'!$G$26^(CJ$3-'Inputs-System'!$C$7)))*(VLOOKUP(CJ$3,Energy!$A$51:$K$83,5,FALSE)), $C34= "3", ('Inputs-System'!$C$30*'Coincidence Factors'!$B$10*(1+'Inputs-System'!$C$18)*(1+'Inputs-System'!$C$41)*('Inputs-Proposals'!$G$29*'Inputs-Proposals'!$G$31*(1-'Inputs-Proposals'!$G$32^(CJ$3-'Inputs-System'!$C$7)))*(VLOOKUP(CJ$3,Energy!$A$51:$K$83,5,FALSE))), $C34= "0", 0), 0)</f>
        <v>0</v>
      </c>
      <c r="CK34" s="44">
        <f>IFERROR(_xlfn.IFS($C34="1",('Inputs-System'!$C$30*'Coincidence Factors'!$B$10*(1+'Inputs-System'!$C$18)*(1+'Inputs-System'!$C$41))*'Inputs-Proposals'!$G$17*'Inputs-Proposals'!$G$19*(1-'Inputs-Proposals'!$G$20^(CJ$3-'Inputs-System'!$C$7))*(VLOOKUP(CJ$3,'Embedded Emissions'!$A$47:$B$78,2,FALSE)+VLOOKUP(CJ$3,'Embedded Emissions'!$A$129:$B$158,2,FALSE)), $C34 = "2",('Inputs-System'!$C$30*'Coincidence Factors'!$B$10*(1+'Inputs-System'!$C$18)*(1+'Inputs-System'!$C$41))*'Inputs-Proposals'!$G$23*'Inputs-Proposals'!$G$25*(1-'Inputs-Proposals'!$G$20^(CJ$3-'Inputs-System'!$C$7))*(VLOOKUP(CJ$3,'Embedded Emissions'!$A$47:$B$78,2,FALSE)+VLOOKUP(CJ$3,'Embedded Emissions'!$A$129:$B$158,2,FALSE)), $C34 = "3", ('Inputs-System'!$C$30*'Coincidence Factors'!$B$10*(1+'Inputs-System'!$C$18)*(1+'Inputs-System'!$C$41))*'Inputs-Proposals'!$G$29*'Inputs-Proposals'!$G$31*(1-'Inputs-Proposals'!$G$20^(CJ$3-'Inputs-System'!$C$7))*(VLOOKUP(CJ$3,'Embedded Emissions'!$A$47:$B$78,2,FALSE)+VLOOKUP(CJ$3,'Embedded Emissions'!$A$129:$B$158,2,FALSE)), $C34 = "0", 0), 0)</f>
        <v>0</v>
      </c>
      <c r="CL34" s="44">
        <f>IFERROR(_xlfn.IFS($C34="1",( 'Inputs-System'!$C$30*'Coincidence Factors'!$B$10*(1+'Inputs-System'!$C$18)*(1+'Inputs-System'!$C$41))*('Inputs-Proposals'!$G$17*'Inputs-Proposals'!$G$19*(1-'Inputs-Proposals'!$G$20)^(CJ$3-'Inputs-System'!$C$7))*(VLOOKUP(CJ$3,DRIPE!$A$54:$I$82,5,FALSE)+VLOOKUP(CJ$3,DRIPE!$A$54:$I$82,9,FALSE))+ ('Inputs-System'!$C$26*'Coincidence Factors'!$B$6*(1+'Inputs-System'!$C$18)*(1+'Inputs-System'!$C$42))*'Inputs-Proposals'!$G$16*VLOOKUP(CJ$3,DRIPE!$A$54:$I$82,8,FALSE), $C34 = "2",( 'Inputs-System'!$C$30*'Coincidence Factors'!$B$10*(1+'Inputs-System'!$C$18)*(1+'Inputs-System'!$C$41))*('Inputs-Proposals'!$G$23*'Inputs-Proposals'!$G$25*(1-'Inputs-Proposals'!$G$26)^(CJ$3-'Inputs-System'!$C$7))*(VLOOKUP(CJ$3,DRIPE!$A$54:$I$82,5,FALSE)+VLOOKUP(CJ$3,DRIPE!$A$54:$I$82,9,FALSE))+ ('Inputs-System'!$C$26*'Coincidence Factors'!$B$6*(1+'Inputs-System'!$C$18)*(1+'Inputs-System'!$C$42))*'Inputs-Proposals'!$G$22*VLOOKUP(CJ$3,DRIPE!$A$54:$I$82,8,FALSE), $C34= "3", ( 'Inputs-System'!$C$30*'Coincidence Factors'!$B$10*(1+'Inputs-System'!$C$18)*(1+'Inputs-System'!$C$41))*('Inputs-Proposals'!$G$29*'Inputs-Proposals'!$G$31*(1-'Inputs-Proposals'!$G$32)^(CJ$3-'Inputs-System'!$C$7))*(VLOOKUP(CJ$3,DRIPE!$A$54:$I$82,5,FALSE)+VLOOKUP(CJ$3,DRIPE!$A$54:$I$82,9,FALSE))+ ('Inputs-System'!$C$26*'Coincidence Factors'!$B$6*(1+'Inputs-System'!$C$18)*(1+'Inputs-System'!$C$42))*'Inputs-Proposals'!$G$28*VLOOKUP(CJ$3,DRIPE!$A$54:$I$82,8,FALSE), $C34 = "0", 0), 0)</f>
        <v>0</v>
      </c>
      <c r="CM34" s="45">
        <f>IFERROR(_xlfn.IFS($C34="1",('Inputs-System'!$C$26*'Coincidence Factors'!$B$10*(1+'Inputs-System'!$C$18)*(1+'Inputs-System'!$C$42))*'Inputs-Proposals'!$D$16*(VLOOKUP(CJ$3,Capacity!$A$53:$E$85,4,FALSE)*(1+'Inputs-System'!$C$42)+VLOOKUP(CJ$3,Capacity!$A$53:$E$85,5,FALSE)*(1+'Inputs-System'!$C$43)*'Inputs-System'!$C$29), $C34 = "2", ('Inputs-System'!$C$26*'Coincidence Factors'!$B$10*(1+'Inputs-System'!$C$18))*'Inputs-Proposals'!$D$22*(VLOOKUP(CJ$3,Capacity!$A$53:$E$85,4,FALSE)*(1+'Inputs-System'!$C$42)+VLOOKUP(CJ$3,Capacity!$A$53:$E$85,5,FALSE)*'Inputs-System'!$C$29*(1+'Inputs-System'!$C$43)), $C34 = "3", ('Inputs-System'!$C$26*'Coincidence Factors'!$B$10*(1+'Inputs-System'!$C$18))*'Inputs-Proposals'!$D$28*(VLOOKUP(CJ$3,Capacity!$A$53:$E$85,4,FALSE)*(1+'Inputs-System'!$C$42)+VLOOKUP(CJ$3,Capacity!$A$53:$E$85,5,FALSE)*'Inputs-System'!$C$29*(1+'Inputs-System'!$C$43)), $C34 = "0", 0), 0)</f>
        <v>0</v>
      </c>
      <c r="CN34" s="44">
        <v>0</v>
      </c>
      <c r="CO34" s="342">
        <f>IFERROR(_xlfn.IFS($C34="1", 'Inputs-System'!$C$30*'Coincidence Factors'!$B$10*'Inputs-Proposals'!$G$17*'Inputs-Proposals'!$G$19*(VLOOKUP(CJ$3,'Non-Embedded Emissions'!$A$56:$D$90,2,FALSE)-VLOOKUP(CJ$3,'Non-Embedded Emissions'!$F$57:$H$88,3,FALSE)+VLOOKUP(CJ$3,'Non-Embedded Emissions'!$A$143:$D$174,2,FALSE)-VLOOKUP(CJ$3,'Non-Embedded Emissions'!$F$143:$H$174,3,FALSE)+VLOOKUP(CJ$3,'Non-Embedded Emissions'!$A$230:$D$259,2,FALSE)), $C34 = "2", 'Inputs-System'!$C$30*'Coincidence Factors'!$B$10*'Inputs-Proposals'!$G$23*'Inputs-Proposals'!$G$25*(VLOOKUP(CJ$3,'Non-Embedded Emissions'!$A$56:$D$90,2,FALSE)-VLOOKUP(CJ$3,'Non-Embedded Emissions'!$F$57:$H$88,3,FALSE)+VLOOKUP(CJ$3,'Non-Embedded Emissions'!$A$143:$D$174,2,FALSE)-VLOOKUP(CJ$3,'Non-Embedded Emissions'!$F$143:$H$174,3,FALSE)+VLOOKUP(CJ$3,'Non-Embedded Emissions'!$A$230:$D$259,2,FALSE)), $C34 = "3", 'Inputs-System'!$C$30*'Coincidence Factors'!$B$10*'Inputs-Proposals'!$G$29*'Inputs-Proposals'!$G$31*(VLOOKUP(CJ$3,'Non-Embedded Emissions'!$A$56:$D$90,2,FALSE)-VLOOKUP(CJ$3,'Non-Embedded Emissions'!$F$57:$H$88,3,FALSE)+VLOOKUP(CJ$3,'Non-Embedded Emissions'!$A$143:$D$174,2,FALSE)-VLOOKUP(CJ$3,'Non-Embedded Emissions'!$F$143:$H$174,3,FALSE)+VLOOKUP(CJ$3,'Non-Embedded Emissions'!$A$230:$D$259,2,FALSE)), $C34 = "0", 0), 0)</f>
        <v>0</v>
      </c>
      <c r="CP34" s="45">
        <f>IFERROR(_xlfn.IFS($C34="1",('Inputs-System'!$C$30*'Coincidence Factors'!$B$10*(1+'Inputs-System'!$C$18)*(1+'Inputs-System'!$C$41)*('Inputs-Proposals'!$G$17*'Inputs-Proposals'!$G$19*(1-'Inputs-Proposals'!$G$20^(CP$3-'Inputs-System'!$C$7)))*(VLOOKUP(CP$3,Energy!$A$51:$K$83,5,FALSE))), $C34 = "2",('Inputs-System'!$C$30*'Coincidence Factors'!$B$10)*(1+'Inputs-System'!$C$18)*(1+'Inputs-System'!$C$41)*('Inputs-Proposals'!$G$23*'Inputs-Proposals'!$G$25*(1-'Inputs-Proposals'!$G$26^(CP$3-'Inputs-System'!$C$7)))*(VLOOKUP(CP$3,Energy!$A$51:$K$83,5,FALSE)), $C34= "3", ('Inputs-System'!$C$30*'Coincidence Factors'!$B$10*(1+'Inputs-System'!$C$18)*(1+'Inputs-System'!$C$41)*('Inputs-Proposals'!$G$29*'Inputs-Proposals'!$G$31*(1-'Inputs-Proposals'!$G$32^(CP$3-'Inputs-System'!$C$7)))*(VLOOKUP(CP$3,Energy!$A$51:$K$83,5,FALSE))), $C34= "0", 0), 0)</f>
        <v>0</v>
      </c>
      <c r="CQ34" s="44">
        <f>IFERROR(_xlfn.IFS($C34="1",('Inputs-System'!$C$30*'Coincidence Factors'!$B$10*(1+'Inputs-System'!$C$18)*(1+'Inputs-System'!$C$41))*'Inputs-Proposals'!$G$17*'Inputs-Proposals'!$G$19*(1-'Inputs-Proposals'!$G$20^(CP$3-'Inputs-System'!$C$7))*(VLOOKUP(CP$3,'Embedded Emissions'!$A$47:$B$78,2,FALSE)+VLOOKUP(CP$3,'Embedded Emissions'!$A$129:$B$158,2,FALSE)), $C34 = "2",('Inputs-System'!$C$30*'Coincidence Factors'!$B$10*(1+'Inputs-System'!$C$18)*(1+'Inputs-System'!$C$41))*'Inputs-Proposals'!$G$23*'Inputs-Proposals'!$G$25*(1-'Inputs-Proposals'!$G$20^(CP$3-'Inputs-System'!$C$7))*(VLOOKUP(CP$3,'Embedded Emissions'!$A$47:$B$78,2,FALSE)+VLOOKUP(CP$3,'Embedded Emissions'!$A$129:$B$158,2,FALSE)), $C34 = "3", ('Inputs-System'!$C$30*'Coincidence Factors'!$B$10*(1+'Inputs-System'!$C$18)*(1+'Inputs-System'!$C$41))*'Inputs-Proposals'!$G$29*'Inputs-Proposals'!$G$31*(1-'Inputs-Proposals'!$G$20^(CP$3-'Inputs-System'!$C$7))*(VLOOKUP(CP$3,'Embedded Emissions'!$A$47:$B$78,2,FALSE)+VLOOKUP(CP$3,'Embedded Emissions'!$A$129:$B$158,2,FALSE)), $C34 = "0", 0), 0)</f>
        <v>0</v>
      </c>
      <c r="CR34" s="44">
        <f>IFERROR(_xlfn.IFS($C34="1",( 'Inputs-System'!$C$30*'Coincidence Factors'!$B$10*(1+'Inputs-System'!$C$18)*(1+'Inputs-System'!$C$41))*('Inputs-Proposals'!$G$17*'Inputs-Proposals'!$G$19*(1-'Inputs-Proposals'!$G$20)^(CP$3-'Inputs-System'!$C$7))*(VLOOKUP(CP$3,DRIPE!$A$54:$I$82,5,FALSE)+VLOOKUP(CP$3,DRIPE!$A$54:$I$82,9,FALSE))+ ('Inputs-System'!$C$26*'Coincidence Factors'!$B$6*(1+'Inputs-System'!$C$18)*(1+'Inputs-System'!$C$42))*'Inputs-Proposals'!$G$16*VLOOKUP(CP$3,DRIPE!$A$54:$I$82,8,FALSE), $C34 = "2",( 'Inputs-System'!$C$30*'Coincidence Factors'!$B$10*(1+'Inputs-System'!$C$18)*(1+'Inputs-System'!$C$41))*('Inputs-Proposals'!$G$23*'Inputs-Proposals'!$G$25*(1-'Inputs-Proposals'!$G$26)^(CP$3-'Inputs-System'!$C$7))*(VLOOKUP(CP$3,DRIPE!$A$54:$I$82,5,FALSE)+VLOOKUP(CP$3,DRIPE!$A$54:$I$82,9,FALSE))+ ('Inputs-System'!$C$26*'Coincidence Factors'!$B$6*(1+'Inputs-System'!$C$18)*(1+'Inputs-System'!$C$42))*'Inputs-Proposals'!$G$22*VLOOKUP(CP$3,DRIPE!$A$54:$I$82,8,FALSE), $C34= "3", ( 'Inputs-System'!$C$30*'Coincidence Factors'!$B$10*(1+'Inputs-System'!$C$18)*(1+'Inputs-System'!$C$41))*('Inputs-Proposals'!$G$29*'Inputs-Proposals'!$G$31*(1-'Inputs-Proposals'!$G$32)^(CP$3-'Inputs-System'!$C$7))*(VLOOKUP(CP$3,DRIPE!$A$54:$I$82,5,FALSE)+VLOOKUP(CP$3,DRIPE!$A$54:$I$82,9,FALSE))+ ('Inputs-System'!$C$26*'Coincidence Factors'!$B$6*(1+'Inputs-System'!$C$18)*(1+'Inputs-System'!$C$42))*'Inputs-Proposals'!$G$28*VLOOKUP(CP$3,DRIPE!$A$54:$I$82,8,FALSE), $C34 = "0", 0), 0)</f>
        <v>0</v>
      </c>
      <c r="CS34" s="45">
        <f>IFERROR(_xlfn.IFS($C34="1",('Inputs-System'!$C$26*'Coincidence Factors'!$B$10*(1+'Inputs-System'!$C$18)*(1+'Inputs-System'!$C$42))*'Inputs-Proposals'!$D$16*(VLOOKUP(CP$3,Capacity!$A$53:$E$85,4,FALSE)*(1+'Inputs-System'!$C$42)+VLOOKUP(CP$3,Capacity!$A$53:$E$85,5,FALSE)*(1+'Inputs-System'!$C$43)*'Inputs-System'!$C$29), $C34 = "2", ('Inputs-System'!$C$26*'Coincidence Factors'!$B$10*(1+'Inputs-System'!$C$18))*'Inputs-Proposals'!$D$22*(VLOOKUP(CP$3,Capacity!$A$53:$E$85,4,FALSE)*(1+'Inputs-System'!$C$42)+VLOOKUP(CP$3,Capacity!$A$53:$E$85,5,FALSE)*'Inputs-System'!$C$29*(1+'Inputs-System'!$C$43)), $C34 = "3", ('Inputs-System'!$C$26*'Coincidence Factors'!$B$10*(1+'Inputs-System'!$C$18))*'Inputs-Proposals'!$D$28*(VLOOKUP(CP$3,Capacity!$A$53:$E$85,4,FALSE)*(1+'Inputs-System'!$C$42)+VLOOKUP(CP$3,Capacity!$A$53:$E$85,5,FALSE)*'Inputs-System'!$C$29*(1+'Inputs-System'!$C$43)), $C34 = "0", 0), 0)</f>
        <v>0</v>
      </c>
      <c r="CT34" s="44">
        <v>0</v>
      </c>
      <c r="CU34" s="342">
        <f>IFERROR(_xlfn.IFS($C34="1", 'Inputs-System'!$C$30*'Coincidence Factors'!$B$10*'Inputs-Proposals'!$G$17*'Inputs-Proposals'!$G$19*(VLOOKUP(CP$3,'Non-Embedded Emissions'!$A$56:$D$90,2,FALSE)-VLOOKUP(CP$3,'Non-Embedded Emissions'!$F$57:$H$88,3,FALSE)+VLOOKUP(CP$3,'Non-Embedded Emissions'!$A$143:$D$174,2,FALSE)-VLOOKUP(CP$3,'Non-Embedded Emissions'!$F$143:$H$174,3,FALSE)+VLOOKUP(CP$3,'Non-Embedded Emissions'!$A$230:$D$259,2,FALSE)), $C34 = "2", 'Inputs-System'!$C$30*'Coincidence Factors'!$B$10*'Inputs-Proposals'!$G$23*'Inputs-Proposals'!$G$25*(VLOOKUP(CP$3,'Non-Embedded Emissions'!$A$56:$D$90,2,FALSE)-VLOOKUP(CP$3,'Non-Embedded Emissions'!$F$57:$H$88,3,FALSE)+VLOOKUP(CP$3,'Non-Embedded Emissions'!$A$143:$D$174,2,FALSE)-VLOOKUP(CP$3,'Non-Embedded Emissions'!$F$143:$H$174,3,FALSE)+VLOOKUP(CP$3,'Non-Embedded Emissions'!$A$230:$D$259,2,FALSE)), $C34 = "3", 'Inputs-System'!$C$30*'Coincidence Factors'!$B$10*'Inputs-Proposals'!$G$29*'Inputs-Proposals'!$G$31*(VLOOKUP(CP$3,'Non-Embedded Emissions'!$A$56:$D$90,2,FALSE)-VLOOKUP(CP$3,'Non-Embedded Emissions'!$F$57:$H$88,3,FALSE)+VLOOKUP(CP$3,'Non-Embedded Emissions'!$A$143:$D$174,2,FALSE)-VLOOKUP(CP$3,'Non-Embedded Emissions'!$F$143:$H$174,3,FALSE)+VLOOKUP(CP$3,'Non-Embedded Emissions'!$A$230:$D$259,2,FALSE)), $C34 = "0", 0), 0)</f>
        <v>0</v>
      </c>
      <c r="CV34" s="45">
        <f>IFERROR(_xlfn.IFS($C34="1",('Inputs-System'!$C$30*'Coincidence Factors'!$B$10*(1+'Inputs-System'!$C$18)*(1+'Inputs-System'!$C$41)*('Inputs-Proposals'!$G$17*'Inputs-Proposals'!$G$19*(1-'Inputs-Proposals'!$G$20^(CV$3-'Inputs-System'!$C$7)))*(VLOOKUP(CV$3,Energy!$A$51:$K$83,5,FALSE))), $C34 = "2",('Inputs-System'!$C$30*'Coincidence Factors'!$B$10)*(1+'Inputs-System'!$C$18)*(1+'Inputs-System'!$C$41)*('Inputs-Proposals'!$G$23*'Inputs-Proposals'!$G$25*(1-'Inputs-Proposals'!$G$26^(CV$3-'Inputs-System'!$C$7)))*(VLOOKUP(CV$3,Energy!$A$51:$K$83,5,FALSE)), $C34= "3", ('Inputs-System'!$C$30*'Coincidence Factors'!$B$10*(1+'Inputs-System'!$C$18)*(1+'Inputs-System'!$C$41)*('Inputs-Proposals'!$G$29*'Inputs-Proposals'!$G$31*(1-'Inputs-Proposals'!$G$32^(CV$3-'Inputs-System'!$C$7)))*(VLOOKUP(CV$3,Energy!$A$51:$K$83,5,FALSE))), $C34= "0", 0), 0)</f>
        <v>0</v>
      </c>
      <c r="CW34" s="44">
        <f>IFERROR(_xlfn.IFS($C34="1",('Inputs-System'!$C$30*'Coincidence Factors'!$B$10*(1+'Inputs-System'!$C$18)*(1+'Inputs-System'!$C$41))*'Inputs-Proposals'!$G$17*'Inputs-Proposals'!$G$19*(1-'Inputs-Proposals'!$G$20^(CV$3-'Inputs-System'!$C$7))*(VLOOKUP(CV$3,'Embedded Emissions'!$A$47:$B$78,2,FALSE)+VLOOKUP(CV$3,'Embedded Emissions'!$A$129:$B$158,2,FALSE)), $C34 = "2",('Inputs-System'!$C$30*'Coincidence Factors'!$B$10*(1+'Inputs-System'!$C$18)*(1+'Inputs-System'!$C$41))*'Inputs-Proposals'!$G$23*'Inputs-Proposals'!$G$25*(1-'Inputs-Proposals'!$G$20^(CV$3-'Inputs-System'!$C$7))*(VLOOKUP(CV$3,'Embedded Emissions'!$A$47:$B$78,2,FALSE)+VLOOKUP(CV$3,'Embedded Emissions'!$A$129:$B$158,2,FALSE)), $C34 = "3", ('Inputs-System'!$C$30*'Coincidence Factors'!$B$10*(1+'Inputs-System'!$C$18)*(1+'Inputs-System'!$C$41))*'Inputs-Proposals'!$G$29*'Inputs-Proposals'!$G$31*(1-'Inputs-Proposals'!$G$20^(CV$3-'Inputs-System'!$C$7))*(VLOOKUP(CV$3,'Embedded Emissions'!$A$47:$B$78,2,FALSE)+VLOOKUP(CV$3,'Embedded Emissions'!$A$129:$B$158,2,FALSE)), $C34 = "0", 0), 0)</f>
        <v>0</v>
      </c>
      <c r="CX34" s="44">
        <f>IFERROR(_xlfn.IFS($C34="1",( 'Inputs-System'!$C$30*'Coincidence Factors'!$B$10*(1+'Inputs-System'!$C$18)*(1+'Inputs-System'!$C$41))*('Inputs-Proposals'!$G$17*'Inputs-Proposals'!$G$19*(1-'Inputs-Proposals'!$G$20)^(CV$3-'Inputs-System'!$C$7))*(VLOOKUP(CV$3,DRIPE!$A$54:$I$82,5,FALSE)+VLOOKUP(CV$3,DRIPE!$A$54:$I$82,9,FALSE))+ ('Inputs-System'!$C$26*'Coincidence Factors'!$B$6*(1+'Inputs-System'!$C$18)*(1+'Inputs-System'!$C$42))*'Inputs-Proposals'!$G$16*VLOOKUP(CV$3,DRIPE!$A$54:$I$82,8,FALSE), $C34 = "2",( 'Inputs-System'!$C$30*'Coincidence Factors'!$B$10*(1+'Inputs-System'!$C$18)*(1+'Inputs-System'!$C$41))*('Inputs-Proposals'!$G$23*'Inputs-Proposals'!$G$25*(1-'Inputs-Proposals'!$G$26)^(CV$3-'Inputs-System'!$C$7))*(VLOOKUP(CV$3,DRIPE!$A$54:$I$82,5,FALSE)+VLOOKUP(CV$3,DRIPE!$A$54:$I$82,9,FALSE))+ ('Inputs-System'!$C$26*'Coincidence Factors'!$B$6*(1+'Inputs-System'!$C$18)*(1+'Inputs-System'!$C$42))*'Inputs-Proposals'!$G$22*VLOOKUP(CV$3,DRIPE!$A$54:$I$82,8,FALSE), $C34= "3", ( 'Inputs-System'!$C$30*'Coincidence Factors'!$B$10*(1+'Inputs-System'!$C$18)*(1+'Inputs-System'!$C$41))*('Inputs-Proposals'!$G$29*'Inputs-Proposals'!$G$31*(1-'Inputs-Proposals'!$G$32)^(CV$3-'Inputs-System'!$C$7))*(VLOOKUP(CV$3,DRIPE!$A$54:$I$82,5,FALSE)+VLOOKUP(CV$3,DRIPE!$A$54:$I$82,9,FALSE))+ ('Inputs-System'!$C$26*'Coincidence Factors'!$B$6*(1+'Inputs-System'!$C$18)*(1+'Inputs-System'!$C$42))*'Inputs-Proposals'!$G$28*VLOOKUP(CV$3,DRIPE!$A$54:$I$82,8,FALSE), $C34 = "0", 0), 0)</f>
        <v>0</v>
      </c>
      <c r="CY34" s="45">
        <f>IFERROR(_xlfn.IFS($C34="1",('Inputs-System'!$C$26*'Coincidence Factors'!$B$10*(1+'Inputs-System'!$C$18)*(1+'Inputs-System'!$C$42))*'Inputs-Proposals'!$D$16*(VLOOKUP(CV$3,Capacity!$A$53:$E$85,4,FALSE)*(1+'Inputs-System'!$C$42)+VLOOKUP(CV$3,Capacity!$A$53:$E$85,5,FALSE)*(1+'Inputs-System'!$C$43)*'Inputs-System'!$C$29), $C34 = "2", ('Inputs-System'!$C$26*'Coincidence Factors'!$B$10*(1+'Inputs-System'!$C$18))*'Inputs-Proposals'!$D$22*(VLOOKUP(CV$3,Capacity!$A$53:$E$85,4,FALSE)*(1+'Inputs-System'!$C$42)+VLOOKUP(CV$3,Capacity!$A$53:$E$85,5,FALSE)*'Inputs-System'!$C$29*(1+'Inputs-System'!$C$43)), $C34 = "3", ('Inputs-System'!$C$26*'Coincidence Factors'!$B$10*(1+'Inputs-System'!$C$18))*'Inputs-Proposals'!$D$28*(VLOOKUP(CV$3,Capacity!$A$53:$E$85,4,FALSE)*(1+'Inputs-System'!$C$42)+VLOOKUP(CV$3,Capacity!$A$53:$E$85,5,FALSE)*'Inputs-System'!$C$29*(1+'Inputs-System'!$C$43)), $C34 = "0", 0), 0)</f>
        <v>0</v>
      </c>
      <c r="CZ34" s="44">
        <v>0</v>
      </c>
      <c r="DA34" s="342">
        <f>IFERROR(_xlfn.IFS($C34="1", 'Inputs-System'!$C$30*'Coincidence Factors'!$B$10*'Inputs-Proposals'!$G$17*'Inputs-Proposals'!$G$19*(VLOOKUP(CV$3,'Non-Embedded Emissions'!$A$56:$D$90,2,FALSE)-VLOOKUP(CV$3,'Non-Embedded Emissions'!$F$57:$H$88,3,FALSE)+VLOOKUP(CV$3,'Non-Embedded Emissions'!$A$143:$D$174,2,FALSE)-VLOOKUP(CV$3,'Non-Embedded Emissions'!$F$143:$H$174,3,FALSE)+VLOOKUP(CV$3,'Non-Embedded Emissions'!$A$230:$D$259,2,FALSE)), $C34 = "2", 'Inputs-System'!$C$30*'Coincidence Factors'!$B$10*'Inputs-Proposals'!$G$23*'Inputs-Proposals'!$G$25*(VLOOKUP(CV$3,'Non-Embedded Emissions'!$A$56:$D$90,2,FALSE)-VLOOKUP(CV$3,'Non-Embedded Emissions'!$F$57:$H$88,3,FALSE)+VLOOKUP(CV$3,'Non-Embedded Emissions'!$A$143:$D$174,2,FALSE)-VLOOKUP(CV$3,'Non-Embedded Emissions'!$F$143:$H$174,3,FALSE)+VLOOKUP(CV$3,'Non-Embedded Emissions'!$A$230:$D$259,2,FALSE)), $C34 = "3", 'Inputs-System'!$C$30*'Coincidence Factors'!$B$10*'Inputs-Proposals'!$G$29*'Inputs-Proposals'!$G$31*(VLOOKUP(CV$3,'Non-Embedded Emissions'!$A$56:$D$90,2,FALSE)-VLOOKUP(CV$3,'Non-Embedded Emissions'!$F$57:$H$88,3,FALSE)+VLOOKUP(CV$3,'Non-Embedded Emissions'!$A$143:$D$174,2,FALSE)-VLOOKUP(CV$3,'Non-Embedded Emissions'!$F$143:$H$174,3,FALSE)+VLOOKUP(CV$3,'Non-Embedded Emissions'!$A$230:$D$259,2,FALSE)), $C34 = "0", 0), 0)</f>
        <v>0</v>
      </c>
      <c r="DB34" s="45">
        <f>IFERROR(_xlfn.IFS($C34="1",('Inputs-System'!$C$30*'Coincidence Factors'!$B$10*(1+'Inputs-System'!$C$18)*(1+'Inputs-System'!$C$41)*('Inputs-Proposals'!$G$17*'Inputs-Proposals'!$G$19*(1-'Inputs-Proposals'!$G$20^(DB$3-'Inputs-System'!$C$7)))*(VLOOKUP(DB$3,Energy!$A$51:$K$83,5,FALSE))), $C34 = "2",('Inputs-System'!$C$30*'Coincidence Factors'!$B$10)*(1+'Inputs-System'!$C$18)*(1+'Inputs-System'!$C$41)*('Inputs-Proposals'!$G$23*'Inputs-Proposals'!$G$25*(1-'Inputs-Proposals'!$G$26^(DB$3-'Inputs-System'!$C$7)))*(VLOOKUP(DB$3,Energy!$A$51:$K$83,5,FALSE)), $C34= "3", ('Inputs-System'!$C$30*'Coincidence Factors'!$B$10*(1+'Inputs-System'!$C$18)*(1+'Inputs-System'!$C$41)*('Inputs-Proposals'!$G$29*'Inputs-Proposals'!$G$31*(1-'Inputs-Proposals'!$G$32^(DB$3-'Inputs-System'!$C$7)))*(VLOOKUP(DB$3,Energy!$A$51:$K$83,5,FALSE))), $C34= "0", 0), 0)</f>
        <v>0</v>
      </c>
      <c r="DC34" s="44">
        <f>IFERROR(_xlfn.IFS($C34="1",('Inputs-System'!$C$30*'Coincidence Factors'!$B$10*(1+'Inputs-System'!$C$18)*(1+'Inputs-System'!$C$41))*'Inputs-Proposals'!$G$17*'Inputs-Proposals'!$G$19*(1-'Inputs-Proposals'!$G$20^(DB$3-'Inputs-System'!$C$7))*(VLOOKUP(DB$3,'Embedded Emissions'!$A$47:$B$78,2,FALSE)+VLOOKUP(DB$3,'Embedded Emissions'!$A$129:$B$158,2,FALSE)), $C34 = "2",('Inputs-System'!$C$30*'Coincidence Factors'!$B$10*(1+'Inputs-System'!$C$18)*(1+'Inputs-System'!$C$41))*'Inputs-Proposals'!$G$23*'Inputs-Proposals'!$G$25*(1-'Inputs-Proposals'!$G$20^(DB$3-'Inputs-System'!$C$7))*(VLOOKUP(DB$3,'Embedded Emissions'!$A$47:$B$78,2,FALSE)+VLOOKUP(DB$3,'Embedded Emissions'!$A$129:$B$158,2,FALSE)), $C34 = "3", ('Inputs-System'!$C$30*'Coincidence Factors'!$B$10*(1+'Inputs-System'!$C$18)*(1+'Inputs-System'!$C$41))*'Inputs-Proposals'!$G$29*'Inputs-Proposals'!$G$31*(1-'Inputs-Proposals'!$G$20^(DB$3-'Inputs-System'!$C$7))*(VLOOKUP(DB$3,'Embedded Emissions'!$A$47:$B$78,2,FALSE)+VLOOKUP(DB$3,'Embedded Emissions'!$A$129:$B$158,2,FALSE)), $C34 = "0", 0), 0)</f>
        <v>0</v>
      </c>
      <c r="DD34" s="44">
        <f>IFERROR(_xlfn.IFS($C34="1",( 'Inputs-System'!$C$30*'Coincidence Factors'!$B$10*(1+'Inputs-System'!$C$18)*(1+'Inputs-System'!$C$41))*('Inputs-Proposals'!$G$17*'Inputs-Proposals'!$G$19*(1-'Inputs-Proposals'!$G$20)^(DB$3-'Inputs-System'!$C$7))*(VLOOKUP(DB$3,DRIPE!$A$54:$I$82,5,FALSE)+VLOOKUP(DB$3,DRIPE!$A$54:$I$82,9,FALSE))+ ('Inputs-System'!$C$26*'Coincidence Factors'!$B$6*(1+'Inputs-System'!$C$18)*(1+'Inputs-System'!$C$42))*'Inputs-Proposals'!$G$16*VLOOKUP(DB$3,DRIPE!$A$54:$I$82,8,FALSE), $C34 = "2",( 'Inputs-System'!$C$30*'Coincidence Factors'!$B$10*(1+'Inputs-System'!$C$18)*(1+'Inputs-System'!$C$41))*('Inputs-Proposals'!$G$23*'Inputs-Proposals'!$G$25*(1-'Inputs-Proposals'!$G$26)^(DB$3-'Inputs-System'!$C$7))*(VLOOKUP(DB$3,DRIPE!$A$54:$I$82,5,FALSE)+VLOOKUP(DB$3,DRIPE!$A$54:$I$82,9,FALSE))+ ('Inputs-System'!$C$26*'Coincidence Factors'!$B$6*(1+'Inputs-System'!$C$18)*(1+'Inputs-System'!$C$42))*'Inputs-Proposals'!$G$22*VLOOKUP(DB$3,DRIPE!$A$54:$I$82,8,FALSE), $C34= "3", ( 'Inputs-System'!$C$30*'Coincidence Factors'!$B$10*(1+'Inputs-System'!$C$18)*(1+'Inputs-System'!$C$41))*('Inputs-Proposals'!$G$29*'Inputs-Proposals'!$G$31*(1-'Inputs-Proposals'!$G$32)^(DB$3-'Inputs-System'!$C$7))*(VLOOKUP(DB$3,DRIPE!$A$54:$I$82,5,FALSE)+VLOOKUP(DB$3,DRIPE!$A$54:$I$82,9,FALSE))+ ('Inputs-System'!$C$26*'Coincidence Factors'!$B$6*(1+'Inputs-System'!$C$18)*(1+'Inputs-System'!$C$42))*'Inputs-Proposals'!$G$28*VLOOKUP(DB$3,DRIPE!$A$54:$I$82,8,FALSE), $C34 = "0", 0), 0)</f>
        <v>0</v>
      </c>
      <c r="DE34" s="45">
        <f>IFERROR(_xlfn.IFS($C34="1",('Inputs-System'!$C$26*'Coincidence Factors'!$B$10*(1+'Inputs-System'!$C$18)*(1+'Inputs-System'!$C$42))*'Inputs-Proposals'!$D$16*(VLOOKUP(DB$3,Capacity!$A$53:$E$85,4,FALSE)*(1+'Inputs-System'!$C$42)+VLOOKUP(DB$3,Capacity!$A$53:$E$85,5,FALSE)*(1+'Inputs-System'!$C$43)*'Inputs-System'!$C$29), $C34 = "2", ('Inputs-System'!$C$26*'Coincidence Factors'!$B$10*(1+'Inputs-System'!$C$18))*'Inputs-Proposals'!$D$22*(VLOOKUP(DB$3,Capacity!$A$53:$E$85,4,FALSE)*(1+'Inputs-System'!$C$42)+VLOOKUP(DB$3,Capacity!$A$53:$E$85,5,FALSE)*'Inputs-System'!$C$29*(1+'Inputs-System'!$C$43)), $C34 = "3", ('Inputs-System'!$C$26*'Coincidence Factors'!$B$10*(1+'Inputs-System'!$C$18))*'Inputs-Proposals'!$D$28*(VLOOKUP(DB$3,Capacity!$A$53:$E$85,4,FALSE)*(1+'Inputs-System'!$C$42)+VLOOKUP(DB$3,Capacity!$A$53:$E$85,5,FALSE)*'Inputs-System'!$C$29*(1+'Inputs-System'!$C$43)), $C34 = "0", 0), 0)</f>
        <v>0</v>
      </c>
      <c r="DF34" s="44">
        <v>0</v>
      </c>
      <c r="DG34" s="342">
        <f>IFERROR(_xlfn.IFS($C34="1", 'Inputs-System'!$C$30*'Coincidence Factors'!$B$10*'Inputs-Proposals'!$G$17*'Inputs-Proposals'!$G$19*(VLOOKUP(DB$3,'Non-Embedded Emissions'!$A$56:$D$90,2,FALSE)-VLOOKUP(DB$3,'Non-Embedded Emissions'!$F$57:$H$88,3,FALSE)+VLOOKUP(DB$3,'Non-Embedded Emissions'!$A$143:$D$174,2,FALSE)-VLOOKUP(DB$3,'Non-Embedded Emissions'!$F$143:$H$174,3,FALSE)+VLOOKUP(DB$3,'Non-Embedded Emissions'!$A$230:$D$259,2,FALSE)), $C34 = "2", 'Inputs-System'!$C$30*'Coincidence Factors'!$B$10*'Inputs-Proposals'!$G$23*'Inputs-Proposals'!$G$25*(VLOOKUP(DB$3,'Non-Embedded Emissions'!$A$56:$D$90,2,FALSE)-VLOOKUP(DB$3,'Non-Embedded Emissions'!$F$57:$H$88,3,FALSE)+VLOOKUP(DB$3,'Non-Embedded Emissions'!$A$143:$D$174,2,FALSE)-VLOOKUP(DB$3,'Non-Embedded Emissions'!$F$143:$H$174,3,FALSE)+VLOOKUP(DB$3,'Non-Embedded Emissions'!$A$230:$D$259,2,FALSE)), $C34 = "3", 'Inputs-System'!$C$30*'Coincidence Factors'!$B$10*'Inputs-Proposals'!$G$29*'Inputs-Proposals'!$G$31*(VLOOKUP(DB$3,'Non-Embedded Emissions'!$A$56:$D$90,2,FALSE)-VLOOKUP(DB$3,'Non-Embedded Emissions'!$F$57:$H$88,3,FALSE)+VLOOKUP(DB$3,'Non-Embedded Emissions'!$A$143:$D$174,2,FALSE)-VLOOKUP(DB$3,'Non-Embedded Emissions'!$F$143:$H$174,3,FALSE)+VLOOKUP(DB$3,'Non-Embedded Emissions'!$A$230:$D$259,2,FALSE)), $C34 = "0", 0), 0)</f>
        <v>0</v>
      </c>
      <c r="DH34" s="45">
        <f>IFERROR(_xlfn.IFS($C34="1",('Inputs-System'!$C$30*'Coincidence Factors'!$B$10*(1+'Inputs-System'!$C$18)*(1+'Inputs-System'!$C$41)*('Inputs-Proposals'!$G$17*'Inputs-Proposals'!$G$19*(1-'Inputs-Proposals'!$G$20^(DH$3-'Inputs-System'!$C$7)))*(VLOOKUP(DH$3,Energy!$A$51:$K$83,5,FALSE))), $C34 = "2",('Inputs-System'!$C$30*'Coincidence Factors'!$B$10)*(1+'Inputs-System'!$C$18)*(1+'Inputs-System'!$C$41)*('Inputs-Proposals'!$G$23*'Inputs-Proposals'!$G$25*(1-'Inputs-Proposals'!$G$26^(DH$3-'Inputs-System'!$C$7)))*(VLOOKUP(DH$3,Energy!$A$51:$K$83,5,FALSE)), $C34= "3", ('Inputs-System'!$C$30*'Coincidence Factors'!$B$10*(1+'Inputs-System'!$C$18)*(1+'Inputs-System'!$C$41)*('Inputs-Proposals'!$G$29*'Inputs-Proposals'!$G$31*(1-'Inputs-Proposals'!$G$32^(DH$3-'Inputs-System'!$C$7)))*(VLOOKUP(DH$3,Energy!$A$51:$K$83,5,FALSE))), $C34= "0", 0), 0)</f>
        <v>0</v>
      </c>
      <c r="DI34" s="44">
        <f>IFERROR(_xlfn.IFS($C34="1",('Inputs-System'!$C$30*'Coincidence Factors'!$B$10*(1+'Inputs-System'!$C$18)*(1+'Inputs-System'!$C$41))*'Inputs-Proposals'!$G$17*'Inputs-Proposals'!$G$19*(1-'Inputs-Proposals'!$G$20^(DH$3-'Inputs-System'!$C$7))*(VLOOKUP(DH$3,'Embedded Emissions'!$A$47:$B$78,2,FALSE)+VLOOKUP(DH$3,'Embedded Emissions'!$A$129:$B$158,2,FALSE)), $C34 = "2",('Inputs-System'!$C$30*'Coincidence Factors'!$B$10*(1+'Inputs-System'!$C$18)*(1+'Inputs-System'!$C$41))*'Inputs-Proposals'!$G$23*'Inputs-Proposals'!$G$25*(1-'Inputs-Proposals'!$G$20^(DH$3-'Inputs-System'!$C$7))*(VLOOKUP(DH$3,'Embedded Emissions'!$A$47:$B$78,2,FALSE)+VLOOKUP(DH$3,'Embedded Emissions'!$A$129:$B$158,2,FALSE)), $C34 = "3", ('Inputs-System'!$C$30*'Coincidence Factors'!$B$10*(1+'Inputs-System'!$C$18)*(1+'Inputs-System'!$C$41))*'Inputs-Proposals'!$G$29*'Inputs-Proposals'!$G$31*(1-'Inputs-Proposals'!$G$20^(DH$3-'Inputs-System'!$C$7))*(VLOOKUP(DH$3,'Embedded Emissions'!$A$47:$B$78,2,FALSE)+VLOOKUP(DH$3,'Embedded Emissions'!$A$129:$B$158,2,FALSE)), $C34 = "0", 0), 0)</f>
        <v>0</v>
      </c>
      <c r="DJ34" s="44">
        <f>IFERROR(_xlfn.IFS($C34="1",( 'Inputs-System'!$C$30*'Coincidence Factors'!$B$10*(1+'Inputs-System'!$C$18)*(1+'Inputs-System'!$C$41))*('Inputs-Proposals'!$G$17*'Inputs-Proposals'!$G$19*(1-'Inputs-Proposals'!$G$20)^(DH$3-'Inputs-System'!$C$7))*(VLOOKUP(DH$3,DRIPE!$A$54:$I$82,5,FALSE)+VLOOKUP(DH$3,DRIPE!$A$54:$I$82,9,FALSE))+ ('Inputs-System'!$C$26*'Coincidence Factors'!$B$6*(1+'Inputs-System'!$C$18)*(1+'Inputs-System'!$C$42))*'Inputs-Proposals'!$G$16*VLOOKUP(DH$3,DRIPE!$A$54:$I$82,8,FALSE), $C34 = "2",( 'Inputs-System'!$C$30*'Coincidence Factors'!$B$10*(1+'Inputs-System'!$C$18)*(1+'Inputs-System'!$C$41))*('Inputs-Proposals'!$G$23*'Inputs-Proposals'!$G$25*(1-'Inputs-Proposals'!$G$26)^(DH$3-'Inputs-System'!$C$7))*(VLOOKUP(DH$3,DRIPE!$A$54:$I$82,5,FALSE)+VLOOKUP(DH$3,DRIPE!$A$54:$I$82,9,FALSE))+ ('Inputs-System'!$C$26*'Coincidence Factors'!$B$6*(1+'Inputs-System'!$C$18)*(1+'Inputs-System'!$C$42))*'Inputs-Proposals'!$G$22*VLOOKUP(DH$3,DRIPE!$A$54:$I$82,8,FALSE), $C34= "3", ( 'Inputs-System'!$C$30*'Coincidence Factors'!$B$10*(1+'Inputs-System'!$C$18)*(1+'Inputs-System'!$C$41))*('Inputs-Proposals'!$G$29*'Inputs-Proposals'!$G$31*(1-'Inputs-Proposals'!$G$32)^(DH$3-'Inputs-System'!$C$7))*(VLOOKUP(DH$3,DRIPE!$A$54:$I$82,5,FALSE)+VLOOKUP(DH$3,DRIPE!$A$54:$I$82,9,FALSE))+ ('Inputs-System'!$C$26*'Coincidence Factors'!$B$6*(1+'Inputs-System'!$C$18)*(1+'Inputs-System'!$C$42))*'Inputs-Proposals'!$G$28*VLOOKUP(DH$3,DRIPE!$A$54:$I$82,8,FALSE), $C34 = "0", 0), 0)</f>
        <v>0</v>
      </c>
      <c r="DK34" s="45">
        <f>IFERROR(_xlfn.IFS($C34="1",('Inputs-System'!$C$26*'Coincidence Factors'!$B$10*(1+'Inputs-System'!$C$18)*(1+'Inputs-System'!$C$42))*'Inputs-Proposals'!$D$16*(VLOOKUP(DH$3,Capacity!$A$53:$E$85,4,FALSE)*(1+'Inputs-System'!$C$42)+VLOOKUP(DH$3,Capacity!$A$53:$E$85,5,FALSE)*(1+'Inputs-System'!$C$43)*'Inputs-System'!$C$29), $C34 = "2", ('Inputs-System'!$C$26*'Coincidence Factors'!$B$10*(1+'Inputs-System'!$C$18))*'Inputs-Proposals'!$D$22*(VLOOKUP(DH$3,Capacity!$A$53:$E$85,4,FALSE)*(1+'Inputs-System'!$C$42)+VLOOKUP(DH$3,Capacity!$A$53:$E$85,5,FALSE)*'Inputs-System'!$C$29*(1+'Inputs-System'!$C$43)), $C34 = "3", ('Inputs-System'!$C$26*'Coincidence Factors'!$B$10*(1+'Inputs-System'!$C$18))*'Inputs-Proposals'!$D$28*(VLOOKUP(DH$3,Capacity!$A$53:$E$85,4,FALSE)*(1+'Inputs-System'!$C$42)+VLOOKUP(DH$3,Capacity!$A$53:$E$85,5,FALSE)*'Inputs-System'!$C$29*(1+'Inputs-System'!$C$43)), $C34 = "0", 0), 0)</f>
        <v>0</v>
      </c>
      <c r="DL34" s="44">
        <v>0</v>
      </c>
      <c r="DM34" s="342">
        <f>IFERROR(_xlfn.IFS($C34="1", 'Inputs-System'!$C$30*'Coincidence Factors'!$B$10*'Inputs-Proposals'!$G$17*'Inputs-Proposals'!$G$19*(VLOOKUP(DH$3,'Non-Embedded Emissions'!$A$56:$D$90,2,FALSE)-VLOOKUP(DH$3,'Non-Embedded Emissions'!$F$57:$H$88,3,FALSE)+VLOOKUP(DH$3,'Non-Embedded Emissions'!$A$143:$D$174,2,FALSE)-VLOOKUP(DH$3,'Non-Embedded Emissions'!$F$143:$H$174,3,FALSE)+VLOOKUP(DH$3,'Non-Embedded Emissions'!$A$230:$D$259,2,FALSE)), $C34 = "2", 'Inputs-System'!$C$30*'Coincidence Factors'!$B$10*'Inputs-Proposals'!$G$23*'Inputs-Proposals'!$G$25*(VLOOKUP(DH$3,'Non-Embedded Emissions'!$A$56:$D$90,2,FALSE)-VLOOKUP(DH$3,'Non-Embedded Emissions'!$F$57:$H$88,3,FALSE)+VLOOKUP(DH$3,'Non-Embedded Emissions'!$A$143:$D$174,2,FALSE)-VLOOKUP(DH$3,'Non-Embedded Emissions'!$F$143:$H$174,3,FALSE)+VLOOKUP(DH$3,'Non-Embedded Emissions'!$A$230:$D$259,2,FALSE)), $C34 = "3", 'Inputs-System'!$C$30*'Coincidence Factors'!$B$10*'Inputs-Proposals'!$G$29*'Inputs-Proposals'!$G$31*(VLOOKUP(DH$3,'Non-Embedded Emissions'!$A$56:$D$90,2,FALSE)-VLOOKUP(DH$3,'Non-Embedded Emissions'!$F$57:$H$88,3,FALSE)+VLOOKUP(DH$3,'Non-Embedded Emissions'!$A$143:$D$174,2,FALSE)-VLOOKUP(DH$3,'Non-Embedded Emissions'!$F$143:$H$174,3,FALSE)+VLOOKUP(DH$3,'Non-Embedded Emissions'!$A$230:$D$259,2,FALSE)), $C34 = "0", 0), 0)</f>
        <v>0</v>
      </c>
      <c r="DN34" s="45">
        <f>IFERROR(_xlfn.IFS($C34="1",('Inputs-System'!$C$30*'Coincidence Factors'!$B$10*(1+'Inputs-System'!$C$18)*(1+'Inputs-System'!$C$41)*('Inputs-Proposals'!$G$17*'Inputs-Proposals'!$G$19*(1-'Inputs-Proposals'!$G$20^(DN$3-'Inputs-System'!$C$7)))*(VLOOKUP(DN$3,Energy!$A$51:$K$83,5,FALSE))), $C34 = "2",('Inputs-System'!$C$30*'Coincidence Factors'!$B$10)*(1+'Inputs-System'!$C$18)*(1+'Inputs-System'!$C$41)*('Inputs-Proposals'!$G$23*'Inputs-Proposals'!$G$25*(1-'Inputs-Proposals'!$G$26^(DN$3-'Inputs-System'!$C$7)))*(VLOOKUP(DN$3,Energy!$A$51:$K$83,5,FALSE)), $C34= "3", ('Inputs-System'!$C$30*'Coincidence Factors'!$B$10*(1+'Inputs-System'!$C$18)*(1+'Inputs-System'!$C$41)*('Inputs-Proposals'!$G$29*'Inputs-Proposals'!$G$31*(1-'Inputs-Proposals'!$G$32^(DN$3-'Inputs-System'!$C$7)))*(VLOOKUP(DN$3,Energy!$A$51:$K$83,5,FALSE))), $C34= "0", 0), 0)</f>
        <v>0</v>
      </c>
      <c r="DO34" s="44">
        <f>IFERROR(_xlfn.IFS($C34="1",('Inputs-System'!$C$30*'Coincidence Factors'!$B$10*(1+'Inputs-System'!$C$18)*(1+'Inputs-System'!$C$41))*'Inputs-Proposals'!$G$17*'Inputs-Proposals'!$G$19*(1-'Inputs-Proposals'!$G$20^(DN$3-'Inputs-System'!$C$7))*(VLOOKUP(DN$3,'Embedded Emissions'!$A$47:$B$78,2,FALSE)+VLOOKUP(DN$3,'Embedded Emissions'!$A$129:$B$158,2,FALSE)), $C34 = "2",('Inputs-System'!$C$30*'Coincidence Factors'!$B$10*(1+'Inputs-System'!$C$18)*(1+'Inputs-System'!$C$41))*'Inputs-Proposals'!$G$23*'Inputs-Proposals'!$G$25*(1-'Inputs-Proposals'!$G$20^(DN$3-'Inputs-System'!$C$7))*(VLOOKUP(DN$3,'Embedded Emissions'!$A$47:$B$78,2,FALSE)+VLOOKUP(DN$3,'Embedded Emissions'!$A$129:$B$158,2,FALSE)), $C34 = "3", ('Inputs-System'!$C$30*'Coincidence Factors'!$B$10*(1+'Inputs-System'!$C$18)*(1+'Inputs-System'!$C$41))*'Inputs-Proposals'!$G$29*'Inputs-Proposals'!$G$31*(1-'Inputs-Proposals'!$G$20^(DN$3-'Inputs-System'!$C$7))*(VLOOKUP(DN$3,'Embedded Emissions'!$A$47:$B$78,2,FALSE)+VLOOKUP(DN$3,'Embedded Emissions'!$A$129:$B$158,2,FALSE)), $C34 = "0", 0), 0)</f>
        <v>0</v>
      </c>
      <c r="DP34" s="44">
        <f>IFERROR(_xlfn.IFS($C34="1",( 'Inputs-System'!$C$30*'Coincidence Factors'!$B$10*(1+'Inputs-System'!$C$18)*(1+'Inputs-System'!$C$41))*('Inputs-Proposals'!$G$17*'Inputs-Proposals'!$G$19*(1-'Inputs-Proposals'!$G$20)^(DN$3-'Inputs-System'!$C$7))*(VLOOKUP(DN$3,DRIPE!$A$54:$I$82,5,FALSE)+VLOOKUP(DN$3,DRIPE!$A$54:$I$82,9,FALSE))+ ('Inputs-System'!$C$26*'Coincidence Factors'!$B$6*(1+'Inputs-System'!$C$18)*(1+'Inputs-System'!$C$42))*'Inputs-Proposals'!$G$16*VLOOKUP(DN$3,DRIPE!$A$54:$I$82,8,FALSE), $C34 = "2",( 'Inputs-System'!$C$30*'Coincidence Factors'!$B$10*(1+'Inputs-System'!$C$18)*(1+'Inputs-System'!$C$41))*('Inputs-Proposals'!$G$23*'Inputs-Proposals'!$G$25*(1-'Inputs-Proposals'!$G$26)^(DN$3-'Inputs-System'!$C$7))*(VLOOKUP(DN$3,DRIPE!$A$54:$I$82,5,FALSE)+VLOOKUP(DN$3,DRIPE!$A$54:$I$82,9,FALSE))+ ('Inputs-System'!$C$26*'Coincidence Factors'!$B$6*(1+'Inputs-System'!$C$18)*(1+'Inputs-System'!$C$42))*'Inputs-Proposals'!$G$22*VLOOKUP(DN$3,DRIPE!$A$54:$I$82,8,FALSE), $C34= "3", ( 'Inputs-System'!$C$30*'Coincidence Factors'!$B$10*(1+'Inputs-System'!$C$18)*(1+'Inputs-System'!$C$41))*('Inputs-Proposals'!$G$29*'Inputs-Proposals'!$G$31*(1-'Inputs-Proposals'!$G$32)^(DN$3-'Inputs-System'!$C$7))*(VLOOKUP(DN$3,DRIPE!$A$54:$I$82,5,FALSE)+VLOOKUP(DN$3,DRIPE!$A$54:$I$82,9,FALSE))+ ('Inputs-System'!$C$26*'Coincidence Factors'!$B$6*(1+'Inputs-System'!$C$18)*(1+'Inputs-System'!$C$42))*'Inputs-Proposals'!$G$28*VLOOKUP(DN$3,DRIPE!$A$54:$I$82,8,FALSE), $C34 = "0", 0), 0)</f>
        <v>0</v>
      </c>
      <c r="DQ34" s="45">
        <f>IFERROR(_xlfn.IFS($C34="1",('Inputs-System'!$C$26*'Coincidence Factors'!$B$10*(1+'Inputs-System'!$C$18)*(1+'Inputs-System'!$C$42))*'Inputs-Proposals'!$D$16*(VLOOKUP(DN$3,Capacity!$A$53:$E$85,4,FALSE)*(1+'Inputs-System'!$C$42)+VLOOKUP(DN$3,Capacity!$A$53:$E$85,5,FALSE)*(1+'Inputs-System'!$C$43)*'Inputs-System'!$C$29), $C34 = "2", ('Inputs-System'!$C$26*'Coincidence Factors'!$B$10*(1+'Inputs-System'!$C$18))*'Inputs-Proposals'!$D$22*(VLOOKUP(DN$3,Capacity!$A$53:$E$85,4,FALSE)*(1+'Inputs-System'!$C$42)+VLOOKUP(DN$3,Capacity!$A$53:$E$85,5,FALSE)*'Inputs-System'!$C$29*(1+'Inputs-System'!$C$43)), $C34 = "3", ('Inputs-System'!$C$26*'Coincidence Factors'!$B$10*(1+'Inputs-System'!$C$18))*'Inputs-Proposals'!$D$28*(VLOOKUP(DN$3,Capacity!$A$53:$E$85,4,FALSE)*(1+'Inputs-System'!$C$42)+VLOOKUP(DN$3,Capacity!$A$53:$E$85,5,FALSE)*'Inputs-System'!$C$29*(1+'Inputs-System'!$C$43)), $C34 = "0", 0), 0)</f>
        <v>0</v>
      </c>
      <c r="DR34" s="44">
        <v>0</v>
      </c>
      <c r="DS34" s="342">
        <f>IFERROR(_xlfn.IFS($C34="1", 'Inputs-System'!$C$30*'Coincidence Factors'!$B$10*'Inputs-Proposals'!$G$17*'Inputs-Proposals'!$G$19*(VLOOKUP(DN$3,'Non-Embedded Emissions'!$A$56:$D$90,2,FALSE)-VLOOKUP(DN$3,'Non-Embedded Emissions'!$F$57:$H$88,3,FALSE)+VLOOKUP(DN$3,'Non-Embedded Emissions'!$A$143:$D$174,2,FALSE)-VLOOKUP(DN$3,'Non-Embedded Emissions'!$F$143:$H$174,3,FALSE)+VLOOKUP(DN$3,'Non-Embedded Emissions'!$A$230:$D$259,2,FALSE)), $C34 = "2", 'Inputs-System'!$C$30*'Coincidence Factors'!$B$10*'Inputs-Proposals'!$G$23*'Inputs-Proposals'!$G$25*(VLOOKUP(DN$3,'Non-Embedded Emissions'!$A$56:$D$90,2,FALSE)-VLOOKUP(DN$3,'Non-Embedded Emissions'!$F$57:$H$88,3,FALSE)+VLOOKUP(DN$3,'Non-Embedded Emissions'!$A$143:$D$174,2,FALSE)-VLOOKUP(DN$3,'Non-Embedded Emissions'!$F$143:$H$174,3,FALSE)+VLOOKUP(DN$3,'Non-Embedded Emissions'!$A$230:$D$259,2,FALSE)), $C34 = "3", 'Inputs-System'!$C$30*'Coincidence Factors'!$B$10*'Inputs-Proposals'!$G$29*'Inputs-Proposals'!$G$31*(VLOOKUP(DN$3,'Non-Embedded Emissions'!$A$56:$D$90,2,FALSE)-VLOOKUP(DN$3,'Non-Embedded Emissions'!$F$57:$H$88,3,FALSE)+VLOOKUP(DN$3,'Non-Embedded Emissions'!$A$143:$D$174,2,FALSE)-VLOOKUP(DN$3,'Non-Embedded Emissions'!$F$143:$H$174,3,FALSE)+VLOOKUP(DN$3,'Non-Embedded Emissions'!$A$230:$D$259,2,FALSE)), $C34 = "0", 0), 0)</f>
        <v>0</v>
      </c>
      <c r="DT34" s="45">
        <f>IFERROR(_xlfn.IFS($C34="1",('Inputs-System'!$C$30*'Coincidence Factors'!$B$10*(1+'Inputs-System'!$C$18)*(1+'Inputs-System'!$C$41)*('Inputs-Proposals'!$G$17*'Inputs-Proposals'!$G$19*(1-'Inputs-Proposals'!$G$20^(DT$3-'Inputs-System'!$C$7)))*(VLOOKUP(DT$3,Energy!$A$51:$K$83,5,FALSE))), $C34 = "2",('Inputs-System'!$C$30*'Coincidence Factors'!$B$10)*(1+'Inputs-System'!$C$18)*(1+'Inputs-System'!$C$41)*('Inputs-Proposals'!$G$23*'Inputs-Proposals'!$G$25*(1-'Inputs-Proposals'!$G$26^(DT$3-'Inputs-System'!$C$7)))*(VLOOKUP(DT$3,Energy!$A$51:$K$83,5,FALSE)), $C34= "3", ('Inputs-System'!$C$30*'Coincidence Factors'!$B$10*(1+'Inputs-System'!$C$18)*(1+'Inputs-System'!$C$41)*('Inputs-Proposals'!$G$29*'Inputs-Proposals'!$G$31*(1-'Inputs-Proposals'!$G$32^(DT$3-'Inputs-System'!$C$7)))*(VLOOKUP(DT$3,Energy!$A$51:$K$83,5,FALSE))), $C34= "0", 0), 0)</f>
        <v>0</v>
      </c>
      <c r="DU34" s="44">
        <f>IFERROR(_xlfn.IFS($C34="1",('Inputs-System'!$C$30*'Coincidence Factors'!$B$10*(1+'Inputs-System'!$C$18)*(1+'Inputs-System'!$C$41))*'Inputs-Proposals'!$G$17*'Inputs-Proposals'!$G$19*(1-'Inputs-Proposals'!$G$20^(DT$3-'Inputs-System'!$C$7))*(VLOOKUP(DT$3,'Embedded Emissions'!$A$47:$B$78,2,FALSE)+VLOOKUP(DT$3,'Embedded Emissions'!$A$129:$B$158,2,FALSE)), $C34 = "2",('Inputs-System'!$C$30*'Coincidence Factors'!$B$10*(1+'Inputs-System'!$C$18)*(1+'Inputs-System'!$C$41))*'Inputs-Proposals'!$G$23*'Inputs-Proposals'!$G$25*(1-'Inputs-Proposals'!$G$20^(DT$3-'Inputs-System'!$C$7))*(VLOOKUP(DT$3,'Embedded Emissions'!$A$47:$B$78,2,FALSE)+VLOOKUP(DT$3,'Embedded Emissions'!$A$129:$B$158,2,FALSE)), $C34 = "3", ('Inputs-System'!$C$30*'Coincidence Factors'!$B$10*(1+'Inputs-System'!$C$18)*(1+'Inputs-System'!$C$41))*'Inputs-Proposals'!$G$29*'Inputs-Proposals'!$G$31*(1-'Inputs-Proposals'!$G$20^(DT$3-'Inputs-System'!$C$7))*(VLOOKUP(DT$3,'Embedded Emissions'!$A$47:$B$78,2,FALSE)+VLOOKUP(DT$3,'Embedded Emissions'!$A$129:$B$158,2,FALSE)), $C34 = "0", 0), 0)</f>
        <v>0</v>
      </c>
      <c r="DV34" s="44">
        <f>IFERROR(_xlfn.IFS($C34="1",( 'Inputs-System'!$C$30*'Coincidence Factors'!$B$10*(1+'Inputs-System'!$C$18)*(1+'Inputs-System'!$C$41))*('Inputs-Proposals'!$G$17*'Inputs-Proposals'!$G$19*(1-'Inputs-Proposals'!$G$20)^(DT$3-'Inputs-System'!$C$7))*(VLOOKUP(DT$3,DRIPE!$A$54:$I$82,5,FALSE)+VLOOKUP(DT$3,DRIPE!$A$54:$I$82,9,FALSE))+ ('Inputs-System'!$C$26*'Coincidence Factors'!$B$6*(1+'Inputs-System'!$C$18)*(1+'Inputs-System'!$C$42))*'Inputs-Proposals'!$G$16*VLOOKUP(DT$3,DRIPE!$A$54:$I$82,8,FALSE), $C34 = "2",( 'Inputs-System'!$C$30*'Coincidence Factors'!$B$10*(1+'Inputs-System'!$C$18)*(1+'Inputs-System'!$C$41))*('Inputs-Proposals'!$G$23*'Inputs-Proposals'!$G$25*(1-'Inputs-Proposals'!$G$26)^(DT$3-'Inputs-System'!$C$7))*(VLOOKUP(DT$3,DRIPE!$A$54:$I$82,5,FALSE)+VLOOKUP(DT$3,DRIPE!$A$54:$I$82,9,FALSE))+ ('Inputs-System'!$C$26*'Coincidence Factors'!$B$6*(1+'Inputs-System'!$C$18)*(1+'Inputs-System'!$C$42))*'Inputs-Proposals'!$G$22*VLOOKUP(DT$3,DRIPE!$A$54:$I$82,8,FALSE), $C34= "3", ( 'Inputs-System'!$C$30*'Coincidence Factors'!$B$10*(1+'Inputs-System'!$C$18)*(1+'Inputs-System'!$C$41))*('Inputs-Proposals'!$G$29*'Inputs-Proposals'!$G$31*(1-'Inputs-Proposals'!$G$32)^(DT$3-'Inputs-System'!$C$7))*(VLOOKUP(DT$3,DRIPE!$A$54:$I$82,5,FALSE)+VLOOKUP(DT$3,DRIPE!$A$54:$I$82,9,FALSE))+ ('Inputs-System'!$C$26*'Coincidence Factors'!$B$6*(1+'Inputs-System'!$C$18)*(1+'Inputs-System'!$C$42))*'Inputs-Proposals'!$G$28*VLOOKUP(DT$3,DRIPE!$A$54:$I$82,8,FALSE), $C34 = "0", 0), 0)</f>
        <v>0</v>
      </c>
      <c r="DW34" s="45">
        <f>IFERROR(_xlfn.IFS($C34="1",('Inputs-System'!$C$26*'Coincidence Factors'!$B$10*(1+'Inputs-System'!$C$18)*(1+'Inputs-System'!$C$42))*'Inputs-Proposals'!$D$16*(VLOOKUP(DT$3,Capacity!$A$53:$E$85,4,FALSE)*(1+'Inputs-System'!$C$42)+VLOOKUP(DT$3,Capacity!$A$53:$E$85,5,FALSE)*(1+'Inputs-System'!$C$43)*'Inputs-System'!$C$29), $C34 = "2", ('Inputs-System'!$C$26*'Coincidence Factors'!$B$10*(1+'Inputs-System'!$C$18))*'Inputs-Proposals'!$D$22*(VLOOKUP(DT$3,Capacity!$A$53:$E$85,4,FALSE)*(1+'Inputs-System'!$C$42)+VLOOKUP(DT$3,Capacity!$A$53:$E$85,5,FALSE)*'Inputs-System'!$C$29*(1+'Inputs-System'!$C$43)), $C34 = "3", ('Inputs-System'!$C$26*'Coincidence Factors'!$B$10*(1+'Inputs-System'!$C$18))*'Inputs-Proposals'!$D$28*(VLOOKUP(DT$3,Capacity!$A$53:$E$85,4,FALSE)*(1+'Inputs-System'!$C$42)+VLOOKUP(DT$3,Capacity!$A$53:$E$85,5,FALSE)*'Inputs-System'!$C$29*(1+'Inputs-System'!$C$43)), $C34 = "0", 0), 0)</f>
        <v>0</v>
      </c>
      <c r="DX34" s="44">
        <v>0</v>
      </c>
      <c r="DY34" s="342">
        <f>IFERROR(_xlfn.IFS($C34="1", 'Inputs-System'!$C$30*'Coincidence Factors'!$B$10*'Inputs-Proposals'!$G$17*'Inputs-Proposals'!$G$19*(VLOOKUP(DT$3,'Non-Embedded Emissions'!$A$56:$D$90,2,FALSE)-VLOOKUP(DT$3,'Non-Embedded Emissions'!$F$57:$H$88,3,FALSE)+VLOOKUP(DT$3,'Non-Embedded Emissions'!$A$143:$D$174,2,FALSE)-VLOOKUP(DT$3,'Non-Embedded Emissions'!$F$143:$H$174,3,FALSE)+VLOOKUP(DT$3,'Non-Embedded Emissions'!$A$230:$D$259,2,FALSE)), $C34 = "2", 'Inputs-System'!$C$30*'Coincidence Factors'!$B$10*'Inputs-Proposals'!$G$23*'Inputs-Proposals'!$G$25*(VLOOKUP(DT$3,'Non-Embedded Emissions'!$A$56:$D$90,2,FALSE)-VLOOKUP(DT$3,'Non-Embedded Emissions'!$F$57:$H$88,3,FALSE)+VLOOKUP(DT$3,'Non-Embedded Emissions'!$A$143:$D$174,2,FALSE)-VLOOKUP(DT$3,'Non-Embedded Emissions'!$F$143:$H$174,3,FALSE)+VLOOKUP(DT$3,'Non-Embedded Emissions'!$A$230:$D$259,2,FALSE)), $C34 = "3", 'Inputs-System'!$C$30*'Coincidence Factors'!$B$10*'Inputs-Proposals'!$G$29*'Inputs-Proposals'!$G$31*(VLOOKUP(DT$3,'Non-Embedded Emissions'!$A$56:$D$90,2,FALSE)-VLOOKUP(DT$3,'Non-Embedded Emissions'!$F$57:$H$88,3,FALSE)+VLOOKUP(DT$3,'Non-Embedded Emissions'!$A$143:$D$174,2,FALSE)-VLOOKUP(DT$3,'Non-Embedded Emissions'!$F$143:$H$174,3,FALSE)+VLOOKUP(DT$3,'Non-Embedded Emissions'!$A$230:$D$259,2,FALSE)), $C34 = "0", 0), 0)</f>
        <v>0</v>
      </c>
      <c r="DZ34" s="45">
        <f>IFERROR(_xlfn.IFS($C34="1",('Inputs-System'!$C$30*'Coincidence Factors'!$B$10*(1+'Inputs-System'!$C$18)*(1+'Inputs-System'!$C$41)*('Inputs-Proposals'!$G$17*'Inputs-Proposals'!$G$19*(1-'Inputs-Proposals'!$G$20^(DZ$3-'Inputs-System'!$C$7)))*(VLOOKUP(DZ$3,Energy!$A$51:$K$83,5,FALSE))), $C34 = "2",('Inputs-System'!$C$30*'Coincidence Factors'!$B$10)*(1+'Inputs-System'!$C$18)*(1+'Inputs-System'!$C$41)*('Inputs-Proposals'!$G$23*'Inputs-Proposals'!$G$25*(1-'Inputs-Proposals'!$G$26^(DZ$3-'Inputs-System'!$C$7)))*(VLOOKUP(DZ$3,Energy!$A$51:$K$83,5,FALSE)), $C34= "3", ('Inputs-System'!$C$30*'Coincidence Factors'!$B$10*(1+'Inputs-System'!$C$18)*(1+'Inputs-System'!$C$41)*('Inputs-Proposals'!$G$29*'Inputs-Proposals'!$G$31*(1-'Inputs-Proposals'!$G$32^(DZ$3-'Inputs-System'!$C$7)))*(VLOOKUP(DZ$3,Energy!$A$51:$K$83,5,FALSE))), $C34= "0", 0), 0)</f>
        <v>0</v>
      </c>
      <c r="EA34" s="44">
        <f>IFERROR(_xlfn.IFS($C34="1",('Inputs-System'!$C$30*'Coincidence Factors'!$B$10*(1+'Inputs-System'!$C$18)*(1+'Inputs-System'!$C$41))*'Inputs-Proposals'!$G$17*'Inputs-Proposals'!$G$19*(1-'Inputs-Proposals'!$G$20^(DZ$3-'Inputs-System'!$C$7))*(VLOOKUP(DZ$3,'Embedded Emissions'!$A$47:$B$78,2,FALSE)+VLOOKUP(DZ$3,'Embedded Emissions'!$A$129:$B$158,2,FALSE)), $C34 = "2",('Inputs-System'!$C$30*'Coincidence Factors'!$B$10*(1+'Inputs-System'!$C$18)*(1+'Inputs-System'!$C$41))*'Inputs-Proposals'!$G$23*'Inputs-Proposals'!$G$25*(1-'Inputs-Proposals'!$G$20^(DZ$3-'Inputs-System'!$C$7))*(VLOOKUP(DZ$3,'Embedded Emissions'!$A$47:$B$78,2,FALSE)+VLOOKUP(DZ$3,'Embedded Emissions'!$A$129:$B$158,2,FALSE)), $C34 = "3", ('Inputs-System'!$C$30*'Coincidence Factors'!$B$10*(1+'Inputs-System'!$C$18)*(1+'Inputs-System'!$C$41))*'Inputs-Proposals'!$G$29*'Inputs-Proposals'!$G$31*(1-'Inputs-Proposals'!$G$20^(DZ$3-'Inputs-System'!$C$7))*(VLOOKUP(DZ$3,'Embedded Emissions'!$A$47:$B$78,2,FALSE)+VLOOKUP(DZ$3,'Embedded Emissions'!$A$129:$B$158,2,FALSE)), $C34 = "0", 0), 0)</f>
        <v>0</v>
      </c>
      <c r="EB34" s="44">
        <f>IFERROR(_xlfn.IFS($C34="1",( 'Inputs-System'!$C$30*'Coincidence Factors'!$B$10*(1+'Inputs-System'!$C$18)*(1+'Inputs-System'!$C$41))*('Inputs-Proposals'!$G$17*'Inputs-Proposals'!$G$19*(1-'Inputs-Proposals'!$G$20)^(DZ$3-'Inputs-System'!$C$7))*(VLOOKUP(DZ$3,DRIPE!$A$54:$I$82,5,FALSE)+VLOOKUP(DZ$3,DRIPE!$A$54:$I$82,9,FALSE))+ ('Inputs-System'!$C$26*'Coincidence Factors'!$B$6*(1+'Inputs-System'!$C$18)*(1+'Inputs-System'!$C$42))*'Inputs-Proposals'!$G$16*VLOOKUP(DZ$3,DRIPE!$A$54:$I$82,8,FALSE), $C34 = "2",( 'Inputs-System'!$C$30*'Coincidence Factors'!$B$10*(1+'Inputs-System'!$C$18)*(1+'Inputs-System'!$C$41))*('Inputs-Proposals'!$G$23*'Inputs-Proposals'!$G$25*(1-'Inputs-Proposals'!$G$26)^(DZ$3-'Inputs-System'!$C$7))*(VLOOKUP(DZ$3,DRIPE!$A$54:$I$82,5,FALSE)+VLOOKUP(DZ$3,DRIPE!$A$54:$I$82,9,FALSE))+ ('Inputs-System'!$C$26*'Coincidence Factors'!$B$6*(1+'Inputs-System'!$C$18)*(1+'Inputs-System'!$C$42))*'Inputs-Proposals'!$G$22*VLOOKUP(DZ$3,DRIPE!$A$54:$I$82,8,FALSE), $C34= "3", ( 'Inputs-System'!$C$30*'Coincidence Factors'!$B$10*(1+'Inputs-System'!$C$18)*(1+'Inputs-System'!$C$41))*('Inputs-Proposals'!$G$29*'Inputs-Proposals'!$G$31*(1-'Inputs-Proposals'!$G$32)^(DZ$3-'Inputs-System'!$C$7))*(VLOOKUP(DZ$3,DRIPE!$A$54:$I$82,5,FALSE)+VLOOKUP(DZ$3,DRIPE!$A$54:$I$82,9,FALSE))+ ('Inputs-System'!$C$26*'Coincidence Factors'!$B$6*(1+'Inputs-System'!$C$18)*(1+'Inputs-System'!$C$42))*'Inputs-Proposals'!$G$28*VLOOKUP(DZ$3,DRIPE!$A$54:$I$82,8,FALSE), $C34 = "0", 0), 0)</f>
        <v>0</v>
      </c>
      <c r="EC34" s="45">
        <f>IFERROR(_xlfn.IFS($C34="1",('Inputs-System'!$C$26*'Coincidence Factors'!$B$10*(1+'Inputs-System'!$C$18)*(1+'Inputs-System'!$C$42))*'Inputs-Proposals'!$D$16*(VLOOKUP(DZ$3,Capacity!$A$53:$E$85,4,FALSE)*(1+'Inputs-System'!$C$42)+VLOOKUP(DZ$3,Capacity!$A$53:$E$85,5,FALSE)*(1+'Inputs-System'!$C$43)*'Inputs-System'!$C$29), $C34 = "2", ('Inputs-System'!$C$26*'Coincidence Factors'!$B$10*(1+'Inputs-System'!$C$18))*'Inputs-Proposals'!$D$22*(VLOOKUP(DZ$3,Capacity!$A$53:$E$85,4,FALSE)*(1+'Inputs-System'!$C$42)+VLOOKUP(DZ$3,Capacity!$A$53:$E$85,5,FALSE)*'Inputs-System'!$C$29*(1+'Inputs-System'!$C$43)), $C34 = "3", ('Inputs-System'!$C$26*'Coincidence Factors'!$B$10*(1+'Inputs-System'!$C$18))*'Inputs-Proposals'!$D$28*(VLOOKUP(DZ$3,Capacity!$A$53:$E$85,4,FALSE)*(1+'Inputs-System'!$C$42)+VLOOKUP(DZ$3,Capacity!$A$53:$E$85,5,FALSE)*'Inputs-System'!$C$29*(1+'Inputs-System'!$C$43)), $C34 = "0", 0), 0)</f>
        <v>0</v>
      </c>
      <c r="ED34" s="44">
        <v>0</v>
      </c>
      <c r="EE34" s="342">
        <f>IFERROR(_xlfn.IFS($C34="1", 'Inputs-System'!$C$30*'Coincidence Factors'!$B$10*'Inputs-Proposals'!$G$17*'Inputs-Proposals'!$G$19*(VLOOKUP(DZ$3,'Non-Embedded Emissions'!$A$56:$D$90,2,FALSE)-VLOOKUP(DZ$3,'Non-Embedded Emissions'!$F$57:$H$88,3,FALSE)+VLOOKUP(DZ$3,'Non-Embedded Emissions'!$A$143:$D$174,2,FALSE)-VLOOKUP(DZ$3,'Non-Embedded Emissions'!$F$143:$H$174,3,FALSE)+VLOOKUP(DZ$3,'Non-Embedded Emissions'!$A$230:$D$259,2,FALSE)), $C34 = "2", 'Inputs-System'!$C$30*'Coincidence Factors'!$B$10*'Inputs-Proposals'!$G$23*'Inputs-Proposals'!$G$25*(VLOOKUP(DZ$3,'Non-Embedded Emissions'!$A$56:$D$90,2,FALSE)-VLOOKUP(DZ$3,'Non-Embedded Emissions'!$F$57:$H$88,3,FALSE)+VLOOKUP(DZ$3,'Non-Embedded Emissions'!$A$143:$D$174,2,FALSE)-VLOOKUP(DZ$3,'Non-Embedded Emissions'!$F$143:$H$174,3,FALSE)+VLOOKUP(DZ$3,'Non-Embedded Emissions'!$A$230:$D$259,2,FALSE)), $C34 = "3", 'Inputs-System'!$C$30*'Coincidence Factors'!$B$10*'Inputs-Proposals'!$G$29*'Inputs-Proposals'!$G$31*(VLOOKUP(DZ$3,'Non-Embedded Emissions'!$A$56:$D$90,2,FALSE)-VLOOKUP(DZ$3,'Non-Embedded Emissions'!$F$57:$H$88,3,FALSE)+VLOOKUP(DZ$3,'Non-Embedded Emissions'!$A$143:$D$174,2,FALSE)-VLOOKUP(DZ$3,'Non-Embedded Emissions'!$F$143:$H$174,3,FALSE)+VLOOKUP(DZ$3,'Non-Embedded Emissions'!$A$230:$D$259,2,FALSE)), $C34 = "0", 0), 0)</f>
        <v>0</v>
      </c>
    </row>
    <row r="35" spans="1:135" x14ac:dyDescent="0.35">
      <c r="A35" s="707">
        <f>'Inputs-Proposals'!H2</f>
        <v>0</v>
      </c>
      <c r="B35" s="52" t="s">
        <v>90</v>
      </c>
      <c r="C35" s="52" t="str">
        <f>IFERROR(_xlfn.IFS('Benefits Calc'!B35='Inputs-Proposals'!$H$15, "1", 'Benefits Calc'!B35='Inputs-Proposals'!$H$21, "2", 'Benefits Calc'!B35='Inputs-Proposals'!$H$27, "3"), "0")</f>
        <v>0</v>
      </c>
      <c r="D35" s="323">
        <f t="shared" si="0"/>
        <v>0</v>
      </c>
      <c r="E35" s="44">
        <f t="shared" si="1"/>
        <v>0</v>
      </c>
      <c r="F35" s="44">
        <f t="shared" si="2"/>
        <v>0</v>
      </c>
      <c r="G35" s="44">
        <f t="shared" si="3"/>
        <v>0</v>
      </c>
      <c r="H35" s="44">
        <f t="shared" si="4"/>
        <v>0</v>
      </c>
      <c r="I35" s="44">
        <f t="shared" si="5"/>
        <v>0</v>
      </c>
      <c r="J35" s="322">
        <f>NPV('Inputs-System'!$C$20,P35+V35+AB35+AH35+AN35+AT35+AZ35+BF35+BL35+BR35+BX35+CD35+CJ35+CP35+CV35+DB35+DH35+DN35+DT35+DZ35)</f>
        <v>0</v>
      </c>
      <c r="K35" s="318">
        <f>NPV('Inputs-System'!$C$20,Q35+W35+AC35+AI35+AO35+AU35+BA35+BG35+BM35+BS35+BY35+CE35+CK35+CQ35+CW35+DC35+DI35+DO35+DU35+EA35)</f>
        <v>0</v>
      </c>
      <c r="L35" s="318">
        <f>NPV('Inputs-System'!$C$20,R35+X35+AD35+AJ35+AP35+AV35+BB35+BH35+BN35+BT35+BZ35+CF35+CL35+CR35+CX35+DD35+DJ35+DP35+DV35+EB35)</f>
        <v>0</v>
      </c>
      <c r="M35" s="318">
        <f>NPV('Inputs-System'!$C$20,S35+Y35+AE35+AK35+AQ35+AW35+BC35+BI35+BO35+BU35+CA35+CG35+CM35+CS35+CY35+DE35+DK35+DQ35+DW35+EC35)</f>
        <v>0</v>
      </c>
      <c r="N35" s="318">
        <f>NPV('Inputs-System'!$C$20,T35+Z35+AF35+AL35+AR35+AX35+BD35+BJ35+BP35+BV35+CB35+CH35+CN35+CT35+CZ35+DF35+DL35+DR35+DX35+ED35)</f>
        <v>0</v>
      </c>
      <c r="O35" s="319">
        <f>NPV('Inputs-System'!$C$20,U35+AA35+AG35+AM35+AS35+AY35+BE35+BK35+BQ35+BW35+CC35+CI35+CO35+CU35+DA35+DG35+DM35+DS35+DY35+EE35)</f>
        <v>0</v>
      </c>
      <c r="P35" s="326">
        <f>IFERROR(_xlfn.IFS($C35="1",('Inputs-System'!$C$30*'Coincidence Factors'!$B$5*(1+'Inputs-System'!$C$18)*(1+'Inputs-System'!$C$41)*('Inputs-Proposals'!$H$17*'Inputs-Proposals'!$H$19*(1-'Inputs-Proposals'!$H$20))*(VLOOKUP(P$3,Energy!$A$51:$K$83,5,FALSE)-VLOOKUP(P$3,Energy!$A$51:$K$83,6,FALSE))), $C35 = "2",('Inputs-System'!$C$30*'Coincidence Factors'!$B$5)*(1+'Inputs-System'!$C$18)*(1+'Inputs-System'!$C$41)*('Inputs-Proposals'!$H$23*'Inputs-Proposals'!$H$25*(1-'Inputs-Proposals'!$H$26))*(VLOOKUP(P$3,Energy!$A$51:$K$83,5,FALSE)-VLOOKUP(P$3,Energy!$A$51:$K$83,6,FALSE)), $C35= "3", ('Inputs-System'!$C$30*'Coincidence Factors'!$B$5*(1+'Inputs-System'!$C$18)*(1+'Inputs-System'!$C$41)*('Inputs-Proposals'!$H$29*'Inputs-Proposals'!$H$31*(1-'Inputs-Proposals'!$H$32))*(VLOOKUP(P$3,Energy!$A$51:$K$83,5,FALSE)-VLOOKUP(P$3,Energy!$A$51:$K$83,6,FALSE))), $C35= "0", 0), 0)</f>
        <v>0</v>
      </c>
      <c r="Q35" s="318">
        <f>IFERROR(_xlfn.IFS($C35="1", 'Inputs-System'!$C$30*'Coincidence Factors'!$B$5*(1+'Inputs-System'!$C$18)*(1+'Inputs-System'!$C$41)*'Inputs-Proposals'!$H$17*'Inputs-Proposals'!$H$19*(1-'Inputs-Proposals'!$H$20)*(VLOOKUP(P$3,'Embedded Emissions'!$A$47:$B$78,2,FALSE)+VLOOKUP(P$3,'Embedded Emissions'!$A$129:$B$158,2,FALSE)), $C35 = "2",'Inputs-System'!$C$30*'Coincidence Factors'!$B$5*(1+'Inputs-System'!$C$18)*(1+'Inputs-System'!$C$41)*'Inputs-Proposals'!$H$23*'Inputs-Proposals'!$H$25*(1-'Inputs-Proposals'!$H$20)*(VLOOKUP(P$3,'Embedded Emissions'!$A$47:$B$78,2,FALSE)+VLOOKUP(P$3,'Embedded Emissions'!$A$129:$B$158,2,FALSE)), $C35 = "3", 'Inputs-System'!$C$30*'Coincidence Factors'!$B$5*(1+'Inputs-System'!$C$18)*(1+'Inputs-System'!$C$41)*'Inputs-Proposals'!$H$29*'Inputs-Proposals'!$H$31*(1-'Inputs-Proposals'!$H$20)*(VLOOKUP(P$3,'Embedded Emissions'!$A$47:$B$78,2,FALSE)+VLOOKUP(P$3,'Embedded Emissions'!$A$129:$B$158,2,FALSE)), $C35 = "0", 0), 0)</f>
        <v>0</v>
      </c>
      <c r="R35" s="318">
        <f>IFERROR(_xlfn.IFS($C35="1",( 'Inputs-System'!$C$30*'Coincidence Factors'!$B$5*(1+'Inputs-System'!$C$18)*(1+'Inputs-System'!$C$41))*('Inputs-Proposals'!$H$17*'Inputs-Proposals'!$H$19*(1-'Inputs-Proposals'!$H$20))*(VLOOKUP(P$3,DRIPE!$A$54:$I$82,5,FALSE)-VLOOKUP(P$3,DRIPE!$A$54:$I$82,6,FALSE)+VLOOKUP(P$3,DRIPE!$A$54:$I$82,9,FALSE))+ ('Inputs-System'!$C$26*'Coincidence Factors'!$B$5*(1+'Inputs-System'!$C$18)*(1+'Inputs-System'!$C$42))*'Inputs-Proposals'!$H$16*VLOOKUP(P$3,DRIPE!$A$54:$I$80,8,FALSE), $C35 = "2",( 'Inputs-System'!$C$30*'Coincidence Factors'!$B$5*(1+'Inputs-System'!$C$18)*(1+'Inputs-System'!$C$41))*('Inputs-Proposals'!$H$23*'Inputs-Proposals'!$H$25*(1-'Inputs-Proposals'!$H$26))*(VLOOKUP(P$3,DRIPE!$A$54:$I$82,5,FALSE)-VLOOKUP(P$3,DRIPE!$A$54:$I$82,6,FALSE)+VLOOKUP(P$3,DRIPE!$A$54:$I$82,9,FALSE))+ ('Inputs-System'!$C$26*'Coincidence Factors'!$B$5*(1+'Inputs-System'!$C$18)*(1+'Inputs-System'!$C$41))+ ('Inputs-System'!$C$26*'Coincidence Factors'!$B$5)*'Inputs-Proposals'!$H$22*VLOOKUP(P$3,DRIPE!$A$54:$I$80,8,FALSE), $C35= "3", ('Inputs-System'!$C$30*'Coincidence Factors'!$B$5)*('Inputs-Proposals'!$H$29*'Inputs-Proposals'!$H$31*(1-'Inputs-Proposals'!$H$32))*(VLOOKUP(P$3,DRIPE!$A$54:$I$80,5,FALSE)-VLOOKUP(P$3,DRIPE!$A$54:$I$80,6,FALSE)+VLOOKUP(P$3,DRIPE!$A$54:$I$80,9,FALSE))+ ('Inputs-System'!$C$26*'Coincidence Factors'!$B$5*(1+'Inputs-System'!$C$18)*(1+'Inputs-System'!$C$42))*'Inputs-Proposals'!$H$28*VLOOKUP(P$3,DRIPE!$A$54:$I$80,8,FALSE), $C35 = "0", 0), 0)</f>
        <v>0</v>
      </c>
      <c r="S35" s="326">
        <f>IFERROR(_xlfn.IFS($C35="1",('Inputs-System'!$C$26*'Coincidence Factors'!$B$5*(1+'Inputs-System'!$C$18)*(1+'Inputs-System'!$C$42))*'Inputs-Proposals'!$H$16*(VLOOKUP(P$3,Capacity!$A$53:$E$85,4,FALSE)*(1+'Inputs-System'!$C$42)+VLOOKUP(P$3,Capacity!$A$53:$E$85,5,FALSE)*(1+'Inputs-System'!$C$43)*'Inputs-System'!$C$29), $C35 = "2", ('Inputs-System'!$C$26*'Coincidence Factors'!$B$5*(1+'Inputs-System'!$C$18))*'Inputs-Proposals'!$H$22*(VLOOKUP(P$3,Capacity!$A$53:$E$85,4,FALSE)*(1+'Inputs-System'!$C$42)+VLOOKUP(P$3,Capacity!$A$53:$E$85,5,FALSE)*'Inputs-System'!$C$29*(1+'Inputs-System'!$C$43)), $C35 = "3", ('Inputs-System'!$C$26*'Coincidence Factors'!$B$5*(1+'Inputs-System'!$C$18))*'Inputs-Proposals'!$H$28*(VLOOKUP(P$3,Capacity!$A$53:$E$85,4,FALSE)*(1+'Inputs-System'!$C$42)+VLOOKUP(P$3,Capacity!$A$53:$E$85,5,FALSE)*'Inputs-System'!$C$29*(1+'Inputs-System'!$C$43)), $C35 = "0", 0), 0)</f>
        <v>0</v>
      </c>
      <c r="T35" s="318">
        <v>0</v>
      </c>
      <c r="U35" s="318">
        <f>IFERROR(_xlfn.IFS($C35="1", 'Inputs-System'!$C$30*'Coincidence Factors'!$B$5*'Inputs-Proposals'!$H$17*'Inputs-Proposals'!$H$19*(VLOOKUP(P$3,'Non-Embedded Emissions'!$A$56:$D$90,2,FALSE)+VLOOKUP(P$3,'Non-Embedded Emissions'!$A$143:$D$174,2,FALSE)+VLOOKUP(P$3,'Non-Embedded Emissions'!$A$230:$D$259,2,FALSE)-VLOOKUP(P$3,'Non-Embedded Emissions'!$A$56:$D$90,3,FALSE)-VLOOKUP(P$3,'Non-Embedded Emissions'!$A$143:$D$174,3,FALSE)-VLOOKUP(P$3,'Non-Embedded Emissions'!$A$230:$D$259,3,FALSE)), $C35 = "2", 'Inputs-System'!$C$30*'Coincidence Factors'!$B$5*'Inputs-Proposals'!$H$23*'Inputs-Proposals'!$H$25*(VLOOKUP(P$3,'Non-Embedded Emissions'!$A$56:$D$90,2,FALSE)+VLOOKUP(P$3,'Non-Embedded Emissions'!$A$143:$D$174,2,FALSE)+VLOOKUP(P$3,'Non-Embedded Emissions'!$A$230:$D$259,2,FALSE)-VLOOKUP(P$3,'Non-Embedded Emissions'!$A$56:$D$90,3,FALSE)-VLOOKUP(P$3,'Non-Embedded Emissions'!$A$143:$D$174,3,FALSE)-VLOOKUP(P$3,'Non-Embedded Emissions'!$A$230:$D$259,3,FALSE)), $C35 = "3", 'Inputs-System'!$C$30*'Coincidence Factors'!$B$5*'Inputs-Proposals'!$H$29*'Inputs-Proposals'!$H$31*(VLOOKUP(P$3,'Non-Embedded Emissions'!$A$56:$D$90,2,FALSE)+VLOOKUP(P$3,'Non-Embedded Emissions'!$A$143:$D$174,2,FALSE)+VLOOKUP(P$3,'Non-Embedded Emissions'!$A$230:$D$259,2,FALSE)-VLOOKUP(P$3,'Non-Embedded Emissions'!$A$56:$D$90,3,FALSE)-VLOOKUP(P$3,'Non-Embedded Emissions'!$A$143:$D$174,3,FALSE)-VLOOKUP(P$3,'Non-Embedded Emissions'!$A$230:$D$259,3,FALSE)), $C35 = "0", 0), 0)</f>
        <v>0</v>
      </c>
      <c r="V35" s="344">
        <f>IFERROR(_xlfn.IFS($C35="1",('Inputs-System'!$C$30*'Coincidence Factors'!$B$5*(1+'Inputs-System'!$C$18)*(1+'Inputs-System'!$C$41)*('Inputs-Proposals'!$H$17*'Inputs-Proposals'!$H$19*(1-'Inputs-Proposals'!$H$20))*(VLOOKUP(V$3,Energy!$A$51:$K$83,5,FALSE)-VLOOKUP(V$3,Energy!$A$51:$K$83,6,FALSE))), $C35 = "2",('Inputs-System'!$C$30*'Coincidence Factors'!$B$5)*(1+'Inputs-System'!$C$18)*(1+'Inputs-System'!$C$41)*('Inputs-Proposals'!$H$23*'Inputs-Proposals'!$H$25*(1-'Inputs-Proposals'!$H$26))*(VLOOKUP(V$3,Energy!$A$51:$K$83,5,FALSE)-VLOOKUP(V$3,Energy!$A$51:$K$83,6,FALSE)), $C35= "3", ('Inputs-System'!$C$30*'Coincidence Factors'!$B$5*(1+'Inputs-System'!$C$18)*(1+'Inputs-System'!$C$41)*('Inputs-Proposals'!$H$29*'Inputs-Proposals'!$H$31*(1-'Inputs-Proposals'!$H$32))*(VLOOKUP(V$3,Energy!$A$51:$K$83,5,FALSE)-VLOOKUP(V$3,Energy!$A$51:$K$83,6,FALSE))), $C35= "0", 0), 0)</f>
        <v>0</v>
      </c>
      <c r="W35" s="100">
        <f>IFERROR(_xlfn.IFS($C35="1", 'Inputs-System'!$C$30*'Coincidence Factors'!$B$5*(1+'Inputs-System'!$C$18)*(1+'Inputs-System'!$C$41)*'Inputs-Proposals'!$H$17*'Inputs-Proposals'!$H$19*(1-'Inputs-Proposals'!$H$20)*(VLOOKUP(V$3,'Embedded Emissions'!$A$47:$B$78,2,FALSE)+VLOOKUP(V$3,'Embedded Emissions'!$A$129:$B$158,2,FALSE)), $C35 = "2",'Inputs-System'!$C$30*'Coincidence Factors'!$B$5*(1+'Inputs-System'!$C$18)*(1+'Inputs-System'!$C$41)*'Inputs-Proposals'!$H$23*'Inputs-Proposals'!$H$25*(1-'Inputs-Proposals'!$H$20)*(VLOOKUP(V$3,'Embedded Emissions'!$A$47:$B$78,2,FALSE)+VLOOKUP(V$3,'Embedded Emissions'!$A$129:$B$158,2,FALSE)), $C35 = "3", 'Inputs-System'!$C$30*'Coincidence Factors'!$B$5*(1+'Inputs-System'!$C$18)*(1+'Inputs-System'!$C$41)*'Inputs-Proposals'!$H$29*'Inputs-Proposals'!$H$31*(1-'Inputs-Proposals'!$H$20)*(VLOOKUP(V$3,'Embedded Emissions'!$A$47:$B$78,2,FALSE)+VLOOKUP(V$3,'Embedded Emissions'!$A$129:$B$158,2,FALSE)), $C35 = "0", 0), 0)</f>
        <v>0</v>
      </c>
      <c r="X35" s="318">
        <f>IFERROR(_xlfn.IFS($C35="1",( 'Inputs-System'!$C$30*'Coincidence Factors'!$B$5*(1+'Inputs-System'!$C$18)*(1+'Inputs-System'!$C$41))*('Inputs-Proposals'!$H$17*'Inputs-Proposals'!$H$19*(1-'Inputs-Proposals'!$H$20))*(VLOOKUP(V$3,DRIPE!$A$54:$I$82,5,FALSE)-VLOOKUP(V$3,DRIPE!$A$54:$I$82,6,FALSE)+VLOOKUP(V$3,DRIPE!$A$54:$I$82,9,FALSE))+ ('Inputs-System'!$C$26*'Coincidence Factors'!$B$5*(1+'Inputs-System'!$C$18)*(1+'Inputs-System'!$C$42))*'Inputs-Proposals'!$H$16*VLOOKUP(V$3,DRIPE!$A$54:$I$80,8,FALSE), $C35 = "2",( 'Inputs-System'!$C$30*'Coincidence Factors'!$B$5*(1+'Inputs-System'!$C$18)*(1+'Inputs-System'!$C$41))*('Inputs-Proposals'!$H$23*'Inputs-Proposals'!$H$25*(1-'Inputs-Proposals'!$H$26))*(VLOOKUP(V$3,DRIPE!$A$54:$I$82,5,FALSE)-VLOOKUP(V$3,DRIPE!$A$54:$I$82,6,FALSE)+VLOOKUP(V$3,DRIPE!$A$54:$I$82,9,FALSE))+ ('Inputs-System'!$C$26*'Coincidence Factors'!$B$5*(1+'Inputs-System'!$C$18)*(1+'Inputs-System'!$C$41))+ ('Inputs-System'!$C$26*'Coincidence Factors'!$B$5)*'Inputs-Proposals'!$H$22*VLOOKUP(V$3,DRIPE!$A$54:$I$80,8,FALSE), $C35= "3", ('Inputs-System'!$C$30*'Coincidence Factors'!$B$5)*('Inputs-Proposals'!$H$29*'Inputs-Proposals'!$H$31*(1-'Inputs-Proposals'!$H$32))*(VLOOKUP(V$3,DRIPE!$A$54:$I$80,5,FALSE)-VLOOKUP(V$3,DRIPE!$A$54:$I$80,6,FALSE)+VLOOKUP(V$3,DRIPE!$A$54:$I$80,9,FALSE))+ ('Inputs-System'!$C$26*'Coincidence Factors'!$B$5*(1+'Inputs-System'!$C$18)*(1+'Inputs-System'!$C$42))*'Inputs-Proposals'!$H$28*VLOOKUP(V$3,DRIPE!$A$54:$I$80,8,FALSE), $C35 = "0", 0), 0)</f>
        <v>0</v>
      </c>
      <c r="Y35" s="326">
        <f>IFERROR(_xlfn.IFS($C35="1",('Inputs-System'!$C$26*'Coincidence Factors'!$B$5*(1+'Inputs-System'!$C$18)*(1+'Inputs-System'!$C$42))*'Inputs-Proposals'!$H$16*(VLOOKUP(V$3,Capacity!$A$53:$E$85,4,FALSE)*(1+'Inputs-System'!$C$42)+VLOOKUP(V$3,Capacity!$A$53:$E$85,5,FALSE)*(1+'Inputs-System'!$C$43)*'Inputs-System'!$C$29), $C35 = "2", ('Inputs-System'!$C$26*'Coincidence Factors'!$B$5*(1+'Inputs-System'!$C$18))*'Inputs-Proposals'!$H$22*(VLOOKUP(V$3,Capacity!$A$53:$E$85,4,FALSE)*(1+'Inputs-System'!$C$42)+VLOOKUP(V$3,Capacity!$A$53:$E$85,5,FALSE)*'Inputs-System'!$C$29*(1+'Inputs-System'!$C$43)), $C35 = "3", ('Inputs-System'!$C$26*'Coincidence Factors'!$B$5*(1+'Inputs-System'!$C$18))*'Inputs-Proposals'!$H$28*(VLOOKUP(V$3,Capacity!$A$53:$E$85,4,FALSE)*(1+'Inputs-System'!$C$42)+VLOOKUP(V$3,Capacity!$A$53:$E$85,5,FALSE)*'Inputs-System'!$C$29*(1+'Inputs-System'!$C$43)), $C35 = "0", 0), 0)</f>
        <v>0</v>
      </c>
      <c r="Z35" s="100">
        <v>0</v>
      </c>
      <c r="AA35" s="346">
        <f>IFERROR(_xlfn.IFS($C35="1", 'Inputs-System'!$C$30*'Coincidence Factors'!$B$5*'Inputs-Proposals'!$H$17*'Inputs-Proposals'!$H$19*(VLOOKUP(V$3,'Non-Embedded Emissions'!$A$56:$D$90,2,FALSE)+VLOOKUP(V$3,'Non-Embedded Emissions'!$A$143:$D$174,2,FALSE)+VLOOKUP(V$3,'Non-Embedded Emissions'!$A$230:$D$259,2,FALSE)-VLOOKUP(V$3,'Non-Embedded Emissions'!$A$56:$D$90,3,FALSE)-VLOOKUP(V$3,'Non-Embedded Emissions'!$A$143:$D$174,3,FALSE)-VLOOKUP(V$3,'Non-Embedded Emissions'!$A$230:$D$259,3,FALSE)), $C35 = "2", 'Inputs-System'!$C$30*'Coincidence Factors'!$B$5*'Inputs-Proposals'!$H$23*'Inputs-Proposals'!$H$25*(VLOOKUP(V$3,'Non-Embedded Emissions'!$A$56:$D$90,2,FALSE)+VLOOKUP(V$3,'Non-Embedded Emissions'!$A$143:$D$174,2,FALSE)+VLOOKUP(V$3,'Non-Embedded Emissions'!$A$230:$D$259,2,FALSE)-VLOOKUP(V$3,'Non-Embedded Emissions'!$A$56:$D$90,3,FALSE)-VLOOKUP(V$3,'Non-Embedded Emissions'!$A$143:$D$174,3,FALSE)-VLOOKUP(V$3,'Non-Embedded Emissions'!$A$230:$D$259,3,FALSE)), $C35 = "3", 'Inputs-System'!$C$30*'Coincidence Factors'!$B$5*'Inputs-Proposals'!$H$29*'Inputs-Proposals'!$H$31*(VLOOKUP(V$3,'Non-Embedded Emissions'!$A$56:$D$90,2,FALSE)+VLOOKUP(V$3,'Non-Embedded Emissions'!$A$143:$D$174,2,FALSE)+VLOOKUP(V$3,'Non-Embedded Emissions'!$A$230:$D$259,2,FALSE)-VLOOKUP(V$3,'Non-Embedded Emissions'!$A$56:$D$90,3,FALSE)-VLOOKUP(V$3,'Non-Embedded Emissions'!$A$143:$D$174,3,FALSE)-VLOOKUP(V$3,'Non-Embedded Emissions'!$A$230:$D$259,3,FALSE)), $C35 = "0", 0), 0)</f>
        <v>0</v>
      </c>
      <c r="AB35" s="344">
        <f>IFERROR(_xlfn.IFS($C35="1",('Inputs-System'!$C$30*'Coincidence Factors'!$B$5*(1+'Inputs-System'!$C$18)*(1+'Inputs-System'!$C$41)*('Inputs-Proposals'!$H$17*'Inputs-Proposals'!$H$19*(1-'Inputs-Proposals'!$H$20))*(VLOOKUP(AB$3,Energy!$A$51:$K$83,5,FALSE)-VLOOKUP(AB$3,Energy!$A$51:$K$83,6,FALSE))), $C35 = "2",('Inputs-System'!$C$30*'Coincidence Factors'!$B$5)*(1+'Inputs-System'!$C$18)*(1+'Inputs-System'!$C$41)*('Inputs-Proposals'!$H$23*'Inputs-Proposals'!$H$25*(1-'Inputs-Proposals'!$H$26))*(VLOOKUP(AB$3,Energy!$A$51:$K$83,5,FALSE)-VLOOKUP(AB$3,Energy!$A$51:$K$83,6,FALSE)), $C35= "3", ('Inputs-System'!$C$30*'Coincidence Factors'!$B$5*(1+'Inputs-System'!$C$18)*(1+'Inputs-System'!$C$41)*('Inputs-Proposals'!$H$29*'Inputs-Proposals'!$H$31*(1-'Inputs-Proposals'!$H$32))*(VLOOKUP(AB$3,Energy!$A$51:$K$83,5,FALSE)-VLOOKUP(AB$3,Energy!$A$51:$K$83,6,FALSE))), $C35= "0", 0), 0)</f>
        <v>0</v>
      </c>
      <c r="AC35" s="100">
        <f>IFERROR(_xlfn.IFS($C35="1", 'Inputs-System'!$C$30*'Coincidence Factors'!$B$5*(1+'Inputs-System'!$C$18)*(1+'Inputs-System'!$C$41)*'Inputs-Proposals'!$H$17*'Inputs-Proposals'!$H$19*(1-'Inputs-Proposals'!$H$20)*(VLOOKUP(AB$3,'Embedded Emissions'!$A$47:$B$78,2,FALSE)+VLOOKUP(AB$3,'Embedded Emissions'!$A$129:$B$158,2,FALSE)), $C35 = "2",'Inputs-System'!$C$30*'Coincidence Factors'!$B$5*(1+'Inputs-System'!$C$18)*(1+'Inputs-System'!$C$41)*'Inputs-Proposals'!$H$23*'Inputs-Proposals'!$H$25*(1-'Inputs-Proposals'!$H$20)*(VLOOKUP(AB$3,'Embedded Emissions'!$A$47:$B$78,2,FALSE)+VLOOKUP(AB$3,'Embedded Emissions'!$A$129:$B$158,2,FALSE)), $C35 = "3", 'Inputs-System'!$C$30*'Coincidence Factors'!$B$5*(1+'Inputs-System'!$C$18)*(1+'Inputs-System'!$C$41)*'Inputs-Proposals'!$H$29*'Inputs-Proposals'!$H$31*(1-'Inputs-Proposals'!$H$20)*(VLOOKUP(AB$3,'Embedded Emissions'!$A$47:$B$78,2,FALSE)+VLOOKUP(AB$3,'Embedded Emissions'!$A$129:$B$158,2,FALSE)), $C35 = "0", 0), 0)</f>
        <v>0</v>
      </c>
      <c r="AD35" s="318">
        <f>IFERROR(_xlfn.IFS($C35="1",( 'Inputs-System'!$C$30*'Coincidence Factors'!$B$5*(1+'Inputs-System'!$C$18)*(1+'Inputs-System'!$C$41))*('Inputs-Proposals'!$H$17*'Inputs-Proposals'!$H$19*(1-'Inputs-Proposals'!$H$20))*(VLOOKUP(AB$3,DRIPE!$A$54:$I$82,5,FALSE)-VLOOKUP(AB$3,DRIPE!$A$54:$I$82,6,FALSE)+VLOOKUP(AB$3,DRIPE!$A$54:$I$82,9,FALSE))+ ('Inputs-System'!$C$26*'Coincidence Factors'!$B$5*(1+'Inputs-System'!$C$18)*(1+'Inputs-System'!$C$42))*'Inputs-Proposals'!$H$16*VLOOKUP(AB$3,DRIPE!$A$54:$I$80,8,FALSE), $C35 = "2",( 'Inputs-System'!$C$30*'Coincidence Factors'!$B$5*(1+'Inputs-System'!$C$18)*(1+'Inputs-System'!$C$41))*('Inputs-Proposals'!$H$23*'Inputs-Proposals'!$H$25*(1-'Inputs-Proposals'!$H$26))*(VLOOKUP(AB$3,DRIPE!$A$54:$I$82,5,FALSE)-VLOOKUP(AB$3,DRIPE!$A$54:$I$82,6,FALSE)+VLOOKUP(AB$3,DRIPE!$A$54:$I$82,9,FALSE))+ ('Inputs-System'!$C$26*'Coincidence Factors'!$B$5*(1+'Inputs-System'!$C$18)*(1+'Inputs-System'!$C$41))+ ('Inputs-System'!$C$26*'Coincidence Factors'!$B$5)*'Inputs-Proposals'!$H$22*VLOOKUP(AB$3,DRIPE!$A$54:$I$80,8,FALSE), $C35= "3", ('Inputs-System'!$C$30*'Coincidence Factors'!$B$5)*('Inputs-Proposals'!$H$29*'Inputs-Proposals'!$H$31*(1-'Inputs-Proposals'!$H$32))*(VLOOKUP(AB$3,DRIPE!$A$54:$I$80,5,FALSE)-VLOOKUP(AB$3,DRIPE!$A$54:$I$80,6,FALSE)+VLOOKUP(AB$3,DRIPE!$A$54:$I$80,9,FALSE))+ ('Inputs-System'!$C$26*'Coincidence Factors'!$B$5*(1+'Inputs-System'!$C$18)*(1+'Inputs-System'!$C$42))*'Inputs-Proposals'!$H$28*VLOOKUP(AB$3,DRIPE!$A$54:$I$80,8,FALSE), $C35 = "0", 0), 0)</f>
        <v>0</v>
      </c>
      <c r="AE35" s="326">
        <f>IFERROR(_xlfn.IFS($C35="1",('Inputs-System'!$C$26*'Coincidence Factors'!$B$5*(1+'Inputs-System'!$C$18)*(1+'Inputs-System'!$C$42))*'Inputs-Proposals'!$H$16*(VLOOKUP(AB$3,Capacity!$A$53:$E$85,4,FALSE)*(1+'Inputs-System'!$C$42)+VLOOKUP(AB$3,Capacity!$A$53:$E$85,5,FALSE)*(1+'Inputs-System'!$C$43)*'Inputs-System'!$C$29), $C35 = "2", ('Inputs-System'!$C$26*'Coincidence Factors'!$B$5*(1+'Inputs-System'!$C$18))*'Inputs-Proposals'!$H$22*(VLOOKUP(AB$3,Capacity!$A$53:$E$85,4,FALSE)*(1+'Inputs-System'!$C$42)+VLOOKUP(AB$3,Capacity!$A$53:$E$85,5,FALSE)*'Inputs-System'!$C$29*(1+'Inputs-System'!$C$43)), $C35 = "3", ('Inputs-System'!$C$26*'Coincidence Factors'!$B$5*(1+'Inputs-System'!$C$18))*'Inputs-Proposals'!$H$28*(VLOOKUP(AB$3,Capacity!$A$53:$E$85,4,FALSE)*(1+'Inputs-System'!$C$42)+VLOOKUP(AB$3,Capacity!$A$53:$E$85,5,FALSE)*'Inputs-System'!$C$29*(1+'Inputs-System'!$C$43)), $C35 = "0", 0), 0)</f>
        <v>0</v>
      </c>
      <c r="AF35" s="100">
        <v>0</v>
      </c>
      <c r="AG35" s="346">
        <f>IFERROR(_xlfn.IFS($C35="1", 'Inputs-System'!$C$30*'Coincidence Factors'!$B$5*'Inputs-Proposals'!$H$17*'Inputs-Proposals'!$H$19*(VLOOKUP(AB$3,'Non-Embedded Emissions'!$A$56:$D$90,2,FALSE)+VLOOKUP(AB$3,'Non-Embedded Emissions'!$A$143:$D$174,2,FALSE)+VLOOKUP(AB$3,'Non-Embedded Emissions'!$A$230:$D$259,2,FALSE)-VLOOKUP(AB$3,'Non-Embedded Emissions'!$A$56:$D$90,3,FALSE)-VLOOKUP(AB$3,'Non-Embedded Emissions'!$A$143:$D$174,3,FALSE)-VLOOKUP(AB$3,'Non-Embedded Emissions'!$A$230:$D$259,3,FALSE)), $C35 = "2", 'Inputs-System'!$C$30*'Coincidence Factors'!$B$5*'Inputs-Proposals'!$H$23*'Inputs-Proposals'!$H$25*(VLOOKUP(AB$3,'Non-Embedded Emissions'!$A$56:$D$90,2,FALSE)+VLOOKUP(AB$3,'Non-Embedded Emissions'!$A$143:$D$174,2,FALSE)+VLOOKUP(AB$3,'Non-Embedded Emissions'!$A$230:$D$259,2,FALSE)-VLOOKUP(AB$3,'Non-Embedded Emissions'!$A$56:$D$90,3,FALSE)-VLOOKUP(AB$3,'Non-Embedded Emissions'!$A$143:$D$174,3,FALSE)-VLOOKUP(AB$3,'Non-Embedded Emissions'!$A$230:$D$259,3,FALSE)), $C35 = "3", 'Inputs-System'!$C$30*'Coincidence Factors'!$B$5*'Inputs-Proposals'!$H$29*'Inputs-Proposals'!$H$31*(VLOOKUP(AB$3,'Non-Embedded Emissions'!$A$56:$D$90,2,FALSE)+VLOOKUP(AB$3,'Non-Embedded Emissions'!$A$143:$D$174,2,FALSE)+VLOOKUP(AB$3,'Non-Embedded Emissions'!$A$230:$D$259,2,FALSE)-VLOOKUP(AB$3,'Non-Embedded Emissions'!$A$56:$D$90,3,FALSE)-VLOOKUP(AB$3,'Non-Embedded Emissions'!$A$143:$D$174,3,FALSE)-VLOOKUP(AB$3,'Non-Embedded Emissions'!$A$230:$D$259,3,FALSE)), $C35 = "0", 0), 0)</f>
        <v>0</v>
      </c>
      <c r="AH35" s="344">
        <f>IFERROR(_xlfn.IFS($C35="1",('Inputs-System'!$C$30*'Coincidence Factors'!$B$5*(1+'Inputs-System'!$C$18)*(1+'Inputs-System'!$C$41)*('Inputs-Proposals'!$H$17*'Inputs-Proposals'!$H$19*(1-'Inputs-Proposals'!$H$20))*(VLOOKUP(AH$3,Energy!$A$51:$K$83,5,FALSE)-VLOOKUP(AH$3,Energy!$A$51:$K$83,6,FALSE))), $C35 = "2",('Inputs-System'!$C$30*'Coincidence Factors'!$B$5)*(1+'Inputs-System'!$C$18)*(1+'Inputs-System'!$C$41)*('Inputs-Proposals'!$H$23*'Inputs-Proposals'!$H$25*(1-'Inputs-Proposals'!$H$26))*(VLOOKUP(AH$3,Energy!$A$51:$K$83,5,FALSE)-VLOOKUP(AH$3,Energy!$A$51:$K$83,6,FALSE)), $C35= "3", ('Inputs-System'!$C$30*'Coincidence Factors'!$B$5*(1+'Inputs-System'!$C$18)*(1+'Inputs-System'!$C$41)*('Inputs-Proposals'!$H$29*'Inputs-Proposals'!$H$31*(1-'Inputs-Proposals'!$H$32))*(VLOOKUP(AH$3,Energy!$A$51:$K$83,5,FALSE)-VLOOKUP(AH$3,Energy!$A$51:$K$83,6,FALSE))), $C35= "0", 0), 0)</f>
        <v>0</v>
      </c>
      <c r="AI35" s="100">
        <f>IFERROR(_xlfn.IFS($C35="1", 'Inputs-System'!$C$30*'Coincidence Factors'!$B$5*(1+'Inputs-System'!$C$18)*(1+'Inputs-System'!$C$41)*'Inputs-Proposals'!$H$17*'Inputs-Proposals'!$H$19*(1-'Inputs-Proposals'!$H$20)*(VLOOKUP(AH$3,'Embedded Emissions'!$A$47:$B$78,2,FALSE)+VLOOKUP(AH$3,'Embedded Emissions'!$A$129:$B$158,2,FALSE)), $C35 = "2",'Inputs-System'!$C$30*'Coincidence Factors'!$B$5*(1+'Inputs-System'!$C$18)*(1+'Inputs-System'!$C$41)*'Inputs-Proposals'!$H$23*'Inputs-Proposals'!$H$25*(1-'Inputs-Proposals'!$H$20)*(VLOOKUP(AH$3,'Embedded Emissions'!$A$47:$B$78,2,FALSE)+VLOOKUP(AH$3,'Embedded Emissions'!$A$129:$B$158,2,FALSE)), $C35 = "3", 'Inputs-System'!$C$30*'Coincidence Factors'!$B$5*(1+'Inputs-System'!$C$18)*(1+'Inputs-System'!$C$41)*'Inputs-Proposals'!$H$29*'Inputs-Proposals'!$H$31*(1-'Inputs-Proposals'!$H$20)*(VLOOKUP(AH$3,'Embedded Emissions'!$A$47:$B$78,2,FALSE)+VLOOKUP(AH$3,'Embedded Emissions'!$A$129:$B$158,2,FALSE)), $C35 = "0", 0), 0)</f>
        <v>0</v>
      </c>
      <c r="AJ35" s="318">
        <f>IFERROR(_xlfn.IFS($C35="1",( 'Inputs-System'!$C$30*'Coincidence Factors'!$B$5*(1+'Inputs-System'!$C$18)*(1+'Inputs-System'!$C$41))*('Inputs-Proposals'!$H$17*'Inputs-Proposals'!$H$19*(1-'Inputs-Proposals'!$H$20))*(VLOOKUP(AH$3,DRIPE!$A$54:$I$82,5,FALSE)-VLOOKUP(AH$3,DRIPE!$A$54:$I$82,6,FALSE)+VLOOKUP(AH$3,DRIPE!$A$54:$I$82,9,FALSE))+ ('Inputs-System'!$C$26*'Coincidence Factors'!$B$5*(1+'Inputs-System'!$C$18)*(1+'Inputs-System'!$C$42))*'Inputs-Proposals'!$H$16*VLOOKUP(AH$3,DRIPE!$A$54:$I$80,8,FALSE), $C35 = "2",( 'Inputs-System'!$C$30*'Coincidence Factors'!$B$5*(1+'Inputs-System'!$C$18)*(1+'Inputs-System'!$C$41))*('Inputs-Proposals'!$H$23*'Inputs-Proposals'!$H$25*(1-'Inputs-Proposals'!$H$26))*(VLOOKUP(AH$3,DRIPE!$A$54:$I$82,5,FALSE)-VLOOKUP(AH$3,DRIPE!$A$54:$I$82,6,FALSE)+VLOOKUP(AH$3,DRIPE!$A$54:$I$82,9,FALSE))+ ('Inputs-System'!$C$26*'Coincidence Factors'!$B$5*(1+'Inputs-System'!$C$18)*(1+'Inputs-System'!$C$41))+ ('Inputs-System'!$C$26*'Coincidence Factors'!$B$5)*'Inputs-Proposals'!$H$22*VLOOKUP(AH$3,DRIPE!$A$54:$I$80,8,FALSE), $C35= "3", ('Inputs-System'!$C$30*'Coincidence Factors'!$B$5)*('Inputs-Proposals'!$H$29*'Inputs-Proposals'!$H$31*(1-'Inputs-Proposals'!$H$32))*(VLOOKUP(AH$3,DRIPE!$A$54:$I$80,5,FALSE)-VLOOKUP(AH$3,DRIPE!$A$54:$I$80,6,FALSE)+VLOOKUP(AH$3,DRIPE!$A$54:$I$80,9,FALSE))+ ('Inputs-System'!$C$26*'Coincidence Factors'!$B$5*(1+'Inputs-System'!$C$18)*(1+'Inputs-System'!$C$42))*'Inputs-Proposals'!$H$28*VLOOKUP(AH$3,DRIPE!$A$54:$I$80,8,FALSE), $C35 = "0", 0), 0)</f>
        <v>0</v>
      </c>
      <c r="AK35" s="326">
        <f>IFERROR(_xlfn.IFS($C35="1",('Inputs-System'!$C$26*'Coincidence Factors'!$B$5*(1+'Inputs-System'!$C$18)*(1+'Inputs-System'!$C$42))*'Inputs-Proposals'!$H$16*(VLOOKUP(AH$3,Capacity!$A$53:$E$85,4,FALSE)*(1+'Inputs-System'!$C$42)+VLOOKUP(AH$3,Capacity!$A$53:$E$85,5,FALSE)*(1+'Inputs-System'!$C$43)*'Inputs-System'!$C$29), $C35 = "2", ('Inputs-System'!$C$26*'Coincidence Factors'!$B$5*(1+'Inputs-System'!$C$18))*'Inputs-Proposals'!$H$22*(VLOOKUP(AH$3,Capacity!$A$53:$E$85,4,FALSE)*(1+'Inputs-System'!$C$42)+VLOOKUP(AH$3,Capacity!$A$53:$E$85,5,FALSE)*'Inputs-System'!$C$29*(1+'Inputs-System'!$C$43)), $C35 = "3", ('Inputs-System'!$C$26*'Coincidence Factors'!$B$5*(1+'Inputs-System'!$C$18))*'Inputs-Proposals'!$H$28*(VLOOKUP(AH$3,Capacity!$A$53:$E$85,4,FALSE)*(1+'Inputs-System'!$C$42)+VLOOKUP(AH$3,Capacity!$A$53:$E$85,5,FALSE)*'Inputs-System'!$C$29*(1+'Inputs-System'!$C$43)), $C35 = "0", 0), 0)</f>
        <v>0</v>
      </c>
      <c r="AL35" s="100">
        <v>0</v>
      </c>
      <c r="AM35" s="346">
        <f>IFERROR(_xlfn.IFS($C35="1", 'Inputs-System'!$C$30*'Coincidence Factors'!$B$5*'Inputs-Proposals'!$H$17*'Inputs-Proposals'!$H$19*(VLOOKUP(AH$3,'Non-Embedded Emissions'!$A$56:$D$90,2,FALSE)+VLOOKUP(AH$3,'Non-Embedded Emissions'!$A$143:$D$174,2,FALSE)+VLOOKUP(AH$3,'Non-Embedded Emissions'!$A$230:$D$259,2,FALSE)-VLOOKUP(AH$3,'Non-Embedded Emissions'!$A$56:$D$90,3,FALSE)-VLOOKUP(AH$3,'Non-Embedded Emissions'!$A$143:$D$174,3,FALSE)-VLOOKUP(AH$3,'Non-Embedded Emissions'!$A$230:$D$259,3,FALSE)), $C35 = "2", 'Inputs-System'!$C$30*'Coincidence Factors'!$B$5*'Inputs-Proposals'!$H$23*'Inputs-Proposals'!$H$25*(VLOOKUP(AH$3,'Non-Embedded Emissions'!$A$56:$D$90,2,FALSE)+VLOOKUP(AH$3,'Non-Embedded Emissions'!$A$143:$D$174,2,FALSE)+VLOOKUP(AH$3,'Non-Embedded Emissions'!$A$230:$D$259,2,FALSE)-VLOOKUP(AH$3,'Non-Embedded Emissions'!$A$56:$D$90,3,FALSE)-VLOOKUP(AH$3,'Non-Embedded Emissions'!$A$143:$D$174,3,FALSE)-VLOOKUP(AH$3,'Non-Embedded Emissions'!$A$230:$D$259,3,FALSE)), $C35 = "3", 'Inputs-System'!$C$30*'Coincidence Factors'!$B$5*'Inputs-Proposals'!$H$29*'Inputs-Proposals'!$H$31*(VLOOKUP(AH$3,'Non-Embedded Emissions'!$A$56:$D$90,2,FALSE)+VLOOKUP(AH$3,'Non-Embedded Emissions'!$A$143:$D$174,2,FALSE)+VLOOKUP(AH$3,'Non-Embedded Emissions'!$A$230:$D$259,2,FALSE)-VLOOKUP(AH$3,'Non-Embedded Emissions'!$A$56:$D$90,3,FALSE)-VLOOKUP(AH$3,'Non-Embedded Emissions'!$A$143:$D$174,3,FALSE)-VLOOKUP(AH$3,'Non-Embedded Emissions'!$A$230:$D$259,3,FALSE)), $C35 = "0", 0), 0)</f>
        <v>0</v>
      </c>
      <c r="AN35" s="344">
        <f>IFERROR(_xlfn.IFS($C35="1",('Inputs-System'!$C$30*'Coincidence Factors'!$B$5*(1+'Inputs-System'!$C$18)*(1+'Inputs-System'!$C$41)*('Inputs-Proposals'!$H$17*'Inputs-Proposals'!$H$19*(1-'Inputs-Proposals'!$H$20))*(VLOOKUP(AN$3,Energy!$A$51:$K$83,5,FALSE)-VLOOKUP(AN$3,Energy!$A$51:$K$83,6,FALSE))), $C35 = "2",('Inputs-System'!$C$30*'Coincidence Factors'!$B$5)*(1+'Inputs-System'!$C$18)*(1+'Inputs-System'!$C$41)*('Inputs-Proposals'!$H$23*'Inputs-Proposals'!$H$25*(1-'Inputs-Proposals'!$H$26))*(VLOOKUP(AN$3,Energy!$A$51:$K$83,5,FALSE)-VLOOKUP(AN$3,Energy!$A$51:$K$83,6,FALSE)), $C35= "3", ('Inputs-System'!$C$30*'Coincidence Factors'!$B$5*(1+'Inputs-System'!$C$18)*(1+'Inputs-System'!$C$41)*('Inputs-Proposals'!$H$29*'Inputs-Proposals'!$H$31*(1-'Inputs-Proposals'!$H$32))*(VLOOKUP(AN$3,Energy!$A$51:$K$83,5,FALSE)-VLOOKUP(AN$3,Energy!$A$51:$K$83,6,FALSE))), $C35= "0", 0), 0)</f>
        <v>0</v>
      </c>
      <c r="AO35" s="100">
        <f>IFERROR(_xlfn.IFS($C35="1", 'Inputs-System'!$C$30*'Coincidence Factors'!$B$5*(1+'Inputs-System'!$C$18)*(1+'Inputs-System'!$C$41)*'Inputs-Proposals'!$H$17*'Inputs-Proposals'!$H$19*(1-'Inputs-Proposals'!$H$20)*(VLOOKUP(AN$3,'Embedded Emissions'!$A$47:$B$78,2,FALSE)+VLOOKUP(AN$3,'Embedded Emissions'!$A$129:$B$158,2,FALSE)), $C35 = "2",'Inputs-System'!$C$30*'Coincidence Factors'!$B$5*(1+'Inputs-System'!$C$18)*(1+'Inputs-System'!$C$41)*'Inputs-Proposals'!$H$23*'Inputs-Proposals'!$H$25*(1-'Inputs-Proposals'!$H$20)*(VLOOKUP(AN$3,'Embedded Emissions'!$A$47:$B$78,2,FALSE)+VLOOKUP(AN$3,'Embedded Emissions'!$A$129:$B$158,2,FALSE)), $C35 = "3", 'Inputs-System'!$C$30*'Coincidence Factors'!$B$5*(1+'Inputs-System'!$C$18)*(1+'Inputs-System'!$C$41)*'Inputs-Proposals'!$H$29*'Inputs-Proposals'!$H$31*(1-'Inputs-Proposals'!$H$20)*(VLOOKUP(AN$3,'Embedded Emissions'!$A$47:$B$78,2,FALSE)+VLOOKUP(AN$3,'Embedded Emissions'!$A$129:$B$158,2,FALSE)), $C35 = "0", 0), 0)</f>
        <v>0</v>
      </c>
      <c r="AP35" s="318">
        <f>IFERROR(_xlfn.IFS($C35="1",( 'Inputs-System'!$C$30*'Coincidence Factors'!$B$5*(1+'Inputs-System'!$C$18)*(1+'Inputs-System'!$C$41))*('Inputs-Proposals'!$H$17*'Inputs-Proposals'!$H$19*(1-'Inputs-Proposals'!$H$20))*(VLOOKUP(AN$3,DRIPE!$A$54:$I$82,5,FALSE)-VLOOKUP(AN$3,DRIPE!$A$54:$I$82,6,FALSE)+VLOOKUP(AN$3,DRIPE!$A$54:$I$82,9,FALSE))+ ('Inputs-System'!$C$26*'Coincidence Factors'!$B$5*(1+'Inputs-System'!$C$18)*(1+'Inputs-System'!$C$42))*'Inputs-Proposals'!$H$16*VLOOKUP(AN$3,DRIPE!$A$54:$I$80,8,FALSE), $C35 = "2",( 'Inputs-System'!$C$30*'Coincidence Factors'!$B$5*(1+'Inputs-System'!$C$18)*(1+'Inputs-System'!$C$41))*('Inputs-Proposals'!$H$23*'Inputs-Proposals'!$H$25*(1-'Inputs-Proposals'!$H$26))*(VLOOKUP(AN$3,DRIPE!$A$54:$I$82,5,FALSE)-VLOOKUP(AN$3,DRIPE!$A$54:$I$82,6,FALSE)+VLOOKUP(AN$3,DRIPE!$A$54:$I$82,9,FALSE))+ ('Inputs-System'!$C$26*'Coincidence Factors'!$B$5*(1+'Inputs-System'!$C$18)*(1+'Inputs-System'!$C$41))+ ('Inputs-System'!$C$26*'Coincidence Factors'!$B$5)*'Inputs-Proposals'!$H$22*VLOOKUP(AN$3,DRIPE!$A$54:$I$80,8,FALSE), $C35= "3", ('Inputs-System'!$C$30*'Coincidence Factors'!$B$5)*('Inputs-Proposals'!$H$29*'Inputs-Proposals'!$H$31*(1-'Inputs-Proposals'!$H$32))*(VLOOKUP(AN$3,DRIPE!$A$54:$I$80,5,FALSE)-VLOOKUP(AN$3,DRIPE!$A$54:$I$80,6,FALSE)+VLOOKUP(AN$3,DRIPE!$A$54:$I$80,9,FALSE))+ ('Inputs-System'!$C$26*'Coincidence Factors'!$B$5*(1+'Inputs-System'!$C$18)*(1+'Inputs-System'!$C$42))*'Inputs-Proposals'!$H$28*VLOOKUP(AN$3,DRIPE!$A$54:$I$80,8,FALSE), $C35 = "0", 0), 0)</f>
        <v>0</v>
      </c>
      <c r="AQ35" s="326">
        <f>IFERROR(_xlfn.IFS($C35="1",('Inputs-System'!$C$26*'Coincidence Factors'!$B$5*(1+'Inputs-System'!$C$18)*(1+'Inputs-System'!$C$42))*'Inputs-Proposals'!$H$16*(VLOOKUP(AN$3,Capacity!$A$53:$E$85,4,FALSE)*(1+'Inputs-System'!$C$42)+VLOOKUP(AN$3,Capacity!$A$53:$E$85,5,FALSE)*(1+'Inputs-System'!$C$43)*'Inputs-System'!$C$29), $C35 = "2", ('Inputs-System'!$C$26*'Coincidence Factors'!$B$5*(1+'Inputs-System'!$C$18))*'Inputs-Proposals'!$H$22*(VLOOKUP(AN$3,Capacity!$A$53:$E$85,4,FALSE)*(1+'Inputs-System'!$C$42)+VLOOKUP(AN$3,Capacity!$A$53:$E$85,5,FALSE)*'Inputs-System'!$C$29*(1+'Inputs-System'!$C$43)), $C35 = "3", ('Inputs-System'!$C$26*'Coincidence Factors'!$B$5*(1+'Inputs-System'!$C$18))*'Inputs-Proposals'!$H$28*(VLOOKUP(AN$3,Capacity!$A$53:$E$85,4,FALSE)*(1+'Inputs-System'!$C$42)+VLOOKUP(AN$3,Capacity!$A$53:$E$85,5,FALSE)*'Inputs-System'!$C$29*(1+'Inputs-System'!$C$43)), $C35 = "0", 0), 0)</f>
        <v>0</v>
      </c>
      <c r="AR35" s="100">
        <v>0</v>
      </c>
      <c r="AS35" s="346">
        <f>IFERROR(_xlfn.IFS($C35="1", 'Inputs-System'!$C$30*'Coincidence Factors'!$B$5*'Inputs-Proposals'!$H$17*'Inputs-Proposals'!$H$19*(VLOOKUP(AN$3,'Non-Embedded Emissions'!$A$56:$D$90,2,FALSE)+VLOOKUP(AN$3,'Non-Embedded Emissions'!$A$143:$D$174,2,FALSE)+VLOOKUP(AN$3,'Non-Embedded Emissions'!$A$230:$D$259,2,FALSE)-VLOOKUP(AN$3,'Non-Embedded Emissions'!$A$56:$D$90,3,FALSE)-VLOOKUP(AN$3,'Non-Embedded Emissions'!$A$143:$D$174,3,FALSE)-VLOOKUP(AN$3,'Non-Embedded Emissions'!$A$230:$D$259,3,FALSE)), $C35 = "2", 'Inputs-System'!$C$30*'Coincidence Factors'!$B$5*'Inputs-Proposals'!$H$23*'Inputs-Proposals'!$H$25*(VLOOKUP(AN$3,'Non-Embedded Emissions'!$A$56:$D$90,2,FALSE)+VLOOKUP(AN$3,'Non-Embedded Emissions'!$A$143:$D$174,2,FALSE)+VLOOKUP(AN$3,'Non-Embedded Emissions'!$A$230:$D$259,2,FALSE)-VLOOKUP(AN$3,'Non-Embedded Emissions'!$A$56:$D$90,3,FALSE)-VLOOKUP(AN$3,'Non-Embedded Emissions'!$A$143:$D$174,3,FALSE)-VLOOKUP(AN$3,'Non-Embedded Emissions'!$A$230:$D$259,3,FALSE)), $C35 = "3", 'Inputs-System'!$C$30*'Coincidence Factors'!$B$5*'Inputs-Proposals'!$H$29*'Inputs-Proposals'!$H$31*(VLOOKUP(AN$3,'Non-Embedded Emissions'!$A$56:$D$90,2,FALSE)+VLOOKUP(AN$3,'Non-Embedded Emissions'!$A$143:$D$174,2,FALSE)+VLOOKUP(AN$3,'Non-Embedded Emissions'!$A$230:$D$259,2,FALSE)-VLOOKUP(AN$3,'Non-Embedded Emissions'!$A$56:$D$90,3,FALSE)-VLOOKUP(AN$3,'Non-Embedded Emissions'!$A$143:$D$174,3,FALSE)-VLOOKUP(AN$3,'Non-Embedded Emissions'!$A$230:$D$259,3,FALSE)), $C35 = "0", 0), 0)</f>
        <v>0</v>
      </c>
      <c r="AT35" s="344">
        <f>IFERROR(_xlfn.IFS($C35="1",('Inputs-System'!$C$30*'Coincidence Factors'!$B$5*(1+'Inputs-System'!$C$18)*(1+'Inputs-System'!$C$41)*('Inputs-Proposals'!$H$17*'Inputs-Proposals'!$H$19*(1-'Inputs-Proposals'!$H$20))*(VLOOKUP(AT$3,Energy!$A$51:$K$83,5,FALSE)-VLOOKUP(AT$3,Energy!$A$51:$K$83,6,FALSE))), $C35 = "2",('Inputs-System'!$C$30*'Coincidence Factors'!$B$5)*(1+'Inputs-System'!$C$18)*(1+'Inputs-System'!$C$41)*('Inputs-Proposals'!$H$23*'Inputs-Proposals'!$H$25*(1-'Inputs-Proposals'!$H$26))*(VLOOKUP(AT$3,Energy!$A$51:$K$83,5,FALSE)-VLOOKUP(AT$3,Energy!$A$51:$K$83,6,FALSE)), $C35= "3", ('Inputs-System'!$C$30*'Coincidence Factors'!$B$5*(1+'Inputs-System'!$C$18)*(1+'Inputs-System'!$C$41)*('Inputs-Proposals'!$H$29*'Inputs-Proposals'!$H$31*(1-'Inputs-Proposals'!$H$32))*(VLOOKUP(AT$3,Energy!$A$51:$K$83,5,FALSE)-VLOOKUP(AT$3,Energy!$A$51:$K$83,6,FALSE))), $C35= "0", 0), 0)</f>
        <v>0</v>
      </c>
      <c r="AU35" s="100">
        <f>IFERROR(_xlfn.IFS($C35="1", 'Inputs-System'!$C$30*'Coincidence Factors'!$B$5*(1+'Inputs-System'!$C$18)*(1+'Inputs-System'!$C$41)*'Inputs-Proposals'!$H$17*'Inputs-Proposals'!$H$19*(1-'Inputs-Proposals'!$H$20)*(VLOOKUP(AT$3,'Embedded Emissions'!$A$47:$B$78,2,FALSE)+VLOOKUP(AT$3,'Embedded Emissions'!$A$129:$B$158,2,FALSE)), $C35 = "2",'Inputs-System'!$C$30*'Coincidence Factors'!$B$5*(1+'Inputs-System'!$C$18)*(1+'Inputs-System'!$C$41)*'Inputs-Proposals'!$H$23*'Inputs-Proposals'!$H$25*(1-'Inputs-Proposals'!$H$20)*(VLOOKUP(AT$3,'Embedded Emissions'!$A$47:$B$78,2,FALSE)+VLOOKUP(AT$3,'Embedded Emissions'!$A$129:$B$158,2,FALSE)), $C35 = "3", 'Inputs-System'!$C$30*'Coincidence Factors'!$B$5*(1+'Inputs-System'!$C$18)*(1+'Inputs-System'!$C$41)*'Inputs-Proposals'!$H$29*'Inputs-Proposals'!$H$31*(1-'Inputs-Proposals'!$H$20)*(VLOOKUP(AT$3,'Embedded Emissions'!$A$47:$B$78,2,FALSE)+VLOOKUP(AT$3,'Embedded Emissions'!$A$129:$B$158,2,FALSE)), $C35 = "0", 0), 0)</f>
        <v>0</v>
      </c>
      <c r="AV35" s="318">
        <f>IFERROR(_xlfn.IFS($C35="1",( 'Inputs-System'!$C$30*'Coincidence Factors'!$B$5*(1+'Inputs-System'!$C$18)*(1+'Inputs-System'!$C$41))*('Inputs-Proposals'!$H$17*'Inputs-Proposals'!$H$19*(1-'Inputs-Proposals'!$H$20))*(VLOOKUP(AT$3,DRIPE!$A$54:$I$82,5,FALSE)-VLOOKUP(AT$3,DRIPE!$A$54:$I$82,6,FALSE)+VLOOKUP(AT$3,DRIPE!$A$54:$I$82,9,FALSE))+ ('Inputs-System'!$C$26*'Coincidence Factors'!$B$5*(1+'Inputs-System'!$C$18)*(1+'Inputs-System'!$C$42))*'Inputs-Proposals'!$H$16*VLOOKUP(AT$3,DRIPE!$A$54:$I$80,8,FALSE), $C35 = "2",( 'Inputs-System'!$C$30*'Coincidence Factors'!$B$5*(1+'Inputs-System'!$C$18)*(1+'Inputs-System'!$C$41))*('Inputs-Proposals'!$H$23*'Inputs-Proposals'!$H$25*(1-'Inputs-Proposals'!$H$26))*(VLOOKUP(AT$3,DRIPE!$A$54:$I$82,5,FALSE)-VLOOKUP(AT$3,DRIPE!$A$54:$I$82,6,FALSE)+VLOOKUP(AT$3,DRIPE!$A$54:$I$82,9,FALSE))+ ('Inputs-System'!$C$26*'Coincidence Factors'!$B$5*(1+'Inputs-System'!$C$18)*(1+'Inputs-System'!$C$41))+ ('Inputs-System'!$C$26*'Coincidence Factors'!$B$5)*'Inputs-Proposals'!$H$22*VLOOKUP(AT$3,DRIPE!$A$54:$I$80,8,FALSE), $C35= "3", ('Inputs-System'!$C$30*'Coincidence Factors'!$B$5)*('Inputs-Proposals'!$H$29*'Inputs-Proposals'!$H$31*(1-'Inputs-Proposals'!$H$32))*(VLOOKUP(AT$3,DRIPE!$A$54:$I$80,5,FALSE)-VLOOKUP(AT$3,DRIPE!$A$54:$I$80,6,FALSE)+VLOOKUP(AT$3,DRIPE!$A$54:$I$80,9,FALSE))+ ('Inputs-System'!$C$26*'Coincidence Factors'!$B$5*(1+'Inputs-System'!$C$18)*(1+'Inputs-System'!$C$42))*'Inputs-Proposals'!$H$28*VLOOKUP(AT$3,DRIPE!$A$54:$I$80,8,FALSE), $C35 = "0", 0), 0)</f>
        <v>0</v>
      </c>
      <c r="AW35" s="326">
        <f>IFERROR(_xlfn.IFS($C35="1",('Inputs-System'!$C$26*'Coincidence Factors'!$B$5*(1+'Inputs-System'!$C$18)*(1+'Inputs-System'!$C$42))*'Inputs-Proposals'!$H$16*(VLOOKUP(AT$3,Capacity!$A$53:$E$85,4,FALSE)*(1+'Inputs-System'!$C$42)+VLOOKUP(AT$3,Capacity!$A$53:$E$85,5,FALSE)*(1+'Inputs-System'!$C$43)*'Inputs-System'!$C$29), $C35 = "2", ('Inputs-System'!$C$26*'Coincidence Factors'!$B$5*(1+'Inputs-System'!$C$18))*'Inputs-Proposals'!$H$22*(VLOOKUP(AT$3,Capacity!$A$53:$E$85,4,FALSE)*(1+'Inputs-System'!$C$42)+VLOOKUP(AT$3,Capacity!$A$53:$E$85,5,FALSE)*'Inputs-System'!$C$29*(1+'Inputs-System'!$C$43)), $C35 = "3", ('Inputs-System'!$C$26*'Coincidence Factors'!$B$5*(1+'Inputs-System'!$C$18))*'Inputs-Proposals'!$H$28*(VLOOKUP(AT$3,Capacity!$A$53:$E$85,4,FALSE)*(1+'Inputs-System'!$C$42)+VLOOKUP(AT$3,Capacity!$A$53:$E$85,5,FALSE)*'Inputs-System'!$C$29*(1+'Inputs-System'!$C$43)), $C35 = "0", 0), 0)</f>
        <v>0</v>
      </c>
      <c r="AX35" s="100">
        <v>0</v>
      </c>
      <c r="AY35" s="346">
        <f>IFERROR(_xlfn.IFS($C35="1", 'Inputs-System'!$C$30*'Coincidence Factors'!$B$5*'Inputs-Proposals'!$H$17*'Inputs-Proposals'!$H$19*(VLOOKUP(AT$3,'Non-Embedded Emissions'!$A$56:$D$90,2,FALSE)+VLOOKUP(AT$3,'Non-Embedded Emissions'!$A$143:$D$174,2,FALSE)+VLOOKUP(AT$3,'Non-Embedded Emissions'!$A$230:$D$259,2,FALSE)-VLOOKUP(AT$3,'Non-Embedded Emissions'!$A$56:$D$90,3,FALSE)-VLOOKUP(AT$3,'Non-Embedded Emissions'!$A$143:$D$174,3,FALSE)-VLOOKUP(AT$3,'Non-Embedded Emissions'!$A$230:$D$259,3,FALSE)), $C35 = "2", 'Inputs-System'!$C$30*'Coincidence Factors'!$B$5*'Inputs-Proposals'!$H$23*'Inputs-Proposals'!$H$25*(VLOOKUP(AT$3,'Non-Embedded Emissions'!$A$56:$D$90,2,FALSE)+VLOOKUP(AT$3,'Non-Embedded Emissions'!$A$143:$D$174,2,FALSE)+VLOOKUP(AT$3,'Non-Embedded Emissions'!$A$230:$D$259,2,FALSE)-VLOOKUP(AT$3,'Non-Embedded Emissions'!$A$56:$D$90,3,FALSE)-VLOOKUP(AT$3,'Non-Embedded Emissions'!$A$143:$D$174,3,FALSE)-VLOOKUP(AT$3,'Non-Embedded Emissions'!$A$230:$D$259,3,FALSE)), $C35 = "3", 'Inputs-System'!$C$30*'Coincidence Factors'!$B$5*'Inputs-Proposals'!$H$29*'Inputs-Proposals'!$H$31*(VLOOKUP(AT$3,'Non-Embedded Emissions'!$A$56:$D$90,2,FALSE)+VLOOKUP(AT$3,'Non-Embedded Emissions'!$A$143:$D$174,2,FALSE)+VLOOKUP(AT$3,'Non-Embedded Emissions'!$A$230:$D$259,2,FALSE)-VLOOKUP(AT$3,'Non-Embedded Emissions'!$A$56:$D$90,3,FALSE)-VLOOKUP(AT$3,'Non-Embedded Emissions'!$A$143:$D$174,3,FALSE)-VLOOKUP(AT$3,'Non-Embedded Emissions'!$A$230:$D$259,3,FALSE)), $C35 = "0", 0), 0)</f>
        <v>0</v>
      </c>
      <c r="AZ35" s="344">
        <f>IFERROR(_xlfn.IFS($C35="1",('Inputs-System'!$C$30*'Coincidence Factors'!$B$5*(1+'Inputs-System'!$C$18)*(1+'Inputs-System'!$C$41)*('Inputs-Proposals'!$H$17*'Inputs-Proposals'!$H$19*(1-'Inputs-Proposals'!$H$20))*(VLOOKUP(AZ$3,Energy!$A$51:$K$83,5,FALSE)-VLOOKUP(AZ$3,Energy!$A$51:$K$83,6,FALSE))), $C35 = "2",('Inputs-System'!$C$30*'Coincidence Factors'!$B$5)*(1+'Inputs-System'!$C$18)*(1+'Inputs-System'!$C$41)*('Inputs-Proposals'!$H$23*'Inputs-Proposals'!$H$25*(1-'Inputs-Proposals'!$H$26))*(VLOOKUP(AZ$3,Energy!$A$51:$K$83,5,FALSE)-VLOOKUP(AZ$3,Energy!$A$51:$K$83,6,FALSE)), $C35= "3", ('Inputs-System'!$C$30*'Coincidence Factors'!$B$5*(1+'Inputs-System'!$C$18)*(1+'Inputs-System'!$C$41)*('Inputs-Proposals'!$H$29*'Inputs-Proposals'!$H$31*(1-'Inputs-Proposals'!$H$32))*(VLOOKUP(AZ$3,Energy!$A$51:$K$83,5,FALSE)-VLOOKUP(AZ$3,Energy!$A$51:$K$83,6,FALSE))), $C35= "0", 0), 0)</f>
        <v>0</v>
      </c>
      <c r="BA35" s="100">
        <f>IFERROR(_xlfn.IFS($C35="1", 'Inputs-System'!$C$30*'Coincidence Factors'!$B$5*(1+'Inputs-System'!$C$18)*(1+'Inputs-System'!$C$41)*'Inputs-Proposals'!$H$17*'Inputs-Proposals'!$H$19*(1-'Inputs-Proposals'!$H$20)*(VLOOKUP(AZ$3,'Embedded Emissions'!$A$47:$B$78,2,FALSE)+VLOOKUP(AZ$3,'Embedded Emissions'!$A$129:$B$158,2,FALSE)), $C35 = "2",'Inputs-System'!$C$30*'Coincidence Factors'!$B$5*(1+'Inputs-System'!$C$18)*(1+'Inputs-System'!$C$41)*'Inputs-Proposals'!$H$23*'Inputs-Proposals'!$H$25*(1-'Inputs-Proposals'!$H$20)*(VLOOKUP(AZ$3,'Embedded Emissions'!$A$47:$B$78,2,FALSE)+VLOOKUP(AZ$3,'Embedded Emissions'!$A$129:$B$158,2,FALSE)), $C35 = "3", 'Inputs-System'!$C$30*'Coincidence Factors'!$B$5*(1+'Inputs-System'!$C$18)*(1+'Inputs-System'!$C$41)*'Inputs-Proposals'!$H$29*'Inputs-Proposals'!$H$31*(1-'Inputs-Proposals'!$H$20)*(VLOOKUP(AZ$3,'Embedded Emissions'!$A$47:$B$78,2,FALSE)+VLOOKUP(AZ$3,'Embedded Emissions'!$A$129:$B$158,2,FALSE)), $C35 = "0", 0), 0)</f>
        <v>0</v>
      </c>
      <c r="BB35" s="318">
        <f>IFERROR(_xlfn.IFS($C35="1",( 'Inputs-System'!$C$30*'Coincidence Factors'!$B$5*(1+'Inputs-System'!$C$18)*(1+'Inputs-System'!$C$41))*('Inputs-Proposals'!$H$17*'Inputs-Proposals'!$H$19*(1-'Inputs-Proposals'!$H$20))*(VLOOKUP(AZ$3,DRIPE!$A$54:$I$82,5,FALSE)-VLOOKUP(AZ$3,DRIPE!$A$54:$I$82,6,FALSE)+VLOOKUP(AZ$3,DRIPE!$A$54:$I$82,9,FALSE))+ ('Inputs-System'!$C$26*'Coincidence Factors'!$B$5*(1+'Inputs-System'!$C$18)*(1+'Inputs-System'!$C$42))*'Inputs-Proposals'!$H$16*VLOOKUP(AZ$3,DRIPE!$A$54:$I$80,8,FALSE), $C35 = "2",( 'Inputs-System'!$C$30*'Coincidence Factors'!$B$5*(1+'Inputs-System'!$C$18)*(1+'Inputs-System'!$C$41))*('Inputs-Proposals'!$H$23*'Inputs-Proposals'!$H$25*(1-'Inputs-Proposals'!$H$26))*(VLOOKUP(AZ$3,DRIPE!$A$54:$I$82,5,FALSE)-VLOOKUP(AZ$3,DRIPE!$A$54:$I$82,6,FALSE)+VLOOKUP(AZ$3,DRIPE!$A$54:$I$82,9,FALSE))+ ('Inputs-System'!$C$26*'Coincidence Factors'!$B$5*(1+'Inputs-System'!$C$18)*(1+'Inputs-System'!$C$41))+ ('Inputs-System'!$C$26*'Coincidence Factors'!$B$5)*'Inputs-Proposals'!$H$22*VLOOKUP(AZ$3,DRIPE!$A$54:$I$80,8,FALSE), $C35= "3", ('Inputs-System'!$C$30*'Coincidence Factors'!$B$5)*('Inputs-Proposals'!$H$29*'Inputs-Proposals'!$H$31*(1-'Inputs-Proposals'!$H$32))*(VLOOKUP(AZ$3,DRIPE!$A$54:$I$80,5,FALSE)-VLOOKUP(AZ$3,DRIPE!$A$54:$I$80,6,FALSE)+VLOOKUP(AZ$3,DRIPE!$A$54:$I$80,9,FALSE))+ ('Inputs-System'!$C$26*'Coincidence Factors'!$B$5*(1+'Inputs-System'!$C$18)*(1+'Inputs-System'!$C$42))*'Inputs-Proposals'!$H$28*VLOOKUP(AZ$3,DRIPE!$A$54:$I$80,8,FALSE), $C35 = "0", 0), 0)</f>
        <v>0</v>
      </c>
      <c r="BC35" s="326">
        <f>IFERROR(_xlfn.IFS($C35="1",('Inputs-System'!$C$26*'Coincidence Factors'!$B$5*(1+'Inputs-System'!$C$18)*(1+'Inputs-System'!$C$42))*'Inputs-Proposals'!$H$16*(VLOOKUP(AZ$3,Capacity!$A$53:$E$85,4,FALSE)*(1+'Inputs-System'!$C$42)+VLOOKUP(AZ$3,Capacity!$A$53:$E$85,5,FALSE)*(1+'Inputs-System'!$C$43)*'Inputs-System'!$C$29), $C35 = "2", ('Inputs-System'!$C$26*'Coincidence Factors'!$B$5*(1+'Inputs-System'!$C$18))*'Inputs-Proposals'!$H$22*(VLOOKUP(AZ$3,Capacity!$A$53:$E$85,4,FALSE)*(1+'Inputs-System'!$C$42)+VLOOKUP(AZ$3,Capacity!$A$53:$E$85,5,FALSE)*'Inputs-System'!$C$29*(1+'Inputs-System'!$C$43)), $C35 = "3", ('Inputs-System'!$C$26*'Coincidence Factors'!$B$5*(1+'Inputs-System'!$C$18))*'Inputs-Proposals'!$H$28*(VLOOKUP(AZ$3,Capacity!$A$53:$E$85,4,FALSE)*(1+'Inputs-System'!$C$42)+VLOOKUP(AZ$3,Capacity!$A$53:$E$85,5,FALSE)*'Inputs-System'!$C$29*(1+'Inputs-System'!$C$43)), $C35 = "0", 0), 0)</f>
        <v>0</v>
      </c>
      <c r="BD35" s="100">
        <v>0</v>
      </c>
      <c r="BE35" s="346">
        <f>IFERROR(_xlfn.IFS($C35="1", 'Inputs-System'!$C$30*'Coincidence Factors'!$B$5*'Inputs-Proposals'!$H$17*'Inputs-Proposals'!$H$19*(VLOOKUP(AZ$3,'Non-Embedded Emissions'!$A$56:$D$90,2,FALSE)+VLOOKUP(AZ$3,'Non-Embedded Emissions'!$A$143:$D$174,2,FALSE)+VLOOKUP(AZ$3,'Non-Embedded Emissions'!$A$230:$D$259,2,FALSE)-VLOOKUP(AZ$3,'Non-Embedded Emissions'!$A$56:$D$90,3,FALSE)-VLOOKUP(AZ$3,'Non-Embedded Emissions'!$A$143:$D$174,3,FALSE)-VLOOKUP(AZ$3,'Non-Embedded Emissions'!$A$230:$D$259,3,FALSE)), $C35 = "2", 'Inputs-System'!$C$30*'Coincidence Factors'!$B$5*'Inputs-Proposals'!$H$23*'Inputs-Proposals'!$H$25*(VLOOKUP(AZ$3,'Non-Embedded Emissions'!$A$56:$D$90,2,FALSE)+VLOOKUP(AZ$3,'Non-Embedded Emissions'!$A$143:$D$174,2,FALSE)+VLOOKUP(AZ$3,'Non-Embedded Emissions'!$A$230:$D$259,2,FALSE)-VLOOKUP(AZ$3,'Non-Embedded Emissions'!$A$56:$D$90,3,FALSE)-VLOOKUP(AZ$3,'Non-Embedded Emissions'!$A$143:$D$174,3,FALSE)-VLOOKUP(AZ$3,'Non-Embedded Emissions'!$A$230:$D$259,3,FALSE)), $C35 = "3", 'Inputs-System'!$C$30*'Coincidence Factors'!$B$5*'Inputs-Proposals'!$H$29*'Inputs-Proposals'!$H$31*(VLOOKUP(AZ$3,'Non-Embedded Emissions'!$A$56:$D$90,2,FALSE)+VLOOKUP(AZ$3,'Non-Embedded Emissions'!$A$143:$D$174,2,FALSE)+VLOOKUP(AZ$3,'Non-Embedded Emissions'!$A$230:$D$259,2,FALSE)-VLOOKUP(AZ$3,'Non-Embedded Emissions'!$A$56:$D$90,3,FALSE)-VLOOKUP(AZ$3,'Non-Embedded Emissions'!$A$143:$D$174,3,FALSE)-VLOOKUP(AZ$3,'Non-Embedded Emissions'!$A$230:$D$259,3,FALSE)), $C35 = "0", 0), 0)</f>
        <v>0</v>
      </c>
      <c r="BF35" s="344">
        <f>IFERROR(_xlfn.IFS($C35="1",('Inputs-System'!$C$30*'Coincidence Factors'!$B$5*(1+'Inputs-System'!$C$18)*(1+'Inputs-System'!$C$41)*('Inputs-Proposals'!$H$17*'Inputs-Proposals'!$H$19*(1-'Inputs-Proposals'!$H$20))*(VLOOKUP(BF$3,Energy!$A$51:$K$83,5,FALSE)-VLOOKUP(BF$3,Energy!$A$51:$K$83,6,FALSE))), $C35 = "2",('Inputs-System'!$C$30*'Coincidence Factors'!$B$5)*(1+'Inputs-System'!$C$18)*(1+'Inputs-System'!$C$41)*('Inputs-Proposals'!$H$23*'Inputs-Proposals'!$H$25*(1-'Inputs-Proposals'!$H$26))*(VLOOKUP(BF$3,Energy!$A$51:$K$83,5,FALSE)-VLOOKUP(BF$3,Energy!$A$51:$K$83,6,FALSE)), $C35= "3", ('Inputs-System'!$C$30*'Coincidence Factors'!$B$5*(1+'Inputs-System'!$C$18)*(1+'Inputs-System'!$C$41)*('Inputs-Proposals'!$H$29*'Inputs-Proposals'!$H$31*(1-'Inputs-Proposals'!$H$32))*(VLOOKUP(BF$3,Energy!$A$51:$K$83,5,FALSE)-VLOOKUP(BF$3,Energy!$A$51:$K$83,6,FALSE))), $C35= "0", 0), 0)</f>
        <v>0</v>
      </c>
      <c r="BG35" s="100">
        <f>IFERROR(_xlfn.IFS($C35="1", 'Inputs-System'!$C$30*'Coincidence Factors'!$B$5*(1+'Inputs-System'!$C$18)*(1+'Inputs-System'!$C$41)*'Inputs-Proposals'!$H$17*'Inputs-Proposals'!$H$19*(1-'Inputs-Proposals'!$H$20)*(VLOOKUP(BF$3,'Embedded Emissions'!$A$47:$B$78,2,FALSE)+VLOOKUP(BF$3,'Embedded Emissions'!$A$129:$B$158,2,FALSE)), $C35 = "2",'Inputs-System'!$C$30*'Coincidence Factors'!$B$5*(1+'Inputs-System'!$C$18)*(1+'Inputs-System'!$C$41)*'Inputs-Proposals'!$H$23*'Inputs-Proposals'!$H$25*(1-'Inputs-Proposals'!$H$20)*(VLOOKUP(BF$3,'Embedded Emissions'!$A$47:$B$78,2,FALSE)+VLOOKUP(BF$3,'Embedded Emissions'!$A$129:$B$158,2,FALSE)), $C35 = "3", 'Inputs-System'!$C$30*'Coincidence Factors'!$B$5*(1+'Inputs-System'!$C$18)*(1+'Inputs-System'!$C$41)*'Inputs-Proposals'!$H$29*'Inputs-Proposals'!$H$31*(1-'Inputs-Proposals'!$H$20)*(VLOOKUP(BF$3,'Embedded Emissions'!$A$47:$B$78,2,FALSE)+VLOOKUP(BF$3,'Embedded Emissions'!$A$129:$B$158,2,FALSE)), $C35 = "0", 0), 0)</f>
        <v>0</v>
      </c>
      <c r="BH35" s="318">
        <f>IFERROR(_xlfn.IFS($C35="1",( 'Inputs-System'!$C$30*'Coincidence Factors'!$B$5*(1+'Inputs-System'!$C$18)*(1+'Inputs-System'!$C$41))*('Inputs-Proposals'!$H$17*'Inputs-Proposals'!$H$19*(1-'Inputs-Proposals'!$H$20))*(VLOOKUP(BF$3,DRIPE!$A$54:$I$82,5,FALSE)-VLOOKUP(BF$3,DRIPE!$A$54:$I$82,6,FALSE)+VLOOKUP(BF$3,DRIPE!$A$54:$I$82,9,FALSE))+ ('Inputs-System'!$C$26*'Coincidence Factors'!$B$5*(1+'Inputs-System'!$C$18)*(1+'Inputs-System'!$C$42))*'Inputs-Proposals'!$H$16*VLOOKUP(BF$3,DRIPE!$A$54:$I$80,8,FALSE), $C35 = "2",( 'Inputs-System'!$C$30*'Coincidence Factors'!$B$5*(1+'Inputs-System'!$C$18)*(1+'Inputs-System'!$C$41))*('Inputs-Proposals'!$H$23*'Inputs-Proposals'!$H$25*(1-'Inputs-Proposals'!$H$26))*(VLOOKUP(BF$3,DRIPE!$A$54:$I$82,5,FALSE)-VLOOKUP(BF$3,DRIPE!$A$54:$I$82,6,FALSE)+VLOOKUP(BF$3,DRIPE!$A$54:$I$82,9,FALSE))+ ('Inputs-System'!$C$26*'Coincidence Factors'!$B$5*(1+'Inputs-System'!$C$18)*(1+'Inputs-System'!$C$41))+ ('Inputs-System'!$C$26*'Coincidence Factors'!$B$5)*'Inputs-Proposals'!$H$22*VLOOKUP(BF$3,DRIPE!$A$54:$I$80,8,FALSE), $C35= "3", ('Inputs-System'!$C$30*'Coincidence Factors'!$B$5)*('Inputs-Proposals'!$H$29*'Inputs-Proposals'!$H$31*(1-'Inputs-Proposals'!$H$32))*(VLOOKUP(BF$3,DRIPE!$A$54:$I$80,5,FALSE)-VLOOKUP(BF$3,DRIPE!$A$54:$I$80,6,FALSE)+VLOOKUP(BF$3,DRIPE!$A$54:$I$80,9,FALSE))+ ('Inputs-System'!$C$26*'Coincidence Factors'!$B$5*(1+'Inputs-System'!$C$18)*(1+'Inputs-System'!$C$42))*'Inputs-Proposals'!$H$28*VLOOKUP(BF$3,DRIPE!$A$54:$I$80,8,FALSE), $C35 = "0", 0), 0)</f>
        <v>0</v>
      </c>
      <c r="BI35" s="326">
        <f>IFERROR(_xlfn.IFS($C35="1",('Inputs-System'!$C$26*'Coincidence Factors'!$B$5*(1+'Inputs-System'!$C$18)*(1+'Inputs-System'!$C$42))*'Inputs-Proposals'!$H$16*(VLOOKUP(BF$3,Capacity!$A$53:$E$85,4,FALSE)*(1+'Inputs-System'!$C$42)+VLOOKUP(BF$3,Capacity!$A$53:$E$85,5,FALSE)*(1+'Inputs-System'!$C$43)*'Inputs-System'!$C$29), $C35 = "2", ('Inputs-System'!$C$26*'Coincidence Factors'!$B$5*(1+'Inputs-System'!$C$18))*'Inputs-Proposals'!$H$22*(VLOOKUP(BF$3,Capacity!$A$53:$E$85,4,FALSE)*(1+'Inputs-System'!$C$42)+VLOOKUP(BF$3,Capacity!$A$53:$E$85,5,FALSE)*'Inputs-System'!$C$29*(1+'Inputs-System'!$C$43)), $C35 = "3", ('Inputs-System'!$C$26*'Coincidence Factors'!$B$5*(1+'Inputs-System'!$C$18))*'Inputs-Proposals'!$H$28*(VLOOKUP(BF$3,Capacity!$A$53:$E$85,4,FALSE)*(1+'Inputs-System'!$C$42)+VLOOKUP(BF$3,Capacity!$A$53:$E$85,5,FALSE)*'Inputs-System'!$C$29*(1+'Inputs-System'!$C$43)), $C35 = "0", 0), 0)</f>
        <v>0</v>
      </c>
      <c r="BJ35" s="100">
        <v>0</v>
      </c>
      <c r="BK35" s="346">
        <f>IFERROR(_xlfn.IFS($C35="1", 'Inputs-System'!$C$30*'Coincidence Factors'!$B$5*'Inputs-Proposals'!$H$17*'Inputs-Proposals'!$H$19*(VLOOKUP(BF$3,'Non-Embedded Emissions'!$A$56:$D$90,2,FALSE)+VLOOKUP(BF$3,'Non-Embedded Emissions'!$A$143:$D$174,2,FALSE)+VLOOKUP(BF$3,'Non-Embedded Emissions'!$A$230:$D$259,2,FALSE)-VLOOKUP(BF$3,'Non-Embedded Emissions'!$A$56:$D$90,3,FALSE)-VLOOKUP(BF$3,'Non-Embedded Emissions'!$A$143:$D$174,3,FALSE)-VLOOKUP(BF$3,'Non-Embedded Emissions'!$A$230:$D$259,3,FALSE)), $C35 = "2", 'Inputs-System'!$C$30*'Coincidence Factors'!$B$5*'Inputs-Proposals'!$H$23*'Inputs-Proposals'!$H$25*(VLOOKUP(BF$3,'Non-Embedded Emissions'!$A$56:$D$90,2,FALSE)+VLOOKUP(BF$3,'Non-Embedded Emissions'!$A$143:$D$174,2,FALSE)+VLOOKUP(BF$3,'Non-Embedded Emissions'!$A$230:$D$259,2,FALSE)-VLOOKUP(BF$3,'Non-Embedded Emissions'!$A$56:$D$90,3,FALSE)-VLOOKUP(BF$3,'Non-Embedded Emissions'!$A$143:$D$174,3,FALSE)-VLOOKUP(BF$3,'Non-Embedded Emissions'!$A$230:$D$259,3,FALSE)), $C35 = "3", 'Inputs-System'!$C$30*'Coincidence Factors'!$B$5*'Inputs-Proposals'!$H$29*'Inputs-Proposals'!$H$31*(VLOOKUP(BF$3,'Non-Embedded Emissions'!$A$56:$D$90,2,FALSE)+VLOOKUP(BF$3,'Non-Embedded Emissions'!$A$143:$D$174,2,FALSE)+VLOOKUP(BF$3,'Non-Embedded Emissions'!$A$230:$D$259,2,FALSE)-VLOOKUP(BF$3,'Non-Embedded Emissions'!$A$56:$D$90,3,FALSE)-VLOOKUP(BF$3,'Non-Embedded Emissions'!$A$143:$D$174,3,FALSE)-VLOOKUP(BF$3,'Non-Embedded Emissions'!$A$230:$D$259,3,FALSE)), $C35 = "0", 0), 0)</f>
        <v>0</v>
      </c>
      <c r="BL35" s="344">
        <f>IFERROR(_xlfn.IFS($C35="1",('Inputs-System'!$C$30*'Coincidence Factors'!$B$5*(1+'Inputs-System'!$C$18)*(1+'Inputs-System'!$C$41)*('Inputs-Proposals'!$H$17*'Inputs-Proposals'!$H$19*(1-'Inputs-Proposals'!$H$20))*(VLOOKUP(BL$3,Energy!$A$51:$K$83,5,FALSE)-VLOOKUP(BL$3,Energy!$A$51:$K$83,6,FALSE))), $C35 = "2",('Inputs-System'!$C$30*'Coincidence Factors'!$B$5)*(1+'Inputs-System'!$C$18)*(1+'Inputs-System'!$C$41)*('Inputs-Proposals'!$H$23*'Inputs-Proposals'!$H$25*(1-'Inputs-Proposals'!$H$26))*(VLOOKUP(BL$3,Energy!$A$51:$K$83,5,FALSE)-VLOOKUP(BL$3,Energy!$A$51:$K$83,6,FALSE)), $C35= "3", ('Inputs-System'!$C$30*'Coincidence Factors'!$B$5*(1+'Inputs-System'!$C$18)*(1+'Inputs-System'!$C$41)*('Inputs-Proposals'!$H$29*'Inputs-Proposals'!$H$31*(1-'Inputs-Proposals'!$H$32))*(VLOOKUP(BL$3,Energy!$A$51:$K$83,5,FALSE)-VLOOKUP(BL$3,Energy!$A$51:$K$83,6,FALSE))), $C35= "0", 0), 0)</f>
        <v>0</v>
      </c>
      <c r="BM35" s="100">
        <f>IFERROR(_xlfn.IFS($C35="1", 'Inputs-System'!$C$30*'Coincidence Factors'!$B$5*(1+'Inputs-System'!$C$18)*(1+'Inputs-System'!$C$41)*'Inputs-Proposals'!$H$17*'Inputs-Proposals'!$H$19*(1-'Inputs-Proposals'!$H$20)*(VLOOKUP(BL$3,'Embedded Emissions'!$A$47:$B$78,2,FALSE)+VLOOKUP(BL$3,'Embedded Emissions'!$A$129:$B$158,2,FALSE)), $C35 = "2",'Inputs-System'!$C$30*'Coincidence Factors'!$B$5*(1+'Inputs-System'!$C$18)*(1+'Inputs-System'!$C$41)*'Inputs-Proposals'!$H$23*'Inputs-Proposals'!$H$25*(1-'Inputs-Proposals'!$H$20)*(VLOOKUP(BL$3,'Embedded Emissions'!$A$47:$B$78,2,FALSE)+VLOOKUP(BL$3,'Embedded Emissions'!$A$129:$B$158,2,FALSE)), $C35 = "3", 'Inputs-System'!$C$30*'Coincidence Factors'!$B$5*(1+'Inputs-System'!$C$18)*(1+'Inputs-System'!$C$41)*'Inputs-Proposals'!$H$29*'Inputs-Proposals'!$H$31*(1-'Inputs-Proposals'!$H$20)*(VLOOKUP(BL$3,'Embedded Emissions'!$A$47:$B$78,2,FALSE)+VLOOKUP(BL$3,'Embedded Emissions'!$A$129:$B$158,2,FALSE)), $C35 = "0", 0), 0)</f>
        <v>0</v>
      </c>
      <c r="BN35" s="318">
        <f>IFERROR(_xlfn.IFS($C35="1",( 'Inputs-System'!$C$30*'Coincidence Factors'!$B$5*(1+'Inputs-System'!$C$18)*(1+'Inputs-System'!$C$41))*('Inputs-Proposals'!$H$17*'Inputs-Proposals'!$H$19*(1-'Inputs-Proposals'!$H$20))*(VLOOKUP(BL$3,DRIPE!$A$54:$I$82,5,FALSE)-VLOOKUP(BL$3,DRIPE!$A$54:$I$82,6,FALSE)+VLOOKUP(BL$3,DRIPE!$A$54:$I$82,9,FALSE))+ ('Inputs-System'!$C$26*'Coincidence Factors'!$B$5*(1+'Inputs-System'!$C$18)*(1+'Inputs-System'!$C$42))*'Inputs-Proposals'!$H$16*VLOOKUP(BL$3,DRIPE!$A$54:$I$80,8,FALSE), $C35 = "2",( 'Inputs-System'!$C$30*'Coincidence Factors'!$B$5*(1+'Inputs-System'!$C$18)*(1+'Inputs-System'!$C$41))*('Inputs-Proposals'!$H$23*'Inputs-Proposals'!$H$25*(1-'Inputs-Proposals'!$H$26))*(VLOOKUP(BL$3,DRIPE!$A$54:$I$82,5,FALSE)-VLOOKUP(BL$3,DRIPE!$A$54:$I$82,6,FALSE)+VLOOKUP(BL$3,DRIPE!$A$54:$I$82,9,FALSE))+ ('Inputs-System'!$C$26*'Coincidence Factors'!$B$5*(1+'Inputs-System'!$C$18)*(1+'Inputs-System'!$C$41))+ ('Inputs-System'!$C$26*'Coincidence Factors'!$B$5)*'Inputs-Proposals'!$H$22*VLOOKUP(BL$3,DRIPE!$A$54:$I$80,8,FALSE), $C35= "3", ('Inputs-System'!$C$30*'Coincidence Factors'!$B$5)*('Inputs-Proposals'!$H$29*'Inputs-Proposals'!$H$31*(1-'Inputs-Proposals'!$H$32))*(VLOOKUP(BL$3,DRIPE!$A$54:$I$80,5,FALSE)-VLOOKUP(BL$3,DRIPE!$A$54:$I$80,6,FALSE)+VLOOKUP(BL$3,DRIPE!$A$54:$I$80,9,FALSE))+ ('Inputs-System'!$C$26*'Coincidence Factors'!$B$5*(1+'Inputs-System'!$C$18)*(1+'Inputs-System'!$C$42))*'Inputs-Proposals'!$H$28*VLOOKUP(BL$3,DRIPE!$A$54:$I$80,8,FALSE), $C35 = "0", 0), 0)</f>
        <v>0</v>
      </c>
      <c r="BO35" s="326">
        <f>IFERROR(_xlfn.IFS($C35="1",('Inputs-System'!$C$26*'Coincidence Factors'!$B$5*(1+'Inputs-System'!$C$18)*(1+'Inputs-System'!$C$42))*'Inputs-Proposals'!$H$16*(VLOOKUP(BL$3,Capacity!$A$53:$E$85,4,FALSE)*(1+'Inputs-System'!$C$42)+VLOOKUP(BL$3,Capacity!$A$53:$E$85,5,FALSE)*(1+'Inputs-System'!$C$43)*'Inputs-System'!$C$29), $C35 = "2", ('Inputs-System'!$C$26*'Coincidence Factors'!$B$5*(1+'Inputs-System'!$C$18))*'Inputs-Proposals'!$H$22*(VLOOKUP(BL$3,Capacity!$A$53:$E$85,4,FALSE)*(1+'Inputs-System'!$C$42)+VLOOKUP(BL$3,Capacity!$A$53:$E$85,5,FALSE)*'Inputs-System'!$C$29*(1+'Inputs-System'!$C$43)), $C35 = "3", ('Inputs-System'!$C$26*'Coincidence Factors'!$B$5*(1+'Inputs-System'!$C$18))*'Inputs-Proposals'!$H$28*(VLOOKUP(BL$3,Capacity!$A$53:$E$85,4,FALSE)*(1+'Inputs-System'!$C$42)+VLOOKUP(BL$3,Capacity!$A$53:$E$85,5,FALSE)*'Inputs-System'!$C$29*(1+'Inputs-System'!$C$43)), $C35 = "0", 0), 0)</f>
        <v>0</v>
      </c>
      <c r="BP35" s="100">
        <v>0</v>
      </c>
      <c r="BQ35" s="346">
        <f>IFERROR(_xlfn.IFS($C35="1", 'Inputs-System'!$C$30*'Coincidence Factors'!$B$5*'Inputs-Proposals'!$H$17*'Inputs-Proposals'!$H$19*(VLOOKUP(BL$3,'Non-Embedded Emissions'!$A$56:$D$90,2,FALSE)+VLOOKUP(BL$3,'Non-Embedded Emissions'!$A$143:$D$174,2,FALSE)+VLOOKUP(BL$3,'Non-Embedded Emissions'!$A$230:$D$259,2,FALSE)-VLOOKUP(BL$3,'Non-Embedded Emissions'!$A$56:$D$90,3,FALSE)-VLOOKUP(BL$3,'Non-Embedded Emissions'!$A$143:$D$174,3,FALSE)-VLOOKUP(BL$3,'Non-Embedded Emissions'!$A$230:$D$259,3,FALSE)), $C35 = "2", 'Inputs-System'!$C$30*'Coincidence Factors'!$B$5*'Inputs-Proposals'!$H$23*'Inputs-Proposals'!$H$25*(VLOOKUP(BL$3,'Non-Embedded Emissions'!$A$56:$D$90,2,FALSE)+VLOOKUP(BL$3,'Non-Embedded Emissions'!$A$143:$D$174,2,FALSE)+VLOOKUP(BL$3,'Non-Embedded Emissions'!$A$230:$D$259,2,FALSE)-VLOOKUP(BL$3,'Non-Embedded Emissions'!$A$56:$D$90,3,FALSE)-VLOOKUP(BL$3,'Non-Embedded Emissions'!$A$143:$D$174,3,FALSE)-VLOOKUP(BL$3,'Non-Embedded Emissions'!$A$230:$D$259,3,FALSE)), $C35 = "3", 'Inputs-System'!$C$30*'Coincidence Factors'!$B$5*'Inputs-Proposals'!$H$29*'Inputs-Proposals'!$H$31*(VLOOKUP(BL$3,'Non-Embedded Emissions'!$A$56:$D$90,2,FALSE)+VLOOKUP(BL$3,'Non-Embedded Emissions'!$A$143:$D$174,2,FALSE)+VLOOKUP(BL$3,'Non-Embedded Emissions'!$A$230:$D$259,2,FALSE)-VLOOKUP(BL$3,'Non-Embedded Emissions'!$A$56:$D$90,3,FALSE)-VLOOKUP(BL$3,'Non-Embedded Emissions'!$A$143:$D$174,3,FALSE)-VLOOKUP(BL$3,'Non-Embedded Emissions'!$A$230:$D$259,3,FALSE)), $C35 = "0", 0), 0)</f>
        <v>0</v>
      </c>
      <c r="BR35" s="344">
        <f>IFERROR(_xlfn.IFS($C35="1",('Inputs-System'!$C$30*'Coincidence Factors'!$B$5*(1+'Inputs-System'!$C$18)*(1+'Inputs-System'!$C$41)*('Inputs-Proposals'!$H$17*'Inputs-Proposals'!$H$19*(1-'Inputs-Proposals'!$H$20))*(VLOOKUP(BR$3,Energy!$A$51:$K$83,5,FALSE)-VLOOKUP(BR$3,Energy!$A$51:$K$83,6,FALSE))), $C35 = "2",('Inputs-System'!$C$30*'Coincidence Factors'!$B$5)*(1+'Inputs-System'!$C$18)*(1+'Inputs-System'!$C$41)*('Inputs-Proposals'!$H$23*'Inputs-Proposals'!$H$25*(1-'Inputs-Proposals'!$H$26))*(VLOOKUP(BR$3,Energy!$A$51:$K$83,5,FALSE)-VLOOKUP(BR$3,Energy!$A$51:$K$83,6,FALSE)), $C35= "3", ('Inputs-System'!$C$30*'Coincidence Factors'!$B$5*(1+'Inputs-System'!$C$18)*(1+'Inputs-System'!$C$41)*('Inputs-Proposals'!$H$29*'Inputs-Proposals'!$H$31*(1-'Inputs-Proposals'!$H$32))*(VLOOKUP(BR$3,Energy!$A$51:$K$83,5,FALSE)-VLOOKUP(BR$3,Energy!$A$51:$K$83,6,FALSE))), $C35= "0", 0), 0)</f>
        <v>0</v>
      </c>
      <c r="BS35" s="100">
        <f>IFERROR(_xlfn.IFS($C35="1", 'Inputs-System'!$C$30*'Coincidence Factors'!$B$5*(1+'Inputs-System'!$C$18)*(1+'Inputs-System'!$C$41)*'Inputs-Proposals'!$H$17*'Inputs-Proposals'!$H$19*(1-'Inputs-Proposals'!$H$20)*(VLOOKUP(BR$3,'Embedded Emissions'!$A$47:$B$78,2,FALSE)+VLOOKUP(BR$3,'Embedded Emissions'!$A$129:$B$158,2,FALSE)), $C35 = "2",'Inputs-System'!$C$30*'Coincidence Factors'!$B$5*(1+'Inputs-System'!$C$18)*(1+'Inputs-System'!$C$41)*'Inputs-Proposals'!$H$23*'Inputs-Proposals'!$H$25*(1-'Inputs-Proposals'!$H$20)*(VLOOKUP(BR$3,'Embedded Emissions'!$A$47:$B$78,2,FALSE)+VLOOKUP(BR$3,'Embedded Emissions'!$A$129:$B$158,2,FALSE)), $C35 = "3", 'Inputs-System'!$C$30*'Coincidence Factors'!$B$5*(1+'Inputs-System'!$C$18)*(1+'Inputs-System'!$C$41)*'Inputs-Proposals'!$H$29*'Inputs-Proposals'!$H$31*(1-'Inputs-Proposals'!$H$20)*(VLOOKUP(BR$3,'Embedded Emissions'!$A$47:$B$78,2,FALSE)+VLOOKUP(BR$3,'Embedded Emissions'!$A$129:$B$158,2,FALSE)), $C35 = "0", 0), 0)</f>
        <v>0</v>
      </c>
      <c r="BT35" s="318">
        <f>IFERROR(_xlfn.IFS($C35="1",( 'Inputs-System'!$C$30*'Coincidence Factors'!$B$5*(1+'Inputs-System'!$C$18)*(1+'Inputs-System'!$C$41))*('Inputs-Proposals'!$H$17*'Inputs-Proposals'!$H$19*(1-'Inputs-Proposals'!$H$20))*(VLOOKUP(BR$3,DRIPE!$A$54:$I$82,5,FALSE)-VLOOKUP(BR$3,DRIPE!$A$54:$I$82,6,FALSE)+VLOOKUP(BR$3,DRIPE!$A$54:$I$82,9,FALSE))+ ('Inputs-System'!$C$26*'Coincidence Factors'!$B$5*(1+'Inputs-System'!$C$18)*(1+'Inputs-System'!$C$42))*'Inputs-Proposals'!$H$16*VLOOKUP(BR$3,DRIPE!$A$54:$I$80,8,FALSE), $C35 = "2",( 'Inputs-System'!$C$30*'Coincidence Factors'!$B$5*(1+'Inputs-System'!$C$18)*(1+'Inputs-System'!$C$41))*('Inputs-Proposals'!$H$23*'Inputs-Proposals'!$H$25*(1-'Inputs-Proposals'!$H$26))*(VLOOKUP(BR$3,DRIPE!$A$54:$I$82,5,FALSE)-VLOOKUP(BR$3,DRIPE!$A$54:$I$82,6,FALSE)+VLOOKUP(BR$3,DRIPE!$A$54:$I$82,9,FALSE))+ ('Inputs-System'!$C$26*'Coincidence Factors'!$B$5*(1+'Inputs-System'!$C$18)*(1+'Inputs-System'!$C$41))+ ('Inputs-System'!$C$26*'Coincidence Factors'!$B$5)*'Inputs-Proposals'!$H$22*VLOOKUP(BR$3,DRIPE!$A$54:$I$80,8,FALSE), $C35= "3", ('Inputs-System'!$C$30*'Coincidence Factors'!$B$5)*('Inputs-Proposals'!$H$29*'Inputs-Proposals'!$H$31*(1-'Inputs-Proposals'!$H$32))*(VLOOKUP(BR$3,DRIPE!$A$54:$I$80,5,FALSE)-VLOOKUP(BR$3,DRIPE!$A$54:$I$80,6,FALSE)+VLOOKUP(BR$3,DRIPE!$A$54:$I$80,9,FALSE))+ ('Inputs-System'!$C$26*'Coincidence Factors'!$B$5*(1+'Inputs-System'!$C$18)*(1+'Inputs-System'!$C$42))*'Inputs-Proposals'!$H$28*VLOOKUP(BR$3,DRIPE!$A$54:$I$80,8,FALSE), $C35 = "0", 0), 0)</f>
        <v>0</v>
      </c>
      <c r="BU35" s="326">
        <f>IFERROR(_xlfn.IFS($C35="1",('Inputs-System'!$C$26*'Coincidence Factors'!$B$5*(1+'Inputs-System'!$C$18)*(1+'Inputs-System'!$C$42))*'Inputs-Proposals'!$H$16*(VLOOKUP(BR$3,Capacity!$A$53:$E$85,4,FALSE)*(1+'Inputs-System'!$C$42)+VLOOKUP(BR$3,Capacity!$A$53:$E$85,5,FALSE)*(1+'Inputs-System'!$C$43)*'Inputs-System'!$C$29), $C35 = "2", ('Inputs-System'!$C$26*'Coincidence Factors'!$B$5*(1+'Inputs-System'!$C$18))*'Inputs-Proposals'!$H$22*(VLOOKUP(BR$3,Capacity!$A$53:$E$85,4,FALSE)*(1+'Inputs-System'!$C$42)+VLOOKUP(BR$3,Capacity!$A$53:$E$85,5,FALSE)*'Inputs-System'!$C$29*(1+'Inputs-System'!$C$43)), $C35 = "3", ('Inputs-System'!$C$26*'Coincidence Factors'!$B$5*(1+'Inputs-System'!$C$18))*'Inputs-Proposals'!$H$28*(VLOOKUP(BR$3,Capacity!$A$53:$E$85,4,FALSE)*(1+'Inputs-System'!$C$42)+VLOOKUP(BR$3,Capacity!$A$53:$E$85,5,FALSE)*'Inputs-System'!$C$29*(1+'Inputs-System'!$C$43)), $C35 = "0", 0), 0)</f>
        <v>0</v>
      </c>
      <c r="BV35" s="100">
        <v>0</v>
      </c>
      <c r="BW35" s="346">
        <f>IFERROR(_xlfn.IFS($C35="1", 'Inputs-System'!$C$30*'Coincidence Factors'!$B$5*'Inputs-Proposals'!$H$17*'Inputs-Proposals'!$H$19*(VLOOKUP(BR$3,'Non-Embedded Emissions'!$A$56:$D$90,2,FALSE)+VLOOKUP(BR$3,'Non-Embedded Emissions'!$A$143:$D$174,2,FALSE)+VLOOKUP(BR$3,'Non-Embedded Emissions'!$A$230:$D$259,2,FALSE)-VLOOKUP(BR$3,'Non-Embedded Emissions'!$A$56:$D$90,3,FALSE)-VLOOKUP(BR$3,'Non-Embedded Emissions'!$A$143:$D$174,3,FALSE)-VLOOKUP(BR$3,'Non-Embedded Emissions'!$A$230:$D$259,3,FALSE)), $C35 = "2", 'Inputs-System'!$C$30*'Coincidence Factors'!$B$5*'Inputs-Proposals'!$H$23*'Inputs-Proposals'!$H$25*(VLOOKUP(BR$3,'Non-Embedded Emissions'!$A$56:$D$90,2,FALSE)+VLOOKUP(BR$3,'Non-Embedded Emissions'!$A$143:$D$174,2,FALSE)+VLOOKUP(BR$3,'Non-Embedded Emissions'!$A$230:$D$259,2,FALSE)-VLOOKUP(BR$3,'Non-Embedded Emissions'!$A$56:$D$90,3,FALSE)-VLOOKUP(BR$3,'Non-Embedded Emissions'!$A$143:$D$174,3,FALSE)-VLOOKUP(BR$3,'Non-Embedded Emissions'!$A$230:$D$259,3,FALSE)), $C35 = "3", 'Inputs-System'!$C$30*'Coincidence Factors'!$B$5*'Inputs-Proposals'!$H$29*'Inputs-Proposals'!$H$31*(VLOOKUP(BR$3,'Non-Embedded Emissions'!$A$56:$D$90,2,FALSE)+VLOOKUP(BR$3,'Non-Embedded Emissions'!$A$143:$D$174,2,FALSE)+VLOOKUP(BR$3,'Non-Embedded Emissions'!$A$230:$D$259,2,FALSE)-VLOOKUP(BR$3,'Non-Embedded Emissions'!$A$56:$D$90,3,FALSE)-VLOOKUP(BR$3,'Non-Embedded Emissions'!$A$143:$D$174,3,FALSE)-VLOOKUP(BR$3,'Non-Embedded Emissions'!$A$230:$D$259,3,FALSE)), $C35 = "0", 0), 0)</f>
        <v>0</v>
      </c>
      <c r="BX35" s="344">
        <f>IFERROR(_xlfn.IFS($C35="1",('Inputs-System'!$C$30*'Coincidence Factors'!$B$5*(1+'Inputs-System'!$C$18)*(1+'Inputs-System'!$C$41)*('Inputs-Proposals'!$H$17*'Inputs-Proposals'!$H$19*(1-'Inputs-Proposals'!$H$20))*(VLOOKUP(BX$3,Energy!$A$51:$K$83,5,FALSE)-VLOOKUP(BX$3,Energy!$A$51:$K$83,6,FALSE))), $C35 = "2",('Inputs-System'!$C$30*'Coincidence Factors'!$B$5)*(1+'Inputs-System'!$C$18)*(1+'Inputs-System'!$C$41)*('Inputs-Proposals'!$H$23*'Inputs-Proposals'!$H$25*(1-'Inputs-Proposals'!$H$26))*(VLOOKUP(BX$3,Energy!$A$51:$K$83,5,FALSE)-VLOOKUP(BX$3,Energy!$A$51:$K$83,6,FALSE)), $C35= "3", ('Inputs-System'!$C$30*'Coincidence Factors'!$B$5*(1+'Inputs-System'!$C$18)*(1+'Inputs-System'!$C$41)*('Inputs-Proposals'!$H$29*'Inputs-Proposals'!$H$31*(1-'Inputs-Proposals'!$H$32))*(VLOOKUP(BX$3,Energy!$A$51:$K$83,5,FALSE)-VLOOKUP(BX$3,Energy!$A$51:$K$83,6,FALSE))), $C35= "0", 0), 0)</f>
        <v>0</v>
      </c>
      <c r="BY35" s="100">
        <f>IFERROR(_xlfn.IFS($C35="1", 'Inputs-System'!$C$30*'Coincidence Factors'!$B$5*(1+'Inputs-System'!$C$18)*(1+'Inputs-System'!$C$41)*'Inputs-Proposals'!$H$17*'Inputs-Proposals'!$H$19*(1-'Inputs-Proposals'!$H$20)*(VLOOKUP(BX$3,'Embedded Emissions'!$A$47:$B$78,2,FALSE)+VLOOKUP(BX$3,'Embedded Emissions'!$A$129:$B$158,2,FALSE)), $C35 = "2",'Inputs-System'!$C$30*'Coincidence Factors'!$B$5*(1+'Inputs-System'!$C$18)*(1+'Inputs-System'!$C$41)*'Inputs-Proposals'!$H$23*'Inputs-Proposals'!$H$25*(1-'Inputs-Proposals'!$H$20)*(VLOOKUP(BX$3,'Embedded Emissions'!$A$47:$B$78,2,FALSE)+VLOOKUP(BX$3,'Embedded Emissions'!$A$129:$B$158,2,FALSE)), $C35 = "3", 'Inputs-System'!$C$30*'Coincidence Factors'!$B$5*(1+'Inputs-System'!$C$18)*(1+'Inputs-System'!$C$41)*'Inputs-Proposals'!$H$29*'Inputs-Proposals'!$H$31*(1-'Inputs-Proposals'!$H$20)*(VLOOKUP(BX$3,'Embedded Emissions'!$A$47:$B$78,2,FALSE)+VLOOKUP(BX$3,'Embedded Emissions'!$A$129:$B$158,2,FALSE)), $C35 = "0", 0), 0)</f>
        <v>0</v>
      </c>
      <c r="BZ35" s="318">
        <f>IFERROR(_xlfn.IFS($C35="1",( 'Inputs-System'!$C$30*'Coincidence Factors'!$B$5*(1+'Inputs-System'!$C$18)*(1+'Inputs-System'!$C$41))*('Inputs-Proposals'!$H$17*'Inputs-Proposals'!$H$19*(1-'Inputs-Proposals'!$H$20))*(VLOOKUP(BX$3,DRIPE!$A$54:$I$82,5,FALSE)-VLOOKUP(BX$3,DRIPE!$A$54:$I$82,6,FALSE)+VLOOKUP(BX$3,DRIPE!$A$54:$I$82,9,FALSE))+ ('Inputs-System'!$C$26*'Coincidence Factors'!$B$5*(1+'Inputs-System'!$C$18)*(1+'Inputs-System'!$C$42))*'Inputs-Proposals'!$H$16*VLOOKUP(BX$3,DRIPE!$A$54:$I$80,8,FALSE), $C35 = "2",( 'Inputs-System'!$C$30*'Coincidence Factors'!$B$5*(1+'Inputs-System'!$C$18)*(1+'Inputs-System'!$C$41))*('Inputs-Proposals'!$H$23*'Inputs-Proposals'!$H$25*(1-'Inputs-Proposals'!$H$26))*(VLOOKUP(BX$3,DRIPE!$A$54:$I$82,5,FALSE)-VLOOKUP(BX$3,DRIPE!$A$54:$I$82,6,FALSE)+VLOOKUP(BX$3,DRIPE!$A$54:$I$82,9,FALSE))+ ('Inputs-System'!$C$26*'Coincidence Factors'!$B$5*(1+'Inputs-System'!$C$18)*(1+'Inputs-System'!$C$41))+ ('Inputs-System'!$C$26*'Coincidence Factors'!$B$5)*'Inputs-Proposals'!$H$22*VLOOKUP(BX$3,DRIPE!$A$54:$I$80,8,FALSE), $C35= "3", ('Inputs-System'!$C$30*'Coincidence Factors'!$B$5)*('Inputs-Proposals'!$H$29*'Inputs-Proposals'!$H$31*(1-'Inputs-Proposals'!$H$32))*(VLOOKUP(BX$3,DRIPE!$A$54:$I$80,5,FALSE)-VLOOKUP(BX$3,DRIPE!$A$54:$I$80,6,FALSE)+VLOOKUP(BX$3,DRIPE!$A$54:$I$80,9,FALSE))+ ('Inputs-System'!$C$26*'Coincidence Factors'!$B$5*(1+'Inputs-System'!$C$18)*(1+'Inputs-System'!$C$42))*'Inputs-Proposals'!$H$28*VLOOKUP(BX$3,DRIPE!$A$54:$I$80,8,FALSE), $C35 = "0", 0), 0)</f>
        <v>0</v>
      </c>
      <c r="CA35" s="326">
        <f>IFERROR(_xlfn.IFS($C35="1",('Inputs-System'!$C$26*'Coincidence Factors'!$B$5*(1+'Inputs-System'!$C$18)*(1+'Inputs-System'!$C$42))*'Inputs-Proposals'!$H$16*(VLOOKUP(BX$3,Capacity!$A$53:$E$85,4,FALSE)*(1+'Inputs-System'!$C$42)+VLOOKUP(BX$3,Capacity!$A$53:$E$85,5,FALSE)*(1+'Inputs-System'!$C$43)*'Inputs-System'!$C$29), $C35 = "2", ('Inputs-System'!$C$26*'Coincidence Factors'!$B$5*(1+'Inputs-System'!$C$18))*'Inputs-Proposals'!$H$22*(VLOOKUP(BX$3,Capacity!$A$53:$E$85,4,FALSE)*(1+'Inputs-System'!$C$42)+VLOOKUP(BX$3,Capacity!$A$53:$E$85,5,FALSE)*'Inputs-System'!$C$29*(1+'Inputs-System'!$C$43)), $C35 = "3", ('Inputs-System'!$C$26*'Coincidence Factors'!$B$5*(1+'Inputs-System'!$C$18))*'Inputs-Proposals'!$H$28*(VLOOKUP(BX$3,Capacity!$A$53:$E$85,4,FALSE)*(1+'Inputs-System'!$C$42)+VLOOKUP(BX$3,Capacity!$A$53:$E$85,5,FALSE)*'Inputs-System'!$C$29*(1+'Inputs-System'!$C$43)), $C35 = "0", 0), 0)</f>
        <v>0</v>
      </c>
      <c r="CB35" s="100">
        <v>0</v>
      </c>
      <c r="CC35" s="346">
        <f>IFERROR(_xlfn.IFS($C35="1", 'Inputs-System'!$C$30*'Coincidence Factors'!$B$5*'Inputs-Proposals'!$H$17*'Inputs-Proposals'!$H$19*(VLOOKUP(BX$3,'Non-Embedded Emissions'!$A$56:$D$90,2,FALSE)+VLOOKUP(BX$3,'Non-Embedded Emissions'!$A$143:$D$174,2,FALSE)+VLOOKUP(BX$3,'Non-Embedded Emissions'!$A$230:$D$259,2,FALSE)-VLOOKUP(BX$3,'Non-Embedded Emissions'!$A$56:$D$90,3,FALSE)-VLOOKUP(BX$3,'Non-Embedded Emissions'!$A$143:$D$174,3,FALSE)-VLOOKUP(BX$3,'Non-Embedded Emissions'!$A$230:$D$259,3,FALSE)), $C35 = "2", 'Inputs-System'!$C$30*'Coincidence Factors'!$B$5*'Inputs-Proposals'!$H$23*'Inputs-Proposals'!$H$25*(VLOOKUP(BX$3,'Non-Embedded Emissions'!$A$56:$D$90,2,FALSE)+VLOOKUP(BX$3,'Non-Embedded Emissions'!$A$143:$D$174,2,FALSE)+VLOOKUP(BX$3,'Non-Embedded Emissions'!$A$230:$D$259,2,FALSE)-VLOOKUP(BX$3,'Non-Embedded Emissions'!$A$56:$D$90,3,FALSE)-VLOOKUP(BX$3,'Non-Embedded Emissions'!$A$143:$D$174,3,FALSE)-VLOOKUP(BX$3,'Non-Embedded Emissions'!$A$230:$D$259,3,FALSE)), $C35 = "3", 'Inputs-System'!$C$30*'Coincidence Factors'!$B$5*'Inputs-Proposals'!$H$29*'Inputs-Proposals'!$H$31*(VLOOKUP(BX$3,'Non-Embedded Emissions'!$A$56:$D$90,2,FALSE)+VLOOKUP(BX$3,'Non-Embedded Emissions'!$A$143:$D$174,2,FALSE)+VLOOKUP(BX$3,'Non-Embedded Emissions'!$A$230:$D$259,2,FALSE)-VLOOKUP(BX$3,'Non-Embedded Emissions'!$A$56:$D$90,3,FALSE)-VLOOKUP(BX$3,'Non-Embedded Emissions'!$A$143:$D$174,3,FALSE)-VLOOKUP(BX$3,'Non-Embedded Emissions'!$A$230:$D$259,3,FALSE)), $C35 = "0", 0), 0)</f>
        <v>0</v>
      </c>
      <c r="CD35" s="344">
        <f>IFERROR(_xlfn.IFS($C35="1",('Inputs-System'!$C$30*'Coincidence Factors'!$B$5*(1+'Inputs-System'!$C$18)*(1+'Inputs-System'!$C$41)*('Inputs-Proposals'!$H$17*'Inputs-Proposals'!$H$19*(1-'Inputs-Proposals'!$H$20))*(VLOOKUP(CD$3,Energy!$A$51:$K$83,5,FALSE)-VLOOKUP(CD$3,Energy!$A$51:$K$83,6,FALSE))), $C35 = "2",('Inputs-System'!$C$30*'Coincidence Factors'!$B$5)*(1+'Inputs-System'!$C$18)*(1+'Inputs-System'!$C$41)*('Inputs-Proposals'!$H$23*'Inputs-Proposals'!$H$25*(1-'Inputs-Proposals'!$H$26))*(VLOOKUP(CD$3,Energy!$A$51:$K$83,5,FALSE)-VLOOKUP(CD$3,Energy!$A$51:$K$83,6,FALSE)), $C35= "3", ('Inputs-System'!$C$30*'Coincidence Factors'!$B$5*(1+'Inputs-System'!$C$18)*(1+'Inputs-System'!$C$41)*('Inputs-Proposals'!$H$29*'Inputs-Proposals'!$H$31*(1-'Inputs-Proposals'!$H$32))*(VLOOKUP(CD$3,Energy!$A$51:$K$83,5,FALSE)-VLOOKUP(CD$3,Energy!$A$51:$K$83,6,FALSE))), $C35= "0", 0), 0)</f>
        <v>0</v>
      </c>
      <c r="CE35" s="100">
        <f>IFERROR(_xlfn.IFS($C35="1", 'Inputs-System'!$C$30*'Coincidence Factors'!$B$5*(1+'Inputs-System'!$C$18)*(1+'Inputs-System'!$C$41)*'Inputs-Proposals'!$H$17*'Inputs-Proposals'!$H$19*(1-'Inputs-Proposals'!$H$20)*(VLOOKUP(CD$3,'Embedded Emissions'!$A$47:$B$78,2,FALSE)+VLOOKUP(CD$3,'Embedded Emissions'!$A$129:$B$158,2,FALSE)), $C35 = "2",'Inputs-System'!$C$30*'Coincidence Factors'!$B$5*(1+'Inputs-System'!$C$18)*(1+'Inputs-System'!$C$41)*'Inputs-Proposals'!$H$23*'Inputs-Proposals'!$H$25*(1-'Inputs-Proposals'!$H$20)*(VLOOKUP(CD$3,'Embedded Emissions'!$A$47:$B$78,2,FALSE)+VLOOKUP(CD$3,'Embedded Emissions'!$A$129:$B$158,2,FALSE)), $C35 = "3", 'Inputs-System'!$C$30*'Coincidence Factors'!$B$5*(1+'Inputs-System'!$C$18)*(1+'Inputs-System'!$C$41)*'Inputs-Proposals'!$H$29*'Inputs-Proposals'!$H$31*(1-'Inputs-Proposals'!$H$20)*(VLOOKUP(CD$3,'Embedded Emissions'!$A$47:$B$78,2,FALSE)+VLOOKUP(CD$3,'Embedded Emissions'!$A$129:$B$158,2,FALSE)), $C35 = "0", 0), 0)</f>
        <v>0</v>
      </c>
      <c r="CF35" s="318">
        <f>IFERROR(_xlfn.IFS($C35="1",( 'Inputs-System'!$C$30*'Coincidence Factors'!$B$5*(1+'Inputs-System'!$C$18)*(1+'Inputs-System'!$C$41))*('Inputs-Proposals'!$H$17*'Inputs-Proposals'!$H$19*(1-'Inputs-Proposals'!$H$20))*(VLOOKUP(CD$3,DRIPE!$A$54:$I$82,5,FALSE)-VLOOKUP(CD$3,DRIPE!$A$54:$I$82,6,FALSE)+VLOOKUP(CD$3,DRIPE!$A$54:$I$82,9,FALSE))+ ('Inputs-System'!$C$26*'Coincidence Factors'!$B$5*(1+'Inputs-System'!$C$18)*(1+'Inputs-System'!$C$42))*'Inputs-Proposals'!$H$16*VLOOKUP(CD$3,DRIPE!$A$54:$I$80,8,FALSE), $C35 = "2",( 'Inputs-System'!$C$30*'Coincidence Factors'!$B$5*(1+'Inputs-System'!$C$18)*(1+'Inputs-System'!$C$41))*('Inputs-Proposals'!$H$23*'Inputs-Proposals'!$H$25*(1-'Inputs-Proposals'!$H$26))*(VLOOKUP(CD$3,DRIPE!$A$54:$I$82,5,FALSE)-VLOOKUP(CD$3,DRIPE!$A$54:$I$82,6,FALSE)+VLOOKUP(CD$3,DRIPE!$A$54:$I$82,9,FALSE))+ ('Inputs-System'!$C$26*'Coincidence Factors'!$B$5*(1+'Inputs-System'!$C$18)*(1+'Inputs-System'!$C$41))+ ('Inputs-System'!$C$26*'Coincidence Factors'!$B$5)*'Inputs-Proposals'!$H$22*VLOOKUP(CD$3,DRIPE!$A$54:$I$80,8,FALSE), $C35= "3", ('Inputs-System'!$C$30*'Coincidence Factors'!$B$5)*('Inputs-Proposals'!$H$29*'Inputs-Proposals'!$H$31*(1-'Inputs-Proposals'!$H$32))*(VLOOKUP(CD$3,DRIPE!$A$54:$I$80,5,FALSE)-VLOOKUP(CD$3,DRIPE!$A$54:$I$80,6,FALSE)+VLOOKUP(CD$3,DRIPE!$A$54:$I$80,9,FALSE))+ ('Inputs-System'!$C$26*'Coincidence Factors'!$B$5*(1+'Inputs-System'!$C$18)*(1+'Inputs-System'!$C$42))*'Inputs-Proposals'!$H$28*VLOOKUP(CD$3,DRIPE!$A$54:$I$80,8,FALSE), $C35 = "0", 0), 0)</f>
        <v>0</v>
      </c>
      <c r="CG35" s="326">
        <f>IFERROR(_xlfn.IFS($C35="1",('Inputs-System'!$C$26*'Coincidence Factors'!$B$5*(1+'Inputs-System'!$C$18)*(1+'Inputs-System'!$C$42))*'Inputs-Proposals'!$H$16*(VLOOKUP(CD$3,Capacity!$A$53:$E$85,4,FALSE)*(1+'Inputs-System'!$C$42)+VLOOKUP(CD$3,Capacity!$A$53:$E$85,5,FALSE)*(1+'Inputs-System'!$C$43)*'Inputs-System'!$C$29), $C35 = "2", ('Inputs-System'!$C$26*'Coincidence Factors'!$B$5*(1+'Inputs-System'!$C$18))*'Inputs-Proposals'!$H$22*(VLOOKUP(CD$3,Capacity!$A$53:$E$85,4,FALSE)*(1+'Inputs-System'!$C$42)+VLOOKUP(CD$3,Capacity!$A$53:$E$85,5,FALSE)*'Inputs-System'!$C$29*(1+'Inputs-System'!$C$43)), $C35 = "3", ('Inputs-System'!$C$26*'Coincidence Factors'!$B$5*(1+'Inputs-System'!$C$18))*'Inputs-Proposals'!$H$28*(VLOOKUP(CD$3,Capacity!$A$53:$E$85,4,FALSE)*(1+'Inputs-System'!$C$42)+VLOOKUP(CD$3,Capacity!$A$53:$E$85,5,FALSE)*'Inputs-System'!$C$29*(1+'Inputs-System'!$C$43)), $C35 = "0", 0), 0)</f>
        <v>0</v>
      </c>
      <c r="CH35" s="100">
        <v>0</v>
      </c>
      <c r="CI35" s="346">
        <f>IFERROR(_xlfn.IFS($C35="1", 'Inputs-System'!$C$30*'Coincidence Factors'!$B$5*'Inputs-Proposals'!$H$17*'Inputs-Proposals'!$H$19*(VLOOKUP(CD$3,'Non-Embedded Emissions'!$A$56:$D$90,2,FALSE)+VLOOKUP(CD$3,'Non-Embedded Emissions'!$A$143:$D$174,2,FALSE)+VLOOKUP(CD$3,'Non-Embedded Emissions'!$A$230:$D$259,2,FALSE)-VLOOKUP(CD$3,'Non-Embedded Emissions'!$A$56:$D$90,3,FALSE)-VLOOKUP(CD$3,'Non-Embedded Emissions'!$A$143:$D$174,3,FALSE)-VLOOKUP(CD$3,'Non-Embedded Emissions'!$A$230:$D$259,3,FALSE)), $C35 = "2", 'Inputs-System'!$C$30*'Coincidence Factors'!$B$5*'Inputs-Proposals'!$H$23*'Inputs-Proposals'!$H$25*(VLOOKUP(CD$3,'Non-Embedded Emissions'!$A$56:$D$90,2,FALSE)+VLOOKUP(CD$3,'Non-Embedded Emissions'!$A$143:$D$174,2,FALSE)+VLOOKUP(CD$3,'Non-Embedded Emissions'!$A$230:$D$259,2,FALSE)-VLOOKUP(CD$3,'Non-Embedded Emissions'!$A$56:$D$90,3,FALSE)-VLOOKUP(CD$3,'Non-Embedded Emissions'!$A$143:$D$174,3,FALSE)-VLOOKUP(CD$3,'Non-Embedded Emissions'!$A$230:$D$259,3,FALSE)), $C35 = "3", 'Inputs-System'!$C$30*'Coincidence Factors'!$B$5*'Inputs-Proposals'!$H$29*'Inputs-Proposals'!$H$31*(VLOOKUP(CD$3,'Non-Embedded Emissions'!$A$56:$D$90,2,FALSE)+VLOOKUP(CD$3,'Non-Embedded Emissions'!$A$143:$D$174,2,FALSE)+VLOOKUP(CD$3,'Non-Embedded Emissions'!$A$230:$D$259,2,FALSE)-VLOOKUP(CD$3,'Non-Embedded Emissions'!$A$56:$D$90,3,FALSE)-VLOOKUP(CD$3,'Non-Embedded Emissions'!$A$143:$D$174,3,FALSE)-VLOOKUP(CD$3,'Non-Embedded Emissions'!$A$230:$D$259,3,FALSE)), $C35 = "0", 0), 0)</f>
        <v>0</v>
      </c>
      <c r="CJ35" s="344">
        <f>IFERROR(_xlfn.IFS($C35="1",('Inputs-System'!$C$30*'Coincidence Factors'!$B$5*(1+'Inputs-System'!$C$18)*(1+'Inputs-System'!$C$41)*('Inputs-Proposals'!$H$17*'Inputs-Proposals'!$H$19*(1-'Inputs-Proposals'!$H$20))*(VLOOKUP(CJ$3,Energy!$A$51:$K$83,5,FALSE)-VLOOKUP(CJ$3,Energy!$A$51:$K$83,6,FALSE))), $C35 = "2",('Inputs-System'!$C$30*'Coincidence Factors'!$B$5)*(1+'Inputs-System'!$C$18)*(1+'Inputs-System'!$C$41)*('Inputs-Proposals'!$H$23*'Inputs-Proposals'!$H$25*(1-'Inputs-Proposals'!$H$26))*(VLOOKUP(CJ$3,Energy!$A$51:$K$83,5,FALSE)-VLOOKUP(CJ$3,Energy!$A$51:$K$83,6,FALSE)), $C35= "3", ('Inputs-System'!$C$30*'Coincidence Factors'!$B$5*(1+'Inputs-System'!$C$18)*(1+'Inputs-System'!$C$41)*('Inputs-Proposals'!$H$29*'Inputs-Proposals'!$H$31*(1-'Inputs-Proposals'!$H$32))*(VLOOKUP(CJ$3,Energy!$A$51:$K$83,5,FALSE)-VLOOKUP(CJ$3,Energy!$A$51:$K$83,6,FALSE))), $C35= "0", 0), 0)</f>
        <v>0</v>
      </c>
      <c r="CK35" s="100">
        <f>IFERROR(_xlfn.IFS($C35="1", 'Inputs-System'!$C$30*'Coincidence Factors'!$B$5*(1+'Inputs-System'!$C$18)*(1+'Inputs-System'!$C$41)*'Inputs-Proposals'!$H$17*'Inputs-Proposals'!$H$19*(1-'Inputs-Proposals'!$H$20)*(VLOOKUP(CJ$3,'Embedded Emissions'!$A$47:$B$78,2,FALSE)+VLOOKUP(CJ$3,'Embedded Emissions'!$A$129:$B$158,2,FALSE)), $C35 = "2",'Inputs-System'!$C$30*'Coincidence Factors'!$B$5*(1+'Inputs-System'!$C$18)*(1+'Inputs-System'!$C$41)*'Inputs-Proposals'!$H$23*'Inputs-Proposals'!$H$25*(1-'Inputs-Proposals'!$H$20)*(VLOOKUP(CJ$3,'Embedded Emissions'!$A$47:$B$78,2,FALSE)+VLOOKUP(CJ$3,'Embedded Emissions'!$A$129:$B$158,2,FALSE)), $C35 = "3", 'Inputs-System'!$C$30*'Coincidence Factors'!$B$5*(1+'Inputs-System'!$C$18)*(1+'Inputs-System'!$C$41)*'Inputs-Proposals'!$H$29*'Inputs-Proposals'!$H$31*(1-'Inputs-Proposals'!$H$20)*(VLOOKUP(CJ$3,'Embedded Emissions'!$A$47:$B$78,2,FALSE)+VLOOKUP(CJ$3,'Embedded Emissions'!$A$129:$B$158,2,FALSE)), $C35 = "0", 0), 0)</f>
        <v>0</v>
      </c>
      <c r="CL35" s="318">
        <f>IFERROR(_xlfn.IFS($C35="1",( 'Inputs-System'!$C$30*'Coincidence Factors'!$B$5*(1+'Inputs-System'!$C$18)*(1+'Inputs-System'!$C$41))*('Inputs-Proposals'!$H$17*'Inputs-Proposals'!$H$19*(1-'Inputs-Proposals'!$H$20))*(VLOOKUP(CJ$3,DRIPE!$A$54:$I$82,5,FALSE)-VLOOKUP(CJ$3,DRIPE!$A$54:$I$82,6,FALSE)+VLOOKUP(CJ$3,DRIPE!$A$54:$I$82,9,FALSE))+ ('Inputs-System'!$C$26*'Coincidence Factors'!$B$5*(1+'Inputs-System'!$C$18)*(1+'Inputs-System'!$C$42))*'Inputs-Proposals'!$H$16*VLOOKUP(CJ$3,DRIPE!$A$54:$I$80,8,FALSE), $C35 = "2",( 'Inputs-System'!$C$30*'Coincidence Factors'!$B$5*(1+'Inputs-System'!$C$18)*(1+'Inputs-System'!$C$41))*('Inputs-Proposals'!$H$23*'Inputs-Proposals'!$H$25*(1-'Inputs-Proposals'!$H$26))*(VLOOKUP(CJ$3,DRIPE!$A$54:$I$82,5,FALSE)-VLOOKUP(CJ$3,DRIPE!$A$54:$I$82,6,FALSE)+VLOOKUP(CJ$3,DRIPE!$A$54:$I$82,9,FALSE))+ ('Inputs-System'!$C$26*'Coincidence Factors'!$B$5*(1+'Inputs-System'!$C$18)*(1+'Inputs-System'!$C$41))+ ('Inputs-System'!$C$26*'Coincidence Factors'!$B$5)*'Inputs-Proposals'!$H$22*VLOOKUP(CJ$3,DRIPE!$A$54:$I$80,8,FALSE), $C35= "3", ('Inputs-System'!$C$30*'Coincidence Factors'!$B$5)*('Inputs-Proposals'!$H$29*'Inputs-Proposals'!$H$31*(1-'Inputs-Proposals'!$H$32))*(VLOOKUP(CJ$3,DRIPE!$A$54:$I$80,5,FALSE)-VLOOKUP(CJ$3,DRIPE!$A$54:$I$80,6,FALSE)+VLOOKUP(CJ$3,DRIPE!$A$54:$I$80,9,FALSE))+ ('Inputs-System'!$C$26*'Coincidence Factors'!$B$5*(1+'Inputs-System'!$C$18)*(1+'Inputs-System'!$C$42))*'Inputs-Proposals'!$H$28*VLOOKUP(CJ$3,DRIPE!$A$54:$I$80,8,FALSE), $C35 = "0", 0), 0)</f>
        <v>0</v>
      </c>
      <c r="CM35" s="326">
        <f>IFERROR(_xlfn.IFS($C35="1",('Inputs-System'!$C$26*'Coincidence Factors'!$B$5*(1+'Inputs-System'!$C$18)*(1+'Inputs-System'!$C$42))*'Inputs-Proposals'!$H$16*(VLOOKUP(CJ$3,Capacity!$A$53:$E$85,4,FALSE)*(1+'Inputs-System'!$C$42)+VLOOKUP(CJ$3,Capacity!$A$53:$E$85,5,FALSE)*(1+'Inputs-System'!$C$43)*'Inputs-System'!$C$29), $C35 = "2", ('Inputs-System'!$C$26*'Coincidence Factors'!$B$5*(1+'Inputs-System'!$C$18))*'Inputs-Proposals'!$H$22*(VLOOKUP(CJ$3,Capacity!$A$53:$E$85,4,FALSE)*(1+'Inputs-System'!$C$42)+VLOOKUP(CJ$3,Capacity!$A$53:$E$85,5,FALSE)*'Inputs-System'!$C$29*(1+'Inputs-System'!$C$43)), $C35 = "3", ('Inputs-System'!$C$26*'Coincidence Factors'!$B$5*(1+'Inputs-System'!$C$18))*'Inputs-Proposals'!$H$28*(VLOOKUP(CJ$3,Capacity!$A$53:$E$85,4,FALSE)*(1+'Inputs-System'!$C$42)+VLOOKUP(CJ$3,Capacity!$A$53:$E$85,5,FALSE)*'Inputs-System'!$C$29*(1+'Inputs-System'!$C$43)), $C35 = "0", 0), 0)</f>
        <v>0</v>
      </c>
      <c r="CN35" s="100">
        <v>0</v>
      </c>
      <c r="CO35" s="346">
        <f>IFERROR(_xlfn.IFS($C35="1", 'Inputs-System'!$C$30*'Coincidence Factors'!$B$5*'Inputs-Proposals'!$H$17*'Inputs-Proposals'!$H$19*(VLOOKUP(CJ$3,'Non-Embedded Emissions'!$A$56:$D$90,2,FALSE)+VLOOKUP(CJ$3,'Non-Embedded Emissions'!$A$143:$D$174,2,FALSE)+VLOOKUP(CJ$3,'Non-Embedded Emissions'!$A$230:$D$259,2,FALSE)-VLOOKUP(CJ$3,'Non-Embedded Emissions'!$A$56:$D$90,3,FALSE)-VLOOKUP(CJ$3,'Non-Embedded Emissions'!$A$143:$D$174,3,FALSE)-VLOOKUP(CJ$3,'Non-Embedded Emissions'!$A$230:$D$259,3,FALSE)), $C35 = "2", 'Inputs-System'!$C$30*'Coincidence Factors'!$B$5*'Inputs-Proposals'!$H$23*'Inputs-Proposals'!$H$25*(VLOOKUP(CJ$3,'Non-Embedded Emissions'!$A$56:$D$90,2,FALSE)+VLOOKUP(CJ$3,'Non-Embedded Emissions'!$A$143:$D$174,2,FALSE)+VLOOKUP(CJ$3,'Non-Embedded Emissions'!$A$230:$D$259,2,FALSE)-VLOOKUP(CJ$3,'Non-Embedded Emissions'!$A$56:$D$90,3,FALSE)-VLOOKUP(CJ$3,'Non-Embedded Emissions'!$A$143:$D$174,3,FALSE)-VLOOKUP(CJ$3,'Non-Embedded Emissions'!$A$230:$D$259,3,FALSE)), $C35 = "3", 'Inputs-System'!$C$30*'Coincidence Factors'!$B$5*'Inputs-Proposals'!$H$29*'Inputs-Proposals'!$H$31*(VLOOKUP(CJ$3,'Non-Embedded Emissions'!$A$56:$D$90,2,FALSE)+VLOOKUP(CJ$3,'Non-Embedded Emissions'!$A$143:$D$174,2,FALSE)+VLOOKUP(CJ$3,'Non-Embedded Emissions'!$A$230:$D$259,2,FALSE)-VLOOKUP(CJ$3,'Non-Embedded Emissions'!$A$56:$D$90,3,FALSE)-VLOOKUP(CJ$3,'Non-Embedded Emissions'!$A$143:$D$174,3,FALSE)-VLOOKUP(CJ$3,'Non-Embedded Emissions'!$A$230:$D$259,3,FALSE)), $C35 = "0", 0), 0)</f>
        <v>0</v>
      </c>
      <c r="CP35" s="344">
        <f>IFERROR(_xlfn.IFS($C35="1",('Inputs-System'!$C$30*'Coincidence Factors'!$B$5*(1+'Inputs-System'!$C$18)*(1+'Inputs-System'!$C$41)*('Inputs-Proposals'!$H$17*'Inputs-Proposals'!$H$19*(1-'Inputs-Proposals'!$H$20))*(VLOOKUP(CP$3,Energy!$A$51:$K$83,5,FALSE)-VLOOKUP(CP$3,Energy!$A$51:$K$83,6,FALSE))), $C35 = "2",('Inputs-System'!$C$30*'Coincidence Factors'!$B$5)*(1+'Inputs-System'!$C$18)*(1+'Inputs-System'!$C$41)*('Inputs-Proposals'!$H$23*'Inputs-Proposals'!$H$25*(1-'Inputs-Proposals'!$H$26))*(VLOOKUP(CP$3,Energy!$A$51:$K$83,5,FALSE)-VLOOKUP(CP$3,Energy!$A$51:$K$83,6,FALSE)), $C35= "3", ('Inputs-System'!$C$30*'Coincidence Factors'!$B$5*(1+'Inputs-System'!$C$18)*(1+'Inputs-System'!$C$41)*('Inputs-Proposals'!$H$29*'Inputs-Proposals'!$H$31*(1-'Inputs-Proposals'!$H$32))*(VLOOKUP(CP$3,Energy!$A$51:$K$83,5,FALSE)-VLOOKUP(CP$3,Energy!$A$51:$K$83,6,FALSE))), $C35= "0", 0), 0)</f>
        <v>0</v>
      </c>
      <c r="CQ35" s="100">
        <f>IFERROR(_xlfn.IFS($C35="1", 'Inputs-System'!$C$30*'Coincidence Factors'!$B$5*(1+'Inputs-System'!$C$18)*(1+'Inputs-System'!$C$41)*'Inputs-Proposals'!$H$17*'Inputs-Proposals'!$H$19*(1-'Inputs-Proposals'!$H$20)*(VLOOKUP(CP$3,'Embedded Emissions'!$A$47:$B$78,2,FALSE)+VLOOKUP(CP$3,'Embedded Emissions'!$A$129:$B$158,2,FALSE)), $C35 = "2",'Inputs-System'!$C$30*'Coincidence Factors'!$B$5*(1+'Inputs-System'!$C$18)*(1+'Inputs-System'!$C$41)*'Inputs-Proposals'!$H$23*'Inputs-Proposals'!$H$25*(1-'Inputs-Proposals'!$H$20)*(VLOOKUP(CP$3,'Embedded Emissions'!$A$47:$B$78,2,FALSE)+VLOOKUP(CP$3,'Embedded Emissions'!$A$129:$B$158,2,FALSE)), $C35 = "3", 'Inputs-System'!$C$30*'Coincidence Factors'!$B$5*(1+'Inputs-System'!$C$18)*(1+'Inputs-System'!$C$41)*'Inputs-Proposals'!$H$29*'Inputs-Proposals'!$H$31*(1-'Inputs-Proposals'!$H$20)*(VLOOKUP(CP$3,'Embedded Emissions'!$A$47:$B$78,2,FALSE)+VLOOKUP(CP$3,'Embedded Emissions'!$A$129:$B$158,2,FALSE)), $C35 = "0", 0), 0)</f>
        <v>0</v>
      </c>
      <c r="CR35" s="318">
        <f>IFERROR(_xlfn.IFS($C35="1",( 'Inputs-System'!$C$30*'Coincidence Factors'!$B$5*(1+'Inputs-System'!$C$18)*(1+'Inputs-System'!$C$41))*('Inputs-Proposals'!$H$17*'Inputs-Proposals'!$H$19*(1-'Inputs-Proposals'!$H$20))*(VLOOKUP(CP$3,DRIPE!$A$54:$I$82,5,FALSE)-VLOOKUP(CP$3,DRIPE!$A$54:$I$82,6,FALSE)+VLOOKUP(CP$3,DRIPE!$A$54:$I$82,9,FALSE))+ ('Inputs-System'!$C$26*'Coincidence Factors'!$B$5*(1+'Inputs-System'!$C$18)*(1+'Inputs-System'!$C$42))*'Inputs-Proposals'!$H$16*VLOOKUP(CP$3,DRIPE!$A$54:$I$80,8,FALSE), $C35 = "2",( 'Inputs-System'!$C$30*'Coincidence Factors'!$B$5*(1+'Inputs-System'!$C$18)*(1+'Inputs-System'!$C$41))*('Inputs-Proposals'!$H$23*'Inputs-Proposals'!$H$25*(1-'Inputs-Proposals'!$H$26))*(VLOOKUP(CP$3,DRIPE!$A$54:$I$82,5,FALSE)-VLOOKUP(CP$3,DRIPE!$A$54:$I$82,6,FALSE)+VLOOKUP(CP$3,DRIPE!$A$54:$I$82,9,FALSE))+ ('Inputs-System'!$C$26*'Coincidence Factors'!$B$5*(1+'Inputs-System'!$C$18)*(1+'Inputs-System'!$C$41))+ ('Inputs-System'!$C$26*'Coincidence Factors'!$B$5)*'Inputs-Proposals'!$H$22*VLOOKUP(CP$3,DRIPE!$A$54:$I$80,8,FALSE), $C35= "3", ('Inputs-System'!$C$30*'Coincidence Factors'!$B$5)*('Inputs-Proposals'!$H$29*'Inputs-Proposals'!$H$31*(1-'Inputs-Proposals'!$H$32))*(VLOOKUP(CP$3,DRIPE!$A$54:$I$80,5,FALSE)-VLOOKUP(CP$3,DRIPE!$A$54:$I$80,6,FALSE)+VLOOKUP(CP$3,DRIPE!$A$54:$I$80,9,FALSE))+ ('Inputs-System'!$C$26*'Coincidence Factors'!$B$5*(1+'Inputs-System'!$C$18)*(1+'Inputs-System'!$C$42))*'Inputs-Proposals'!$H$28*VLOOKUP(CP$3,DRIPE!$A$54:$I$80,8,FALSE), $C35 = "0", 0), 0)</f>
        <v>0</v>
      </c>
      <c r="CS35" s="326">
        <f>IFERROR(_xlfn.IFS($C35="1",('Inputs-System'!$C$26*'Coincidence Factors'!$B$5*(1+'Inputs-System'!$C$18)*(1+'Inputs-System'!$C$42))*'Inputs-Proposals'!$H$16*(VLOOKUP(CP$3,Capacity!$A$53:$E$85,4,FALSE)*(1+'Inputs-System'!$C$42)+VLOOKUP(CP$3,Capacity!$A$53:$E$85,5,FALSE)*(1+'Inputs-System'!$C$43)*'Inputs-System'!$C$29), $C35 = "2", ('Inputs-System'!$C$26*'Coincidence Factors'!$B$5*(1+'Inputs-System'!$C$18))*'Inputs-Proposals'!$H$22*(VLOOKUP(CP$3,Capacity!$A$53:$E$85,4,FALSE)*(1+'Inputs-System'!$C$42)+VLOOKUP(CP$3,Capacity!$A$53:$E$85,5,FALSE)*'Inputs-System'!$C$29*(1+'Inputs-System'!$C$43)), $C35 = "3", ('Inputs-System'!$C$26*'Coincidence Factors'!$B$5*(1+'Inputs-System'!$C$18))*'Inputs-Proposals'!$H$28*(VLOOKUP(CP$3,Capacity!$A$53:$E$85,4,FALSE)*(1+'Inputs-System'!$C$42)+VLOOKUP(CP$3,Capacity!$A$53:$E$85,5,FALSE)*'Inputs-System'!$C$29*(1+'Inputs-System'!$C$43)), $C35 = "0", 0), 0)</f>
        <v>0</v>
      </c>
      <c r="CT35" s="100">
        <v>0</v>
      </c>
      <c r="CU35" s="346">
        <f>IFERROR(_xlfn.IFS($C35="1", 'Inputs-System'!$C$30*'Coincidence Factors'!$B$5*'Inputs-Proposals'!$H$17*'Inputs-Proposals'!$H$19*(VLOOKUP(CP$3,'Non-Embedded Emissions'!$A$56:$D$90,2,FALSE)+VLOOKUP(CP$3,'Non-Embedded Emissions'!$A$143:$D$174,2,FALSE)+VLOOKUP(CP$3,'Non-Embedded Emissions'!$A$230:$D$259,2,FALSE)-VLOOKUP(CP$3,'Non-Embedded Emissions'!$A$56:$D$90,3,FALSE)-VLOOKUP(CP$3,'Non-Embedded Emissions'!$A$143:$D$174,3,FALSE)-VLOOKUP(CP$3,'Non-Embedded Emissions'!$A$230:$D$259,3,FALSE)), $C35 = "2", 'Inputs-System'!$C$30*'Coincidence Factors'!$B$5*'Inputs-Proposals'!$H$23*'Inputs-Proposals'!$H$25*(VLOOKUP(CP$3,'Non-Embedded Emissions'!$A$56:$D$90,2,FALSE)+VLOOKUP(CP$3,'Non-Embedded Emissions'!$A$143:$D$174,2,FALSE)+VLOOKUP(CP$3,'Non-Embedded Emissions'!$A$230:$D$259,2,FALSE)-VLOOKUP(CP$3,'Non-Embedded Emissions'!$A$56:$D$90,3,FALSE)-VLOOKUP(CP$3,'Non-Embedded Emissions'!$A$143:$D$174,3,FALSE)-VLOOKUP(CP$3,'Non-Embedded Emissions'!$A$230:$D$259,3,FALSE)), $C35 = "3", 'Inputs-System'!$C$30*'Coincidence Factors'!$B$5*'Inputs-Proposals'!$H$29*'Inputs-Proposals'!$H$31*(VLOOKUP(CP$3,'Non-Embedded Emissions'!$A$56:$D$90,2,FALSE)+VLOOKUP(CP$3,'Non-Embedded Emissions'!$A$143:$D$174,2,FALSE)+VLOOKUP(CP$3,'Non-Embedded Emissions'!$A$230:$D$259,2,FALSE)-VLOOKUP(CP$3,'Non-Embedded Emissions'!$A$56:$D$90,3,FALSE)-VLOOKUP(CP$3,'Non-Embedded Emissions'!$A$143:$D$174,3,FALSE)-VLOOKUP(CP$3,'Non-Embedded Emissions'!$A$230:$D$259,3,FALSE)), $C35 = "0", 0), 0)</f>
        <v>0</v>
      </c>
      <c r="CV35" s="344">
        <f>IFERROR(_xlfn.IFS($C35="1",('Inputs-System'!$C$30*'Coincidence Factors'!$B$5*(1+'Inputs-System'!$C$18)*(1+'Inputs-System'!$C$41)*('Inputs-Proposals'!$H$17*'Inputs-Proposals'!$H$19*(1-'Inputs-Proposals'!$H$20))*(VLOOKUP(CV$3,Energy!$A$51:$K$83,5,FALSE)-VLOOKUP(CV$3,Energy!$A$51:$K$83,6,FALSE))), $C35 = "2",('Inputs-System'!$C$30*'Coincidence Factors'!$B$5)*(1+'Inputs-System'!$C$18)*(1+'Inputs-System'!$C$41)*('Inputs-Proposals'!$H$23*'Inputs-Proposals'!$H$25*(1-'Inputs-Proposals'!$H$26))*(VLOOKUP(CV$3,Energy!$A$51:$K$83,5,FALSE)-VLOOKUP(CV$3,Energy!$A$51:$K$83,6,FALSE)), $C35= "3", ('Inputs-System'!$C$30*'Coincidence Factors'!$B$5*(1+'Inputs-System'!$C$18)*(1+'Inputs-System'!$C$41)*('Inputs-Proposals'!$H$29*'Inputs-Proposals'!$H$31*(1-'Inputs-Proposals'!$H$32))*(VLOOKUP(CV$3,Energy!$A$51:$K$83,5,FALSE)-VLOOKUP(CV$3,Energy!$A$51:$K$83,6,FALSE))), $C35= "0", 0), 0)</f>
        <v>0</v>
      </c>
      <c r="CW35" s="100">
        <f>IFERROR(_xlfn.IFS($C35="1", 'Inputs-System'!$C$30*'Coincidence Factors'!$B$5*(1+'Inputs-System'!$C$18)*(1+'Inputs-System'!$C$41)*'Inputs-Proposals'!$H$17*'Inputs-Proposals'!$H$19*(1-'Inputs-Proposals'!$H$20)*(VLOOKUP(CV$3,'Embedded Emissions'!$A$47:$B$78,2,FALSE)+VLOOKUP(CV$3,'Embedded Emissions'!$A$129:$B$158,2,FALSE)), $C35 = "2",'Inputs-System'!$C$30*'Coincidence Factors'!$B$5*(1+'Inputs-System'!$C$18)*(1+'Inputs-System'!$C$41)*'Inputs-Proposals'!$H$23*'Inputs-Proposals'!$H$25*(1-'Inputs-Proposals'!$H$20)*(VLOOKUP(CV$3,'Embedded Emissions'!$A$47:$B$78,2,FALSE)+VLOOKUP(CV$3,'Embedded Emissions'!$A$129:$B$158,2,FALSE)), $C35 = "3", 'Inputs-System'!$C$30*'Coincidence Factors'!$B$5*(1+'Inputs-System'!$C$18)*(1+'Inputs-System'!$C$41)*'Inputs-Proposals'!$H$29*'Inputs-Proposals'!$H$31*(1-'Inputs-Proposals'!$H$20)*(VLOOKUP(CV$3,'Embedded Emissions'!$A$47:$B$78,2,FALSE)+VLOOKUP(CV$3,'Embedded Emissions'!$A$129:$B$158,2,FALSE)), $C35 = "0", 0), 0)</f>
        <v>0</v>
      </c>
      <c r="CX35" s="318">
        <f>IFERROR(_xlfn.IFS($C35="1",( 'Inputs-System'!$C$30*'Coincidence Factors'!$B$5*(1+'Inputs-System'!$C$18)*(1+'Inputs-System'!$C$41))*('Inputs-Proposals'!$H$17*'Inputs-Proposals'!$H$19*(1-'Inputs-Proposals'!$H$20))*(VLOOKUP(CV$3,DRIPE!$A$54:$I$82,5,FALSE)-VLOOKUP(CV$3,DRIPE!$A$54:$I$82,6,FALSE)+VLOOKUP(CV$3,DRIPE!$A$54:$I$82,9,FALSE))+ ('Inputs-System'!$C$26*'Coincidence Factors'!$B$5*(1+'Inputs-System'!$C$18)*(1+'Inputs-System'!$C$42))*'Inputs-Proposals'!$H$16*VLOOKUP(CV$3,DRIPE!$A$54:$I$80,8,FALSE), $C35 = "2",( 'Inputs-System'!$C$30*'Coincidence Factors'!$B$5*(1+'Inputs-System'!$C$18)*(1+'Inputs-System'!$C$41))*('Inputs-Proposals'!$H$23*'Inputs-Proposals'!$H$25*(1-'Inputs-Proposals'!$H$26))*(VLOOKUP(CV$3,DRIPE!$A$54:$I$82,5,FALSE)-VLOOKUP(CV$3,DRIPE!$A$54:$I$82,6,FALSE)+VLOOKUP(CV$3,DRIPE!$A$54:$I$82,9,FALSE))+ ('Inputs-System'!$C$26*'Coincidence Factors'!$B$5*(1+'Inputs-System'!$C$18)*(1+'Inputs-System'!$C$41))+ ('Inputs-System'!$C$26*'Coincidence Factors'!$B$5)*'Inputs-Proposals'!$H$22*VLOOKUP(CV$3,DRIPE!$A$54:$I$80,8,FALSE), $C35= "3", ('Inputs-System'!$C$30*'Coincidence Factors'!$B$5)*('Inputs-Proposals'!$H$29*'Inputs-Proposals'!$H$31*(1-'Inputs-Proposals'!$H$32))*(VLOOKUP(CV$3,DRIPE!$A$54:$I$80,5,FALSE)-VLOOKUP(CV$3,DRIPE!$A$54:$I$80,6,FALSE)+VLOOKUP(CV$3,DRIPE!$A$54:$I$80,9,FALSE))+ ('Inputs-System'!$C$26*'Coincidence Factors'!$B$5*(1+'Inputs-System'!$C$18)*(1+'Inputs-System'!$C$42))*'Inputs-Proposals'!$H$28*VLOOKUP(CV$3,DRIPE!$A$54:$I$80,8,FALSE), $C35 = "0", 0), 0)</f>
        <v>0</v>
      </c>
      <c r="CY35" s="326">
        <f>IFERROR(_xlfn.IFS($C35="1",('Inputs-System'!$C$26*'Coincidence Factors'!$B$5*(1+'Inputs-System'!$C$18)*(1+'Inputs-System'!$C$42))*'Inputs-Proposals'!$H$16*(VLOOKUP(CV$3,Capacity!$A$53:$E$85,4,FALSE)*(1+'Inputs-System'!$C$42)+VLOOKUP(CV$3,Capacity!$A$53:$E$85,5,FALSE)*(1+'Inputs-System'!$C$43)*'Inputs-System'!$C$29), $C35 = "2", ('Inputs-System'!$C$26*'Coincidence Factors'!$B$5*(1+'Inputs-System'!$C$18))*'Inputs-Proposals'!$H$22*(VLOOKUP(CV$3,Capacity!$A$53:$E$85,4,FALSE)*(1+'Inputs-System'!$C$42)+VLOOKUP(CV$3,Capacity!$A$53:$E$85,5,FALSE)*'Inputs-System'!$C$29*(1+'Inputs-System'!$C$43)), $C35 = "3", ('Inputs-System'!$C$26*'Coincidence Factors'!$B$5*(1+'Inputs-System'!$C$18))*'Inputs-Proposals'!$H$28*(VLOOKUP(CV$3,Capacity!$A$53:$E$85,4,FALSE)*(1+'Inputs-System'!$C$42)+VLOOKUP(CV$3,Capacity!$A$53:$E$85,5,FALSE)*'Inputs-System'!$C$29*(1+'Inputs-System'!$C$43)), $C35 = "0", 0), 0)</f>
        <v>0</v>
      </c>
      <c r="CZ35" s="100">
        <v>0</v>
      </c>
      <c r="DA35" s="346">
        <f>IFERROR(_xlfn.IFS($C35="1", 'Inputs-System'!$C$30*'Coincidence Factors'!$B$5*'Inputs-Proposals'!$H$17*'Inputs-Proposals'!$H$19*(VLOOKUP(CV$3,'Non-Embedded Emissions'!$A$56:$D$90,2,FALSE)+VLOOKUP(CV$3,'Non-Embedded Emissions'!$A$143:$D$174,2,FALSE)+VLOOKUP(CV$3,'Non-Embedded Emissions'!$A$230:$D$259,2,FALSE)-VLOOKUP(CV$3,'Non-Embedded Emissions'!$A$56:$D$90,3,FALSE)-VLOOKUP(CV$3,'Non-Embedded Emissions'!$A$143:$D$174,3,FALSE)-VLOOKUP(CV$3,'Non-Embedded Emissions'!$A$230:$D$259,3,FALSE)), $C35 = "2", 'Inputs-System'!$C$30*'Coincidence Factors'!$B$5*'Inputs-Proposals'!$H$23*'Inputs-Proposals'!$H$25*(VLOOKUP(CV$3,'Non-Embedded Emissions'!$A$56:$D$90,2,FALSE)+VLOOKUP(CV$3,'Non-Embedded Emissions'!$A$143:$D$174,2,FALSE)+VLOOKUP(CV$3,'Non-Embedded Emissions'!$A$230:$D$259,2,FALSE)-VLOOKUP(CV$3,'Non-Embedded Emissions'!$A$56:$D$90,3,FALSE)-VLOOKUP(CV$3,'Non-Embedded Emissions'!$A$143:$D$174,3,FALSE)-VLOOKUP(CV$3,'Non-Embedded Emissions'!$A$230:$D$259,3,FALSE)), $C35 = "3", 'Inputs-System'!$C$30*'Coincidence Factors'!$B$5*'Inputs-Proposals'!$H$29*'Inputs-Proposals'!$H$31*(VLOOKUP(CV$3,'Non-Embedded Emissions'!$A$56:$D$90,2,FALSE)+VLOOKUP(CV$3,'Non-Embedded Emissions'!$A$143:$D$174,2,FALSE)+VLOOKUP(CV$3,'Non-Embedded Emissions'!$A$230:$D$259,2,FALSE)-VLOOKUP(CV$3,'Non-Embedded Emissions'!$A$56:$D$90,3,FALSE)-VLOOKUP(CV$3,'Non-Embedded Emissions'!$A$143:$D$174,3,FALSE)-VLOOKUP(CV$3,'Non-Embedded Emissions'!$A$230:$D$259,3,FALSE)), $C35 = "0", 0), 0)</f>
        <v>0</v>
      </c>
      <c r="DB35" s="344">
        <f>IFERROR(_xlfn.IFS($C35="1",('Inputs-System'!$C$30*'Coincidence Factors'!$B$5*(1+'Inputs-System'!$C$18)*(1+'Inputs-System'!$C$41)*('Inputs-Proposals'!$H$17*'Inputs-Proposals'!$H$19*(1-'Inputs-Proposals'!$H$20))*(VLOOKUP(DB$3,Energy!$A$51:$K$83,5,FALSE)-VLOOKUP(DB$3,Energy!$A$51:$K$83,6,FALSE))), $C35 = "2",('Inputs-System'!$C$30*'Coincidence Factors'!$B$5)*(1+'Inputs-System'!$C$18)*(1+'Inputs-System'!$C$41)*('Inputs-Proposals'!$H$23*'Inputs-Proposals'!$H$25*(1-'Inputs-Proposals'!$H$26))*(VLOOKUP(DB$3,Energy!$A$51:$K$83,5,FALSE)-VLOOKUP(DB$3,Energy!$A$51:$K$83,6,FALSE)), $C35= "3", ('Inputs-System'!$C$30*'Coincidence Factors'!$B$5*(1+'Inputs-System'!$C$18)*(1+'Inputs-System'!$C$41)*('Inputs-Proposals'!$H$29*'Inputs-Proposals'!$H$31*(1-'Inputs-Proposals'!$H$32))*(VLOOKUP(DB$3,Energy!$A$51:$K$83,5,FALSE)-VLOOKUP(DB$3,Energy!$A$51:$K$83,6,FALSE))), $C35= "0", 0), 0)</f>
        <v>0</v>
      </c>
      <c r="DC35" s="100">
        <f>IFERROR(_xlfn.IFS($C35="1", 'Inputs-System'!$C$30*'Coincidence Factors'!$B$5*(1+'Inputs-System'!$C$18)*(1+'Inputs-System'!$C$41)*'Inputs-Proposals'!$H$17*'Inputs-Proposals'!$H$19*(1-'Inputs-Proposals'!$H$20)*(VLOOKUP(DB$3,'Embedded Emissions'!$A$47:$B$78,2,FALSE)+VLOOKUP(DB$3,'Embedded Emissions'!$A$129:$B$158,2,FALSE)), $C35 = "2",'Inputs-System'!$C$30*'Coincidence Factors'!$B$5*(1+'Inputs-System'!$C$18)*(1+'Inputs-System'!$C$41)*'Inputs-Proposals'!$H$23*'Inputs-Proposals'!$H$25*(1-'Inputs-Proposals'!$H$20)*(VLOOKUP(DB$3,'Embedded Emissions'!$A$47:$B$78,2,FALSE)+VLOOKUP(DB$3,'Embedded Emissions'!$A$129:$B$158,2,FALSE)), $C35 = "3", 'Inputs-System'!$C$30*'Coincidence Factors'!$B$5*(1+'Inputs-System'!$C$18)*(1+'Inputs-System'!$C$41)*'Inputs-Proposals'!$H$29*'Inputs-Proposals'!$H$31*(1-'Inputs-Proposals'!$H$20)*(VLOOKUP(DB$3,'Embedded Emissions'!$A$47:$B$78,2,FALSE)+VLOOKUP(DB$3,'Embedded Emissions'!$A$129:$B$158,2,FALSE)), $C35 = "0", 0), 0)</f>
        <v>0</v>
      </c>
      <c r="DD35" s="318">
        <f>IFERROR(_xlfn.IFS($C35="1",( 'Inputs-System'!$C$30*'Coincidence Factors'!$B$5*(1+'Inputs-System'!$C$18)*(1+'Inputs-System'!$C$41))*('Inputs-Proposals'!$H$17*'Inputs-Proposals'!$H$19*(1-'Inputs-Proposals'!$H$20))*(VLOOKUP(DB$3,DRIPE!$A$54:$I$82,5,FALSE)-VLOOKUP(DB$3,DRIPE!$A$54:$I$82,6,FALSE)+VLOOKUP(DB$3,DRIPE!$A$54:$I$82,9,FALSE))+ ('Inputs-System'!$C$26*'Coincidence Factors'!$B$5*(1+'Inputs-System'!$C$18)*(1+'Inputs-System'!$C$42))*'Inputs-Proposals'!$H$16*VLOOKUP(DB$3,DRIPE!$A$54:$I$80,8,FALSE), $C35 = "2",( 'Inputs-System'!$C$30*'Coincidence Factors'!$B$5*(1+'Inputs-System'!$C$18)*(1+'Inputs-System'!$C$41))*('Inputs-Proposals'!$H$23*'Inputs-Proposals'!$H$25*(1-'Inputs-Proposals'!$H$26))*(VLOOKUP(DB$3,DRIPE!$A$54:$I$82,5,FALSE)-VLOOKUP(DB$3,DRIPE!$A$54:$I$82,6,FALSE)+VLOOKUP(DB$3,DRIPE!$A$54:$I$82,9,FALSE))+ ('Inputs-System'!$C$26*'Coincidence Factors'!$B$5*(1+'Inputs-System'!$C$18)*(1+'Inputs-System'!$C$41))+ ('Inputs-System'!$C$26*'Coincidence Factors'!$B$5)*'Inputs-Proposals'!$H$22*VLOOKUP(DB$3,DRIPE!$A$54:$I$80,8,FALSE), $C35= "3", ('Inputs-System'!$C$30*'Coincidence Factors'!$B$5)*('Inputs-Proposals'!$H$29*'Inputs-Proposals'!$H$31*(1-'Inputs-Proposals'!$H$32))*(VLOOKUP(DB$3,DRIPE!$A$54:$I$80,5,FALSE)-VLOOKUP(DB$3,DRIPE!$A$54:$I$80,6,FALSE)+VLOOKUP(DB$3,DRIPE!$A$54:$I$80,9,FALSE))+ ('Inputs-System'!$C$26*'Coincidence Factors'!$B$5*(1+'Inputs-System'!$C$18)*(1+'Inputs-System'!$C$42))*'Inputs-Proposals'!$H$28*VLOOKUP(DB$3,DRIPE!$A$54:$I$80,8,FALSE), $C35 = "0", 0), 0)</f>
        <v>0</v>
      </c>
      <c r="DE35" s="326">
        <f>IFERROR(_xlfn.IFS($C35="1",('Inputs-System'!$C$26*'Coincidence Factors'!$B$5*(1+'Inputs-System'!$C$18)*(1+'Inputs-System'!$C$42))*'Inputs-Proposals'!$H$16*(VLOOKUP(DB$3,Capacity!$A$53:$E$85,4,FALSE)*(1+'Inputs-System'!$C$42)+VLOOKUP(DB$3,Capacity!$A$53:$E$85,5,FALSE)*(1+'Inputs-System'!$C$43)*'Inputs-System'!$C$29), $C35 = "2", ('Inputs-System'!$C$26*'Coincidence Factors'!$B$5*(1+'Inputs-System'!$C$18))*'Inputs-Proposals'!$H$22*(VLOOKUP(DB$3,Capacity!$A$53:$E$85,4,FALSE)*(1+'Inputs-System'!$C$42)+VLOOKUP(DB$3,Capacity!$A$53:$E$85,5,FALSE)*'Inputs-System'!$C$29*(1+'Inputs-System'!$C$43)), $C35 = "3", ('Inputs-System'!$C$26*'Coincidence Factors'!$B$5*(1+'Inputs-System'!$C$18))*'Inputs-Proposals'!$H$28*(VLOOKUP(DB$3,Capacity!$A$53:$E$85,4,FALSE)*(1+'Inputs-System'!$C$42)+VLOOKUP(DB$3,Capacity!$A$53:$E$85,5,FALSE)*'Inputs-System'!$C$29*(1+'Inputs-System'!$C$43)), $C35 = "0", 0), 0)</f>
        <v>0</v>
      </c>
      <c r="DF35" s="100">
        <v>0</v>
      </c>
      <c r="DG35" s="346">
        <f>IFERROR(_xlfn.IFS($C35="1", 'Inputs-System'!$C$30*'Coincidence Factors'!$B$5*'Inputs-Proposals'!$H$17*'Inputs-Proposals'!$H$19*(VLOOKUP(DB$3,'Non-Embedded Emissions'!$A$56:$D$90,2,FALSE)+VLOOKUP(DB$3,'Non-Embedded Emissions'!$A$143:$D$174,2,FALSE)+VLOOKUP(DB$3,'Non-Embedded Emissions'!$A$230:$D$259,2,FALSE)-VLOOKUP(DB$3,'Non-Embedded Emissions'!$A$56:$D$90,3,FALSE)-VLOOKUP(DB$3,'Non-Embedded Emissions'!$A$143:$D$174,3,FALSE)-VLOOKUP(DB$3,'Non-Embedded Emissions'!$A$230:$D$259,3,FALSE)), $C35 = "2", 'Inputs-System'!$C$30*'Coincidence Factors'!$B$5*'Inputs-Proposals'!$H$23*'Inputs-Proposals'!$H$25*(VLOOKUP(DB$3,'Non-Embedded Emissions'!$A$56:$D$90,2,FALSE)+VLOOKUP(DB$3,'Non-Embedded Emissions'!$A$143:$D$174,2,FALSE)+VLOOKUP(DB$3,'Non-Embedded Emissions'!$A$230:$D$259,2,FALSE)-VLOOKUP(DB$3,'Non-Embedded Emissions'!$A$56:$D$90,3,FALSE)-VLOOKUP(DB$3,'Non-Embedded Emissions'!$A$143:$D$174,3,FALSE)-VLOOKUP(DB$3,'Non-Embedded Emissions'!$A$230:$D$259,3,FALSE)), $C35 = "3", 'Inputs-System'!$C$30*'Coincidence Factors'!$B$5*'Inputs-Proposals'!$H$29*'Inputs-Proposals'!$H$31*(VLOOKUP(DB$3,'Non-Embedded Emissions'!$A$56:$D$90,2,FALSE)+VLOOKUP(DB$3,'Non-Embedded Emissions'!$A$143:$D$174,2,FALSE)+VLOOKUP(DB$3,'Non-Embedded Emissions'!$A$230:$D$259,2,FALSE)-VLOOKUP(DB$3,'Non-Embedded Emissions'!$A$56:$D$90,3,FALSE)-VLOOKUP(DB$3,'Non-Embedded Emissions'!$A$143:$D$174,3,FALSE)-VLOOKUP(DB$3,'Non-Embedded Emissions'!$A$230:$D$259,3,FALSE)), $C35 = "0", 0), 0)</f>
        <v>0</v>
      </c>
      <c r="DH35" s="344">
        <f>IFERROR(_xlfn.IFS($C35="1",('Inputs-System'!$C$30*'Coincidence Factors'!$B$5*(1+'Inputs-System'!$C$18)*(1+'Inputs-System'!$C$41)*('Inputs-Proposals'!$H$17*'Inputs-Proposals'!$H$19*(1-'Inputs-Proposals'!$H$20))*(VLOOKUP(DH$3,Energy!$A$51:$K$83,5,FALSE)-VLOOKUP(DH$3,Energy!$A$51:$K$83,6,FALSE))), $C35 = "2",('Inputs-System'!$C$30*'Coincidence Factors'!$B$5)*(1+'Inputs-System'!$C$18)*(1+'Inputs-System'!$C$41)*('Inputs-Proposals'!$H$23*'Inputs-Proposals'!$H$25*(1-'Inputs-Proposals'!$H$26))*(VLOOKUP(DH$3,Energy!$A$51:$K$83,5,FALSE)-VLOOKUP(DH$3,Energy!$A$51:$K$83,6,FALSE)), $C35= "3", ('Inputs-System'!$C$30*'Coincidence Factors'!$B$5*(1+'Inputs-System'!$C$18)*(1+'Inputs-System'!$C$41)*('Inputs-Proposals'!$H$29*'Inputs-Proposals'!$H$31*(1-'Inputs-Proposals'!$H$32))*(VLOOKUP(DH$3,Energy!$A$51:$K$83,5,FALSE)-VLOOKUP(DH$3,Energy!$A$51:$K$83,6,FALSE))), $C35= "0", 0), 0)</f>
        <v>0</v>
      </c>
      <c r="DI35" s="100">
        <f>IFERROR(_xlfn.IFS($C35="1", 'Inputs-System'!$C$30*'Coincidence Factors'!$B$5*(1+'Inputs-System'!$C$18)*(1+'Inputs-System'!$C$41)*'Inputs-Proposals'!$H$17*'Inputs-Proposals'!$H$19*(1-'Inputs-Proposals'!$H$20)*(VLOOKUP(DH$3,'Embedded Emissions'!$A$47:$B$78,2,FALSE)+VLOOKUP(DH$3,'Embedded Emissions'!$A$129:$B$158,2,FALSE)), $C35 = "2",'Inputs-System'!$C$30*'Coincidence Factors'!$B$5*(1+'Inputs-System'!$C$18)*(1+'Inputs-System'!$C$41)*'Inputs-Proposals'!$H$23*'Inputs-Proposals'!$H$25*(1-'Inputs-Proposals'!$H$20)*(VLOOKUP(DH$3,'Embedded Emissions'!$A$47:$B$78,2,FALSE)+VLOOKUP(DH$3,'Embedded Emissions'!$A$129:$B$158,2,FALSE)), $C35 = "3", 'Inputs-System'!$C$30*'Coincidence Factors'!$B$5*(1+'Inputs-System'!$C$18)*(1+'Inputs-System'!$C$41)*'Inputs-Proposals'!$H$29*'Inputs-Proposals'!$H$31*(1-'Inputs-Proposals'!$H$20)*(VLOOKUP(DH$3,'Embedded Emissions'!$A$47:$B$78,2,FALSE)+VLOOKUP(DH$3,'Embedded Emissions'!$A$129:$B$158,2,FALSE)), $C35 = "0", 0), 0)</f>
        <v>0</v>
      </c>
      <c r="DJ35" s="318">
        <f>IFERROR(_xlfn.IFS($C35="1",( 'Inputs-System'!$C$30*'Coincidence Factors'!$B$5*(1+'Inputs-System'!$C$18)*(1+'Inputs-System'!$C$41))*('Inputs-Proposals'!$H$17*'Inputs-Proposals'!$H$19*(1-'Inputs-Proposals'!$H$20))*(VLOOKUP(DH$3,DRIPE!$A$54:$I$82,5,FALSE)-VLOOKUP(DH$3,DRIPE!$A$54:$I$82,6,FALSE)+VLOOKUP(DH$3,DRIPE!$A$54:$I$82,9,FALSE))+ ('Inputs-System'!$C$26*'Coincidence Factors'!$B$5*(1+'Inputs-System'!$C$18)*(1+'Inputs-System'!$C$42))*'Inputs-Proposals'!$H$16*VLOOKUP(DH$3,DRIPE!$A$54:$I$80,8,FALSE), $C35 = "2",( 'Inputs-System'!$C$30*'Coincidence Factors'!$B$5*(1+'Inputs-System'!$C$18)*(1+'Inputs-System'!$C$41))*('Inputs-Proposals'!$H$23*'Inputs-Proposals'!$H$25*(1-'Inputs-Proposals'!$H$26))*(VLOOKUP(DH$3,DRIPE!$A$54:$I$82,5,FALSE)-VLOOKUP(DH$3,DRIPE!$A$54:$I$82,6,FALSE)+VLOOKUP(DH$3,DRIPE!$A$54:$I$82,9,FALSE))+ ('Inputs-System'!$C$26*'Coincidence Factors'!$B$5*(1+'Inputs-System'!$C$18)*(1+'Inputs-System'!$C$41))+ ('Inputs-System'!$C$26*'Coincidence Factors'!$B$5)*'Inputs-Proposals'!$H$22*VLOOKUP(DH$3,DRIPE!$A$54:$I$80,8,FALSE), $C35= "3", ('Inputs-System'!$C$30*'Coincidence Factors'!$B$5)*('Inputs-Proposals'!$H$29*'Inputs-Proposals'!$H$31*(1-'Inputs-Proposals'!$H$32))*(VLOOKUP(DH$3,DRIPE!$A$54:$I$80,5,FALSE)-VLOOKUP(DH$3,DRIPE!$A$54:$I$80,6,FALSE)+VLOOKUP(DH$3,DRIPE!$A$54:$I$80,9,FALSE))+ ('Inputs-System'!$C$26*'Coincidence Factors'!$B$5*(1+'Inputs-System'!$C$18)*(1+'Inputs-System'!$C$42))*'Inputs-Proposals'!$H$28*VLOOKUP(DH$3,DRIPE!$A$54:$I$80,8,FALSE), $C35 = "0", 0), 0)</f>
        <v>0</v>
      </c>
      <c r="DK35" s="326">
        <f>IFERROR(_xlfn.IFS($C35="1",('Inputs-System'!$C$26*'Coincidence Factors'!$B$5*(1+'Inputs-System'!$C$18)*(1+'Inputs-System'!$C$42))*'Inputs-Proposals'!$H$16*(VLOOKUP(DH$3,Capacity!$A$53:$E$85,4,FALSE)*(1+'Inputs-System'!$C$42)+VLOOKUP(DH$3,Capacity!$A$53:$E$85,5,FALSE)*(1+'Inputs-System'!$C$43)*'Inputs-System'!$C$29), $C35 = "2", ('Inputs-System'!$C$26*'Coincidence Factors'!$B$5*(1+'Inputs-System'!$C$18))*'Inputs-Proposals'!$H$22*(VLOOKUP(DH$3,Capacity!$A$53:$E$85,4,FALSE)*(1+'Inputs-System'!$C$42)+VLOOKUP(DH$3,Capacity!$A$53:$E$85,5,FALSE)*'Inputs-System'!$C$29*(1+'Inputs-System'!$C$43)), $C35 = "3", ('Inputs-System'!$C$26*'Coincidence Factors'!$B$5*(1+'Inputs-System'!$C$18))*'Inputs-Proposals'!$H$28*(VLOOKUP(DH$3,Capacity!$A$53:$E$85,4,FALSE)*(1+'Inputs-System'!$C$42)+VLOOKUP(DH$3,Capacity!$A$53:$E$85,5,FALSE)*'Inputs-System'!$C$29*(1+'Inputs-System'!$C$43)), $C35 = "0", 0), 0)</f>
        <v>0</v>
      </c>
      <c r="DL35" s="100">
        <v>0</v>
      </c>
      <c r="DM35" s="346">
        <f>IFERROR(_xlfn.IFS($C35="1", 'Inputs-System'!$C$30*'Coincidence Factors'!$B$5*'Inputs-Proposals'!$H$17*'Inputs-Proposals'!$H$19*(VLOOKUP(DH$3,'Non-Embedded Emissions'!$A$56:$D$90,2,FALSE)+VLOOKUP(DH$3,'Non-Embedded Emissions'!$A$143:$D$174,2,FALSE)+VLOOKUP(DH$3,'Non-Embedded Emissions'!$A$230:$D$259,2,FALSE)-VLOOKUP(DH$3,'Non-Embedded Emissions'!$A$56:$D$90,3,FALSE)-VLOOKUP(DH$3,'Non-Embedded Emissions'!$A$143:$D$174,3,FALSE)-VLOOKUP(DH$3,'Non-Embedded Emissions'!$A$230:$D$259,3,FALSE)), $C35 = "2", 'Inputs-System'!$C$30*'Coincidence Factors'!$B$5*'Inputs-Proposals'!$H$23*'Inputs-Proposals'!$H$25*(VLOOKUP(DH$3,'Non-Embedded Emissions'!$A$56:$D$90,2,FALSE)+VLOOKUP(DH$3,'Non-Embedded Emissions'!$A$143:$D$174,2,FALSE)+VLOOKUP(DH$3,'Non-Embedded Emissions'!$A$230:$D$259,2,FALSE)-VLOOKUP(DH$3,'Non-Embedded Emissions'!$A$56:$D$90,3,FALSE)-VLOOKUP(DH$3,'Non-Embedded Emissions'!$A$143:$D$174,3,FALSE)-VLOOKUP(DH$3,'Non-Embedded Emissions'!$A$230:$D$259,3,FALSE)), $C35 = "3", 'Inputs-System'!$C$30*'Coincidence Factors'!$B$5*'Inputs-Proposals'!$H$29*'Inputs-Proposals'!$H$31*(VLOOKUP(DH$3,'Non-Embedded Emissions'!$A$56:$D$90,2,FALSE)+VLOOKUP(DH$3,'Non-Embedded Emissions'!$A$143:$D$174,2,FALSE)+VLOOKUP(DH$3,'Non-Embedded Emissions'!$A$230:$D$259,2,FALSE)-VLOOKUP(DH$3,'Non-Embedded Emissions'!$A$56:$D$90,3,FALSE)-VLOOKUP(DH$3,'Non-Embedded Emissions'!$A$143:$D$174,3,FALSE)-VLOOKUP(DH$3,'Non-Embedded Emissions'!$A$230:$D$259,3,FALSE)), $C35 = "0", 0), 0)</f>
        <v>0</v>
      </c>
      <c r="DN35" s="344">
        <f>IFERROR(_xlfn.IFS($C35="1",('Inputs-System'!$C$30*'Coincidence Factors'!$B$5*(1+'Inputs-System'!$C$18)*(1+'Inputs-System'!$C$41)*('Inputs-Proposals'!$H$17*'Inputs-Proposals'!$H$19*(1-'Inputs-Proposals'!$H$20))*(VLOOKUP(DN$3,Energy!$A$51:$K$83,5,FALSE)-VLOOKUP(DN$3,Energy!$A$51:$K$83,6,FALSE))), $C35 = "2",('Inputs-System'!$C$30*'Coincidence Factors'!$B$5)*(1+'Inputs-System'!$C$18)*(1+'Inputs-System'!$C$41)*('Inputs-Proposals'!$H$23*'Inputs-Proposals'!$H$25*(1-'Inputs-Proposals'!$H$26))*(VLOOKUP(DN$3,Energy!$A$51:$K$83,5,FALSE)-VLOOKUP(DN$3,Energy!$A$51:$K$83,6,FALSE)), $C35= "3", ('Inputs-System'!$C$30*'Coincidence Factors'!$B$5*(1+'Inputs-System'!$C$18)*(1+'Inputs-System'!$C$41)*('Inputs-Proposals'!$H$29*'Inputs-Proposals'!$H$31*(1-'Inputs-Proposals'!$H$32))*(VLOOKUP(DN$3,Energy!$A$51:$K$83,5,FALSE)-VLOOKUP(DN$3,Energy!$A$51:$K$83,6,FALSE))), $C35= "0", 0), 0)</f>
        <v>0</v>
      </c>
      <c r="DO35" s="100">
        <f>IFERROR(_xlfn.IFS($C35="1", 'Inputs-System'!$C$30*'Coincidence Factors'!$B$5*(1+'Inputs-System'!$C$18)*(1+'Inputs-System'!$C$41)*'Inputs-Proposals'!$H$17*'Inputs-Proposals'!$H$19*(1-'Inputs-Proposals'!$H$20)*(VLOOKUP(DN$3,'Embedded Emissions'!$A$47:$B$78,2,FALSE)+VLOOKUP(DN$3,'Embedded Emissions'!$A$129:$B$158,2,FALSE)), $C35 = "2",'Inputs-System'!$C$30*'Coincidence Factors'!$B$5*(1+'Inputs-System'!$C$18)*(1+'Inputs-System'!$C$41)*'Inputs-Proposals'!$H$23*'Inputs-Proposals'!$H$25*(1-'Inputs-Proposals'!$H$20)*(VLOOKUP(DN$3,'Embedded Emissions'!$A$47:$B$78,2,FALSE)+VLOOKUP(DN$3,'Embedded Emissions'!$A$129:$B$158,2,FALSE)), $C35 = "3", 'Inputs-System'!$C$30*'Coincidence Factors'!$B$5*(1+'Inputs-System'!$C$18)*(1+'Inputs-System'!$C$41)*'Inputs-Proposals'!$H$29*'Inputs-Proposals'!$H$31*(1-'Inputs-Proposals'!$H$20)*(VLOOKUP(DN$3,'Embedded Emissions'!$A$47:$B$78,2,FALSE)+VLOOKUP(DN$3,'Embedded Emissions'!$A$129:$B$158,2,FALSE)), $C35 = "0", 0), 0)</f>
        <v>0</v>
      </c>
      <c r="DP35" s="318">
        <f>IFERROR(_xlfn.IFS($C35="1",( 'Inputs-System'!$C$30*'Coincidence Factors'!$B$5*(1+'Inputs-System'!$C$18)*(1+'Inputs-System'!$C$41))*('Inputs-Proposals'!$H$17*'Inputs-Proposals'!$H$19*(1-'Inputs-Proposals'!$H$20))*(VLOOKUP(DN$3,DRIPE!$A$54:$I$82,5,FALSE)-VLOOKUP(DN$3,DRIPE!$A$54:$I$82,6,FALSE)+VLOOKUP(DN$3,DRIPE!$A$54:$I$82,9,FALSE))+ ('Inputs-System'!$C$26*'Coincidence Factors'!$B$5*(1+'Inputs-System'!$C$18)*(1+'Inputs-System'!$C$42))*'Inputs-Proposals'!$H$16*VLOOKUP(DN$3,DRIPE!$A$54:$I$80,8,FALSE), $C35 = "2",( 'Inputs-System'!$C$30*'Coincidence Factors'!$B$5*(1+'Inputs-System'!$C$18)*(1+'Inputs-System'!$C$41))*('Inputs-Proposals'!$H$23*'Inputs-Proposals'!$H$25*(1-'Inputs-Proposals'!$H$26))*(VLOOKUP(DN$3,DRIPE!$A$54:$I$82,5,FALSE)-VLOOKUP(DN$3,DRIPE!$A$54:$I$82,6,FALSE)+VLOOKUP(DN$3,DRIPE!$A$54:$I$82,9,FALSE))+ ('Inputs-System'!$C$26*'Coincidence Factors'!$B$5*(1+'Inputs-System'!$C$18)*(1+'Inputs-System'!$C$41))+ ('Inputs-System'!$C$26*'Coincidence Factors'!$B$5)*'Inputs-Proposals'!$H$22*VLOOKUP(DN$3,DRIPE!$A$54:$I$80,8,FALSE), $C35= "3", ('Inputs-System'!$C$30*'Coincidence Factors'!$B$5)*('Inputs-Proposals'!$H$29*'Inputs-Proposals'!$H$31*(1-'Inputs-Proposals'!$H$32))*(VLOOKUP(DN$3,DRIPE!$A$54:$I$80,5,FALSE)-VLOOKUP(DN$3,DRIPE!$A$54:$I$80,6,FALSE)+VLOOKUP(DN$3,DRIPE!$A$54:$I$80,9,FALSE))+ ('Inputs-System'!$C$26*'Coincidence Factors'!$B$5*(1+'Inputs-System'!$C$18)*(1+'Inputs-System'!$C$42))*'Inputs-Proposals'!$H$28*VLOOKUP(DN$3,DRIPE!$A$54:$I$80,8,FALSE), $C35 = "0", 0), 0)</f>
        <v>0</v>
      </c>
      <c r="DQ35" s="326">
        <f>IFERROR(_xlfn.IFS($C35="1",('Inputs-System'!$C$26*'Coincidence Factors'!$B$5*(1+'Inputs-System'!$C$18)*(1+'Inputs-System'!$C$42))*'Inputs-Proposals'!$H$16*(VLOOKUP(DN$3,Capacity!$A$53:$E$85,4,FALSE)*(1+'Inputs-System'!$C$42)+VLOOKUP(DN$3,Capacity!$A$53:$E$85,5,FALSE)*(1+'Inputs-System'!$C$43)*'Inputs-System'!$C$29), $C35 = "2", ('Inputs-System'!$C$26*'Coincidence Factors'!$B$5*(1+'Inputs-System'!$C$18))*'Inputs-Proposals'!$H$22*(VLOOKUP(DN$3,Capacity!$A$53:$E$85,4,FALSE)*(1+'Inputs-System'!$C$42)+VLOOKUP(DN$3,Capacity!$A$53:$E$85,5,FALSE)*'Inputs-System'!$C$29*(1+'Inputs-System'!$C$43)), $C35 = "3", ('Inputs-System'!$C$26*'Coincidence Factors'!$B$5*(1+'Inputs-System'!$C$18))*'Inputs-Proposals'!$H$28*(VLOOKUP(DN$3,Capacity!$A$53:$E$85,4,FALSE)*(1+'Inputs-System'!$C$42)+VLOOKUP(DN$3,Capacity!$A$53:$E$85,5,FALSE)*'Inputs-System'!$C$29*(1+'Inputs-System'!$C$43)), $C35 = "0", 0), 0)</f>
        <v>0</v>
      </c>
      <c r="DR35" s="100">
        <v>0</v>
      </c>
      <c r="DS35" s="346">
        <f>IFERROR(_xlfn.IFS($C35="1", 'Inputs-System'!$C$30*'Coincidence Factors'!$B$5*'Inputs-Proposals'!$H$17*'Inputs-Proposals'!$H$19*(VLOOKUP(DN$3,'Non-Embedded Emissions'!$A$56:$D$90,2,FALSE)+VLOOKUP(DN$3,'Non-Embedded Emissions'!$A$143:$D$174,2,FALSE)+VLOOKUP(DN$3,'Non-Embedded Emissions'!$A$230:$D$259,2,FALSE)-VLOOKUP(DN$3,'Non-Embedded Emissions'!$A$56:$D$90,3,FALSE)-VLOOKUP(DN$3,'Non-Embedded Emissions'!$A$143:$D$174,3,FALSE)-VLOOKUP(DN$3,'Non-Embedded Emissions'!$A$230:$D$259,3,FALSE)), $C35 = "2", 'Inputs-System'!$C$30*'Coincidence Factors'!$B$5*'Inputs-Proposals'!$H$23*'Inputs-Proposals'!$H$25*(VLOOKUP(DN$3,'Non-Embedded Emissions'!$A$56:$D$90,2,FALSE)+VLOOKUP(DN$3,'Non-Embedded Emissions'!$A$143:$D$174,2,FALSE)+VLOOKUP(DN$3,'Non-Embedded Emissions'!$A$230:$D$259,2,FALSE)-VLOOKUP(DN$3,'Non-Embedded Emissions'!$A$56:$D$90,3,FALSE)-VLOOKUP(DN$3,'Non-Embedded Emissions'!$A$143:$D$174,3,FALSE)-VLOOKUP(DN$3,'Non-Embedded Emissions'!$A$230:$D$259,3,FALSE)), $C35 = "3", 'Inputs-System'!$C$30*'Coincidence Factors'!$B$5*'Inputs-Proposals'!$H$29*'Inputs-Proposals'!$H$31*(VLOOKUP(DN$3,'Non-Embedded Emissions'!$A$56:$D$90,2,FALSE)+VLOOKUP(DN$3,'Non-Embedded Emissions'!$A$143:$D$174,2,FALSE)+VLOOKUP(DN$3,'Non-Embedded Emissions'!$A$230:$D$259,2,FALSE)-VLOOKUP(DN$3,'Non-Embedded Emissions'!$A$56:$D$90,3,FALSE)-VLOOKUP(DN$3,'Non-Embedded Emissions'!$A$143:$D$174,3,FALSE)-VLOOKUP(DN$3,'Non-Embedded Emissions'!$A$230:$D$259,3,FALSE)), $C35 = "0", 0), 0)</f>
        <v>0</v>
      </c>
      <c r="DT35" s="344">
        <f>IFERROR(_xlfn.IFS($C35="1",('Inputs-System'!$C$30*'Coincidence Factors'!$B$5*(1+'Inputs-System'!$C$18)*(1+'Inputs-System'!$C$41)*('Inputs-Proposals'!$H$17*'Inputs-Proposals'!$H$19*(1-'Inputs-Proposals'!$H$20))*(VLOOKUP(DT$3,Energy!$A$51:$K$83,5,FALSE)-VLOOKUP(DT$3,Energy!$A$51:$K$83,6,FALSE))), $C35 = "2",('Inputs-System'!$C$30*'Coincidence Factors'!$B$5)*(1+'Inputs-System'!$C$18)*(1+'Inputs-System'!$C$41)*('Inputs-Proposals'!$H$23*'Inputs-Proposals'!$H$25*(1-'Inputs-Proposals'!$H$26))*(VLOOKUP(DT$3,Energy!$A$51:$K$83,5,FALSE)-VLOOKUP(DT$3,Energy!$A$51:$K$83,6,FALSE)), $C35= "3", ('Inputs-System'!$C$30*'Coincidence Factors'!$B$5*(1+'Inputs-System'!$C$18)*(1+'Inputs-System'!$C$41)*('Inputs-Proposals'!$H$29*'Inputs-Proposals'!$H$31*(1-'Inputs-Proposals'!$H$32))*(VLOOKUP(DT$3,Energy!$A$51:$K$83,5,FALSE)-VLOOKUP(DT$3,Energy!$A$51:$K$83,6,FALSE))), $C35= "0", 0), 0)</f>
        <v>0</v>
      </c>
      <c r="DU35" s="100">
        <f>IFERROR(_xlfn.IFS($C35="1", 'Inputs-System'!$C$30*'Coincidence Factors'!$B$5*(1+'Inputs-System'!$C$18)*(1+'Inputs-System'!$C$41)*'Inputs-Proposals'!$H$17*'Inputs-Proposals'!$H$19*(1-'Inputs-Proposals'!$H$20)*(VLOOKUP(DT$3,'Embedded Emissions'!$A$47:$B$78,2,FALSE)+VLOOKUP(DT$3,'Embedded Emissions'!$A$129:$B$158,2,FALSE)), $C35 = "2",'Inputs-System'!$C$30*'Coincidence Factors'!$B$5*(1+'Inputs-System'!$C$18)*(1+'Inputs-System'!$C$41)*'Inputs-Proposals'!$H$23*'Inputs-Proposals'!$H$25*(1-'Inputs-Proposals'!$H$20)*(VLOOKUP(DT$3,'Embedded Emissions'!$A$47:$B$78,2,FALSE)+VLOOKUP(DT$3,'Embedded Emissions'!$A$129:$B$158,2,FALSE)), $C35 = "3", 'Inputs-System'!$C$30*'Coincidence Factors'!$B$5*(1+'Inputs-System'!$C$18)*(1+'Inputs-System'!$C$41)*'Inputs-Proposals'!$H$29*'Inputs-Proposals'!$H$31*(1-'Inputs-Proposals'!$H$20)*(VLOOKUP(DT$3,'Embedded Emissions'!$A$47:$B$78,2,FALSE)+VLOOKUP(DT$3,'Embedded Emissions'!$A$129:$B$158,2,FALSE)), $C35 = "0", 0), 0)</f>
        <v>0</v>
      </c>
      <c r="DV35" s="318">
        <f>IFERROR(_xlfn.IFS($C35="1",( 'Inputs-System'!$C$30*'Coincidence Factors'!$B$5*(1+'Inputs-System'!$C$18)*(1+'Inputs-System'!$C$41))*('Inputs-Proposals'!$H$17*'Inputs-Proposals'!$H$19*(1-'Inputs-Proposals'!$H$20))*(VLOOKUP(DT$3,DRIPE!$A$54:$I$82,5,FALSE)-VLOOKUP(DT$3,DRIPE!$A$54:$I$82,6,FALSE)+VLOOKUP(DT$3,DRIPE!$A$54:$I$82,9,FALSE))+ ('Inputs-System'!$C$26*'Coincidence Factors'!$B$5*(1+'Inputs-System'!$C$18)*(1+'Inputs-System'!$C$42))*'Inputs-Proposals'!$H$16*VLOOKUP(DT$3,DRIPE!$A$54:$I$80,8,FALSE), $C35 = "2",( 'Inputs-System'!$C$30*'Coincidence Factors'!$B$5*(1+'Inputs-System'!$C$18)*(1+'Inputs-System'!$C$41))*('Inputs-Proposals'!$H$23*'Inputs-Proposals'!$H$25*(1-'Inputs-Proposals'!$H$26))*(VLOOKUP(DT$3,DRIPE!$A$54:$I$82,5,FALSE)-VLOOKUP(DT$3,DRIPE!$A$54:$I$82,6,FALSE)+VLOOKUP(DT$3,DRIPE!$A$54:$I$82,9,FALSE))+ ('Inputs-System'!$C$26*'Coincidence Factors'!$B$5*(1+'Inputs-System'!$C$18)*(1+'Inputs-System'!$C$41))+ ('Inputs-System'!$C$26*'Coincidence Factors'!$B$5)*'Inputs-Proposals'!$H$22*VLOOKUP(DT$3,DRIPE!$A$54:$I$80,8,FALSE), $C35= "3", ('Inputs-System'!$C$30*'Coincidence Factors'!$B$5)*('Inputs-Proposals'!$H$29*'Inputs-Proposals'!$H$31*(1-'Inputs-Proposals'!$H$32))*(VLOOKUP(DT$3,DRIPE!$A$54:$I$80,5,FALSE)-VLOOKUP(DT$3,DRIPE!$A$54:$I$80,6,FALSE)+VLOOKUP(DT$3,DRIPE!$A$54:$I$80,9,FALSE))+ ('Inputs-System'!$C$26*'Coincidence Factors'!$B$5*(1+'Inputs-System'!$C$18)*(1+'Inputs-System'!$C$42))*'Inputs-Proposals'!$H$28*VLOOKUP(DT$3,DRIPE!$A$54:$I$80,8,FALSE), $C35 = "0", 0), 0)</f>
        <v>0</v>
      </c>
      <c r="DW35" s="326">
        <f>IFERROR(_xlfn.IFS($C35="1",('Inputs-System'!$C$26*'Coincidence Factors'!$B$5*(1+'Inputs-System'!$C$18)*(1+'Inputs-System'!$C$42))*'Inputs-Proposals'!$H$16*(VLOOKUP(DT$3,Capacity!$A$53:$E$85,4,FALSE)*(1+'Inputs-System'!$C$42)+VLOOKUP(DT$3,Capacity!$A$53:$E$85,5,FALSE)*(1+'Inputs-System'!$C$43)*'Inputs-System'!$C$29), $C35 = "2", ('Inputs-System'!$C$26*'Coincidence Factors'!$B$5*(1+'Inputs-System'!$C$18))*'Inputs-Proposals'!$H$22*(VLOOKUP(DT$3,Capacity!$A$53:$E$85,4,FALSE)*(1+'Inputs-System'!$C$42)+VLOOKUP(DT$3,Capacity!$A$53:$E$85,5,FALSE)*'Inputs-System'!$C$29*(1+'Inputs-System'!$C$43)), $C35 = "3", ('Inputs-System'!$C$26*'Coincidence Factors'!$B$5*(1+'Inputs-System'!$C$18))*'Inputs-Proposals'!$H$28*(VLOOKUP(DT$3,Capacity!$A$53:$E$85,4,FALSE)*(1+'Inputs-System'!$C$42)+VLOOKUP(DT$3,Capacity!$A$53:$E$85,5,FALSE)*'Inputs-System'!$C$29*(1+'Inputs-System'!$C$43)), $C35 = "0", 0), 0)</f>
        <v>0</v>
      </c>
      <c r="DX35" s="100">
        <v>0</v>
      </c>
      <c r="DY35" s="346">
        <f>IFERROR(_xlfn.IFS($C35="1", 'Inputs-System'!$C$30*'Coincidence Factors'!$B$5*'Inputs-Proposals'!$H$17*'Inputs-Proposals'!$H$19*(VLOOKUP(DT$3,'Non-Embedded Emissions'!$A$56:$D$90,2,FALSE)+VLOOKUP(DT$3,'Non-Embedded Emissions'!$A$143:$D$174,2,FALSE)+VLOOKUP(DT$3,'Non-Embedded Emissions'!$A$230:$D$259,2,FALSE)-VLOOKUP(DT$3,'Non-Embedded Emissions'!$A$56:$D$90,3,FALSE)-VLOOKUP(DT$3,'Non-Embedded Emissions'!$A$143:$D$174,3,FALSE)-VLOOKUP(DT$3,'Non-Embedded Emissions'!$A$230:$D$259,3,FALSE)), $C35 = "2", 'Inputs-System'!$C$30*'Coincidence Factors'!$B$5*'Inputs-Proposals'!$H$23*'Inputs-Proposals'!$H$25*(VLOOKUP(DT$3,'Non-Embedded Emissions'!$A$56:$D$90,2,FALSE)+VLOOKUP(DT$3,'Non-Embedded Emissions'!$A$143:$D$174,2,FALSE)+VLOOKUP(DT$3,'Non-Embedded Emissions'!$A$230:$D$259,2,FALSE)-VLOOKUP(DT$3,'Non-Embedded Emissions'!$A$56:$D$90,3,FALSE)-VLOOKUP(DT$3,'Non-Embedded Emissions'!$A$143:$D$174,3,FALSE)-VLOOKUP(DT$3,'Non-Embedded Emissions'!$A$230:$D$259,3,FALSE)), $C35 = "3", 'Inputs-System'!$C$30*'Coincidence Factors'!$B$5*'Inputs-Proposals'!$H$29*'Inputs-Proposals'!$H$31*(VLOOKUP(DT$3,'Non-Embedded Emissions'!$A$56:$D$90,2,FALSE)+VLOOKUP(DT$3,'Non-Embedded Emissions'!$A$143:$D$174,2,FALSE)+VLOOKUP(DT$3,'Non-Embedded Emissions'!$A$230:$D$259,2,FALSE)-VLOOKUP(DT$3,'Non-Embedded Emissions'!$A$56:$D$90,3,FALSE)-VLOOKUP(DT$3,'Non-Embedded Emissions'!$A$143:$D$174,3,FALSE)-VLOOKUP(DT$3,'Non-Embedded Emissions'!$A$230:$D$259,3,FALSE)), $C35 = "0", 0), 0)</f>
        <v>0</v>
      </c>
      <c r="DZ35" s="344">
        <f>IFERROR(_xlfn.IFS($C35="1",('Inputs-System'!$C$30*'Coincidence Factors'!$B$5*(1+'Inputs-System'!$C$18)*(1+'Inputs-System'!$C$41)*('Inputs-Proposals'!$H$17*'Inputs-Proposals'!$H$19*(1-'Inputs-Proposals'!$H$20))*(VLOOKUP(DZ$3,Energy!$A$51:$K$83,5,FALSE)-VLOOKUP(DZ$3,Energy!$A$51:$K$83,6,FALSE))), $C35 = "2",('Inputs-System'!$C$30*'Coincidence Factors'!$B$5)*(1+'Inputs-System'!$C$18)*(1+'Inputs-System'!$C$41)*('Inputs-Proposals'!$H$23*'Inputs-Proposals'!$H$25*(1-'Inputs-Proposals'!$H$26))*(VLOOKUP(DZ$3,Energy!$A$51:$K$83,5,FALSE)-VLOOKUP(DZ$3,Energy!$A$51:$K$83,6,FALSE)), $C35= "3", ('Inputs-System'!$C$30*'Coincidence Factors'!$B$5*(1+'Inputs-System'!$C$18)*(1+'Inputs-System'!$C$41)*('Inputs-Proposals'!$H$29*'Inputs-Proposals'!$H$31*(1-'Inputs-Proposals'!$H$32))*(VLOOKUP(DZ$3,Energy!$A$51:$K$83,5,FALSE)-VLOOKUP(DZ$3,Energy!$A$51:$K$83,6,FALSE))), $C35= "0", 0), 0)</f>
        <v>0</v>
      </c>
      <c r="EA35" s="100">
        <f>IFERROR(_xlfn.IFS($C35="1", 'Inputs-System'!$C$30*'Coincidence Factors'!$B$5*(1+'Inputs-System'!$C$18)*(1+'Inputs-System'!$C$41)*'Inputs-Proposals'!$H$17*'Inputs-Proposals'!$H$19*(1-'Inputs-Proposals'!$H$20)*(VLOOKUP(DZ$3,'Embedded Emissions'!$A$47:$B$78,2,FALSE)+VLOOKUP(DZ$3,'Embedded Emissions'!$A$129:$B$158,2,FALSE)), $C35 = "2",'Inputs-System'!$C$30*'Coincidence Factors'!$B$5*(1+'Inputs-System'!$C$18)*(1+'Inputs-System'!$C$41)*'Inputs-Proposals'!$H$23*'Inputs-Proposals'!$H$25*(1-'Inputs-Proposals'!$H$20)*(VLOOKUP(DZ$3,'Embedded Emissions'!$A$47:$B$78,2,FALSE)+VLOOKUP(DZ$3,'Embedded Emissions'!$A$129:$B$158,2,FALSE)), $C35 = "3", 'Inputs-System'!$C$30*'Coincidence Factors'!$B$5*(1+'Inputs-System'!$C$18)*(1+'Inputs-System'!$C$41)*'Inputs-Proposals'!$H$29*'Inputs-Proposals'!$H$31*(1-'Inputs-Proposals'!$H$20)*(VLOOKUP(DZ$3,'Embedded Emissions'!$A$47:$B$78,2,FALSE)+VLOOKUP(DZ$3,'Embedded Emissions'!$A$129:$B$158,2,FALSE)), $C35 = "0", 0), 0)</f>
        <v>0</v>
      </c>
      <c r="EB35" s="318">
        <f>IFERROR(_xlfn.IFS($C35="1",( 'Inputs-System'!$C$30*'Coincidence Factors'!$B$5*(1+'Inputs-System'!$C$18)*(1+'Inputs-System'!$C$41))*('Inputs-Proposals'!$H$17*'Inputs-Proposals'!$H$19*(1-'Inputs-Proposals'!$H$20))*(VLOOKUP(DZ$3,DRIPE!$A$54:$I$82,5,FALSE)-VLOOKUP(DZ$3,DRIPE!$A$54:$I$82,6,FALSE)+VLOOKUP(DZ$3,DRIPE!$A$54:$I$82,9,FALSE))+ ('Inputs-System'!$C$26*'Coincidence Factors'!$B$5*(1+'Inputs-System'!$C$18)*(1+'Inputs-System'!$C$42))*'Inputs-Proposals'!$H$16*VLOOKUP(DZ$3,DRIPE!$A$54:$I$80,8,FALSE), $C35 = "2",( 'Inputs-System'!$C$30*'Coincidence Factors'!$B$5*(1+'Inputs-System'!$C$18)*(1+'Inputs-System'!$C$41))*('Inputs-Proposals'!$H$23*'Inputs-Proposals'!$H$25*(1-'Inputs-Proposals'!$H$26))*(VLOOKUP(DZ$3,DRIPE!$A$54:$I$82,5,FALSE)-VLOOKUP(DZ$3,DRIPE!$A$54:$I$82,6,FALSE)+VLOOKUP(DZ$3,DRIPE!$A$54:$I$82,9,FALSE))+ ('Inputs-System'!$C$26*'Coincidence Factors'!$B$5*(1+'Inputs-System'!$C$18)*(1+'Inputs-System'!$C$41))+ ('Inputs-System'!$C$26*'Coincidence Factors'!$B$5)*'Inputs-Proposals'!$H$22*VLOOKUP(DZ$3,DRIPE!$A$54:$I$80,8,FALSE), $C35= "3", ('Inputs-System'!$C$30*'Coincidence Factors'!$B$5)*('Inputs-Proposals'!$H$29*'Inputs-Proposals'!$H$31*(1-'Inputs-Proposals'!$H$32))*(VLOOKUP(DZ$3,DRIPE!$A$54:$I$80,5,FALSE)-VLOOKUP(DZ$3,DRIPE!$A$54:$I$80,6,FALSE)+VLOOKUP(DZ$3,DRIPE!$A$54:$I$80,9,FALSE))+ ('Inputs-System'!$C$26*'Coincidence Factors'!$B$5*(1+'Inputs-System'!$C$18)*(1+'Inputs-System'!$C$42))*'Inputs-Proposals'!$H$28*VLOOKUP(DZ$3,DRIPE!$A$54:$I$80,8,FALSE), $C35 = "0", 0), 0)</f>
        <v>0</v>
      </c>
      <c r="EC35" s="326">
        <f>IFERROR(_xlfn.IFS($C35="1",('Inputs-System'!$C$26*'Coincidence Factors'!$B$5*(1+'Inputs-System'!$C$18)*(1+'Inputs-System'!$C$42))*'Inputs-Proposals'!$H$16*(VLOOKUP(DZ$3,Capacity!$A$53:$E$85,4,FALSE)*(1+'Inputs-System'!$C$42)+VLOOKUP(DZ$3,Capacity!$A$53:$E$85,5,FALSE)*(1+'Inputs-System'!$C$43)*'Inputs-System'!$C$29), $C35 = "2", ('Inputs-System'!$C$26*'Coincidence Factors'!$B$5*(1+'Inputs-System'!$C$18))*'Inputs-Proposals'!$H$22*(VLOOKUP(DZ$3,Capacity!$A$53:$E$85,4,FALSE)*(1+'Inputs-System'!$C$42)+VLOOKUP(DZ$3,Capacity!$A$53:$E$85,5,FALSE)*'Inputs-System'!$C$29*(1+'Inputs-System'!$C$43)), $C35 = "3", ('Inputs-System'!$C$26*'Coincidence Factors'!$B$5*(1+'Inputs-System'!$C$18))*'Inputs-Proposals'!$H$28*(VLOOKUP(DZ$3,Capacity!$A$53:$E$85,4,FALSE)*(1+'Inputs-System'!$C$42)+VLOOKUP(DZ$3,Capacity!$A$53:$E$85,5,FALSE)*'Inputs-System'!$C$29*(1+'Inputs-System'!$C$43)), $C35 = "0", 0), 0)</f>
        <v>0</v>
      </c>
      <c r="ED35" s="100">
        <v>0</v>
      </c>
      <c r="EE35" s="346">
        <f>IFERROR(_xlfn.IFS($C35="1", 'Inputs-System'!$C$30*'Coincidence Factors'!$B$5*'Inputs-Proposals'!$H$17*'Inputs-Proposals'!$H$19*(VLOOKUP(DZ$3,'Non-Embedded Emissions'!$A$56:$D$90,2,FALSE)+VLOOKUP(DZ$3,'Non-Embedded Emissions'!$A$143:$D$174,2,FALSE)+VLOOKUP(DZ$3,'Non-Embedded Emissions'!$A$230:$D$259,2,FALSE)-VLOOKUP(DZ$3,'Non-Embedded Emissions'!$A$56:$D$90,3,FALSE)-VLOOKUP(DZ$3,'Non-Embedded Emissions'!$A$143:$D$174,3,FALSE)-VLOOKUP(DZ$3,'Non-Embedded Emissions'!$A$230:$D$259,3,FALSE)), $C35 = "2", 'Inputs-System'!$C$30*'Coincidence Factors'!$B$5*'Inputs-Proposals'!$H$23*'Inputs-Proposals'!$H$25*(VLOOKUP(DZ$3,'Non-Embedded Emissions'!$A$56:$D$90,2,FALSE)+VLOOKUP(DZ$3,'Non-Embedded Emissions'!$A$143:$D$174,2,FALSE)+VLOOKUP(DZ$3,'Non-Embedded Emissions'!$A$230:$D$259,2,FALSE)-VLOOKUP(DZ$3,'Non-Embedded Emissions'!$A$56:$D$90,3,FALSE)-VLOOKUP(DZ$3,'Non-Embedded Emissions'!$A$143:$D$174,3,FALSE)-VLOOKUP(DZ$3,'Non-Embedded Emissions'!$A$230:$D$259,3,FALSE)), $C35 = "3", 'Inputs-System'!$C$30*'Coincidence Factors'!$B$5*'Inputs-Proposals'!$H$29*'Inputs-Proposals'!$H$31*(VLOOKUP(DZ$3,'Non-Embedded Emissions'!$A$56:$D$90,2,FALSE)+VLOOKUP(DZ$3,'Non-Embedded Emissions'!$A$143:$D$174,2,FALSE)+VLOOKUP(DZ$3,'Non-Embedded Emissions'!$A$230:$D$259,2,FALSE)-VLOOKUP(DZ$3,'Non-Embedded Emissions'!$A$56:$D$90,3,FALSE)-VLOOKUP(DZ$3,'Non-Embedded Emissions'!$A$143:$D$174,3,FALSE)-VLOOKUP(DZ$3,'Non-Embedded Emissions'!$A$230:$D$259,3,FALSE)), $C35 = "0", 0), 0)</f>
        <v>0</v>
      </c>
    </row>
    <row r="36" spans="1:135" x14ac:dyDescent="0.35">
      <c r="A36" s="708"/>
      <c r="B36" s="3" t="s">
        <v>158</v>
      </c>
      <c r="C36" s="3" t="str">
        <f>IFERROR(_xlfn.IFS('Benefits Calc'!B36='Inputs-Proposals'!$H$15, "1", 'Benefits Calc'!B36='Inputs-Proposals'!$H$21, "2", 'Benefits Calc'!B36='Inputs-Proposals'!$H$27, "3"), "0")</f>
        <v>0</v>
      </c>
      <c r="D36" s="323">
        <f t="shared" si="0"/>
        <v>0</v>
      </c>
      <c r="E36" s="44">
        <f t="shared" si="1"/>
        <v>0</v>
      </c>
      <c r="F36" s="44">
        <f t="shared" si="2"/>
        <v>0</v>
      </c>
      <c r="G36" s="44">
        <f t="shared" si="3"/>
        <v>0</v>
      </c>
      <c r="H36" s="44">
        <f t="shared" si="4"/>
        <v>0</v>
      </c>
      <c r="I36" s="44">
        <f t="shared" si="5"/>
        <v>0</v>
      </c>
      <c r="J36" s="323">
        <f>NPV('Inputs-System'!$C$20,P36+V36+AB36+AH36+AN36+AT36+AZ36+BF36+BL36+BR36+BX36+CD36+CJ36+CP36+CV36+DB36+DH36+DN36+DT36+DZ36)</f>
        <v>0</v>
      </c>
      <c r="K36" s="44">
        <f>NPV('Inputs-System'!$C$20,Q36+W36+AC36+AI36+AO36+AU36+BA36+BG36+BM36+BS36+BY36+CE36+CK36+CQ36+CW36+DC36+DI36+DO36+DU36+EA36)</f>
        <v>0</v>
      </c>
      <c r="L36" s="44">
        <f>NPV('Inputs-System'!$C$20,R36+X36+AD36+AJ36+AP36+AV36+BB36+BH36+BN36+BT36+BZ36+CF36+CL36+CR36+CX36+DD36+DJ36+DP36+DV36+EB36)</f>
        <v>0</v>
      </c>
      <c r="M36" s="44">
        <f>NPV('Inputs-System'!$C$20,S36+Y36+AE36+AK36+AQ36+AW36+BC36+BI36+BO36+BU36+CA36+CG36+CM36+CS36+CY36+DE36+DK36+DQ36+DW36+EC36)</f>
        <v>0</v>
      </c>
      <c r="N36" s="44">
        <f>NPV('Inputs-System'!$C$20,T36+Z36+AF36+AL36+AR36+AX36+BD36+BJ36+BP36+BV36+CB36+CH36+CN36+CT36+CZ36+DF36+DL36+DR36+DX36+ED36)</f>
        <v>0</v>
      </c>
      <c r="O36" s="119">
        <f>NPV('Inputs-System'!$C$20,U36+AA36+AG36+AM36+AS36+AY36+BE36+BK36+BQ36+BW36+CC36+CI36+CO36+CU36+DA36+DG36+DM36+DS36+DY36+EE36)</f>
        <v>0</v>
      </c>
      <c r="P36" s="45">
        <f>IFERROR(_xlfn.IFS($C36="1",('Inputs-System'!$C$30*'Coincidence Factors'!$B$6*(1+'Inputs-System'!$C$18)*(1+'Inputs-System'!$C$41)*('Inputs-Proposals'!$H$17*'Inputs-Proposals'!$H$19*(1-'Inputs-Proposals'!$H$20^(P$3-'Inputs-System'!$C$7+1)))*(VLOOKUP(P$3,Energy!$A$51:$K$83,5,FALSE))), $C36 = "2",('Inputs-System'!$C$30*'Coincidence Factors'!$B$6)*(1+'Inputs-System'!$C$18)*(1+'Inputs-System'!$C$41)*('Inputs-Proposals'!$H$23*'Inputs-Proposals'!$H$25*(1-'Inputs-Proposals'!$H$26^(P$3-'Inputs-System'!$C$7+1)))*(VLOOKUP(P$3,Energy!$A$51:$K$83,5,FALSE)), $C36= "3", ('Inputs-System'!$C$30*'Coincidence Factors'!$B$6*(1+'Inputs-System'!$C$18)*(1+'Inputs-System'!$C$41)*('Inputs-Proposals'!$H$29*'Inputs-Proposals'!$H$31*(1-'Inputs-Proposals'!$H$32^(P$3-'Inputs-System'!$C$7+1)))*(VLOOKUP(P$3,Energy!$A$51:$K$83,5,FALSE))), $C36= "0", 0), 0)</f>
        <v>0</v>
      </c>
      <c r="Q36" s="44">
        <f>IFERROR(_xlfn.IFS($C36="1",('Inputs-System'!$C$30*'Coincidence Factors'!$B$6*(1+'Inputs-System'!$C$18)*(1+'Inputs-System'!$C$41))*'Inputs-Proposals'!$H$17*'Inputs-Proposals'!$H$19*(1-'Inputs-Proposals'!$H$20^(P$3-'Inputs-System'!$C$7+1))*(VLOOKUP(P$3,'Embedded Emissions'!$A$47:$B$78,2,FALSE)+VLOOKUP(P$3,'Embedded Emissions'!$A$129:$B$158,2,FALSE)), $C36 = "2",('Inputs-System'!$C$30*'Coincidence Factors'!$B$6*(1+'Inputs-System'!$C$18)*(1+'Inputs-System'!$C$41))*'Inputs-Proposals'!$H$23*'Inputs-Proposals'!$H$25*(1-'Inputs-Proposals'!$H$20^(P$3-'Inputs-System'!$C$7+1))*(VLOOKUP(P$3,'Embedded Emissions'!$A$47:$B$78,2,FALSE)+VLOOKUP(P$3,'Embedded Emissions'!$A$129:$B$158,2,FALSE)), $C36 = "3", ('Inputs-System'!$C$30*'Coincidence Factors'!$B$6*(1+'Inputs-System'!$C$18)*(1+'Inputs-System'!$C$41))*'Inputs-Proposals'!$H$29*'Inputs-Proposals'!$H$31*(1-'Inputs-Proposals'!$H$20^(P$3-'Inputs-System'!$C$7+1))*(VLOOKUP(P$3,'Embedded Emissions'!$A$47:$B$78,2,FALSE)+VLOOKUP(P$3,'Embedded Emissions'!$A$129:$B$158,2,FALSE)), $C36 = "0", 0), 0)</f>
        <v>0</v>
      </c>
      <c r="R36" s="44">
        <f>IFERROR(_xlfn.IFS($C36="1",( 'Inputs-System'!$C$30*'Coincidence Factors'!$B$6*(1+'Inputs-System'!$C$18)*(1+'Inputs-System'!$C$41))*('Inputs-Proposals'!$H$17*'Inputs-Proposals'!$H$19*(1-'Inputs-Proposals'!$H$20)^(P$3-'Inputs-System'!$C$7))*(VLOOKUP(P$3,DRIPE!$A$54:$I$82,5,FALSE)+VLOOKUP(P$3,DRIPE!$A$54:$I$82,9,FALSE))+ ('Inputs-System'!$C$26*'Coincidence Factors'!$B$6*(1+'Inputs-System'!$C$18)*(1+'Inputs-System'!$C$42))*'Inputs-Proposals'!$H$16*VLOOKUP(P$3,DRIPE!$A$54:$I$82,8,FALSE), $C36 = "2",( 'Inputs-System'!$C$30*'Coincidence Factors'!$B$6*(1+'Inputs-System'!$C$18)*(1+'Inputs-System'!$C$41))*('Inputs-Proposals'!$H$23*'Inputs-Proposals'!$H$25*(1-'Inputs-Proposals'!$H$26)^(P$3-'Inputs-System'!$C$7))*(VLOOKUP(P$3,DRIPE!$A$54:$I$82,5,FALSE)+VLOOKUP(P$3,DRIPE!$A$54:$I$82,9,FALSE))+ ('Inputs-System'!$C$26*'Coincidence Factors'!$B$6*(1+'Inputs-System'!$C$18)*(1+'Inputs-System'!$C$42))*'Inputs-Proposals'!$H$22*VLOOKUP(P$3,DRIPE!$A$54:$I$82,8,FALSE), $C36= "3", ( 'Inputs-System'!$C$30*'Coincidence Factors'!$B$6*(1+'Inputs-System'!$C$18)*(1+'Inputs-System'!$C$41))*('Inputs-Proposals'!$H$29*'Inputs-Proposals'!$H$31*(1-'Inputs-Proposals'!$H$32)^(P$3-'Inputs-System'!$C$7))*(VLOOKUP(P$3,DRIPE!$A$54:$I$82,5,FALSE)+VLOOKUP(P$3,DRIPE!$A$54:$I$82,9,FALSE))+ ('Inputs-System'!$C$26*'Coincidence Factors'!$B$6*(1+'Inputs-System'!$C$18)*(1+'Inputs-System'!$C$42))*'Inputs-Proposals'!$H$28*VLOOKUP(P$3,DRIPE!$A$54:$I$82,8,FALSE), $C36 = "0", 0), 0)</f>
        <v>0</v>
      </c>
      <c r="S36" s="45">
        <f>IFERROR(_xlfn.IFS($C36="1",('Inputs-System'!$C$26*'Coincidence Factors'!$B$6*(1+'Inputs-System'!$C$18))*'Inputs-Proposals'!$H$16*(VLOOKUP(P$3,Capacity!$A$53:$E$85,4,FALSE)*(1+'Inputs-System'!$C$42)+VLOOKUP(P$3,Capacity!$A$53:$E$85,5,FALSE)*'Inputs-System'!$C$29*(1+'Inputs-System'!$C$43)), $C36 = "2", ('Inputs-System'!$C$26*'Coincidence Factors'!$B$6*(1+'Inputs-System'!$C$18))*'Inputs-Proposals'!$H$22*(VLOOKUP(P$3,Capacity!$A$53:$E$85,4,FALSE)*(1+'Inputs-System'!$C$42)+VLOOKUP(P$3,Capacity!$A$53:$E$85,5,FALSE)*'Inputs-System'!$C$29*(1+'Inputs-System'!$C$43)), $C36 = "3",('Inputs-System'!$C$26*'Coincidence Factors'!$B$6*(1+'Inputs-System'!$C$18))*'Inputs-Proposals'!$H$28*(VLOOKUP(P$3,Capacity!$A$53:$E$85,4,FALSE)*(1+'Inputs-System'!$C$42)+VLOOKUP(P$3,Capacity!$A$53:$E$85,5,FALSE)*'Inputs-System'!$C$29*(1+'Inputs-System'!$C$43)), $C36 = "0", 0), 0)</f>
        <v>0</v>
      </c>
      <c r="T36" s="44">
        <v>0</v>
      </c>
      <c r="U36" s="44">
        <f>IFERROR(_xlfn.IFS($C36="1", 'Inputs-System'!$C$30*'Coincidence Factors'!$B$6*'Inputs-Proposals'!$H$17*'Inputs-Proposals'!$H$19*(VLOOKUP(P$3,'Non-Embedded Emissions'!$A$56:$D$90,2,FALSE)+VLOOKUP(P$3,'Non-Embedded Emissions'!$A$143:$D$174,2,FALSE)+VLOOKUP(P$3,'Non-Embedded Emissions'!$A$230:$D$259,2,FALSE)), $C36 = "2", 'Inputs-System'!$C$30*'Coincidence Factors'!$B$6*'Inputs-Proposals'!$H$23*'Inputs-Proposals'!$H$25*(VLOOKUP(P$3,'Non-Embedded Emissions'!$A$56:$D$90,2,FALSE)+VLOOKUP(P$3,'Non-Embedded Emissions'!$A$143:$D$174,2,FALSE)+VLOOKUP(P$3,'Non-Embedded Emissions'!$A$230:$D$259,2,FALSE)), $C36 = "3", 'Inputs-System'!$C$30*'Coincidence Factors'!$B$6*'Inputs-Proposals'!$H$29*'Inputs-Proposals'!$H$31*(VLOOKUP(P$3,'Non-Embedded Emissions'!$A$56:$D$90,2,FALSE)+VLOOKUP(P$3,'Non-Embedded Emissions'!$A$143:$D$174,2,FALSE)+VLOOKUP(P$3,'Non-Embedded Emissions'!$A$230:$D$259,2,FALSE)), $C36 = "0", 0), 0)</f>
        <v>0</v>
      </c>
      <c r="V36" s="347">
        <f>IFERROR(_xlfn.IFS($C36="1",('Inputs-System'!$C$30*'Coincidence Factors'!$B$6*(1+'Inputs-System'!$C$18)*(1+'Inputs-System'!$C$41)*('Inputs-Proposals'!$H$17*'Inputs-Proposals'!$H$19*(1-'Inputs-Proposals'!$H$20^(V$3-'Inputs-System'!$C$7)))*(VLOOKUP(V$3,Energy!$A$51:$K$83,5,FALSE))), $C36 = "2",('Inputs-System'!$C$30*'Coincidence Factors'!$B$6)*(1+'Inputs-System'!$C$18)*(1+'Inputs-System'!$C$41)*('Inputs-Proposals'!$H$23*'Inputs-Proposals'!$H$25*(1-'Inputs-Proposals'!$H$26^(V$3-'Inputs-System'!$C$7)))*(VLOOKUP(V$3,Energy!$A$51:$K$83,5,FALSE)), $C36= "3", ('Inputs-System'!$C$30*'Coincidence Factors'!$B$6*(1+'Inputs-System'!$C$18)*(1+'Inputs-System'!$C$41)*('Inputs-Proposals'!$H$29*'Inputs-Proposals'!$H$31*(1-'Inputs-Proposals'!$H$32^(V$3-'Inputs-System'!$C$7)))*(VLOOKUP(V$3,Energy!$A$51:$K$83,5,FALSE))), $C36= "0", 0), 0)</f>
        <v>0</v>
      </c>
      <c r="W36" s="44">
        <f>IFERROR(_xlfn.IFS($C36="1",('Inputs-System'!$C$30*'Coincidence Factors'!$B$6*(1+'Inputs-System'!$C$18)*(1+'Inputs-System'!$C$41))*'Inputs-Proposals'!$H$17*'Inputs-Proposals'!$H$19*(1-'Inputs-Proposals'!$H$20^(V$3-'Inputs-System'!$C$7))*(VLOOKUP(V$3,'Embedded Emissions'!$A$47:$B$78,2,FALSE)+VLOOKUP(V$3,'Embedded Emissions'!$A$129:$B$158,2,FALSE)), $C36 = "2",('Inputs-System'!$C$30*'Coincidence Factors'!$B$6*(1+'Inputs-System'!$C$18)*(1+'Inputs-System'!$C$41))*'Inputs-Proposals'!$H$23*'Inputs-Proposals'!$H$25*(1-'Inputs-Proposals'!$H$20^(V$3-'Inputs-System'!$C$7))*(VLOOKUP(V$3,'Embedded Emissions'!$A$47:$B$78,2,FALSE)+VLOOKUP(V$3,'Embedded Emissions'!$A$129:$B$158,2,FALSE)), $C36 = "3", ('Inputs-System'!$C$30*'Coincidence Factors'!$B$6*(1+'Inputs-System'!$C$18)*(1+'Inputs-System'!$C$41))*'Inputs-Proposals'!$H$29*'Inputs-Proposals'!$H$31*(1-'Inputs-Proposals'!$H$20^(V$3-'Inputs-System'!$C$7))*(VLOOKUP(V$3,'Embedded Emissions'!$A$47:$B$78,2,FALSE)+VLOOKUP(V$3,'Embedded Emissions'!$A$129:$B$158,2,FALSE)), $C36 = "0", 0), 0)</f>
        <v>0</v>
      </c>
      <c r="X36" s="44">
        <f>IFERROR(_xlfn.IFS($C36="1",( 'Inputs-System'!$C$30*'Coincidence Factors'!$B$6*(1+'Inputs-System'!$C$18)*(1+'Inputs-System'!$C$41))*('Inputs-Proposals'!$H$17*'Inputs-Proposals'!$H$19*(1-'Inputs-Proposals'!$H$20)^(V$3-'Inputs-System'!$C$7))*(VLOOKUP(V$3,DRIPE!$A$54:$I$82,5,FALSE)+VLOOKUP(V$3,DRIPE!$A$54:$I$82,9,FALSE))+ ('Inputs-System'!$C$26*'Coincidence Factors'!$B$6*(1+'Inputs-System'!$C$18)*(1+'Inputs-System'!$C$42))*'Inputs-Proposals'!$H$16*VLOOKUP(V$3,DRIPE!$A$54:$I$82,8,FALSE), $C36 = "2",( 'Inputs-System'!$C$30*'Coincidence Factors'!$B$6*(1+'Inputs-System'!$C$18)*(1+'Inputs-System'!$C$41))*('Inputs-Proposals'!$H$23*'Inputs-Proposals'!$H$25*(1-'Inputs-Proposals'!$H$26)^(V$3-'Inputs-System'!$C$7))*(VLOOKUP(V$3,DRIPE!$A$54:$I$82,5,FALSE)+VLOOKUP(V$3,DRIPE!$A$54:$I$82,9,FALSE))+ ('Inputs-System'!$C$26*'Coincidence Factors'!$B$6*(1+'Inputs-System'!$C$18)*(1+'Inputs-System'!$C$42))*'Inputs-Proposals'!$H$22*VLOOKUP(V$3,DRIPE!$A$54:$I$82,8,FALSE), $C36= "3", ( 'Inputs-System'!$C$30*'Coincidence Factors'!$B$6*(1+'Inputs-System'!$C$18)*(1+'Inputs-System'!$C$41))*('Inputs-Proposals'!$H$29*'Inputs-Proposals'!$H$31*(1-'Inputs-Proposals'!$H$32)^(V$3-'Inputs-System'!$C$7))*(VLOOKUP(V$3,DRIPE!$A$54:$I$82,5,FALSE)+VLOOKUP(V$3,DRIPE!$A$54:$I$82,9,FALSE))+ ('Inputs-System'!$C$26*'Coincidence Factors'!$B$6*(1+'Inputs-System'!$C$18)*(1+'Inputs-System'!$C$42))*'Inputs-Proposals'!$H$28*VLOOKUP(V$3,DRIPE!$A$54:$I$82,8,FALSE), $C36 = "0", 0), 0)</f>
        <v>0</v>
      </c>
      <c r="Y36" s="45">
        <f>IFERROR(_xlfn.IFS($C36="1",('Inputs-System'!$C$26*'Coincidence Factors'!$B$6*(1+'Inputs-System'!$C$18))*'Inputs-Proposals'!$H$16*(VLOOKUP(V$3,Capacity!$A$53:$E$85,4,FALSE)*(1+'Inputs-System'!$C$42)+VLOOKUP(V$3,Capacity!$A$53:$E$85,5,FALSE)*'Inputs-System'!$C$29*(1+'Inputs-System'!$C$43)), $C36 = "2", ('Inputs-System'!$C$26*'Coincidence Factors'!$B$6*(1+'Inputs-System'!$C$18))*'Inputs-Proposals'!$H$22*(VLOOKUP(V$3,Capacity!$A$53:$E$85,4,FALSE)*(1+'Inputs-System'!$C$42)+VLOOKUP(V$3,Capacity!$A$53:$E$85,5,FALSE)*'Inputs-System'!$C$29*(1+'Inputs-System'!$C$43)), $C36 = "3",('Inputs-System'!$C$26*'Coincidence Factors'!$B$6*(1+'Inputs-System'!$C$18))*'Inputs-Proposals'!$H$28*(VLOOKUP(V$3,Capacity!$A$53:$E$85,4,FALSE)*(1+'Inputs-System'!$C$42)+VLOOKUP(V$3,Capacity!$A$53:$E$85,5,FALSE)*'Inputs-System'!$C$29*(1+'Inputs-System'!$C$43)), $C36 = "0", 0), 0)</f>
        <v>0</v>
      </c>
      <c r="Z36" s="44">
        <v>0</v>
      </c>
      <c r="AA36" s="342">
        <f>IFERROR(_xlfn.IFS($C36="1", 'Inputs-System'!$C$30*'Coincidence Factors'!$B$6*'Inputs-Proposals'!$H$17*'Inputs-Proposals'!$H$19*(VLOOKUP(V$3,'Non-Embedded Emissions'!$A$56:$D$90,2,FALSE)+VLOOKUP(V$3,'Non-Embedded Emissions'!$A$143:$D$174,2,FALSE)+VLOOKUP(V$3,'Non-Embedded Emissions'!$A$230:$D$259,2,FALSE)), $C36 = "2", 'Inputs-System'!$C$30*'Coincidence Factors'!$B$6*'Inputs-Proposals'!$H$23*'Inputs-Proposals'!$H$25*(VLOOKUP(V$3,'Non-Embedded Emissions'!$A$56:$D$90,2,FALSE)+VLOOKUP(V$3,'Non-Embedded Emissions'!$A$143:$D$174,2,FALSE)+VLOOKUP(V$3,'Non-Embedded Emissions'!$A$230:$D$259,2,FALSE)), $C36 = "3", 'Inputs-System'!$C$30*'Coincidence Factors'!$B$6*'Inputs-Proposals'!$H$29*'Inputs-Proposals'!$H$31*(VLOOKUP(V$3,'Non-Embedded Emissions'!$A$56:$D$90,2,FALSE)+VLOOKUP(V$3,'Non-Embedded Emissions'!$A$143:$D$174,2,FALSE)+VLOOKUP(V$3,'Non-Embedded Emissions'!$A$230:$D$259,2,FALSE)), $C36 = "0", 0), 0)</f>
        <v>0</v>
      </c>
      <c r="AB36" s="347">
        <f>IFERROR(_xlfn.IFS($C36="1",('Inputs-System'!$C$30*'Coincidence Factors'!$B$6*(1+'Inputs-System'!$C$18)*(1+'Inputs-System'!$C$41)*('Inputs-Proposals'!$H$17*'Inputs-Proposals'!$H$19*(1-'Inputs-Proposals'!$H$20^(AB$3-'Inputs-System'!$C$7)))*(VLOOKUP(AB$3,Energy!$A$51:$K$83,5,FALSE))), $C36 = "2",('Inputs-System'!$C$30*'Coincidence Factors'!$B$6)*(1+'Inputs-System'!$C$18)*(1+'Inputs-System'!$C$41)*('Inputs-Proposals'!$H$23*'Inputs-Proposals'!$H$25*(1-'Inputs-Proposals'!$H$26^(AB$3-'Inputs-System'!$C$7)))*(VLOOKUP(AB$3,Energy!$A$51:$K$83,5,FALSE)), $C36= "3", ('Inputs-System'!$C$30*'Coincidence Factors'!$B$6*(1+'Inputs-System'!$C$18)*(1+'Inputs-System'!$C$41)*('Inputs-Proposals'!$H$29*'Inputs-Proposals'!$H$31*(1-'Inputs-Proposals'!$H$32^(AB$3-'Inputs-System'!$C$7)))*(VLOOKUP(AB$3,Energy!$A$51:$K$83,5,FALSE))), $C36= "0", 0), 0)</f>
        <v>0</v>
      </c>
      <c r="AC36" s="44">
        <f>IFERROR(_xlfn.IFS($C36="1",('Inputs-System'!$C$30*'Coincidence Factors'!$B$6*(1+'Inputs-System'!$C$18)*(1+'Inputs-System'!$C$41))*'Inputs-Proposals'!$H$17*'Inputs-Proposals'!$H$19*(1-'Inputs-Proposals'!$H$20^(AB$3-'Inputs-System'!$C$7))*(VLOOKUP(AB$3,'Embedded Emissions'!$A$47:$B$78,2,FALSE)+VLOOKUP(AB$3,'Embedded Emissions'!$A$129:$B$158,2,FALSE)), $C36 = "2",('Inputs-System'!$C$30*'Coincidence Factors'!$B$6*(1+'Inputs-System'!$C$18)*(1+'Inputs-System'!$C$41))*'Inputs-Proposals'!$H$23*'Inputs-Proposals'!$H$25*(1-'Inputs-Proposals'!$H$20^(AB$3-'Inputs-System'!$C$7))*(VLOOKUP(AB$3,'Embedded Emissions'!$A$47:$B$78,2,FALSE)+VLOOKUP(AB$3,'Embedded Emissions'!$A$129:$B$158,2,FALSE)), $C36 = "3", ('Inputs-System'!$C$30*'Coincidence Factors'!$B$6*(1+'Inputs-System'!$C$18)*(1+'Inputs-System'!$C$41))*'Inputs-Proposals'!$H$29*'Inputs-Proposals'!$H$31*(1-'Inputs-Proposals'!$H$20^(AB$3-'Inputs-System'!$C$7))*(VLOOKUP(AB$3,'Embedded Emissions'!$A$47:$B$78,2,FALSE)+VLOOKUP(AB$3,'Embedded Emissions'!$A$129:$B$158,2,FALSE)), $C36 = "0", 0), 0)</f>
        <v>0</v>
      </c>
      <c r="AD36" s="44">
        <f>IFERROR(_xlfn.IFS($C36="1",( 'Inputs-System'!$C$30*'Coincidence Factors'!$B$6*(1+'Inputs-System'!$C$18)*(1+'Inputs-System'!$C$41))*('Inputs-Proposals'!$H$17*'Inputs-Proposals'!$H$19*(1-'Inputs-Proposals'!$H$20)^(AB$3-'Inputs-System'!$C$7))*(VLOOKUP(AB$3,DRIPE!$A$54:$I$82,5,FALSE)+VLOOKUP(AB$3,DRIPE!$A$54:$I$82,9,FALSE))+ ('Inputs-System'!$C$26*'Coincidence Factors'!$B$6*(1+'Inputs-System'!$C$18)*(1+'Inputs-System'!$C$42))*'Inputs-Proposals'!$H$16*VLOOKUP(AB$3,DRIPE!$A$54:$I$82,8,FALSE), $C36 = "2",( 'Inputs-System'!$C$30*'Coincidence Factors'!$B$6*(1+'Inputs-System'!$C$18)*(1+'Inputs-System'!$C$41))*('Inputs-Proposals'!$H$23*'Inputs-Proposals'!$H$25*(1-'Inputs-Proposals'!$H$26)^(AB$3-'Inputs-System'!$C$7))*(VLOOKUP(AB$3,DRIPE!$A$54:$I$82,5,FALSE)+VLOOKUP(AB$3,DRIPE!$A$54:$I$82,9,FALSE))+ ('Inputs-System'!$C$26*'Coincidence Factors'!$B$6*(1+'Inputs-System'!$C$18)*(1+'Inputs-System'!$C$42))*'Inputs-Proposals'!$H$22*VLOOKUP(AB$3,DRIPE!$A$54:$I$82,8,FALSE), $C36= "3", ( 'Inputs-System'!$C$30*'Coincidence Factors'!$B$6*(1+'Inputs-System'!$C$18)*(1+'Inputs-System'!$C$41))*('Inputs-Proposals'!$H$29*'Inputs-Proposals'!$H$31*(1-'Inputs-Proposals'!$H$32)^(AB$3-'Inputs-System'!$C$7))*(VLOOKUP(AB$3,DRIPE!$A$54:$I$82,5,FALSE)+VLOOKUP(AB$3,DRIPE!$A$54:$I$82,9,FALSE))+ ('Inputs-System'!$C$26*'Coincidence Factors'!$B$6*(1+'Inputs-System'!$C$18)*(1+'Inputs-System'!$C$42))*'Inputs-Proposals'!$H$28*VLOOKUP(AB$3,DRIPE!$A$54:$I$82,8,FALSE), $C36 = "0", 0), 0)</f>
        <v>0</v>
      </c>
      <c r="AE36" s="45">
        <f>IFERROR(_xlfn.IFS($C36="1",('Inputs-System'!$C$26*'Coincidence Factors'!$B$6*(1+'Inputs-System'!$C$18))*'Inputs-Proposals'!$H$16*(VLOOKUP(AB$3,Capacity!$A$53:$E$85,4,FALSE)*(1+'Inputs-System'!$C$42)+VLOOKUP(AB$3,Capacity!$A$53:$E$85,5,FALSE)*'Inputs-System'!$C$29*(1+'Inputs-System'!$C$43)), $C36 = "2", ('Inputs-System'!$C$26*'Coincidence Factors'!$B$6*(1+'Inputs-System'!$C$18))*'Inputs-Proposals'!$H$22*(VLOOKUP(AB$3,Capacity!$A$53:$E$85,4,FALSE)*(1+'Inputs-System'!$C$42)+VLOOKUP(AB$3,Capacity!$A$53:$E$85,5,FALSE)*'Inputs-System'!$C$29*(1+'Inputs-System'!$C$43)), $C36 = "3",('Inputs-System'!$C$26*'Coincidence Factors'!$B$6*(1+'Inputs-System'!$C$18))*'Inputs-Proposals'!$H$28*(VLOOKUP(AB$3,Capacity!$A$53:$E$85,4,FALSE)*(1+'Inputs-System'!$C$42)+VLOOKUP(AB$3,Capacity!$A$53:$E$85,5,FALSE)*'Inputs-System'!$C$29*(1+'Inputs-System'!$C$43)), $C36 = "0", 0), 0)</f>
        <v>0</v>
      </c>
      <c r="AF36" s="44">
        <v>0</v>
      </c>
      <c r="AG36" s="342">
        <f>IFERROR(_xlfn.IFS($C36="1", 'Inputs-System'!$C$30*'Coincidence Factors'!$B$6*'Inputs-Proposals'!$H$17*'Inputs-Proposals'!$H$19*(VLOOKUP(AB$3,'Non-Embedded Emissions'!$A$56:$D$90,2,FALSE)+VLOOKUP(AB$3,'Non-Embedded Emissions'!$A$143:$D$174,2,FALSE)+VLOOKUP(AB$3,'Non-Embedded Emissions'!$A$230:$D$259,2,FALSE)), $C36 = "2", 'Inputs-System'!$C$30*'Coincidence Factors'!$B$6*'Inputs-Proposals'!$H$23*'Inputs-Proposals'!$H$25*(VLOOKUP(AB$3,'Non-Embedded Emissions'!$A$56:$D$90,2,FALSE)+VLOOKUP(AB$3,'Non-Embedded Emissions'!$A$143:$D$174,2,FALSE)+VLOOKUP(AB$3,'Non-Embedded Emissions'!$A$230:$D$259,2,FALSE)), $C36 = "3", 'Inputs-System'!$C$30*'Coincidence Factors'!$B$6*'Inputs-Proposals'!$H$29*'Inputs-Proposals'!$H$31*(VLOOKUP(AB$3,'Non-Embedded Emissions'!$A$56:$D$90,2,FALSE)+VLOOKUP(AB$3,'Non-Embedded Emissions'!$A$143:$D$174,2,FALSE)+VLOOKUP(AB$3,'Non-Embedded Emissions'!$A$230:$D$259,2,FALSE)), $C36 = "0", 0), 0)</f>
        <v>0</v>
      </c>
      <c r="AH36" s="347">
        <f>IFERROR(_xlfn.IFS($C36="1",('Inputs-System'!$C$30*'Coincidence Factors'!$B$6*(1+'Inputs-System'!$C$18)*(1+'Inputs-System'!$C$41)*('Inputs-Proposals'!$H$17*'Inputs-Proposals'!$H$19*(1-'Inputs-Proposals'!$H$20^(AH$3-'Inputs-System'!$C$7)))*(VLOOKUP(AH$3,Energy!$A$51:$K$83,5,FALSE))), $C36 = "2",('Inputs-System'!$C$30*'Coincidence Factors'!$B$6)*(1+'Inputs-System'!$C$18)*(1+'Inputs-System'!$C$41)*('Inputs-Proposals'!$H$23*'Inputs-Proposals'!$H$25*(1-'Inputs-Proposals'!$H$26^(AH$3-'Inputs-System'!$C$7)))*(VLOOKUP(AH$3,Energy!$A$51:$K$83,5,FALSE)), $C36= "3", ('Inputs-System'!$C$30*'Coincidence Factors'!$B$6*(1+'Inputs-System'!$C$18)*(1+'Inputs-System'!$C$41)*('Inputs-Proposals'!$H$29*'Inputs-Proposals'!$H$31*(1-'Inputs-Proposals'!$H$32^(AH$3-'Inputs-System'!$C$7)))*(VLOOKUP(AH$3,Energy!$A$51:$K$83,5,FALSE))), $C36= "0", 0), 0)</f>
        <v>0</v>
      </c>
      <c r="AI36" s="44">
        <f>IFERROR(_xlfn.IFS($C36="1",('Inputs-System'!$C$30*'Coincidence Factors'!$B$6*(1+'Inputs-System'!$C$18)*(1+'Inputs-System'!$C$41))*'Inputs-Proposals'!$H$17*'Inputs-Proposals'!$H$19*(1-'Inputs-Proposals'!$H$20^(AH$3-'Inputs-System'!$C$7))*(VLOOKUP(AH$3,'Embedded Emissions'!$A$47:$B$78,2,FALSE)+VLOOKUP(AH$3,'Embedded Emissions'!$A$129:$B$158,2,FALSE)), $C36 = "2",('Inputs-System'!$C$30*'Coincidence Factors'!$B$6*(1+'Inputs-System'!$C$18)*(1+'Inputs-System'!$C$41))*'Inputs-Proposals'!$H$23*'Inputs-Proposals'!$H$25*(1-'Inputs-Proposals'!$H$20^(AH$3-'Inputs-System'!$C$7))*(VLOOKUP(AH$3,'Embedded Emissions'!$A$47:$B$78,2,FALSE)+VLOOKUP(AH$3,'Embedded Emissions'!$A$129:$B$158,2,FALSE)), $C36 = "3", ('Inputs-System'!$C$30*'Coincidence Factors'!$B$6*(1+'Inputs-System'!$C$18)*(1+'Inputs-System'!$C$41))*'Inputs-Proposals'!$H$29*'Inputs-Proposals'!$H$31*(1-'Inputs-Proposals'!$H$20^(AH$3-'Inputs-System'!$C$7))*(VLOOKUP(AH$3,'Embedded Emissions'!$A$47:$B$78,2,FALSE)+VLOOKUP(AH$3,'Embedded Emissions'!$A$129:$B$158,2,FALSE)), $C36 = "0", 0), 0)</f>
        <v>0</v>
      </c>
      <c r="AJ36" s="44">
        <f>IFERROR(_xlfn.IFS($C36="1",( 'Inputs-System'!$C$30*'Coincidence Factors'!$B$6*(1+'Inputs-System'!$C$18)*(1+'Inputs-System'!$C$41))*('Inputs-Proposals'!$H$17*'Inputs-Proposals'!$H$19*(1-'Inputs-Proposals'!$H$20)^(AH$3-'Inputs-System'!$C$7))*(VLOOKUP(AH$3,DRIPE!$A$54:$I$82,5,FALSE)+VLOOKUP(AH$3,DRIPE!$A$54:$I$82,9,FALSE))+ ('Inputs-System'!$C$26*'Coincidence Factors'!$B$6*(1+'Inputs-System'!$C$18)*(1+'Inputs-System'!$C$42))*'Inputs-Proposals'!$H$16*VLOOKUP(AH$3,DRIPE!$A$54:$I$82,8,FALSE), $C36 = "2",( 'Inputs-System'!$C$30*'Coincidence Factors'!$B$6*(1+'Inputs-System'!$C$18)*(1+'Inputs-System'!$C$41))*('Inputs-Proposals'!$H$23*'Inputs-Proposals'!$H$25*(1-'Inputs-Proposals'!$H$26)^(AH$3-'Inputs-System'!$C$7))*(VLOOKUP(AH$3,DRIPE!$A$54:$I$82,5,FALSE)+VLOOKUP(AH$3,DRIPE!$A$54:$I$82,9,FALSE))+ ('Inputs-System'!$C$26*'Coincidence Factors'!$B$6*(1+'Inputs-System'!$C$18)*(1+'Inputs-System'!$C$42))*'Inputs-Proposals'!$H$22*VLOOKUP(AH$3,DRIPE!$A$54:$I$82,8,FALSE), $C36= "3", ( 'Inputs-System'!$C$30*'Coincidence Factors'!$B$6*(1+'Inputs-System'!$C$18)*(1+'Inputs-System'!$C$41))*('Inputs-Proposals'!$H$29*'Inputs-Proposals'!$H$31*(1-'Inputs-Proposals'!$H$32)^(AH$3-'Inputs-System'!$C$7))*(VLOOKUP(AH$3,DRIPE!$A$54:$I$82,5,FALSE)+VLOOKUP(AH$3,DRIPE!$A$54:$I$82,9,FALSE))+ ('Inputs-System'!$C$26*'Coincidence Factors'!$B$6*(1+'Inputs-System'!$C$18)*(1+'Inputs-System'!$C$42))*'Inputs-Proposals'!$H$28*VLOOKUP(AH$3,DRIPE!$A$54:$I$82,8,FALSE), $C36 = "0", 0), 0)</f>
        <v>0</v>
      </c>
      <c r="AK36" s="45">
        <f>IFERROR(_xlfn.IFS($C36="1",('Inputs-System'!$C$26*'Coincidence Factors'!$B$6*(1+'Inputs-System'!$C$18))*'Inputs-Proposals'!$H$16*(VLOOKUP(AH$3,Capacity!$A$53:$E$85,4,FALSE)*(1+'Inputs-System'!$C$42)+VLOOKUP(AH$3,Capacity!$A$53:$E$85,5,FALSE)*'Inputs-System'!$C$29*(1+'Inputs-System'!$C$43)), $C36 = "2", ('Inputs-System'!$C$26*'Coincidence Factors'!$B$6*(1+'Inputs-System'!$C$18))*'Inputs-Proposals'!$H$22*(VLOOKUP(AH$3,Capacity!$A$53:$E$85,4,FALSE)*(1+'Inputs-System'!$C$42)+VLOOKUP(AH$3,Capacity!$A$53:$E$85,5,FALSE)*'Inputs-System'!$C$29*(1+'Inputs-System'!$C$43)), $C36 = "3",('Inputs-System'!$C$26*'Coincidence Factors'!$B$6*(1+'Inputs-System'!$C$18))*'Inputs-Proposals'!$H$28*(VLOOKUP(AH$3,Capacity!$A$53:$E$85,4,FALSE)*(1+'Inputs-System'!$C$42)+VLOOKUP(AH$3,Capacity!$A$53:$E$85,5,FALSE)*'Inputs-System'!$C$29*(1+'Inputs-System'!$C$43)), $C36 = "0", 0), 0)</f>
        <v>0</v>
      </c>
      <c r="AL36" s="44">
        <v>0</v>
      </c>
      <c r="AM36" s="342">
        <f>IFERROR(_xlfn.IFS($C36="1", 'Inputs-System'!$C$30*'Coincidence Factors'!$B$6*'Inputs-Proposals'!$H$17*'Inputs-Proposals'!$H$19*(VLOOKUP(AH$3,'Non-Embedded Emissions'!$A$56:$D$90,2,FALSE)+VLOOKUP(AH$3,'Non-Embedded Emissions'!$A$143:$D$174,2,FALSE)+VLOOKUP(AH$3,'Non-Embedded Emissions'!$A$230:$D$259,2,FALSE)), $C36 = "2", 'Inputs-System'!$C$30*'Coincidence Factors'!$B$6*'Inputs-Proposals'!$H$23*'Inputs-Proposals'!$H$25*(VLOOKUP(AH$3,'Non-Embedded Emissions'!$A$56:$D$90,2,FALSE)+VLOOKUP(AH$3,'Non-Embedded Emissions'!$A$143:$D$174,2,FALSE)+VLOOKUP(AH$3,'Non-Embedded Emissions'!$A$230:$D$259,2,FALSE)), $C36 = "3", 'Inputs-System'!$C$30*'Coincidence Factors'!$B$6*'Inputs-Proposals'!$H$29*'Inputs-Proposals'!$H$31*(VLOOKUP(AH$3,'Non-Embedded Emissions'!$A$56:$D$90,2,FALSE)+VLOOKUP(AH$3,'Non-Embedded Emissions'!$A$143:$D$174,2,FALSE)+VLOOKUP(AH$3,'Non-Embedded Emissions'!$A$230:$D$259,2,FALSE)), $C36 = "0", 0), 0)</f>
        <v>0</v>
      </c>
      <c r="AN36" s="347">
        <f>IFERROR(_xlfn.IFS($C36="1",('Inputs-System'!$C$30*'Coincidence Factors'!$B$6*(1+'Inputs-System'!$C$18)*(1+'Inputs-System'!$C$41)*('Inputs-Proposals'!$H$17*'Inputs-Proposals'!$H$19*(1-'Inputs-Proposals'!$H$20^(AN$3-'Inputs-System'!$C$7)))*(VLOOKUP(AN$3,Energy!$A$51:$K$83,5,FALSE))), $C36 = "2",('Inputs-System'!$C$30*'Coincidence Factors'!$B$6)*(1+'Inputs-System'!$C$18)*(1+'Inputs-System'!$C$41)*('Inputs-Proposals'!$H$23*'Inputs-Proposals'!$H$25*(1-'Inputs-Proposals'!$H$26^(AN$3-'Inputs-System'!$C$7)))*(VLOOKUP(AN$3,Energy!$A$51:$K$83,5,FALSE)), $C36= "3", ('Inputs-System'!$C$30*'Coincidence Factors'!$B$6*(1+'Inputs-System'!$C$18)*(1+'Inputs-System'!$C$41)*('Inputs-Proposals'!$H$29*'Inputs-Proposals'!$H$31*(1-'Inputs-Proposals'!$H$32^(AN$3-'Inputs-System'!$C$7)))*(VLOOKUP(AN$3,Energy!$A$51:$K$83,5,FALSE))), $C36= "0", 0), 0)</f>
        <v>0</v>
      </c>
      <c r="AO36" s="44">
        <f>IFERROR(_xlfn.IFS($C36="1",('Inputs-System'!$C$30*'Coincidence Factors'!$B$6*(1+'Inputs-System'!$C$18)*(1+'Inputs-System'!$C$41))*'Inputs-Proposals'!$H$17*'Inputs-Proposals'!$H$19*(1-'Inputs-Proposals'!$H$20^(AN$3-'Inputs-System'!$C$7))*(VLOOKUP(AN$3,'Embedded Emissions'!$A$47:$B$78,2,FALSE)+VLOOKUP(AN$3,'Embedded Emissions'!$A$129:$B$158,2,FALSE)), $C36 = "2",('Inputs-System'!$C$30*'Coincidence Factors'!$B$6*(1+'Inputs-System'!$C$18)*(1+'Inputs-System'!$C$41))*'Inputs-Proposals'!$H$23*'Inputs-Proposals'!$H$25*(1-'Inputs-Proposals'!$H$20^(AN$3-'Inputs-System'!$C$7))*(VLOOKUP(AN$3,'Embedded Emissions'!$A$47:$B$78,2,FALSE)+VLOOKUP(AN$3,'Embedded Emissions'!$A$129:$B$158,2,FALSE)), $C36 = "3", ('Inputs-System'!$C$30*'Coincidence Factors'!$B$6*(1+'Inputs-System'!$C$18)*(1+'Inputs-System'!$C$41))*'Inputs-Proposals'!$H$29*'Inputs-Proposals'!$H$31*(1-'Inputs-Proposals'!$H$20^(AN$3-'Inputs-System'!$C$7))*(VLOOKUP(AN$3,'Embedded Emissions'!$A$47:$B$78,2,FALSE)+VLOOKUP(AN$3,'Embedded Emissions'!$A$129:$B$158,2,FALSE)), $C36 = "0", 0), 0)</f>
        <v>0</v>
      </c>
      <c r="AP36" s="44">
        <f>IFERROR(_xlfn.IFS($C36="1",( 'Inputs-System'!$C$30*'Coincidence Factors'!$B$6*(1+'Inputs-System'!$C$18)*(1+'Inputs-System'!$C$41))*('Inputs-Proposals'!$H$17*'Inputs-Proposals'!$H$19*(1-'Inputs-Proposals'!$H$20)^(AN$3-'Inputs-System'!$C$7))*(VLOOKUP(AN$3,DRIPE!$A$54:$I$82,5,FALSE)+VLOOKUP(AN$3,DRIPE!$A$54:$I$82,9,FALSE))+ ('Inputs-System'!$C$26*'Coincidence Factors'!$B$6*(1+'Inputs-System'!$C$18)*(1+'Inputs-System'!$C$42))*'Inputs-Proposals'!$H$16*VLOOKUP(AN$3,DRIPE!$A$54:$I$82,8,FALSE), $C36 = "2",( 'Inputs-System'!$C$30*'Coincidence Factors'!$B$6*(1+'Inputs-System'!$C$18)*(1+'Inputs-System'!$C$41))*('Inputs-Proposals'!$H$23*'Inputs-Proposals'!$H$25*(1-'Inputs-Proposals'!$H$26)^(AN$3-'Inputs-System'!$C$7))*(VLOOKUP(AN$3,DRIPE!$A$54:$I$82,5,FALSE)+VLOOKUP(AN$3,DRIPE!$A$54:$I$82,9,FALSE))+ ('Inputs-System'!$C$26*'Coincidence Factors'!$B$6*(1+'Inputs-System'!$C$18)*(1+'Inputs-System'!$C$42))*'Inputs-Proposals'!$H$22*VLOOKUP(AN$3,DRIPE!$A$54:$I$82,8,FALSE), $C36= "3", ( 'Inputs-System'!$C$30*'Coincidence Factors'!$B$6*(1+'Inputs-System'!$C$18)*(1+'Inputs-System'!$C$41))*('Inputs-Proposals'!$H$29*'Inputs-Proposals'!$H$31*(1-'Inputs-Proposals'!$H$32)^(AN$3-'Inputs-System'!$C$7))*(VLOOKUP(AN$3,DRIPE!$A$54:$I$82,5,FALSE)+VLOOKUP(AN$3,DRIPE!$A$54:$I$82,9,FALSE))+ ('Inputs-System'!$C$26*'Coincidence Factors'!$B$6*(1+'Inputs-System'!$C$18)*(1+'Inputs-System'!$C$42))*'Inputs-Proposals'!$H$28*VLOOKUP(AN$3,DRIPE!$A$54:$I$82,8,FALSE), $C36 = "0", 0), 0)</f>
        <v>0</v>
      </c>
      <c r="AQ36" s="45">
        <f>IFERROR(_xlfn.IFS($C36="1",('Inputs-System'!$C$26*'Coincidence Factors'!$B$6*(1+'Inputs-System'!$C$18))*'Inputs-Proposals'!$H$16*(VLOOKUP(AN$3,Capacity!$A$53:$E$85,4,FALSE)*(1+'Inputs-System'!$C$42)+VLOOKUP(AN$3,Capacity!$A$53:$E$85,5,FALSE)*'Inputs-System'!$C$29*(1+'Inputs-System'!$C$43)), $C36 = "2", ('Inputs-System'!$C$26*'Coincidence Factors'!$B$6*(1+'Inputs-System'!$C$18))*'Inputs-Proposals'!$H$22*(VLOOKUP(AN$3,Capacity!$A$53:$E$85,4,FALSE)*(1+'Inputs-System'!$C$42)+VLOOKUP(AN$3,Capacity!$A$53:$E$85,5,FALSE)*'Inputs-System'!$C$29*(1+'Inputs-System'!$C$43)), $C36 = "3",('Inputs-System'!$C$26*'Coincidence Factors'!$B$6*(1+'Inputs-System'!$C$18))*'Inputs-Proposals'!$H$28*(VLOOKUP(AN$3,Capacity!$A$53:$E$85,4,FALSE)*(1+'Inputs-System'!$C$42)+VLOOKUP(AN$3,Capacity!$A$53:$E$85,5,FALSE)*'Inputs-System'!$C$29*(1+'Inputs-System'!$C$43)), $C36 = "0", 0), 0)</f>
        <v>0</v>
      </c>
      <c r="AR36" s="44">
        <v>0</v>
      </c>
      <c r="AS36" s="342">
        <f>IFERROR(_xlfn.IFS($C36="1", 'Inputs-System'!$C$30*'Coincidence Factors'!$B$6*'Inputs-Proposals'!$H$17*'Inputs-Proposals'!$H$19*(VLOOKUP(AN$3,'Non-Embedded Emissions'!$A$56:$D$90,2,FALSE)+VLOOKUP(AN$3,'Non-Embedded Emissions'!$A$143:$D$174,2,FALSE)+VLOOKUP(AN$3,'Non-Embedded Emissions'!$A$230:$D$259,2,FALSE)), $C36 = "2", 'Inputs-System'!$C$30*'Coincidence Factors'!$B$6*'Inputs-Proposals'!$H$23*'Inputs-Proposals'!$H$25*(VLOOKUP(AN$3,'Non-Embedded Emissions'!$A$56:$D$90,2,FALSE)+VLOOKUP(AN$3,'Non-Embedded Emissions'!$A$143:$D$174,2,FALSE)+VLOOKUP(AN$3,'Non-Embedded Emissions'!$A$230:$D$259,2,FALSE)), $C36 = "3", 'Inputs-System'!$C$30*'Coincidence Factors'!$B$6*'Inputs-Proposals'!$H$29*'Inputs-Proposals'!$H$31*(VLOOKUP(AN$3,'Non-Embedded Emissions'!$A$56:$D$90,2,FALSE)+VLOOKUP(AN$3,'Non-Embedded Emissions'!$A$143:$D$174,2,FALSE)+VLOOKUP(AN$3,'Non-Embedded Emissions'!$A$230:$D$259,2,FALSE)), $C36 = "0", 0), 0)</f>
        <v>0</v>
      </c>
      <c r="AT36" s="347">
        <f>IFERROR(_xlfn.IFS($C36="1",('Inputs-System'!$C$30*'Coincidence Factors'!$B$6*(1+'Inputs-System'!$C$18)*(1+'Inputs-System'!$C$41)*('Inputs-Proposals'!$H$17*'Inputs-Proposals'!$H$19*(1-'Inputs-Proposals'!$H$20^(AT$3-'Inputs-System'!$C$7)))*(VLOOKUP(AT$3,Energy!$A$51:$K$83,5,FALSE))), $C36 = "2",('Inputs-System'!$C$30*'Coincidence Factors'!$B$6)*(1+'Inputs-System'!$C$18)*(1+'Inputs-System'!$C$41)*('Inputs-Proposals'!$H$23*'Inputs-Proposals'!$H$25*(1-'Inputs-Proposals'!$H$26^(AT$3-'Inputs-System'!$C$7)))*(VLOOKUP(AT$3,Energy!$A$51:$K$83,5,FALSE)), $C36= "3", ('Inputs-System'!$C$30*'Coincidence Factors'!$B$6*(1+'Inputs-System'!$C$18)*(1+'Inputs-System'!$C$41)*('Inputs-Proposals'!$H$29*'Inputs-Proposals'!$H$31*(1-'Inputs-Proposals'!$H$32^(AT$3-'Inputs-System'!$C$7)))*(VLOOKUP(AT$3,Energy!$A$51:$K$83,5,FALSE))), $C36= "0", 0), 0)</f>
        <v>0</v>
      </c>
      <c r="AU36" s="44">
        <f>IFERROR(_xlfn.IFS($C36="1",('Inputs-System'!$C$30*'Coincidence Factors'!$B$6*(1+'Inputs-System'!$C$18)*(1+'Inputs-System'!$C$41))*'Inputs-Proposals'!$H$17*'Inputs-Proposals'!$H$19*(1-'Inputs-Proposals'!$H$20^(AT$3-'Inputs-System'!$C$7))*(VLOOKUP(AT$3,'Embedded Emissions'!$A$47:$B$78,2,FALSE)+VLOOKUP(AT$3,'Embedded Emissions'!$A$129:$B$158,2,FALSE)), $C36 = "2",('Inputs-System'!$C$30*'Coincidence Factors'!$B$6*(1+'Inputs-System'!$C$18)*(1+'Inputs-System'!$C$41))*'Inputs-Proposals'!$H$23*'Inputs-Proposals'!$H$25*(1-'Inputs-Proposals'!$H$20^(AT$3-'Inputs-System'!$C$7))*(VLOOKUP(AT$3,'Embedded Emissions'!$A$47:$B$78,2,FALSE)+VLOOKUP(AT$3,'Embedded Emissions'!$A$129:$B$158,2,FALSE)), $C36 = "3", ('Inputs-System'!$C$30*'Coincidence Factors'!$B$6*(1+'Inputs-System'!$C$18)*(1+'Inputs-System'!$C$41))*'Inputs-Proposals'!$H$29*'Inputs-Proposals'!$H$31*(1-'Inputs-Proposals'!$H$20^(AT$3-'Inputs-System'!$C$7))*(VLOOKUP(AT$3,'Embedded Emissions'!$A$47:$B$78,2,FALSE)+VLOOKUP(AT$3,'Embedded Emissions'!$A$129:$B$158,2,FALSE)), $C36 = "0", 0), 0)</f>
        <v>0</v>
      </c>
      <c r="AV36" s="44">
        <f>IFERROR(_xlfn.IFS($C36="1",( 'Inputs-System'!$C$30*'Coincidence Factors'!$B$6*(1+'Inputs-System'!$C$18)*(1+'Inputs-System'!$C$41))*('Inputs-Proposals'!$H$17*'Inputs-Proposals'!$H$19*(1-'Inputs-Proposals'!$H$20)^(AT$3-'Inputs-System'!$C$7))*(VLOOKUP(AT$3,DRIPE!$A$54:$I$82,5,FALSE)+VLOOKUP(AT$3,DRIPE!$A$54:$I$82,9,FALSE))+ ('Inputs-System'!$C$26*'Coincidence Factors'!$B$6*(1+'Inputs-System'!$C$18)*(1+'Inputs-System'!$C$42))*'Inputs-Proposals'!$H$16*VLOOKUP(AT$3,DRIPE!$A$54:$I$82,8,FALSE), $C36 = "2",( 'Inputs-System'!$C$30*'Coincidence Factors'!$B$6*(1+'Inputs-System'!$C$18)*(1+'Inputs-System'!$C$41))*('Inputs-Proposals'!$H$23*'Inputs-Proposals'!$H$25*(1-'Inputs-Proposals'!$H$26)^(AT$3-'Inputs-System'!$C$7))*(VLOOKUP(AT$3,DRIPE!$A$54:$I$82,5,FALSE)+VLOOKUP(AT$3,DRIPE!$A$54:$I$82,9,FALSE))+ ('Inputs-System'!$C$26*'Coincidence Factors'!$B$6*(1+'Inputs-System'!$C$18)*(1+'Inputs-System'!$C$42))*'Inputs-Proposals'!$H$22*VLOOKUP(AT$3,DRIPE!$A$54:$I$82,8,FALSE), $C36= "3", ( 'Inputs-System'!$C$30*'Coincidence Factors'!$B$6*(1+'Inputs-System'!$C$18)*(1+'Inputs-System'!$C$41))*('Inputs-Proposals'!$H$29*'Inputs-Proposals'!$H$31*(1-'Inputs-Proposals'!$H$32)^(AT$3-'Inputs-System'!$C$7))*(VLOOKUP(AT$3,DRIPE!$A$54:$I$82,5,FALSE)+VLOOKUP(AT$3,DRIPE!$A$54:$I$82,9,FALSE))+ ('Inputs-System'!$C$26*'Coincidence Factors'!$B$6*(1+'Inputs-System'!$C$18)*(1+'Inputs-System'!$C$42))*'Inputs-Proposals'!$H$28*VLOOKUP(AT$3,DRIPE!$A$54:$I$82,8,FALSE), $C36 = "0", 0), 0)</f>
        <v>0</v>
      </c>
      <c r="AW36" s="45">
        <f>IFERROR(_xlfn.IFS($C36="1",('Inputs-System'!$C$26*'Coincidence Factors'!$B$6*(1+'Inputs-System'!$C$18))*'Inputs-Proposals'!$H$16*(VLOOKUP(AT$3,Capacity!$A$53:$E$85,4,FALSE)*(1+'Inputs-System'!$C$42)+VLOOKUP(AT$3,Capacity!$A$53:$E$85,5,FALSE)*'Inputs-System'!$C$29*(1+'Inputs-System'!$C$43)), $C36 = "2", ('Inputs-System'!$C$26*'Coincidence Factors'!$B$6*(1+'Inputs-System'!$C$18))*'Inputs-Proposals'!$H$22*(VLOOKUP(AT$3,Capacity!$A$53:$E$85,4,FALSE)*(1+'Inputs-System'!$C$42)+VLOOKUP(AT$3,Capacity!$A$53:$E$85,5,FALSE)*'Inputs-System'!$C$29*(1+'Inputs-System'!$C$43)), $C36 = "3",('Inputs-System'!$C$26*'Coincidence Factors'!$B$6*(1+'Inputs-System'!$C$18))*'Inputs-Proposals'!$H$28*(VLOOKUP(AT$3,Capacity!$A$53:$E$85,4,FALSE)*(1+'Inputs-System'!$C$42)+VLOOKUP(AT$3,Capacity!$A$53:$E$85,5,FALSE)*'Inputs-System'!$C$29*(1+'Inputs-System'!$C$43)), $C36 = "0", 0), 0)</f>
        <v>0</v>
      </c>
      <c r="AX36" s="44">
        <v>0</v>
      </c>
      <c r="AY36" s="342">
        <f>IFERROR(_xlfn.IFS($C36="1", 'Inputs-System'!$C$30*'Coincidence Factors'!$B$6*'Inputs-Proposals'!$H$17*'Inputs-Proposals'!$H$19*(VLOOKUP(AT$3,'Non-Embedded Emissions'!$A$56:$D$90,2,FALSE)+VLOOKUP(AT$3,'Non-Embedded Emissions'!$A$143:$D$174,2,FALSE)+VLOOKUP(AT$3,'Non-Embedded Emissions'!$A$230:$D$259,2,FALSE)), $C36 = "2", 'Inputs-System'!$C$30*'Coincidence Factors'!$B$6*'Inputs-Proposals'!$H$23*'Inputs-Proposals'!$H$25*(VLOOKUP(AT$3,'Non-Embedded Emissions'!$A$56:$D$90,2,FALSE)+VLOOKUP(AT$3,'Non-Embedded Emissions'!$A$143:$D$174,2,FALSE)+VLOOKUP(AT$3,'Non-Embedded Emissions'!$A$230:$D$259,2,FALSE)), $C36 = "3", 'Inputs-System'!$C$30*'Coincidence Factors'!$B$6*'Inputs-Proposals'!$H$29*'Inputs-Proposals'!$H$31*(VLOOKUP(AT$3,'Non-Embedded Emissions'!$A$56:$D$90,2,FALSE)+VLOOKUP(AT$3,'Non-Embedded Emissions'!$A$143:$D$174,2,FALSE)+VLOOKUP(AT$3,'Non-Embedded Emissions'!$A$230:$D$259,2,FALSE)), $C36 = "0", 0), 0)</f>
        <v>0</v>
      </c>
      <c r="AZ36" s="347">
        <f>IFERROR(_xlfn.IFS($C36="1",('Inputs-System'!$C$30*'Coincidence Factors'!$B$6*(1+'Inputs-System'!$C$18)*(1+'Inputs-System'!$C$41)*('Inputs-Proposals'!$H$17*'Inputs-Proposals'!$H$19*(1-'Inputs-Proposals'!$H$20^(AZ$3-'Inputs-System'!$C$7)))*(VLOOKUP(AZ$3,Energy!$A$51:$K$83,5,FALSE))), $C36 = "2",('Inputs-System'!$C$30*'Coincidence Factors'!$B$6)*(1+'Inputs-System'!$C$18)*(1+'Inputs-System'!$C$41)*('Inputs-Proposals'!$H$23*'Inputs-Proposals'!$H$25*(1-'Inputs-Proposals'!$H$26^(AZ$3-'Inputs-System'!$C$7)))*(VLOOKUP(AZ$3,Energy!$A$51:$K$83,5,FALSE)), $C36= "3", ('Inputs-System'!$C$30*'Coincidence Factors'!$B$6*(1+'Inputs-System'!$C$18)*(1+'Inputs-System'!$C$41)*('Inputs-Proposals'!$H$29*'Inputs-Proposals'!$H$31*(1-'Inputs-Proposals'!$H$32^(AZ$3-'Inputs-System'!$C$7)))*(VLOOKUP(AZ$3,Energy!$A$51:$K$83,5,FALSE))), $C36= "0", 0), 0)</f>
        <v>0</v>
      </c>
      <c r="BA36" s="44">
        <f>IFERROR(_xlfn.IFS($C36="1",('Inputs-System'!$C$30*'Coincidence Factors'!$B$6*(1+'Inputs-System'!$C$18)*(1+'Inputs-System'!$C$41))*'Inputs-Proposals'!$H$17*'Inputs-Proposals'!$H$19*(1-'Inputs-Proposals'!$H$20^(AZ$3-'Inputs-System'!$C$7))*(VLOOKUP(AZ$3,'Embedded Emissions'!$A$47:$B$78,2,FALSE)+VLOOKUP(AZ$3,'Embedded Emissions'!$A$129:$B$158,2,FALSE)), $C36 = "2",('Inputs-System'!$C$30*'Coincidence Factors'!$B$6*(1+'Inputs-System'!$C$18)*(1+'Inputs-System'!$C$41))*'Inputs-Proposals'!$H$23*'Inputs-Proposals'!$H$25*(1-'Inputs-Proposals'!$H$20^(AZ$3-'Inputs-System'!$C$7))*(VLOOKUP(AZ$3,'Embedded Emissions'!$A$47:$B$78,2,FALSE)+VLOOKUP(AZ$3,'Embedded Emissions'!$A$129:$B$158,2,FALSE)), $C36 = "3", ('Inputs-System'!$C$30*'Coincidence Factors'!$B$6*(1+'Inputs-System'!$C$18)*(1+'Inputs-System'!$C$41))*'Inputs-Proposals'!$H$29*'Inputs-Proposals'!$H$31*(1-'Inputs-Proposals'!$H$20^(AZ$3-'Inputs-System'!$C$7))*(VLOOKUP(AZ$3,'Embedded Emissions'!$A$47:$B$78,2,FALSE)+VLOOKUP(AZ$3,'Embedded Emissions'!$A$129:$B$158,2,FALSE)), $C36 = "0", 0), 0)</f>
        <v>0</v>
      </c>
      <c r="BB36" s="44">
        <f>IFERROR(_xlfn.IFS($C36="1",( 'Inputs-System'!$C$30*'Coincidence Factors'!$B$6*(1+'Inputs-System'!$C$18)*(1+'Inputs-System'!$C$41))*('Inputs-Proposals'!$H$17*'Inputs-Proposals'!$H$19*(1-'Inputs-Proposals'!$H$20)^(AZ$3-'Inputs-System'!$C$7))*(VLOOKUP(AZ$3,DRIPE!$A$54:$I$82,5,FALSE)+VLOOKUP(AZ$3,DRIPE!$A$54:$I$82,9,FALSE))+ ('Inputs-System'!$C$26*'Coincidence Factors'!$B$6*(1+'Inputs-System'!$C$18)*(1+'Inputs-System'!$C$42))*'Inputs-Proposals'!$H$16*VLOOKUP(AZ$3,DRIPE!$A$54:$I$82,8,FALSE), $C36 = "2",( 'Inputs-System'!$C$30*'Coincidence Factors'!$B$6*(1+'Inputs-System'!$C$18)*(1+'Inputs-System'!$C$41))*('Inputs-Proposals'!$H$23*'Inputs-Proposals'!$H$25*(1-'Inputs-Proposals'!$H$26)^(AZ$3-'Inputs-System'!$C$7))*(VLOOKUP(AZ$3,DRIPE!$A$54:$I$82,5,FALSE)+VLOOKUP(AZ$3,DRIPE!$A$54:$I$82,9,FALSE))+ ('Inputs-System'!$C$26*'Coincidence Factors'!$B$6*(1+'Inputs-System'!$C$18)*(1+'Inputs-System'!$C$42))*'Inputs-Proposals'!$H$22*VLOOKUP(AZ$3,DRIPE!$A$54:$I$82,8,FALSE), $C36= "3", ( 'Inputs-System'!$C$30*'Coincidence Factors'!$B$6*(1+'Inputs-System'!$C$18)*(1+'Inputs-System'!$C$41))*('Inputs-Proposals'!$H$29*'Inputs-Proposals'!$H$31*(1-'Inputs-Proposals'!$H$32)^(AZ$3-'Inputs-System'!$C$7))*(VLOOKUP(AZ$3,DRIPE!$A$54:$I$82,5,FALSE)+VLOOKUP(AZ$3,DRIPE!$A$54:$I$82,9,FALSE))+ ('Inputs-System'!$C$26*'Coincidence Factors'!$B$6*(1+'Inputs-System'!$C$18)*(1+'Inputs-System'!$C$42))*'Inputs-Proposals'!$H$28*VLOOKUP(AZ$3,DRIPE!$A$54:$I$82,8,FALSE), $C36 = "0", 0), 0)</f>
        <v>0</v>
      </c>
      <c r="BC36" s="45">
        <f>IFERROR(_xlfn.IFS($C36="1",('Inputs-System'!$C$26*'Coincidence Factors'!$B$6*(1+'Inputs-System'!$C$18))*'Inputs-Proposals'!$H$16*(VLOOKUP(AZ$3,Capacity!$A$53:$E$85,4,FALSE)*(1+'Inputs-System'!$C$42)+VLOOKUP(AZ$3,Capacity!$A$53:$E$85,5,FALSE)*'Inputs-System'!$C$29*(1+'Inputs-System'!$C$43)), $C36 = "2", ('Inputs-System'!$C$26*'Coincidence Factors'!$B$6*(1+'Inputs-System'!$C$18))*'Inputs-Proposals'!$H$22*(VLOOKUP(AZ$3,Capacity!$A$53:$E$85,4,FALSE)*(1+'Inputs-System'!$C$42)+VLOOKUP(AZ$3,Capacity!$A$53:$E$85,5,FALSE)*'Inputs-System'!$C$29*(1+'Inputs-System'!$C$43)), $C36 = "3",('Inputs-System'!$C$26*'Coincidence Factors'!$B$6*(1+'Inputs-System'!$C$18))*'Inputs-Proposals'!$H$28*(VLOOKUP(AZ$3,Capacity!$A$53:$E$85,4,FALSE)*(1+'Inputs-System'!$C$42)+VLOOKUP(AZ$3,Capacity!$A$53:$E$85,5,FALSE)*'Inputs-System'!$C$29*(1+'Inputs-System'!$C$43)), $C36 = "0", 0), 0)</f>
        <v>0</v>
      </c>
      <c r="BD36" s="44">
        <v>0</v>
      </c>
      <c r="BE36" s="342">
        <f>IFERROR(_xlfn.IFS($C36="1", 'Inputs-System'!$C$30*'Coincidence Factors'!$B$6*'Inputs-Proposals'!$H$17*'Inputs-Proposals'!$H$19*(VLOOKUP(AZ$3,'Non-Embedded Emissions'!$A$56:$D$90,2,FALSE)+VLOOKUP(AZ$3,'Non-Embedded Emissions'!$A$143:$D$174,2,FALSE)+VLOOKUP(AZ$3,'Non-Embedded Emissions'!$A$230:$D$259,2,FALSE)), $C36 = "2", 'Inputs-System'!$C$30*'Coincidence Factors'!$B$6*'Inputs-Proposals'!$H$23*'Inputs-Proposals'!$H$25*(VLOOKUP(AZ$3,'Non-Embedded Emissions'!$A$56:$D$90,2,FALSE)+VLOOKUP(AZ$3,'Non-Embedded Emissions'!$A$143:$D$174,2,FALSE)+VLOOKUP(AZ$3,'Non-Embedded Emissions'!$A$230:$D$259,2,FALSE)), $C36 = "3", 'Inputs-System'!$C$30*'Coincidence Factors'!$B$6*'Inputs-Proposals'!$H$29*'Inputs-Proposals'!$H$31*(VLOOKUP(AZ$3,'Non-Embedded Emissions'!$A$56:$D$90,2,FALSE)+VLOOKUP(AZ$3,'Non-Embedded Emissions'!$A$143:$D$174,2,FALSE)+VLOOKUP(AZ$3,'Non-Embedded Emissions'!$A$230:$D$259,2,FALSE)), $C36 = "0", 0), 0)</f>
        <v>0</v>
      </c>
      <c r="BF36" s="347">
        <f>IFERROR(_xlfn.IFS($C36="1",('Inputs-System'!$C$30*'Coincidence Factors'!$B$6*(1+'Inputs-System'!$C$18)*(1+'Inputs-System'!$C$41)*('Inputs-Proposals'!$H$17*'Inputs-Proposals'!$H$19*(1-'Inputs-Proposals'!$H$20^(BF$3-'Inputs-System'!$C$7)))*(VLOOKUP(BF$3,Energy!$A$51:$K$83,5,FALSE))), $C36 = "2",('Inputs-System'!$C$30*'Coincidence Factors'!$B$6)*(1+'Inputs-System'!$C$18)*(1+'Inputs-System'!$C$41)*('Inputs-Proposals'!$H$23*'Inputs-Proposals'!$H$25*(1-'Inputs-Proposals'!$H$26^(BF$3-'Inputs-System'!$C$7)))*(VLOOKUP(BF$3,Energy!$A$51:$K$83,5,FALSE)), $C36= "3", ('Inputs-System'!$C$30*'Coincidence Factors'!$B$6*(1+'Inputs-System'!$C$18)*(1+'Inputs-System'!$C$41)*('Inputs-Proposals'!$H$29*'Inputs-Proposals'!$H$31*(1-'Inputs-Proposals'!$H$32^(BF$3-'Inputs-System'!$C$7)))*(VLOOKUP(BF$3,Energy!$A$51:$K$83,5,FALSE))), $C36= "0", 0), 0)</f>
        <v>0</v>
      </c>
      <c r="BG36" s="44">
        <f>IFERROR(_xlfn.IFS($C36="1",('Inputs-System'!$C$30*'Coincidence Factors'!$B$6*(1+'Inputs-System'!$C$18)*(1+'Inputs-System'!$C$41))*'Inputs-Proposals'!$H$17*'Inputs-Proposals'!$H$19*(1-'Inputs-Proposals'!$H$20^(BF$3-'Inputs-System'!$C$7))*(VLOOKUP(BF$3,'Embedded Emissions'!$A$47:$B$78,2,FALSE)+VLOOKUP(BF$3,'Embedded Emissions'!$A$129:$B$158,2,FALSE)), $C36 = "2",('Inputs-System'!$C$30*'Coincidence Factors'!$B$6*(1+'Inputs-System'!$C$18)*(1+'Inputs-System'!$C$41))*'Inputs-Proposals'!$H$23*'Inputs-Proposals'!$H$25*(1-'Inputs-Proposals'!$H$20^(BF$3-'Inputs-System'!$C$7))*(VLOOKUP(BF$3,'Embedded Emissions'!$A$47:$B$78,2,FALSE)+VLOOKUP(BF$3,'Embedded Emissions'!$A$129:$B$158,2,FALSE)), $C36 = "3", ('Inputs-System'!$C$30*'Coincidence Factors'!$B$6*(1+'Inputs-System'!$C$18)*(1+'Inputs-System'!$C$41))*'Inputs-Proposals'!$H$29*'Inputs-Proposals'!$H$31*(1-'Inputs-Proposals'!$H$20^(BF$3-'Inputs-System'!$C$7))*(VLOOKUP(BF$3,'Embedded Emissions'!$A$47:$B$78,2,FALSE)+VLOOKUP(BF$3,'Embedded Emissions'!$A$129:$B$158,2,FALSE)), $C36 = "0", 0), 0)</f>
        <v>0</v>
      </c>
      <c r="BH36" s="44">
        <f>IFERROR(_xlfn.IFS($C36="1",( 'Inputs-System'!$C$30*'Coincidence Factors'!$B$6*(1+'Inputs-System'!$C$18)*(1+'Inputs-System'!$C$41))*('Inputs-Proposals'!$H$17*'Inputs-Proposals'!$H$19*(1-'Inputs-Proposals'!$H$20)^(BF$3-'Inputs-System'!$C$7))*(VLOOKUP(BF$3,DRIPE!$A$54:$I$82,5,FALSE)+VLOOKUP(BF$3,DRIPE!$A$54:$I$82,9,FALSE))+ ('Inputs-System'!$C$26*'Coincidence Factors'!$B$6*(1+'Inputs-System'!$C$18)*(1+'Inputs-System'!$C$42))*'Inputs-Proposals'!$H$16*VLOOKUP(BF$3,DRIPE!$A$54:$I$82,8,FALSE), $C36 = "2",( 'Inputs-System'!$C$30*'Coincidence Factors'!$B$6*(1+'Inputs-System'!$C$18)*(1+'Inputs-System'!$C$41))*('Inputs-Proposals'!$H$23*'Inputs-Proposals'!$H$25*(1-'Inputs-Proposals'!$H$26)^(BF$3-'Inputs-System'!$C$7))*(VLOOKUP(BF$3,DRIPE!$A$54:$I$82,5,FALSE)+VLOOKUP(BF$3,DRIPE!$A$54:$I$82,9,FALSE))+ ('Inputs-System'!$C$26*'Coincidence Factors'!$B$6*(1+'Inputs-System'!$C$18)*(1+'Inputs-System'!$C$42))*'Inputs-Proposals'!$H$22*VLOOKUP(BF$3,DRIPE!$A$54:$I$82,8,FALSE), $C36= "3", ( 'Inputs-System'!$C$30*'Coincidence Factors'!$B$6*(1+'Inputs-System'!$C$18)*(1+'Inputs-System'!$C$41))*('Inputs-Proposals'!$H$29*'Inputs-Proposals'!$H$31*(1-'Inputs-Proposals'!$H$32)^(BF$3-'Inputs-System'!$C$7))*(VLOOKUP(BF$3,DRIPE!$A$54:$I$82,5,FALSE)+VLOOKUP(BF$3,DRIPE!$A$54:$I$82,9,FALSE))+ ('Inputs-System'!$C$26*'Coincidence Factors'!$B$6*(1+'Inputs-System'!$C$18)*(1+'Inputs-System'!$C$42))*'Inputs-Proposals'!$H$28*VLOOKUP(BF$3,DRIPE!$A$54:$I$82,8,FALSE), $C36 = "0", 0), 0)</f>
        <v>0</v>
      </c>
      <c r="BI36" s="45">
        <f>IFERROR(_xlfn.IFS($C36="1",('Inputs-System'!$C$26*'Coincidence Factors'!$B$6*(1+'Inputs-System'!$C$18))*'Inputs-Proposals'!$H$16*(VLOOKUP(BF$3,Capacity!$A$53:$E$85,4,FALSE)*(1+'Inputs-System'!$C$42)+VLOOKUP(BF$3,Capacity!$A$53:$E$85,5,FALSE)*'Inputs-System'!$C$29*(1+'Inputs-System'!$C$43)), $C36 = "2", ('Inputs-System'!$C$26*'Coincidence Factors'!$B$6*(1+'Inputs-System'!$C$18))*'Inputs-Proposals'!$H$22*(VLOOKUP(BF$3,Capacity!$A$53:$E$85,4,FALSE)*(1+'Inputs-System'!$C$42)+VLOOKUP(BF$3,Capacity!$A$53:$E$85,5,FALSE)*'Inputs-System'!$C$29*(1+'Inputs-System'!$C$43)), $C36 = "3",('Inputs-System'!$C$26*'Coincidence Factors'!$B$6*(1+'Inputs-System'!$C$18))*'Inputs-Proposals'!$H$28*(VLOOKUP(BF$3,Capacity!$A$53:$E$85,4,FALSE)*(1+'Inputs-System'!$C$42)+VLOOKUP(BF$3,Capacity!$A$53:$E$85,5,FALSE)*'Inputs-System'!$C$29*(1+'Inputs-System'!$C$43)), $C36 = "0", 0), 0)</f>
        <v>0</v>
      </c>
      <c r="BJ36" s="44">
        <v>0</v>
      </c>
      <c r="BK36" s="342">
        <f>IFERROR(_xlfn.IFS($C36="1", 'Inputs-System'!$C$30*'Coincidence Factors'!$B$6*'Inputs-Proposals'!$H$17*'Inputs-Proposals'!$H$19*(VLOOKUP(BF$3,'Non-Embedded Emissions'!$A$56:$D$90,2,FALSE)+VLOOKUP(BF$3,'Non-Embedded Emissions'!$A$143:$D$174,2,FALSE)+VLOOKUP(BF$3,'Non-Embedded Emissions'!$A$230:$D$259,2,FALSE)), $C36 = "2", 'Inputs-System'!$C$30*'Coincidence Factors'!$B$6*'Inputs-Proposals'!$H$23*'Inputs-Proposals'!$H$25*(VLOOKUP(BF$3,'Non-Embedded Emissions'!$A$56:$D$90,2,FALSE)+VLOOKUP(BF$3,'Non-Embedded Emissions'!$A$143:$D$174,2,FALSE)+VLOOKUP(BF$3,'Non-Embedded Emissions'!$A$230:$D$259,2,FALSE)), $C36 = "3", 'Inputs-System'!$C$30*'Coincidence Factors'!$B$6*'Inputs-Proposals'!$H$29*'Inputs-Proposals'!$H$31*(VLOOKUP(BF$3,'Non-Embedded Emissions'!$A$56:$D$90,2,FALSE)+VLOOKUP(BF$3,'Non-Embedded Emissions'!$A$143:$D$174,2,FALSE)+VLOOKUP(BF$3,'Non-Embedded Emissions'!$A$230:$D$259,2,FALSE)), $C36 = "0", 0), 0)</f>
        <v>0</v>
      </c>
      <c r="BL36" s="347">
        <f>IFERROR(_xlfn.IFS($C36="1",('Inputs-System'!$C$30*'Coincidence Factors'!$B$6*(1+'Inputs-System'!$C$18)*(1+'Inputs-System'!$C$41)*('Inputs-Proposals'!$H$17*'Inputs-Proposals'!$H$19*(1-'Inputs-Proposals'!$H$20^(BL$3-'Inputs-System'!$C$7)))*(VLOOKUP(BL$3,Energy!$A$51:$K$83,5,FALSE))), $C36 = "2",('Inputs-System'!$C$30*'Coincidence Factors'!$B$6)*(1+'Inputs-System'!$C$18)*(1+'Inputs-System'!$C$41)*('Inputs-Proposals'!$H$23*'Inputs-Proposals'!$H$25*(1-'Inputs-Proposals'!$H$26^(BL$3-'Inputs-System'!$C$7)))*(VLOOKUP(BL$3,Energy!$A$51:$K$83,5,FALSE)), $C36= "3", ('Inputs-System'!$C$30*'Coincidence Factors'!$B$6*(1+'Inputs-System'!$C$18)*(1+'Inputs-System'!$C$41)*('Inputs-Proposals'!$H$29*'Inputs-Proposals'!$H$31*(1-'Inputs-Proposals'!$H$32^(BL$3-'Inputs-System'!$C$7)))*(VLOOKUP(BL$3,Energy!$A$51:$K$83,5,FALSE))), $C36= "0", 0), 0)</f>
        <v>0</v>
      </c>
      <c r="BM36" s="44">
        <f>IFERROR(_xlfn.IFS($C36="1",('Inputs-System'!$C$30*'Coincidence Factors'!$B$6*(1+'Inputs-System'!$C$18)*(1+'Inputs-System'!$C$41))*'Inputs-Proposals'!$H$17*'Inputs-Proposals'!$H$19*(1-'Inputs-Proposals'!$H$20^(BL$3-'Inputs-System'!$C$7))*(VLOOKUP(BL$3,'Embedded Emissions'!$A$47:$B$78,2,FALSE)+VLOOKUP(BL$3,'Embedded Emissions'!$A$129:$B$158,2,FALSE)), $C36 = "2",('Inputs-System'!$C$30*'Coincidence Factors'!$B$6*(1+'Inputs-System'!$C$18)*(1+'Inputs-System'!$C$41))*'Inputs-Proposals'!$H$23*'Inputs-Proposals'!$H$25*(1-'Inputs-Proposals'!$H$20^(BL$3-'Inputs-System'!$C$7))*(VLOOKUP(BL$3,'Embedded Emissions'!$A$47:$B$78,2,FALSE)+VLOOKUP(BL$3,'Embedded Emissions'!$A$129:$B$158,2,FALSE)), $C36 = "3", ('Inputs-System'!$C$30*'Coincidence Factors'!$B$6*(1+'Inputs-System'!$C$18)*(1+'Inputs-System'!$C$41))*'Inputs-Proposals'!$H$29*'Inputs-Proposals'!$H$31*(1-'Inputs-Proposals'!$H$20^(BL$3-'Inputs-System'!$C$7))*(VLOOKUP(BL$3,'Embedded Emissions'!$A$47:$B$78,2,FALSE)+VLOOKUP(BL$3,'Embedded Emissions'!$A$129:$B$158,2,FALSE)), $C36 = "0", 0), 0)</f>
        <v>0</v>
      </c>
      <c r="BN36" s="44">
        <f>IFERROR(_xlfn.IFS($C36="1",( 'Inputs-System'!$C$30*'Coincidence Factors'!$B$6*(1+'Inputs-System'!$C$18)*(1+'Inputs-System'!$C$41))*('Inputs-Proposals'!$H$17*'Inputs-Proposals'!$H$19*(1-'Inputs-Proposals'!$H$20)^(BL$3-'Inputs-System'!$C$7))*(VLOOKUP(BL$3,DRIPE!$A$54:$I$82,5,FALSE)+VLOOKUP(BL$3,DRIPE!$A$54:$I$82,9,FALSE))+ ('Inputs-System'!$C$26*'Coincidence Factors'!$B$6*(1+'Inputs-System'!$C$18)*(1+'Inputs-System'!$C$42))*'Inputs-Proposals'!$H$16*VLOOKUP(BL$3,DRIPE!$A$54:$I$82,8,FALSE), $C36 = "2",( 'Inputs-System'!$C$30*'Coincidence Factors'!$B$6*(1+'Inputs-System'!$C$18)*(1+'Inputs-System'!$C$41))*('Inputs-Proposals'!$H$23*'Inputs-Proposals'!$H$25*(1-'Inputs-Proposals'!$H$26)^(BL$3-'Inputs-System'!$C$7))*(VLOOKUP(BL$3,DRIPE!$A$54:$I$82,5,FALSE)+VLOOKUP(BL$3,DRIPE!$A$54:$I$82,9,FALSE))+ ('Inputs-System'!$C$26*'Coincidence Factors'!$B$6*(1+'Inputs-System'!$C$18)*(1+'Inputs-System'!$C$42))*'Inputs-Proposals'!$H$22*VLOOKUP(BL$3,DRIPE!$A$54:$I$82,8,FALSE), $C36= "3", ( 'Inputs-System'!$C$30*'Coincidence Factors'!$B$6*(1+'Inputs-System'!$C$18)*(1+'Inputs-System'!$C$41))*('Inputs-Proposals'!$H$29*'Inputs-Proposals'!$H$31*(1-'Inputs-Proposals'!$H$32)^(BL$3-'Inputs-System'!$C$7))*(VLOOKUP(BL$3,DRIPE!$A$54:$I$82,5,FALSE)+VLOOKUP(BL$3,DRIPE!$A$54:$I$82,9,FALSE))+ ('Inputs-System'!$C$26*'Coincidence Factors'!$B$6*(1+'Inputs-System'!$C$18)*(1+'Inputs-System'!$C$42))*'Inputs-Proposals'!$H$28*VLOOKUP(BL$3,DRIPE!$A$54:$I$82,8,FALSE), $C36 = "0", 0), 0)</f>
        <v>0</v>
      </c>
      <c r="BO36" s="45">
        <f>IFERROR(_xlfn.IFS($C36="1",('Inputs-System'!$C$26*'Coincidence Factors'!$B$6*(1+'Inputs-System'!$C$18))*'Inputs-Proposals'!$H$16*(VLOOKUP(BL$3,Capacity!$A$53:$E$85,4,FALSE)*(1+'Inputs-System'!$C$42)+VLOOKUP(BL$3,Capacity!$A$53:$E$85,5,FALSE)*'Inputs-System'!$C$29*(1+'Inputs-System'!$C$43)), $C36 = "2", ('Inputs-System'!$C$26*'Coincidence Factors'!$B$6*(1+'Inputs-System'!$C$18))*'Inputs-Proposals'!$H$22*(VLOOKUP(BL$3,Capacity!$A$53:$E$85,4,FALSE)*(1+'Inputs-System'!$C$42)+VLOOKUP(BL$3,Capacity!$A$53:$E$85,5,FALSE)*'Inputs-System'!$C$29*(1+'Inputs-System'!$C$43)), $C36 = "3",('Inputs-System'!$C$26*'Coincidence Factors'!$B$6*(1+'Inputs-System'!$C$18))*'Inputs-Proposals'!$H$28*(VLOOKUP(BL$3,Capacity!$A$53:$E$85,4,FALSE)*(1+'Inputs-System'!$C$42)+VLOOKUP(BL$3,Capacity!$A$53:$E$85,5,FALSE)*'Inputs-System'!$C$29*(1+'Inputs-System'!$C$43)), $C36 = "0", 0), 0)</f>
        <v>0</v>
      </c>
      <c r="BP36" s="44">
        <v>0</v>
      </c>
      <c r="BQ36" s="342">
        <f>IFERROR(_xlfn.IFS($C36="1", 'Inputs-System'!$C$30*'Coincidence Factors'!$B$6*'Inputs-Proposals'!$H$17*'Inputs-Proposals'!$H$19*(VLOOKUP(BL$3,'Non-Embedded Emissions'!$A$56:$D$90,2,FALSE)+VLOOKUP(BL$3,'Non-Embedded Emissions'!$A$143:$D$174,2,FALSE)+VLOOKUP(BL$3,'Non-Embedded Emissions'!$A$230:$D$259,2,FALSE)), $C36 = "2", 'Inputs-System'!$C$30*'Coincidence Factors'!$B$6*'Inputs-Proposals'!$H$23*'Inputs-Proposals'!$H$25*(VLOOKUP(BL$3,'Non-Embedded Emissions'!$A$56:$D$90,2,FALSE)+VLOOKUP(BL$3,'Non-Embedded Emissions'!$A$143:$D$174,2,FALSE)+VLOOKUP(BL$3,'Non-Embedded Emissions'!$A$230:$D$259,2,FALSE)), $C36 = "3", 'Inputs-System'!$C$30*'Coincidence Factors'!$B$6*'Inputs-Proposals'!$H$29*'Inputs-Proposals'!$H$31*(VLOOKUP(BL$3,'Non-Embedded Emissions'!$A$56:$D$90,2,FALSE)+VLOOKUP(BL$3,'Non-Embedded Emissions'!$A$143:$D$174,2,FALSE)+VLOOKUP(BL$3,'Non-Embedded Emissions'!$A$230:$D$259,2,FALSE)), $C36 = "0", 0), 0)</f>
        <v>0</v>
      </c>
      <c r="BR36" s="347">
        <f>IFERROR(_xlfn.IFS($C36="1",('Inputs-System'!$C$30*'Coincidence Factors'!$B$6*(1+'Inputs-System'!$C$18)*(1+'Inputs-System'!$C$41)*('Inputs-Proposals'!$H$17*'Inputs-Proposals'!$H$19*(1-'Inputs-Proposals'!$H$20^(BR$3-'Inputs-System'!$C$7)))*(VLOOKUP(BR$3,Energy!$A$51:$K$83,5,FALSE))), $C36 = "2",('Inputs-System'!$C$30*'Coincidence Factors'!$B$6)*(1+'Inputs-System'!$C$18)*(1+'Inputs-System'!$C$41)*('Inputs-Proposals'!$H$23*'Inputs-Proposals'!$H$25*(1-'Inputs-Proposals'!$H$26^(BR$3-'Inputs-System'!$C$7)))*(VLOOKUP(BR$3,Energy!$A$51:$K$83,5,FALSE)), $C36= "3", ('Inputs-System'!$C$30*'Coincidence Factors'!$B$6*(1+'Inputs-System'!$C$18)*(1+'Inputs-System'!$C$41)*('Inputs-Proposals'!$H$29*'Inputs-Proposals'!$H$31*(1-'Inputs-Proposals'!$H$32^(BR$3-'Inputs-System'!$C$7)))*(VLOOKUP(BR$3,Energy!$A$51:$K$83,5,FALSE))), $C36= "0", 0), 0)</f>
        <v>0</v>
      </c>
      <c r="BS36" s="44">
        <f>IFERROR(_xlfn.IFS($C36="1",('Inputs-System'!$C$30*'Coincidence Factors'!$B$6*(1+'Inputs-System'!$C$18)*(1+'Inputs-System'!$C$41))*'Inputs-Proposals'!$H$17*'Inputs-Proposals'!$H$19*(1-'Inputs-Proposals'!$H$20^(BR$3-'Inputs-System'!$C$7))*(VLOOKUP(BR$3,'Embedded Emissions'!$A$47:$B$78,2,FALSE)+VLOOKUP(BR$3,'Embedded Emissions'!$A$129:$B$158,2,FALSE)), $C36 = "2",('Inputs-System'!$C$30*'Coincidence Factors'!$B$6*(1+'Inputs-System'!$C$18)*(1+'Inputs-System'!$C$41))*'Inputs-Proposals'!$H$23*'Inputs-Proposals'!$H$25*(1-'Inputs-Proposals'!$H$20^(BR$3-'Inputs-System'!$C$7))*(VLOOKUP(BR$3,'Embedded Emissions'!$A$47:$B$78,2,FALSE)+VLOOKUP(BR$3,'Embedded Emissions'!$A$129:$B$158,2,FALSE)), $C36 = "3", ('Inputs-System'!$C$30*'Coincidence Factors'!$B$6*(1+'Inputs-System'!$C$18)*(1+'Inputs-System'!$C$41))*'Inputs-Proposals'!$H$29*'Inputs-Proposals'!$H$31*(1-'Inputs-Proposals'!$H$20^(BR$3-'Inputs-System'!$C$7))*(VLOOKUP(BR$3,'Embedded Emissions'!$A$47:$B$78,2,FALSE)+VLOOKUP(BR$3,'Embedded Emissions'!$A$129:$B$158,2,FALSE)), $C36 = "0", 0), 0)</f>
        <v>0</v>
      </c>
      <c r="BT36" s="44">
        <f>IFERROR(_xlfn.IFS($C36="1",( 'Inputs-System'!$C$30*'Coincidence Factors'!$B$6*(1+'Inputs-System'!$C$18)*(1+'Inputs-System'!$C$41))*('Inputs-Proposals'!$H$17*'Inputs-Proposals'!$H$19*(1-'Inputs-Proposals'!$H$20)^(BR$3-'Inputs-System'!$C$7))*(VLOOKUP(BR$3,DRIPE!$A$54:$I$82,5,FALSE)+VLOOKUP(BR$3,DRIPE!$A$54:$I$82,9,FALSE))+ ('Inputs-System'!$C$26*'Coincidence Factors'!$B$6*(1+'Inputs-System'!$C$18)*(1+'Inputs-System'!$C$42))*'Inputs-Proposals'!$H$16*VLOOKUP(BR$3,DRIPE!$A$54:$I$82,8,FALSE), $C36 = "2",( 'Inputs-System'!$C$30*'Coincidence Factors'!$B$6*(1+'Inputs-System'!$C$18)*(1+'Inputs-System'!$C$41))*('Inputs-Proposals'!$H$23*'Inputs-Proposals'!$H$25*(1-'Inputs-Proposals'!$H$26)^(BR$3-'Inputs-System'!$C$7))*(VLOOKUP(BR$3,DRIPE!$A$54:$I$82,5,FALSE)+VLOOKUP(BR$3,DRIPE!$A$54:$I$82,9,FALSE))+ ('Inputs-System'!$C$26*'Coincidence Factors'!$B$6*(1+'Inputs-System'!$C$18)*(1+'Inputs-System'!$C$42))*'Inputs-Proposals'!$H$22*VLOOKUP(BR$3,DRIPE!$A$54:$I$82,8,FALSE), $C36= "3", ( 'Inputs-System'!$C$30*'Coincidence Factors'!$B$6*(1+'Inputs-System'!$C$18)*(1+'Inputs-System'!$C$41))*('Inputs-Proposals'!$H$29*'Inputs-Proposals'!$H$31*(1-'Inputs-Proposals'!$H$32)^(BR$3-'Inputs-System'!$C$7))*(VLOOKUP(BR$3,DRIPE!$A$54:$I$82,5,FALSE)+VLOOKUP(BR$3,DRIPE!$A$54:$I$82,9,FALSE))+ ('Inputs-System'!$C$26*'Coincidence Factors'!$B$6*(1+'Inputs-System'!$C$18)*(1+'Inputs-System'!$C$42))*'Inputs-Proposals'!$H$28*VLOOKUP(BR$3,DRIPE!$A$54:$I$82,8,FALSE), $C36 = "0", 0), 0)</f>
        <v>0</v>
      </c>
      <c r="BU36" s="45">
        <f>IFERROR(_xlfn.IFS($C36="1",('Inputs-System'!$C$26*'Coincidence Factors'!$B$6*(1+'Inputs-System'!$C$18))*'Inputs-Proposals'!$H$16*(VLOOKUP(BR$3,Capacity!$A$53:$E$85,4,FALSE)*(1+'Inputs-System'!$C$42)+VLOOKUP(BR$3,Capacity!$A$53:$E$85,5,FALSE)*'Inputs-System'!$C$29*(1+'Inputs-System'!$C$43)), $C36 = "2", ('Inputs-System'!$C$26*'Coincidence Factors'!$B$6*(1+'Inputs-System'!$C$18))*'Inputs-Proposals'!$H$22*(VLOOKUP(BR$3,Capacity!$A$53:$E$85,4,FALSE)*(1+'Inputs-System'!$C$42)+VLOOKUP(BR$3,Capacity!$A$53:$E$85,5,FALSE)*'Inputs-System'!$C$29*(1+'Inputs-System'!$C$43)), $C36 = "3",('Inputs-System'!$C$26*'Coincidence Factors'!$B$6*(1+'Inputs-System'!$C$18))*'Inputs-Proposals'!$H$28*(VLOOKUP(BR$3,Capacity!$A$53:$E$85,4,FALSE)*(1+'Inputs-System'!$C$42)+VLOOKUP(BR$3,Capacity!$A$53:$E$85,5,FALSE)*'Inputs-System'!$C$29*(1+'Inputs-System'!$C$43)), $C36 = "0", 0), 0)</f>
        <v>0</v>
      </c>
      <c r="BV36" s="44">
        <v>0</v>
      </c>
      <c r="BW36" s="342">
        <f>IFERROR(_xlfn.IFS($C36="1", 'Inputs-System'!$C$30*'Coincidence Factors'!$B$6*'Inputs-Proposals'!$H$17*'Inputs-Proposals'!$H$19*(VLOOKUP(BR$3,'Non-Embedded Emissions'!$A$56:$D$90,2,FALSE)+VLOOKUP(BR$3,'Non-Embedded Emissions'!$A$143:$D$174,2,FALSE)+VLOOKUP(BR$3,'Non-Embedded Emissions'!$A$230:$D$259,2,FALSE)), $C36 = "2", 'Inputs-System'!$C$30*'Coincidence Factors'!$B$6*'Inputs-Proposals'!$H$23*'Inputs-Proposals'!$H$25*(VLOOKUP(BR$3,'Non-Embedded Emissions'!$A$56:$D$90,2,FALSE)+VLOOKUP(BR$3,'Non-Embedded Emissions'!$A$143:$D$174,2,FALSE)+VLOOKUP(BR$3,'Non-Embedded Emissions'!$A$230:$D$259,2,FALSE)), $C36 = "3", 'Inputs-System'!$C$30*'Coincidence Factors'!$B$6*'Inputs-Proposals'!$H$29*'Inputs-Proposals'!$H$31*(VLOOKUP(BR$3,'Non-Embedded Emissions'!$A$56:$D$90,2,FALSE)+VLOOKUP(BR$3,'Non-Embedded Emissions'!$A$143:$D$174,2,FALSE)+VLOOKUP(BR$3,'Non-Embedded Emissions'!$A$230:$D$259,2,FALSE)), $C36 = "0", 0), 0)</f>
        <v>0</v>
      </c>
      <c r="BX36" s="347">
        <f>IFERROR(_xlfn.IFS($C36="1",('Inputs-System'!$C$30*'Coincidence Factors'!$B$6*(1+'Inputs-System'!$C$18)*(1+'Inputs-System'!$C$41)*('Inputs-Proposals'!$H$17*'Inputs-Proposals'!$H$19*(1-'Inputs-Proposals'!$H$20^(BX$3-'Inputs-System'!$C$7)))*(VLOOKUP(BX$3,Energy!$A$51:$K$83,5,FALSE))), $C36 = "2",('Inputs-System'!$C$30*'Coincidence Factors'!$B$6)*(1+'Inputs-System'!$C$18)*(1+'Inputs-System'!$C$41)*('Inputs-Proposals'!$H$23*'Inputs-Proposals'!$H$25*(1-'Inputs-Proposals'!$H$26^(BX$3-'Inputs-System'!$C$7)))*(VLOOKUP(BX$3,Energy!$A$51:$K$83,5,FALSE)), $C36= "3", ('Inputs-System'!$C$30*'Coincidence Factors'!$B$6*(1+'Inputs-System'!$C$18)*(1+'Inputs-System'!$C$41)*('Inputs-Proposals'!$H$29*'Inputs-Proposals'!$H$31*(1-'Inputs-Proposals'!$H$32^(BX$3-'Inputs-System'!$C$7)))*(VLOOKUP(BX$3,Energy!$A$51:$K$83,5,FALSE))), $C36= "0", 0), 0)</f>
        <v>0</v>
      </c>
      <c r="BY36" s="44">
        <f>IFERROR(_xlfn.IFS($C36="1",('Inputs-System'!$C$30*'Coincidence Factors'!$B$6*(1+'Inputs-System'!$C$18)*(1+'Inputs-System'!$C$41))*'Inputs-Proposals'!$H$17*'Inputs-Proposals'!$H$19*(1-'Inputs-Proposals'!$H$20^(BX$3-'Inputs-System'!$C$7))*(VLOOKUP(BX$3,'Embedded Emissions'!$A$47:$B$78,2,FALSE)+VLOOKUP(BX$3,'Embedded Emissions'!$A$129:$B$158,2,FALSE)), $C36 = "2",('Inputs-System'!$C$30*'Coincidence Factors'!$B$6*(1+'Inputs-System'!$C$18)*(1+'Inputs-System'!$C$41))*'Inputs-Proposals'!$H$23*'Inputs-Proposals'!$H$25*(1-'Inputs-Proposals'!$H$20^(BX$3-'Inputs-System'!$C$7))*(VLOOKUP(BX$3,'Embedded Emissions'!$A$47:$B$78,2,FALSE)+VLOOKUP(BX$3,'Embedded Emissions'!$A$129:$B$158,2,FALSE)), $C36 = "3", ('Inputs-System'!$C$30*'Coincidence Factors'!$B$6*(1+'Inputs-System'!$C$18)*(1+'Inputs-System'!$C$41))*'Inputs-Proposals'!$H$29*'Inputs-Proposals'!$H$31*(1-'Inputs-Proposals'!$H$20^(BX$3-'Inputs-System'!$C$7))*(VLOOKUP(BX$3,'Embedded Emissions'!$A$47:$B$78,2,FALSE)+VLOOKUP(BX$3,'Embedded Emissions'!$A$129:$B$158,2,FALSE)), $C36 = "0", 0), 0)</f>
        <v>0</v>
      </c>
      <c r="BZ36" s="44">
        <f>IFERROR(_xlfn.IFS($C36="1",( 'Inputs-System'!$C$30*'Coincidence Factors'!$B$6*(1+'Inputs-System'!$C$18)*(1+'Inputs-System'!$C$41))*('Inputs-Proposals'!$H$17*'Inputs-Proposals'!$H$19*(1-'Inputs-Proposals'!$H$20)^(BX$3-'Inputs-System'!$C$7))*(VLOOKUP(BX$3,DRIPE!$A$54:$I$82,5,FALSE)+VLOOKUP(BX$3,DRIPE!$A$54:$I$82,9,FALSE))+ ('Inputs-System'!$C$26*'Coincidence Factors'!$B$6*(1+'Inputs-System'!$C$18)*(1+'Inputs-System'!$C$42))*'Inputs-Proposals'!$H$16*VLOOKUP(BX$3,DRIPE!$A$54:$I$82,8,FALSE), $C36 = "2",( 'Inputs-System'!$C$30*'Coincidence Factors'!$B$6*(1+'Inputs-System'!$C$18)*(1+'Inputs-System'!$C$41))*('Inputs-Proposals'!$H$23*'Inputs-Proposals'!$H$25*(1-'Inputs-Proposals'!$H$26)^(BX$3-'Inputs-System'!$C$7))*(VLOOKUP(BX$3,DRIPE!$A$54:$I$82,5,FALSE)+VLOOKUP(BX$3,DRIPE!$A$54:$I$82,9,FALSE))+ ('Inputs-System'!$C$26*'Coincidence Factors'!$B$6*(1+'Inputs-System'!$C$18)*(1+'Inputs-System'!$C$42))*'Inputs-Proposals'!$H$22*VLOOKUP(BX$3,DRIPE!$A$54:$I$82,8,FALSE), $C36= "3", ( 'Inputs-System'!$C$30*'Coincidence Factors'!$B$6*(1+'Inputs-System'!$C$18)*(1+'Inputs-System'!$C$41))*('Inputs-Proposals'!$H$29*'Inputs-Proposals'!$H$31*(1-'Inputs-Proposals'!$H$32)^(BX$3-'Inputs-System'!$C$7))*(VLOOKUP(BX$3,DRIPE!$A$54:$I$82,5,FALSE)+VLOOKUP(BX$3,DRIPE!$A$54:$I$82,9,FALSE))+ ('Inputs-System'!$C$26*'Coincidence Factors'!$B$6*(1+'Inputs-System'!$C$18)*(1+'Inputs-System'!$C$42))*'Inputs-Proposals'!$H$28*VLOOKUP(BX$3,DRIPE!$A$54:$I$82,8,FALSE), $C36 = "0", 0), 0)</f>
        <v>0</v>
      </c>
      <c r="CA36" s="45">
        <f>IFERROR(_xlfn.IFS($C36="1",('Inputs-System'!$C$26*'Coincidence Factors'!$B$6*(1+'Inputs-System'!$C$18))*'Inputs-Proposals'!$H$16*(VLOOKUP(BX$3,Capacity!$A$53:$E$85,4,FALSE)*(1+'Inputs-System'!$C$42)+VLOOKUP(BX$3,Capacity!$A$53:$E$85,5,FALSE)*'Inputs-System'!$C$29*(1+'Inputs-System'!$C$43)), $C36 = "2", ('Inputs-System'!$C$26*'Coincidence Factors'!$B$6*(1+'Inputs-System'!$C$18))*'Inputs-Proposals'!$H$22*(VLOOKUP(BX$3,Capacity!$A$53:$E$85,4,FALSE)*(1+'Inputs-System'!$C$42)+VLOOKUP(BX$3,Capacity!$A$53:$E$85,5,FALSE)*'Inputs-System'!$C$29*(1+'Inputs-System'!$C$43)), $C36 = "3",('Inputs-System'!$C$26*'Coincidence Factors'!$B$6*(1+'Inputs-System'!$C$18))*'Inputs-Proposals'!$H$28*(VLOOKUP(BX$3,Capacity!$A$53:$E$85,4,FALSE)*(1+'Inputs-System'!$C$42)+VLOOKUP(BX$3,Capacity!$A$53:$E$85,5,FALSE)*'Inputs-System'!$C$29*(1+'Inputs-System'!$C$43)), $C36 = "0", 0), 0)</f>
        <v>0</v>
      </c>
      <c r="CB36" s="44">
        <v>0</v>
      </c>
      <c r="CC36" s="342">
        <f>IFERROR(_xlfn.IFS($C36="1", 'Inputs-System'!$C$30*'Coincidence Factors'!$B$6*'Inputs-Proposals'!$H$17*'Inputs-Proposals'!$H$19*(VLOOKUP(BX$3,'Non-Embedded Emissions'!$A$56:$D$90,2,FALSE)+VLOOKUP(BX$3,'Non-Embedded Emissions'!$A$143:$D$174,2,FALSE)+VLOOKUP(BX$3,'Non-Embedded Emissions'!$A$230:$D$259,2,FALSE)), $C36 = "2", 'Inputs-System'!$C$30*'Coincidence Factors'!$B$6*'Inputs-Proposals'!$H$23*'Inputs-Proposals'!$H$25*(VLOOKUP(BX$3,'Non-Embedded Emissions'!$A$56:$D$90,2,FALSE)+VLOOKUP(BX$3,'Non-Embedded Emissions'!$A$143:$D$174,2,FALSE)+VLOOKUP(BX$3,'Non-Embedded Emissions'!$A$230:$D$259,2,FALSE)), $C36 = "3", 'Inputs-System'!$C$30*'Coincidence Factors'!$B$6*'Inputs-Proposals'!$H$29*'Inputs-Proposals'!$H$31*(VLOOKUP(BX$3,'Non-Embedded Emissions'!$A$56:$D$90,2,FALSE)+VLOOKUP(BX$3,'Non-Embedded Emissions'!$A$143:$D$174,2,FALSE)+VLOOKUP(BX$3,'Non-Embedded Emissions'!$A$230:$D$259,2,FALSE)), $C36 = "0", 0), 0)</f>
        <v>0</v>
      </c>
      <c r="CD36" s="347">
        <f>IFERROR(_xlfn.IFS($C36="1",('Inputs-System'!$C$30*'Coincidence Factors'!$B$6*(1+'Inputs-System'!$C$18)*(1+'Inputs-System'!$C$41)*('Inputs-Proposals'!$H$17*'Inputs-Proposals'!$H$19*(1-'Inputs-Proposals'!$H$20^(CD$3-'Inputs-System'!$C$7)))*(VLOOKUP(CD$3,Energy!$A$51:$K$83,5,FALSE))), $C36 = "2",('Inputs-System'!$C$30*'Coincidence Factors'!$B$6)*(1+'Inputs-System'!$C$18)*(1+'Inputs-System'!$C$41)*('Inputs-Proposals'!$H$23*'Inputs-Proposals'!$H$25*(1-'Inputs-Proposals'!$H$26^(CD$3-'Inputs-System'!$C$7)))*(VLOOKUP(CD$3,Energy!$A$51:$K$83,5,FALSE)), $C36= "3", ('Inputs-System'!$C$30*'Coincidence Factors'!$B$6*(1+'Inputs-System'!$C$18)*(1+'Inputs-System'!$C$41)*('Inputs-Proposals'!$H$29*'Inputs-Proposals'!$H$31*(1-'Inputs-Proposals'!$H$32^(CD$3-'Inputs-System'!$C$7)))*(VLOOKUP(CD$3,Energy!$A$51:$K$83,5,FALSE))), $C36= "0", 0), 0)</f>
        <v>0</v>
      </c>
      <c r="CE36" s="44">
        <f>IFERROR(_xlfn.IFS($C36="1",('Inputs-System'!$C$30*'Coincidence Factors'!$B$6*(1+'Inputs-System'!$C$18)*(1+'Inputs-System'!$C$41))*'Inputs-Proposals'!$H$17*'Inputs-Proposals'!$H$19*(1-'Inputs-Proposals'!$H$20^(CD$3-'Inputs-System'!$C$7))*(VLOOKUP(CD$3,'Embedded Emissions'!$A$47:$B$78,2,FALSE)+VLOOKUP(CD$3,'Embedded Emissions'!$A$129:$B$158,2,FALSE)), $C36 = "2",('Inputs-System'!$C$30*'Coincidence Factors'!$B$6*(1+'Inputs-System'!$C$18)*(1+'Inputs-System'!$C$41))*'Inputs-Proposals'!$H$23*'Inputs-Proposals'!$H$25*(1-'Inputs-Proposals'!$H$20^(CD$3-'Inputs-System'!$C$7))*(VLOOKUP(CD$3,'Embedded Emissions'!$A$47:$B$78,2,FALSE)+VLOOKUP(CD$3,'Embedded Emissions'!$A$129:$B$158,2,FALSE)), $C36 = "3", ('Inputs-System'!$C$30*'Coincidence Factors'!$B$6*(1+'Inputs-System'!$C$18)*(1+'Inputs-System'!$C$41))*'Inputs-Proposals'!$H$29*'Inputs-Proposals'!$H$31*(1-'Inputs-Proposals'!$H$20^(CD$3-'Inputs-System'!$C$7))*(VLOOKUP(CD$3,'Embedded Emissions'!$A$47:$B$78,2,FALSE)+VLOOKUP(CD$3,'Embedded Emissions'!$A$129:$B$158,2,FALSE)), $C36 = "0", 0), 0)</f>
        <v>0</v>
      </c>
      <c r="CF36" s="44">
        <f>IFERROR(_xlfn.IFS($C36="1",( 'Inputs-System'!$C$30*'Coincidence Factors'!$B$6*(1+'Inputs-System'!$C$18)*(1+'Inputs-System'!$C$41))*('Inputs-Proposals'!$H$17*'Inputs-Proposals'!$H$19*(1-'Inputs-Proposals'!$H$20)^(CD$3-'Inputs-System'!$C$7))*(VLOOKUP(CD$3,DRIPE!$A$54:$I$82,5,FALSE)+VLOOKUP(CD$3,DRIPE!$A$54:$I$82,9,FALSE))+ ('Inputs-System'!$C$26*'Coincidence Factors'!$B$6*(1+'Inputs-System'!$C$18)*(1+'Inputs-System'!$C$42))*'Inputs-Proposals'!$H$16*VLOOKUP(CD$3,DRIPE!$A$54:$I$82,8,FALSE), $C36 = "2",( 'Inputs-System'!$C$30*'Coincidence Factors'!$B$6*(1+'Inputs-System'!$C$18)*(1+'Inputs-System'!$C$41))*('Inputs-Proposals'!$H$23*'Inputs-Proposals'!$H$25*(1-'Inputs-Proposals'!$H$26)^(CD$3-'Inputs-System'!$C$7))*(VLOOKUP(CD$3,DRIPE!$A$54:$I$82,5,FALSE)+VLOOKUP(CD$3,DRIPE!$A$54:$I$82,9,FALSE))+ ('Inputs-System'!$C$26*'Coincidence Factors'!$B$6*(1+'Inputs-System'!$C$18)*(1+'Inputs-System'!$C$42))*'Inputs-Proposals'!$H$22*VLOOKUP(CD$3,DRIPE!$A$54:$I$82,8,FALSE), $C36= "3", ( 'Inputs-System'!$C$30*'Coincidence Factors'!$B$6*(1+'Inputs-System'!$C$18)*(1+'Inputs-System'!$C$41))*('Inputs-Proposals'!$H$29*'Inputs-Proposals'!$H$31*(1-'Inputs-Proposals'!$H$32)^(CD$3-'Inputs-System'!$C$7))*(VLOOKUP(CD$3,DRIPE!$A$54:$I$82,5,FALSE)+VLOOKUP(CD$3,DRIPE!$A$54:$I$82,9,FALSE))+ ('Inputs-System'!$C$26*'Coincidence Factors'!$B$6*(1+'Inputs-System'!$C$18)*(1+'Inputs-System'!$C$42))*'Inputs-Proposals'!$H$28*VLOOKUP(CD$3,DRIPE!$A$54:$I$82,8,FALSE), $C36 = "0", 0), 0)</f>
        <v>0</v>
      </c>
      <c r="CG36" s="45">
        <f>IFERROR(_xlfn.IFS($C36="1",('Inputs-System'!$C$26*'Coincidence Factors'!$B$6*(1+'Inputs-System'!$C$18))*'Inputs-Proposals'!$H$16*(VLOOKUP(CD$3,Capacity!$A$53:$E$85,4,FALSE)*(1+'Inputs-System'!$C$42)+VLOOKUP(CD$3,Capacity!$A$53:$E$85,5,FALSE)*'Inputs-System'!$C$29*(1+'Inputs-System'!$C$43)), $C36 = "2", ('Inputs-System'!$C$26*'Coincidence Factors'!$B$6*(1+'Inputs-System'!$C$18))*'Inputs-Proposals'!$H$22*(VLOOKUP(CD$3,Capacity!$A$53:$E$85,4,FALSE)*(1+'Inputs-System'!$C$42)+VLOOKUP(CD$3,Capacity!$A$53:$E$85,5,FALSE)*'Inputs-System'!$C$29*(1+'Inputs-System'!$C$43)), $C36 = "3",('Inputs-System'!$C$26*'Coincidence Factors'!$B$6*(1+'Inputs-System'!$C$18))*'Inputs-Proposals'!$H$28*(VLOOKUP(CD$3,Capacity!$A$53:$E$85,4,FALSE)*(1+'Inputs-System'!$C$42)+VLOOKUP(CD$3,Capacity!$A$53:$E$85,5,FALSE)*'Inputs-System'!$C$29*(1+'Inputs-System'!$C$43)), $C36 = "0", 0), 0)</f>
        <v>0</v>
      </c>
      <c r="CH36" s="44">
        <v>0</v>
      </c>
      <c r="CI36" s="342">
        <f>IFERROR(_xlfn.IFS($C36="1", 'Inputs-System'!$C$30*'Coincidence Factors'!$B$6*'Inputs-Proposals'!$H$17*'Inputs-Proposals'!$H$19*(VLOOKUP(CD$3,'Non-Embedded Emissions'!$A$56:$D$90,2,FALSE)+VLOOKUP(CD$3,'Non-Embedded Emissions'!$A$143:$D$174,2,FALSE)+VLOOKUP(CD$3,'Non-Embedded Emissions'!$A$230:$D$259,2,FALSE)), $C36 = "2", 'Inputs-System'!$C$30*'Coincidence Factors'!$B$6*'Inputs-Proposals'!$H$23*'Inputs-Proposals'!$H$25*(VLOOKUP(CD$3,'Non-Embedded Emissions'!$A$56:$D$90,2,FALSE)+VLOOKUP(CD$3,'Non-Embedded Emissions'!$A$143:$D$174,2,FALSE)+VLOOKUP(CD$3,'Non-Embedded Emissions'!$A$230:$D$259,2,FALSE)), $C36 = "3", 'Inputs-System'!$C$30*'Coincidence Factors'!$B$6*'Inputs-Proposals'!$H$29*'Inputs-Proposals'!$H$31*(VLOOKUP(CD$3,'Non-Embedded Emissions'!$A$56:$D$90,2,FALSE)+VLOOKUP(CD$3,'Non-Embedded Emissions'!$A$143:$D$174,2,FALSE)+VLOOKUP(CD$3,'Non-Embedded Emissions'!$A$230:$D$259,2,FALSE)), $C36 = "0", 0), 0)</f>
        <v>0</v>
      </c>
      <c r="CJ36" s="347">
        <f>IFERROR(_xlfn.IFS($C36="1",('Inputs-System'!$C$30*'Coincidence Factors'!$B$6*(1+'Inputs-System'!$C$18)*(1+'Inputs-System'!$C$41)*('Inputs-Proposals'!$H$17*'Inputs-Proposals'!$H$19*(1-'Inputs-Proposals'!$H$20^(CJ$3-'Inputs-System'!$C$7)))*(VLOOKUP(CJ$3,Energy!$A$51:$K$83,5,FALSE))), $C36 = "2",('Inputs-System'!$C$30*'Coincidence Factors'!$B$6)*(1+'Inputs-System'!$C$18)*(1+'Inputs-System'!$C$41)*('Inputs-Proposals'!$H$23*'Inputs-Proposals'!$H$25*(1-'Inputs-Proposals'!$H$26^(CJ$3-'Inputs-System'!$C$7)))*(VLOOKUP(CJ$3,Energy!$A$51:$K$83,5,FALSE)), $C36= "3", ('Inputs-System'!$C$30*'Coincidence Factors'!$B$6*(1+'Inputs-System'!$C$18)*(1+'Inputs-System'!$C$41)*('Inputs-Proposals'!$H$29*'Inputs-Proposals'!$H$31*(1-'Inputs-Proposals'!$H$32^(CJ$3-'Inputs-System'!$C$7)))*(VLOOKUP(CJ$3,Energy!$A$51:$K$83,5,FALSE))), $C36= "0", 0), 0)</f>
        <v>0</v>
      </c>
      <c r="CK36" s="44">
        <f>IFERROR(_xlfn.IFS($C36="1",('Inputs-System'!$C$30*'Coincidence Factors'!$B$6*(1+'Inputs-System'!$C$18)*(1+'Inputs-System'!$C$41))*'Inputs-Proposals'!$H$17*'Inputs-Proposals'!$H$19*(1-'Inputs-Proposals'!$H$20^(CJ$3-'Inputs-System'!$C$7))*(VLOOKUP(CJ$3,'Embedded Emissions'!$A$47:$B$78,2,FALSE)+VLOOKUP(CJ$3,'Embedded Emissions'!$A$129:$B$158,2,FALSE)), $C36 = "2",('Inputs-System'!$C$30*'Coincidence Factors'!$B$6*(1+'Inputs-System'!$C$18)*(1+'Inputs-System'!$C$41))*'Inputs-Proposals'!$H$23*'Inputs-Proposals'!$H$25*(1-'Inputs-Proposals'!$H$20^(CJ$3-'Inputs-System'!$C$7))*(VLOOKUP(CJ$3,'Embedded Emissions'!$A$47:$B$78,2,FALSE)+VLOOKUP(CJ$3,'Embedded Emissions'!$A$129:$B$158,2,FALSE)), $C36 = "3", ('Inputs-System'!$C$30*'Coincidence Factors'!$B$6*(1+'Inputs-System'!$C$18)*(1+'Inputs-System'!$C$41))*'Inputs-Proposals'!$H$29*'Inputs-Proposals'!$H$31*(1-'Inputs-Proposals'!$H$20^(CJ$3-'Inputs-System'!$C$7))*(VLOOKUP(CJ$3,'Embedded Emissions'!$A$47:$B$78,2,FALSE)+VLOOKUP(CJ$3,'Embedded Emissions'!$A$129:$B$158,2,FALSE)), $C36 = "0", 0), 0)</f>
        <v>0</v>
      </c>
      <c r="CL36" s="44">
        <f>IFERROR(_xlfn.IFS($C36="1",( 'Inputs-System'!$C$30*'Coincidence Factors'!$B$6*(1+'Inputs-System'!$C$18)*(1+'Inputs-System'!$C$41))*('Inputs-Proposals'!$H$17*'Inputs-Proposals'!$H$19*(1-'Inputs-Proposals'!$H$20)^(CJ$3-'Inputs-System'!$C$7))*(VLOOKUP(CJ$3,DRIPE!$A$54:$I$82,5,FALSE)+VLOOKUP(CJ$3,DRIPE!$A$54:$I$82,9,FALSE))+ ('Inputs-System'!$C$26*'Coincidence Factors'!$B$6*(1+'Inputs-System'!$C$18)*(1+'Inputs-System'!$C$42))*'Inputs-Proposals'!$H$16*VLOOKUP(CJ$3,DRIPE!$A$54:$I$82,8,FALSE), $C36 = "2",( 'Inputs-System'!$C$30*'Coincidence Factors'!$B$6*(1+'Inputs-System'!$C$18)*(1+'Inputs-System'!$C$41))*('Inputs-Proposals'!$H$23*'Inputs-Proposals'!$H$25*(1-'Inputs-Proposals'!$H$26)^(CJ$3-'Inputs-System'!$C$7))*(VLOOKUP(CJ$3,DRIPE!$A$54:$I$82,5,FALSE)+VLOOKUP(CJ$3,DRIPE!$A$54:$I$82,9,FALSE))+ ('Inputs-System'!$C$26*'Coincidence Factors'!$B$6*(1+'Inputs-System'!$C$18)*(1+'Inputs-System'!$C$42))*'Inputs-Proposals'!$H$22*VLOOKUP(CJ$3,DRIPE!$A$54:$I$82,8,FALSE), $C36= "3", ( 'Inputs-System'!$C$30*'Coincidence Factors'!$B$6*(1+'Inputs-System'!$C$18)*(1+'Inputs-System'!$C$41))*('Inputs-Proposals'!$H$29*'Inputs-Proposals'!$H$31*(1-'Inputs-Proposals'!$H$32)^(CJ$3-'Inputs-System'!$C$7))*(VLOOKUP(CJ$3,DRIPE!$A$54:$I$82,5,FALSE)+VLOOKUP(CJ$3,DRIPE!$A$54:$I$82,9,FALSE))+ ('Inputs-System'!$C$26*'Coincidence Factors'!$B$6*(1+'Inputs-System'!$C$18)*(1+'Inputs-System'!$C$42))*'Inputs-Proposals'!$H$28*VLOOKUP(CJ$3,DRIPE!$A$54:$I$82,8,FALSE), $C36 = "0", 0), 0)</f>
        <v>0</v>
      </c>
      <c r="CM36" s="45">
        <f>IFERROR(_xlfn.IFS($C36="1",('Inputs-System'!$C$26*'Coincidence Factors'!$B$6*(1+'Inputs-System'!$C$18))*'Inputs-Proposals'!$H$16*(VLOOKUP(CJ$3,Capacity!$A$53:$E$85,4,FALSE)*(1+'Inputs-System'!$C$42)+VLOOKUP(CJ$3,Capacity!$A$53:$E$85,5,FALSE)*'Inputs-System'!$C$29*(1+'Inputs-System'!$C$43)), $C36 = "2", ('Inputs-System'!$C$26*'Coincidence Factors'!$B$6*(1+'Inputs-System'!$C$18))*'Inputs-Proposals'!$H$22*(VLOOKUP(CJ$3,Capacity!$A$53:$E$85,4,FALSE)*(1+'Inputs-System'!$C$42)+VLOOKUP(CJ$3,Capacity!$A$53:$E$85,5,FALSE)*'Inputs-System'!$C$29*(1+'Inputs-System'!$C$43)), $C36 = "3",('Inputs-System'!$C$26*'Coincidence Factors'!$B$6*(1+'Inputs-System'!$C$18))*'Inputs-Proposals'!$H$28*(VLOOKUP(CJ$3,Capacity!$A$53:$E$85,4,FALSE)*(1+'Inputs-System'!$C$42)+VLOOKUP(CJ$3,Capacity!$A$53:$E$85,5,FALSE)*'Inputs-System'!$C$29*(1+'Inputs-System'!$C$43)), $C36 = "0", 0), 0)</f>
        <v>0</v>
      </c>
      <c r="CN36" s="44">
        <v>0</v>
      </c>
      <c r="CO36" s="342">
        <f>IFERROR(_xlfn.IFS($C36="1", 'Inputs-System'!$C$30*'Coincidence Factors'!$B$6*'Inputs-Proposals'!$H$17*'Inputs-Proposals'!$H$19*(VLOOKUP(CJ$3,'Non-Embedded Emissions'!$A$56:$D$90,2,FALSE)+VLOOKUP(CJ$3,'Non-Embedded Emissions'!$A$143:$D$174,2,FALSE)+VLOOKUP(CJ$3,'Non-Embedded Emissions'!$A$230:$D$259,2,FALSE)), $C36 = "2", 'Inputs-System'!$C$30*'Coincidence Factors'!$B$6*'Inputs-Proposals'!$H$23*'Inputs-Proposals'!$H$25*(VLOOKUP(CJ$3,'Non-Embedded Emissions'!$A$56:$D$90,2,FALSE)+VLOOKUP(CJ$3,'Non-Embedded Emissions'!$A$143:$D$174,2,FALSE)+VLOOKUP(CJ$3,'Non-Embedded Emissions'!$A$230:$D$259,2,FALSE)), $C36 = "3", 'Inputs-System'!$C$30*'Coincidence Factors'!$B$6*'Inputs-Proposals'!$H$29*'Inputs-Proposals'!$H$31*(VLOOKUP(CJ$3,'Non-Embedded Emissions'!$A$56:$D$90,2,FALSE)+VLOOKUP(CJ$3,'Non-Embedded Emissions'!$A$143:$D$174,2,FALSE)+VLOOKUP(CJ$3,'Non-Embedded Emissions'!$A$230:$D$259,2,FALSE)), $C36 = "0", 0), 0)</f>
        <v>0</v>
      </c>
      <c r="CP36" s="347">
        <f>IFERROR(_xlfn.IFS($C36="1",('Inputs-System'!$C$30*'Coincidence Factors'!$B$6*(1+'Inputs-System'!$C$18)*(1+'Inputs-System'!$C$41)*('Inputs-Proposals'!$H$17*'Inputs-Proposals'!$H$19*(1-'Inputs-Proposals'!$H$20^(CP$3-'Inputs-System'!$C$7)))*(VLOOKUP(CP$3,Energy!$A$51:$K$83,5,FALSE))), $C36 = "2",('Inputs-System'!$C$30*'Coincidence Factors'!$B$6)*(1+'Inputs-System'!$C$18)*(1+'Inputs-System'!$C$41)*('Inputs-Proposals'!$H$23*'Inputs-Proposals'!$H$25*(1-'Inputs-Proposals'!$H$26^(CP$3-'Inputs-System'!$C$7)))*(VLOOKUP(CP$3,Energy!$A$51:$K$83,5,FALSE)), $C36= "3", ('Inputs-System'!$C$30*'Coincidence Factors'!$B$6*(1+'Inputs-System'!$C$18)*(1+'Inputs-System'!$C$41)*('Inputs-Proposals'!$H$29*'Inputs-Proposals'!$H$31*(1-'Inputs-Proposals'!$H$32^(CP$3-'Inputs-System'!$C$7)))*(VLOOKUP(CP$3,Energy!$A$51:$K$83,5,FALSE))), $C36= "0", 0), 0)</f>
        <v>0</v>
      </c>
      <c r="CQ36" s="44">
        <f>IFERROR(_xlfn.IFS($C36="1",('Inputs-System'!$C$30*'Coincidence Factors'!$B$6*(1+'Inputs-System'!$C$18)*(1+'Inputs-System'!$C$41))*'Inputs-Proposals'!$H$17*'Inputs-Proposals'!$H$19*(1-'Inputs-Proposals'!$H$20^(CP$3-'Inputs-System'!$C$7))*(VLOOKUP(CP$3,'Embedded Emissions'!$A$47:$B$78,2,FALSE)+VLOOKUP(CP$3,'Embedded Emissions'!$A$129:$B$158,2,FALSE)), $C36 = "2",('Inputs-System'!$C$30*'Coincidence Factors'!$B$6*(1+'Inputs-System'!$C$18)*(1+'Inputs-System'!$C$41))*'Inputs-Proposals'!$H$23*'Inputs-Proposals'!$H$25*(1-'Inputs-Proposals'!$H$20^(CP$3-'Inputs-System'!$C$7))*(VLOOKUP(CP$3,'Embedded Emissions'!$A$47:$B$78,2,FALSE)+VLOOKUP(CP$3,'Embedded Emissions'!$A$129:$B$158,2,FALSE)), $C36 = "3", ('Inputs-System'!$C$30*'Coincidence Factors'!$B$6*(1+'Inputs-System'!$C$18)*(1+'Inputs-System'!$C$41))*'Inputs-Proposals'!$H$29*'Inputs-Proposals'!$H$31*(1-'Inputs-Proposals'!$H$20^(CP$3-'Inputs-System'!$C$7))*(VLOOKUP(CP$3,'Embedded Emissions'!$A$47:$B$78,2,FALSE)+VLOOKUP(CP$3,'Embedded Emissions'!$A$129:$B$158,2,FALSE)), $C36 = "0", 0), 0)</f>
        <v>0</v>
      </c>
      <c r="CR36" s="44">
        <f>IFERROR(_xlfn.IFS($C36="1",( 'Inputs-System'!$C$30*'Coincidence Factors'!$B$6*(1+'Inputs-System'!$C$18)*(1+'Inputs-System'!$C$41))*('Inputs-Proposals'!$H$17*'Inputs-Proposals'!$H$19*(1-'Inputs-Proposals'!$H$20)^(CP$3-'Inputs-System'!$C$7))*(VLOOKUP(CP$3,DRIPE!$A$54:$I$82,5,FALSE)+VLOOKUP(CP$3,DRIPE!$A$54:$I$82,9,FALSE))+ ('Inputs-System'!$C$26*'Coincidence Factors'!$B$6*(1+'Inputs-System'!$C$18)*(1+'Inputs-System'!$C$42))*'Inputs-Proposals'!$H$16*VLOOKUP(CP$3,DRIPE!$A$54:$I$82,8,FALSE), $C36 = "2",( 'Inputs-System'!$C$30*'Coincidence Factors'!$B$6*(1+'Inputs-System'!$C$18)*(1+'Inputs-System'!$C$41))*('Inputs-Proposals'!$H$23*'Inputs-Proposals'!$H$25*(1-'Inputs-Proposals'!$H$26)^(CP$3-'Inputs-System'!$C$7))*(VLOOKUP(CP$3,DRIPE!$A$54:$I$82,5,FALSE)+VLOOKUP(CP$3,DRIPE!$A$54:$I$82,9,FALSE))+ ('Inputs-System'!$C$26*'Coincidence Factors'!$B$6*(1+'Inputs-System'!$C$18)*(1+'Inputs-System'!$C$42))*'Inputs-Proposals'!$H$22*VLOOKUP(CP$3,DRIPE!$A$54:$I$82,8,FALSE), $C36= "3", ( 'Inputs-System'!$C$30*'Coincidence Factors'!$B$6*(1+'Inputs-System'!$C$18)*(1+'Inputs-System'!$C$41))*('Inputs-Proposals'!$H$29*'Inputs-Proposals'!$H$31*(1-'Inputs-Proposals'!$H$32)^(CP$3-'Inputs-System'!$C$7))*(VLOOKUP(CP$3,DRIPE!$A$54:$I$82,5,FALSE)+VLOOKUP(CP$3,DRIPE!$A$54:$I$82,9,FALSE))+ ('Inputs-System'!$C$26*'Coincidence Factors'!$B$6*(1+'Inputs-System'!$C$18)*(1+'Inputs-System'!$C$42))*'Inputs-Proposals'!$H$28*VLOOKUP(CP$3,DRIPE!$A$54:$I$82,8,FALSE), $C36 = "0", 0), 0)</f>
        <v>0</v>
      </c>
      <c r="CS36" s="45">
        <f>IFERROR(_xlfn.IFS($C36="1",('Inputs-System'!$C$26*'Coincidence Factors'!$B$6*(1+'Inputs-System'!$C$18))*'Inputs-Proposals'!$H$16*(VLOOKUP(CP$3,Capacity!$A$53:$E$85,4,FALSE)*(1+'Inputs-System'!$C$42)+VLOOKUP(CP$3,Capacity!$A$53:$E$85,5,FALSE)*'Inputs-System'!$C$29*(1+'Inputs-System'!$C$43)), $C36 = "2", ('Inputs-System'!$C$26*'Coincidence Factors'!$B$6*(1+'Inputs-System'!$C$18))*'Inputs-Proposals'!$H$22*(VLOOKUP(CP$3,Capacity!$A$53:$E$85,4,FALSE)*(1+'Inputs-System'!$C$42)+VLOOKUP(CP$3,Capacity!$A$53:$E$85,5,FALSE)*'Inputs-System'!$C$29*(1+'Inputs-System'!$C$43)), $C36 = "3",('Inputs-System'!$C$26*'Coincidence Factors'!$B$6*(1+'Inputs-System'!$C$18))*'Inputs-Proposals'!$H$28*(VLOOKUP(CP$3,Capacity!$A$53:$E$85,4,FALSE)*(1+'Inputs-System'!$C$42)+VLOOKUP(CP$3,Capacity!$A$53:$E$85,5,FALSE)*'Inputs-System'!$C$29*(1+'Inputs-System'!$C$43)), $C36 = "0", 0), 0)</f>
        <v>0</v>
      </c>
      <c r="CT36" s="44">
        <v>0</v>
      </c>
      <c r="CU36" s="342">
        <f>IFERROR(_xlfn.IFS($C36="1", 'Inputs-System'!$C$30*'Coincidence Factors'!$B$6*'Inputs-Proposals'!$H$17*'Inputs-Proposals'!$H$19*(VLOOKUP(CP$3,'Non-Embedded Emissions'!$A$56:$D$90,2,FALSE)+VLOOKUP(CP$3,'Non-Embedded Emissions'!$A$143:$D$174,2,FALSE)+VLOOKUP(CP$3,'Non-Embedded Emissions'!$A$230:$D$259,2,FALSE)), $C36 = "2", 'Inputs-System'!$C$30*'Coincidence Factors'!$B$6*'Inputs-Proposals'!$H$23*'Inputs-Proposals'!$H$25*(VLOOKUP(CP$3,'Non-Embedded Emissions'!$A$56:$D$90,2,FALSE)+VLOOKUP(CP$3,'Non-Embedded Emissions'!$A$143:$D$174,2,FALSE)+VLOOKUP(CP$3,'Non-Embedded Emissions'!$A$230:$D$259,2,FALSE)), $C36 = "3", 'Inputs-System'!$C$30*'Coincidence Factors'!$B$6*'Inputs-Proposals'!$H$29*'Inputs-Proposals'!$H$31*(VLOOKUP(CP$3,'Non-Embedded Emissions'!$A$56:$D$90,2,FALSE)+VLOOKUP(CP$3,'Non-Embedded Emissions'!$A$143:$D$174,2,FALSE)+VLOOKUP(CP$3,'Non-Embedded Emissions'!$A$230:$D$259,2,FALSE)), $C36 = "0", 0), 0)</f>
        <v>0</v>
      </c>
      <c r="CV36" s="347">
        <f>IFERROR(_xlfn.IFS($C36="1",('Inputs-System'!$C$30*'Coincidence Factors'!$B$6*(1+'Inputs-System'!$C$18)*(1+'Inputs-System'!$C$41)*('Inputs-Proposals'!$H$17*'Inputs-Proposals'!$H$19*(1-'Inputs-Proposals'!$H$20^(CV$3-'Inputs-System'!$C$7)))*(VLOOKUP(CV$3,Energy!$A$51:$K$83,5,FALSE))), $C36 = "2",('Inputs-System'!$C$30*'Coincidence Factors'!$B$6)*(1+'Inputs-System'!$C$18)*(1+'Inputs-System'!$C$41)*('Inputs-Proposals'!$H$23*'Inputs-Proposals'!$H$25*(1-'Inputs-Proposals'!$H$26^(CV$3-'Inputs-System'!$C$7)))*(VLOOKUP(CV$3,Energy!$A$51:$K$83,5,FALSE)), $C36= "3", ('Inputs-System'!$C$30*'Coincidence Factors'!$B$6*(1+'Inputs-System'!$C$18)*(1+'Inputs-System'!$C$41)*('Inputs-Proposals'!$H$29*'Inputs-Proposals'!$H$31*(1-'Inputs-Proposals'!$H$32^(CV$3-'Inputs-System'!$C$7)))*(VLOOKUP(CV$3,Energy!$A$51:$K$83,5,FALSE))), $C36= "0", 0), 0)</f>
        <v>0</v>
      </c>
      <c r="CW36" s="44">
        <f>IFERROR(_xlfn.IFS($C36="1",('Inputs-System'!$C$30*'Coincidence Factors'!$B$6*(1+'Inputs-System'!$C$18)*(1+'Inputs-System'!$C$41))*'Inputs-Proposals'!$H$17*'Inputs-Proposals'!$H$19*(1-'Inputs-Proposals'!$H$20^(CV$3-'Inputs-System'!$C$7))*(VLOOKUP(CV$3,'Embedded Emissions'!$A$47:$B$78,2,FALSE)+VLOOKUP(CV$3,'Embedded Emissions'!$A$129:$B$158,2,FALSE)), $C36 = "2",('Inputs-System'!$C$30*'Coincidence Factors'!$B$6*(1+'Inputs-System'!$C$18)*(1+'Inputs-System'!$C$41))*'Inputs-Proposals'!$H$23*'Inputs-Proposals'!$H$25*(1-'Inputs-Proposals'!$H$20^(CV$3-'Inputs-System'!$C$7))*(VLOOKUP(CV$3,'Embedded Emissions'!$A$47:$B$78,2,FALSE)+VLOOKUP(CV$3,'Embedded Emissions'!$A$129:$B$158,2,FALSE)), $C36 = "3", ('Inputs-System'!$C$30*'Coincidence Factors'!$B$6*(1+'Inputs-System'!$C$18)*(1+'Inputs-System'!$C$41))*'Inputs-Proposals'!$H$29*'Inputs-Proposals'!$H$31*(1-'Inputs-Proposals'!$H$20^(CV$3-'Inputs-System'!$C$7))*(VLOOKUP(CV$3,'Embedded Emissions'!$A$47:$B$78,2,FALSE)+VLOOKUP(CV$3,'Embedded Emissions'!$A$129:$B$158,2,FALSE)), $C36 = "0", 0), 0)</f>
        <v>0</v>
      </c>
      <c r="CX36" s="44">
        <f>IFERROR(_xlfn.IFS($C36="1",( 'Inputs-System'!$C$30*'Coincidence Factors'!$B$6*(1+'Inputs-System'!$C$18)*(1+'Inputs-System'!$C$41))*('Inputs-Proposals'!$H$17*'Inputs-Proposals'!$H$19*(1-'Inputs-Proposals'!$H$20)^(CV$3-'Inputs-System'!$C$7))*(VLOOKUP(CV$3,DRIPE!$A$54:$I$82,5,FALSE)+VLOOKUP(CV$3,DRIPE!$A$54:$I$82,9,FALSE))+ ('Inputs-System'!$C$26*'Coincidence Factors'!$B$6*(1+'Inputs-System'!$C$18)*(1+'Inputs-System'!$C$42))*'Inputs-Proposals'!$H$16*VLOOKUP(CV$3,DRIPE!$A$54:$I$82,8,FALSE), $C36 = "2",( 'Inputs-System'!$C$30*'Coincidence Factors'!$B$6*(1+'Inputs-System'!$C$18)*(1+'Inputs-System'!$C$41))*('Inputs-Proposals'!$H$23*'Inputs-Proposals'!$H$25*(1-'Inputs-Proposals'!$H$26)^(CV$3-'Inputs-System'!$C$7))*(VLOOKUP(CV$3,DRIPE!$A$54:$I$82,5,FALSE)+VLOOKUP(CV$3,DRIPE!$A$54:$I$82,9,FALSE))+ ('Inputs-System'!$C$26*'Coincidence Factors'!$B$6*(1+'Inputs-System'!$C$18)*(1+'Inputs-System'!$C$42))*'Inputs-Proposals'!$H$22*VLOOKUP(CV$3,DRIPE!$A$54:$I$82,8,FALSE), $C36= "3", ( 'Inputs-System'!$C$30*'Coincidence Factors'!$B$6*(1+'Inputs-System'!$C$18)*(1+'Inputs-System'!$C$41))*('Inputs-Proposals'!$H$29*'Inputs-Proposals'!$H$31*(1-'Inputs-Proposals'!$H$32)^(CV$3-'Inputs-System'!$C$7))*(VLOOKUP(CV$3,DRIPE!$A$54:$I$82,5,FALSE)+VLOOKUP(CV$3,DRIPE!$A$54:$I$82,9,FALSE))+ ('Inputs-System'!$C$26*'Coincidence Factors'!$B$6*(1+'Inputs-System'!$C$18)*(1+'Inputs-System'!$C$42))*'Inputs-Proposals'!$H$28*VLOOKUP(CV$3,DRIPE!$A$54:$I$82,8,FALSE), $C36 = "0", 0), 0)</f>
        <v>0</v>
      </c>
      <c r="CY36" s="45">
        <f>IFERROR(_xlfn.IFS($C36="1",('Inputs-System'!$C$26*'Coincidence Factors'!$B$6*(1+'Inputs-System'!$C$18))*'Inputs-Proposals'!$H$16*(VLOOKUP(CV$3,Capacity!$A$53:$E$85,4,FALSE)*(1+'Inputs-System'!$C$42)+VLOOKUP(CV$3,Capacity!$A$53:$E$85,5,FALSE)*'Inputs-System'!$C$29*(1+'Inputs-System'!$C$43)), $C36 = "2", ('Inputs-System'!$C$26*'Coincidence Factors'!$B$6*(1+'Inputs-System'!$C$18))*'Inputs-Proposals'!$H$22*(VLOOKUP(CV$3,Capacity!$A$53:$E$85,4,FALSE)*(1+'Inputs-System'!$C$42)+VLOOKUP(CV$3,Capacity!$A$53:$E$85,5,FALSE)*'Inputs-System'!$C$29*(1+'Inputs-System'!$C$43)), $C36 = "3",('Inputs-System'!$C$26*'Coincidence Factors'!$B$6*(1+'Inputs-System'!$C$18))*'Inputs-Proposals'!$H$28*(VLOOKUP(CV$3,Capacity!$A$53:$E$85,4,FALSE)*(1+'Inputs-System'!$C$42)+VLOOKUP(CV$3,Capacity!$A$53:$E$85,5,FALSE)*'Inputs-System'!$C$29*(1+'Inputs-System'!$C$43)), $C36 = "0", 0), 0)</f>
        <v>0</v>
      </c>
      <c r="CZ36" s="44">
        <v>0</v>
      </c>
      <c r="DA36" s="342">
        <f>IFERROR(_xlfn.IFS($C36="1", 'Inputs-System'!$C$30*'Coincidence Factors'!$B$6*'Inputs-Proposals'!$H$17*'Inputs-Proposals'!$H$19*(VLOOKUP(CV$3,'Non-Embedded Emissions'!$A$56:$D$90,2,FALSE)+VLOOKUP(CV$3,'Non-Embedded Emissions'!$A$143:$D$174,2,FALSE)+VLOOKUP(CV$3,'Non-Embedded Emissions'!$A$230:$D$259,2,FALSE)), $C36 = "2", 'Inputs-System'!$C$30*'Coincidence Factors'!$B$6*'Inputs-Proposals'!$H$23*'Inputs-Proposals'!$H$25*(VLOOKUP(CV$3,'Non-Embedded Emissions'!$A$56:$D$90,2,FALSE)+VLOOKUP(CV$3,'Non-Embedded Emissions'!$A$143:$D$174,2,FALSE)+VLOOKUP(CV$3,'Non-Embedded Emissions'!$A$230:$D$259,2,FALSE)), $C36 = "3", 'Inputs-System'!$C$30*'Coincidence Factors'!$B$6*'Inputs-Proposals'!$H$29*'Inputs-Proposals'!$H$31*(VLOOKUP(CV$3,'Non-Embedded Emissions'!$A$56:$D$90,2,FALSE)+VLOOKUP(CV$3,'Non-Embedded Emissions'!$A$143:$D$174,2,FALSE)+VLOOKUP(CV$3,'Non-Embedded Emissions'!$A$230:$D$259,2,FALSE)), $C36 = "0", 0), 0)</f>
        <v>0</v>
      </c>
      <c r="DB36" s="347">
        <f>IFERROR(_xlfn.IFS($C36="1",('Inputs-System'!$C$30*'Coincidence Factors'!$B$6*(1+'Inputs-System'!$C$18)*(1+'Inputs-System'!$C$41)*('Inputs-Proposals'!$H$17*'Inputs-Proposals'!$H$19*(1-'Inputs-Proposals'!$H$20^(DB$3-'Inputs-System'!$C$7)))*(VLOOKUP(DB$3,Energy!$A$51:$K$83,5,FALSE))), $C36 = "2",('Inputs-System'!$C$30*'Coincidence Factors'!$B$6)*(1+'Inputs-System'!$C$18)*(1+'Inputs-System'!$C$41)*('Inputs-Proposals'!$H$23*'Inputs-Proposals'!$H$25*(1-'Inputs-Proposals'!$H$26^(DB$3-'Inputs-System'!$C$7)))*(VLOOKUP(DB$3,Energy!$A$51:$K$83,5,FALSE)), $C36= "3", ('Inputs-System'!$C$30*'Coincidence Factors'!$B$6*(1+'Inputs-System'!$C$18)*(1+'Inputs-System'!$C$41)*('Inputs-Proposals'!$H$29*'Inputs-Proposals'!$H$31*(1-'Inputs-Proposals'!$H$32^(DB$3-'Inputs-System'!$C$7)))*(VLOOKUP(DB$3,Energy!$A$51:$K$83,5,FALSE))), $C36= "0", 0), 0)</f>
        <v>0</v>
      </c>
      <c r="DC36" s="44">
        <f>IFERROR(_xlfn.IFS($C36="1",('Inputs-System'!$C$30*'Coincidence Factors'!$B$6*(1+'Inputs-System'!$C$18)*(1+'Inputs-System'!$C$41))*'Inputs-Proposals'!$H$17*'Inputs-Proposals'!$H$19*(1-'Inputs-Proposals'!$H$20^(DB$3-'Inputs-System'!$C$7))*(VLOOKUP(DB$3,'Embedded Emissions'!$A$47:$B$78,2,FALSE)+VLOOKUP(DB$3,'Embedded Emissions'!$A$129:$B$158,2,FALSE)), $C36 = "2",('Inputs-System'!$C$30*'Coincidence Factors'!$B$6*(1+'Inputs-System'!$C$18)*(1+'Inputs-System'!$C$41))*'Inputs-Proposals'!$H$23*'Inputs-Proposals'!$H$25*(1-'Inputs-Proposals'!$H$20^(DB$3-'Inputs-System'!$C$7))*(VLOOKUP(DB$3,'Embedded Emissions'!$A$47:$B$78,2,FALSE)+VLOOKUP(DB$3,'Embedded Emissions'!$A$129:$B$158,2,FALSE)), $C36 = "3", ('Inputs-System'!$C$30*'Coincidence Factors'!$B$6*(1+'Inputs-System'!$C$18)*(1+'Inputs-System'!$C$41))*'Inputs-Proposals'!$H$29*'Inputs-Proposals'!$H$31*(1-'Inputs-Proposals'!$H$20^(DB$3-'Inputs-System'!$C$7))*(VLOOKUP(DB$3,'Embedded Emissions'!$A$47:$B$78,2,FALSE)+VLOOKUP(DB$3,'Embedded Emissions'!$A$129:$B$158,2,FALSE)), $C36 = "0", 0), 0)</f>
        <v>0</v>
      </c>
      <c r="DD36" s="44">
        <f>IFERROR(_xlfn.IFS($C36="1",( 'Inputs-System'!$C$30*'Coincidence Factors'!$B$6*(1+'Inputs-System'!$C$18)*(1+'Inputs-System'!$C$41))*('Inputs-Proposals'!$H$17*'Inputs-Proposals'!$H$19*(1-'Inputs-Proposals'!$H$20)^(DB$3-'Inputs-System'!$C$7))*(VLOOKUP(DB$3,DRIPE!$A$54:$I$82,5,FALSE)+VLOOKUP(DB$3,DRIPE!$A$54:$I$82,9,FALSE))+ ('Inputs-System'!$C$26*'Coincidence Factors'!$B$6*(1+'Inputs-System'!$C$18)*(1+'Inputs-System'!$C$42))*'Inputs-Proposals'!$H$16*VLOOKUP(DB$3,DRIPE!$A$54:$I$82,8,FALSE), $C36 = "2",( 'Inputs-System'!$C$30*'Coincidence Factors'!$B$6*(1+'Inputs-System'!$C$18)*(1+'Inputs-System'!$C$41))*('Inputs-Proposals'!$H$23*'Inputs-Proposals'!$H$25*(1-'Inputs-Proposals'!$H$26)^(DB$3-'Inputs-System'!$C$7))*(VLOOKUP(DB$3,DRIPE!$A$54:$I$82,5,FALSE)+VLOOKUP(DB$3,DRIPE!$A$54:$I$82,9,FALSE))+ ('Inputs-System'!$C$26*'Coincidence Factors'!$B$6*(1+'Inputs-System'!$C$18)*(1+'Inputs-System'!$C$42))*'Inputs-Proposals'!$H$22*VLOOKUP(DB$3,DRIPE!$A$54:$I$82,8,FALSE), $C36= "3", ( 'Inputs-System'!$C$30*'Coincidence Factors'!$B$6*(1+'Inputs-System'!$C$18)*(1+'Inputs-System'!$C$41))*('Inputs-Proposals'!$H$29*'Inputs-Proposals'!$H$31*(1-'Inputs-Proposals'!$H$32)^(DB$3-'Inputs-System'!$C$7))*(VLOOKUP(DB$3,DRIPE!$A$54:$I$82,5,FALSE)+VLOOKUP(DB$3,DRIPE!$A$54:$I$82,9,FALSE))+ ('Inputs-System'!$C$26*'Coincidence Factors'!$B$6*(1+'Inputs-System'!$C$18)*(1+'Inputs-System'!$C$42))*'Inputs-Proposals'!$H$28*VLOOKUP(DB$3,DRIPE!$A$54:$I$82,8,FALSE), $C36 = "0", 0), 0)</f>
        <v>0</v>
      </c>
      <c r="DE36" s="45">
        <f>IFERROR(_xlfn.IFS($C36="1",('Inputs-System'!$C$26*'Coincidence Factors'!$B$6*(1+'Inputs-System'!$C$18))*'Inputs-Proposals'!$H$16*(VLOOKUP(DB$3,Capacity!$A$53:$E$85,4,FALSE)*(1+'Inputs-System'!$C$42)+VLOOKUP(DB$3,Capacity!$A$53:$E$85,5,FALSE)*'Inputs-System'!$C$29*(1+'Inputs-System'!$C$43)), $C36 = "2", ('Inputs-System'!$C$26*'Coincidence Factors'!$B$6*(1+'Inputs-System'!$C$18))*'Inputs-Proposals'!$H$22*(VLOOKUP(DB$3,Capacity!$A$53:$E$85,4,FALSE)*(1+'Inputs-System'!$C$42)+VLOOKUP(DB$3,Capacity!$A$53:$E$85,5,FALSE)*'Inputs-System'!$C$29*(1+'Inputs-System'!$C$43)), $C36 = "3",('Inputs-System'!$C$26*'Coincidence Factors'!$B$6*(1+'Inputs-System'!$C$18))*'Inputs-Proposals'!$H$28*(VLOOKUP(DB$3,Capacity!$A$53:$E$85,4,FALSE)*(1+'Inputs-System'!$C$42)+VLOOKUP(DB$3,Capacity!$A$53:$E$85,5,FALSE)*'Inputs-System'!$C$29*(1+'Inputs-System'!$C$43)), $C36 = "0", 0), 0)</f>
        <v>0</v>
      </c>
      <c r="DF36" s="44">
        <v>0</v>
      </c>
      <c r="DG36" s="342">
        <f>IFERROR(_xlfn.IFS($C36="1", 'Inputs-System'!$C$30*'Coincidence Factors'!$B$6*'Inputs-Proposals'!$H$17*'Inputs-Proposals'!$H$19*(VLOOKUP(DB$3,'Non-Embedded Emissions'!$A$56:$D$90,2,FALSE)+VLOOKUP(DB$3,'Non-Embedded Emissions'!$A$143:$D$174,2,FALSE)+VLOOKUP(DB$3,'Non-Embedded Emissions'!$A$230:$D$259,2,FALSE)), $C36 = "2", 'Inputs-System'!$C$30*'Coincidence Factors'!$B$6*'Inputs-Proposals'!$H$23*'Inputs-Proposals'!$H$25*(VLOOKUP(DB$3,'Non-Embedded Emissions'!$A$56:$D$90,2,FALSE)+VLOOKUP(DB$3,'Non-Embedded Emissions'!$A$143:$D$174,2,FALSE)+VLOOKUP(DB$3,'Non-Embedded Emissions'!$A$230:$D$259,2,FALSE)), $C36 = "3", 'Inputs-System'!$C$30*'Coincidence Factors'!$B$6*'Inputs-Proposals'!$H$29*'Inputs-Proposals'!$H$31*(VLOOKUP(DB$3,'Non-Embedded Emissions'!$A$56:$D$90,2,FALSE)+VLOOKUP(DB$3,'Non-Embedded Emissions'!$A$143:$D$174,2,FALSE)+VLOOKUP(DB$3,'Non-Embedded Emissions'!$A$230:$D$259,2,FALSE)), $C36 = "0", 0), 0)</f>
        <v>0</v>
      </c>
      <c r="DH36" s="347">
        <f>IFERROR(_xlfn.IFS($C36="1",('Inputs-System'!$C$30*'Coincidence Factors'!$B$6*(1+'Inputs-System'!$C$18)*(1+'Inputs-System'!$C$41)*('Inputs-Proposals'!$H$17*'Inputs-Proposals'!$H$19*(1-'Inputs-Proposals'!$H$20^(DH$3-'Inputs-System'!$C$7)))*(VLOOKUP(DH$3,Energy!$A$51:$K$83,5,FALSE))), $C36 = "2",('Inputs-System'!$C$30*'Coincidence Factors'!$B$6)*(1+'Inputs-System'!$C$18)*(1+'Inputs-System'!$C$41)*('Inputs-Proposals'!$H$23*'Inputs-Proposals'!$H$25*(1-'Inputs-Proposals'!$H$26^(DH$3-'Inputs-System'!$C$7)))*(VLOOKUP(DH$3,Energy!$A$51:$K$83,5,FALSE)), $C36= "3", ('Inputs-System'!$C$30*'Coincidence Factors'!$B$6*(1+'Inputs-System'!$C$18)*(1+'Inputs-System'!$C$41)*('Inputs-Proposals'!$H$29*'Inputs-Proposals'!$H$31*(1-'Inputs-Proposals'!$H$32^(DH$3-'Inputs-System'!$C$7)))*(VLOOKUP(DH$3,Energy!$A$51:$K$83,5,FALSE))), $C36= "0", 0), 0)</f>
        <v>0</v>
      </c>
      <c r="DI36" s="44">
        <f>IFERROR(_xlfn.IFS($C36="1",('Inputs-System'!$C$30*'Coincidence Factors'!$B$6*(1+'Inputs-System'!$C$18)*(1+'Inputs-System'!$C$41))*'Inputs-Proposals'!$H$17*'Inputs-Proposals'!$H$19*(1-'Inputs-Proposals'!$H$20^(DH$3-'Inputs-System'!$C$7))*(VLOOKUP(DH$3,'Embedded Emissions'!$A$47:$B$78,2,FALSE)+VLOOKUP(DH$3,'Embedded Emissions'!$A$129:$B$158,2,FALSE)), $C36 = "2",('Inputs-System'!$C$30*'Coincidence Factors'!$B$6*(1+'Inputs-System'!$C$18)*(1+'Inputs-System'!$C$41))*'Inputs-Proposals'!$H$23*'Inputs-Proposals'!$H$25*(1-'Inputs-Proposals'!$H$20^(DH$3-'Inputs-System'!$C$7))*(VLOOKUP(DH$3,'Embedded Emissions'!$A$47:$B$78,2,FALSE)+VLOOKUP(DH$3,'Embedded Emissions'!$A$129:$B$158,2,FALSE)), $C36 = "3", ('Inputs-System'!$C$30*'Coincidence Factors'!$B$6*(1+'Inputs-System'!$C$18)*(1+'Inputs-System'!$C$41))*'Inputs-Proposals'!$H$29*'Inputs-Proposals'!$H$31*(1-'Inputs-Proposals'!$H$20^(DH$3-'Inputs-System'!$C$7))*(VLOOKUP(DH$3,'Embedded Emissions'!$A$47:$B$78,2,FALSE)+VLOOKUP(DH$3,'Embedded Emissions'!$A$129:$B$158,2,FALSE)), $C36 = "0", 0), 0)</f>
        <v>0</v>
      </c>
      <c r="DJ36" s="44">
        <f>IFERROR(_xlfn.IFS($C36="1",( 'Inputs-System'!$C$30*'Coincidence Factors'!$B$6*(1+'Inputs-System'!$C$18)*(1+'Inputs-System'!$C$41))*('Inputs-Proposals'!$H$17*'Inputs-Proposals'!$H$19*(1-'Inputs-Proposals'!$H$20)^(DH$3-'Inputs-System'!$C$7))*(VLOOKUP(DH$3,DRIPE!$A$54:$I$82,5,FALSE)+VLOOKUP(DH$3,DRIPE!$A$54:$I$82,9,FALSE))+ ('Inputs-System'!$C$26*'Coincidence Factors'!$B$6*(1+'Inputs-System'!$C$18)*(1+'Inputs-System'!$C$42))*'Inputs-Proposals'!$H$16*VLOOKUP(DH$3,DRIPE!$A$54:$I$82,8,FALSE), $C36 = "2",( 'Inputs-System'!$C$30*'Coincidence Factors'!$B$6*(1+'Inputs-System'!$C$18)*(1+'Inputs-System'!$C$41))*('Inputs-Proposals'!$H$23*'Inputs-Proposals'!$H$25*(1-'Inputs-Proposals'!$H$26)^(DH$3-'Inputs-System'!$C$7))*(VLOOKUP(DH$3,DRIPE!$A$54:$I$82,5,FALSE)+VLOOKUP(DH$3,DRIPE!$A$54:$I$82,9,FALSE))+ ('Inputs-System'!$C$26*'Coincidence Factors'!$B$6*(1+'Inputs-System'!$C$18)*(1+'Inputs-System'!$C$42))*'Inputs-Proposals'!$H$22*VLOOKUP(DH$3,DRIPE!$A$54:$I$82,8,FALSE), $C36= "3", ( 'Inputs-System'!$C$30*'Coincidence Factors'!$B$6*(1+'Inputs-System'!$C$18)*(1+'Inputs-System'!$C$41))*('Inputs-Proposals'!$H$29*'Inputs-Proposals'!$H$31*(1-'Inputs-Proposals'!$H$32)^(DH$3-'Inputs-System'!$C$7))*(VLOOKUP(DH$3,DRIPE!$A$54:$I$82,5,FALSE)+VLOOKUP(DH$3,DRIPE!$A$54:$I$82,9,FALSE))+ ('Inputs-System'!$C$26*'Coincidence Factors'!$B$6*(1+'Inputs-System'!$C$18)*(1+'Inputs-System'!$C$42))*'Inputs-Proposals'!$H$28*VLOOKUP(DH$3,DRIPE!$A$54:$I$82,8,FALSE), $C36 = "0", 0), 0)</f>
        <v>0</v>
      </c>
      <c r="DK36" s="45">
        <f>IFERROR(_xlfn.IFS($C36="1",('Inputs-System'!$C$26*'Coincidence Factors'!$B$6*(1+'Inputs-System'!$C$18))*'Inputs-Proposals'!$H$16*(VLOOKUP(DH$3,Capacity!$A$53:$E$85,4,FALSE)*(1+'Inputs-System'!$C$42)+VLOOKUP(DH$3,Capacity!$A$53:$E$85,5,FALSE)*'Inputs-System'!$C$29*(1+'Inputs-System'!$C$43)), $C36 = "2", ('Inputs-System'!$C$26*'Coincidence Factors'!$B$6*(1+'Inputs-System'!$C$18))*'Inputs-Proposals'!$H$22*(VLOOKUP(DH$3,Capacity!$A$53:$E$85,4,FALSE)*(1+'Inputs-System'!$C$42)+VLOOKUP(DH$3,Capacity!$A$53:$E$85,5,FALSE)*'Inputs-System'!$C$29*(1+'Inputs-System'!$C$43)), $C36 = "3",('Inputs-System'!$C$26*'Coincidence Factors'!$B$6*(1+'Inputs-System'!$C$18))*'Inputs-Proposals'!$H$28*(VLOOKUP(DH$3,Capacity!$A$53:$E$85,4,FALSE)*(1+'Inputs-System'!$C$42)+VLOOKUP(DH$3,Capacity!$A$53:$E$85,5,FALSE)*'Inputs-System'!$C$29*(1+'Inputs-System'!$C$43)), $C36 = "0", 0), 0)</f>
        <v>0</v>
      </c>
      <c r="DL36" s="44">
        <v>0</v>
      </c>
      <c r="DM36" s="342">
        <f>IFERROR(_xlfn.IFS($C36="1", 'Inputs-System'!$C$30*'Coincidence Factors'!$B$6*'Inputs-Proposals'!$H$17*'Inputs-Proposals'!$H$19*(VLOOKUP(DH$3,'Non-Embedded Emissions'!$A$56:$D$90,2,FALSE)+VLOOKUP(DH$3,'Non-Embedded Emissions'!$A$143:$D$174,2,FALSE)+VLOOKUP(DH$3,'Non-Embedded Emissions'!$A$230:$D$259,2,FALSE)), $C36 = "2", 'Inputs-System'!$C$30*'Coincidence Factors'!$B$6*'Inputs-Proposals'!$H$23*'Inputs-Proposals'!$H$25*(VLOOKUP(DH$3,'Non-Embedded Emissions'!$A$56:$D$90,2,FALSE)+VLOOKUP(DH$3,'Non-Embedded Emissions'!$A$143:$D$174,2,FALSE)+VLOOKUP(DH$3,'Non-Embedded Emissions'!$A$230:$D$259,2,FALSE)), $C36 = "3", 'Inputs-System'!$C$30*'Coincidence Factors'!$B$6*'Inputs-Proposals'!$H$29*'Inputs-Proposals'!$H$31*(VLOOKUP(DH$3,'Non-Embedded Emissions'!$A$56:$D$90,2,FALSE)+VLOOKUP(DH$3,'Non-Embedded Emissions'!$A$143:$D$174,2,FALSE)+VLOOKUP(DH$3,'Non-Embedded Emissions'!$A$230:$D$259,2,FALSE)), $C36 = "0", 0), 0)</f>
        <v>0</v>
      </c>
      <c r="DN36" s="347">
        <f>IFERROR(_xlfn.IFS($C36="1",('Inputs-System'!$C$30*'Coincidence Factors'!$B$6*(1+'Inputs-System'!$C$18)*(1+'Inputs-System'!$C$41)*('Inputs-Proposals'!$H$17*'Inputs-Proposals'!$H$19*(1-'Inputs-Proposals'!$H$20^(DN$3-'Inputs-System'!$C$7)))*(VLOOKUP(DN$3,Energy!$A$51:$K$83,5,FALSE))), $C36 = "2",('Inputs-System'!$C$30*'Coincidence Factors'!$B$6)*(1+'Inputs-System'!$C$18)*(1+'Inputs-System'!$C$41)*('Inputs-Proposals'!$H$23*'Inputs-Proposals'!$H$25*(1-'Inputs-Proposals'!$H$26^(DN$3-'Inputs-System'!$C$7)))*(VLOOKUP(DN$3,Energy!$A$51:$K$83,5,FALSE)), $C36= "3", ('Inputs-System'!$C$30*'Coincidence Factors'!$B$6*(1+'Inputs-System'!$C$18)*(1+'Inputs-System'!$C$41)*('Inputs-Proposals'!$H$29*'Inputs-Proposals'!$H$31*(1-'Inputs-Proposals'!$H$32^(DN$3-'Inputs-System'!$C$7)))*(VLOOKUP(DN$3,Energy!$A$51:$K$83,5,FALSE))), $C36= "0", 0), 0)</f>
        <v>0</v>
      </c>
      <c r="DO36" s="44">
        <f>IFERROR(_xlfn.IFS($C36="1",('Inputs-System'!$C$30*'Coincidence Factors'!$B$6*(1+'Inputs-System'!$C$18)*(1+'Inputs-System'!$C$41))*'Inputs-Proposals'!$H$17*'Inputs-Proposals'!$H$19*(1-'Inputs-Proposals'!$H$20^(DN$3-'Inputs-System'!$C$7))*(VLOOKUP(DN$3,'Embedded Emissions'!$A$47:$B$78,2,FALSE)+VLOOKUP(DN$3,'Embedded Emissions'!$A$129:$B$158,2,FALSE)), $C36 = "2",('Inputs-System'!$C$30*'Coincidence Factors'!$B$6*(1+'Inputs-System'!$C$18)*(1+'Inputs-System'!$C$41))*'Inputs-Proposals'!$H$23*'Inputs-Proposals'!$H$25*(1-'Inputs-Proposals'!$H$20^(DN$3-'Inputs-System'!$C$7))*(VLOOKUP(DN$3,'Embedded Emissions'!$A$47:$B$78,2,FALSE)+VLOOKUP(DN$3,'Embedded Emissions'!$A$129:$B$158,2,FALSE)), $C36 = "3", ('Inputs-System'!$C$30*'Coincidence Factors'!$B$6*(1+'Inputs-System'!$C$18)*(1+'Inputs-System'!$C$41))*'Inputs-Proposals'!$H$29*'Inputs-Proposals'!$H$31*(1-'Inputs-Proposals'!$H$20^(DN$3-'Inputs-System'!$C$7))*(VLOOKUP(DN$3,'Embedded Emissions'!$A$47:$B$78,2,FALSE)+VLOOKUP(DN$3,'Embedded Emissions'!$A$129:$B$158,2,FALSE)), $C36 = "0", 0), 0)</f>
        <v>0</v>
      </c>
      <c r="DP36" s="44">
        <f>IFERROR(_xlfn.IFS($C36="1",( 'Inputs-System'!$C$30*'Coincidence Factors'!$B$6*(1+'Inputs-System'!$C$18)*(1+'Inputs-System'!$C$41))*('Inputs-Proposals'!$H$17*'Inputs-Proposals'!$H$19*(1-'Inputs-Proposals'!$H$20)^(DN$3-'Inputs-System'!$C$7))*(VLOOKUP(DN$3,DRIPE!$A$54:$I$82,5,FALSE)+VLOOKUP(DN$3,DRIPE!$A$54:$I$82,9,FALSE))+ ('Inputs-System'!$C$26*'Coincidence Factors'!$B$6*(1+'Inputs-System'!$C$18)*(1+'Inputs-System'!$C$42))*'Inputs-Proposals'!$H$16*VLOOKUP(DN$3,DRIPE!$A$54:$I$82,8,FALSE), $C36 = "2",( 'Inputs-System'!$C$30*'Coincidence Factors'!$B$6*(1+'Inputs-System'!$C$18)*(1+'Inputs-System'!$C$41))*('Inputs-Proposals'!$H$23*'Inputs-Proposals'!$H$25*(1-'Inputs-Proposals'!$H$26)^(DN$3-'Inputs-System'!$C$7))*(VLOOKUP(DN$3,DRIPE!$A$54:$I$82,5,FALSE)+VLOOKUP(DN$3,DRIPE!$A$54:$I$82,9,FALSE))+ ('Inputs-System'!$C$26*'Coincidence Factors'!$B$6*(1+'Inputs-System'!$C$18)*(1+'Inputs-System'!$C$42))*'Inputs-Proposals'!$H$22*VLOOKUP(DN$3,DRIPE!$A$54:$I$82,8,FALSE), $C36= "3", ( 'Inputs-System'!$C$30*'Coincidence Factors'!$B$6*(1+'Inputs-System'!$C$18)*(1+'Inputs-System'!$C$41))*('Inputs-Proposals'!$H$29*'Inputs-Proposals'!$H$31*(1-'Inputs-Proposals'!$H$32)^(DN$3-'Inputs-System'!$C$7))*(VLOOKUP(DN$3,DRIPE!$A$54:$I$82,5,FALSE)+VLOOKUP(DN$3,DRIPE!$A$54:$I$82,9,FALSE))+ ('Inputs-System'!$C$26*'Coincidence Factors'!$B$6*(1+'Inputs-System'!$C$18)*(1+'Inputs-System'!$C$42))*'Inputs-Proposals'!$H$28*VLOOKUP(DN$3,DRIPE!$A$54:$I$82,8,FALSE), $C36 = "0", 0), 0)</f>
        <v>0</v>
      </c>
      <c r="DQ36" s="45">
        <f>IFERROR(_xlfn.IFS($C36="1",('Inputs-System'!$C$26*'Coincidence Factors'!$B$6*(1+'Inputs-System'!$C$18))*'Inputs-Proposals'!$H$16*(VLOOKUP(DN$3,Capacity!$A$53:$E$85,4,FALSE)*(1+'Inputs-System'!$C$42)+VLOOKUP(DN$3,Capacity!$A$53:$E$85,5,FALSE)*'Inputs-System'!$C$29*(1+'Inputs-System'!$C$43)), $C36 = "2", ('Inputs-System'!$C$26*'Coincidence Factors'!$B$6*(1+'Inputs-System'!$C$18))*'Inputs-Proposals'!$H$22*(VLOOKUP(DN$3,Capacity!$A$53:$E$85,4,FALSE)*(1+'Inputs-System'!$C$42)+VLOOKUP(DN$3,Capacity!$A$53:$E$85,5,FALSE)*'Inputs-System'!$C$29*(1+'Inputs-System'!$C$43)), $C36 = "3",('Inputs-System'!$C$26*'Coincidence Factors'!$B$6*(1+'Inputs-System'!$C$18))*'Inputs-Proposals'!$H$28*(VLOOKUP(DN$3,Capacity!$A$53:$E$85,4,FALSE)*(1+'Inputs-System'!$C$42)+VLOOKUP(DN$3,Capacity!$A$53:$E$85,5,FALSE)*'Inputs-System'!$C$29*(1+'Inputs-System'!$C$43)), $C36 = "0", 0), 0)</f>
        <v>0</v>
      </c>
      <c r="DR36" s="44">
        <v>0</v>
      </c>
      <c r="DS36" s="342">
        <f>IFERROR(_xlfn.IFS($C36="1", 'Inputs-System'!$C$30*'Coincidence Factors'!$B$6*'Inputs-Proposals'!$H$17*'Inputs-Proposals'!$H$19*(VLOOKUP(DN$3,'Non-Embedded Emissions'!$A$56:$D$90,2,FALSE)+VLOOKUP(DN$3,'Non-Embedded Emissions'!$A$143:$D$174,2,FALSE)+VLOOKUP(DN$3,'Non-Embedded Emissions'!$A$230:$D$259,2,FALSE)), $C36 = "2", 'Inputs-System'!$C$30*'Coincidence Factors'!$B$6*'Inputs-Proposals'!$H$23*'Inputs-Proposals'!$H$25*(VLOOKUP(DN$3,'Non-Embedded Emissions'!$A$56:$D$90,2,FALSE)+VLOOKUP(DN$3,'Non-Embedded Emissions'!$A$143:$D$174,2,FALSE)+VLOOKUP(DN$3,'Non-Embedded Emissions'!$A$230:$D$259,2,FALSE)), $C36 = "3", 'Inputs-System'!$C$30*'Coincidence Factors'!$B$6*'Inputs-Proposals'!$H$29*'Inputs-Proposals'!$H$31*(VLOOKUP(DN$3,'Non-Embedded Emissions'!$A$56:$D$90,2,FALSE)+VLOOKUP(DN$3,'Non-Embedded Emissions'!$A$143:$D$174,2,FALSE)+VLOOKUP(DN$3,'Non-Embedded Emissions'!$A$230:$D$259,2,FALSE)), $C36 = "0", 0), 0)</f>
        <v>0</v>
      </c>
      <c r="DT36" s="347">
        <f>IFERROR(_xlfn.IFS($C36="1",('Inputs-System'!$C$30*'Coincidence Factors'!$B$6*(1+'Inputs-System'!$C$18)*(1+'Inputs-System'!$C$41)*('Inputs-Proposals'!$H$17*'Inputs-Proposals'!$H$19*(1-'Inputs-Proposals'!$H$20^(DT$3-'Inputs-System'!$C$7)))*(VLOOKUP(DT$3,Energy!$A$51:$K$83,5,FALSE))), $C36 = "2",('Inputs-System'!$C$30*'Coincidence Factors'!$B$6)*(1+'Inputs-System'!$C$18)*(1+'Inputs-System'!$C$41)*('Inputs-Proposals'!$H$23*'Inputs-Proposals'!$H$25*(1-'Inputs-Proposals'!$H$26^(DT$3-'Inputs-System'!$C$7)))*(VLOOKUP(DT$3,Energy!$A$51:$K$83,5,FALSE)), $C36= "3", ('Inputs-System'!$C$30*'Coincidence Factors'!$B$6*(1+'Inputs-System'!$C$18)*(1+'Inputs-System'!$C$41)*('Inputs-Proposals'!$H$29*'Inputs-Proposals'!$H$31*(1-'Inputs-Proposals'!$H$32^(DT$3-'Inputs-System'!$C$7)))*(VLOOKUP(DT$3,Energy!$A$51:$K$83,5,FALSE))), $C36= "0", 0), 0)</f>
        <v>0</v>
      </c>
      <c r="DU36" s="44">
        <f>IFERROR(_xlfn.IFS($C36="1",('Inputs-System'!$C$30*'Coincidence Factors'!$B$6*(1+'Inputs-System'!$C$18)*(1+'Inputs-System'!$C$41))*'Inputs-Proposals'!$H$17*'Inputs-Proposals'!$H$19*(1-'Inputs-Proposals'!$H$20^(DT$3-'Inputs-System'!$C$7))*(VLOOKUP(DT$3,'Embedded Emissions'!$A$47:$B$78,2,FALSE)+VLOOKUP(DT$3,'Embedded Emissions'!$A$129:$B$158,2,FALSE)), $C36 = "2",('Inputs-System'!$C$30*'Coincidence Factors'!$B$6*(1+'Inputs-System'!$C$18)*(1+'Inputs-System'!$C$41))*'Inputs-Proposals'!$H$23*'Inputs-Proposals'!$H$25*(1-'Inputs-Proposals'!$H$20^(DT$3-'Inputs-System'!$C$7))*(VLOOKUP(DT$3,'Embedded Emissions'!$A$47:$B$78,2,FALSE)+VLOOKUP(DT$3,'Embedded Emissions'!$A$129:$B$158,2,FALSE)), $C36 = "3", ('Inputs-System'!$C$30*'Coincidence Factors'!$B$6*(1+'Inputs-System'!$C$18)*(1+'Inputs-System'!$C$41))*'Inputs-Proposals'!$H$29*'Inputs-Proposals'!$H$31*(1-'Inputs-Proposals'!$H$20^(DT$3-'Inputs-System'!$C$7))*(VLOOKUP(DT$3,'Embedded Emissions'!$A$47:$B$78,2,FALSE)+VLOOKUP(DT$3,'Embedded Emissions'!$A$129:$B$158,2,FALSE)), $C36 = "0", 0), 0)</f>
        <v>0</v>
      </c>
      <c r="DV36" s="44">
        <f>IFERROR(_xlfn.IFS($C36="1",( 'Inputs-System'!$C$30*'Coincidence Factors'!$B$6*(1+'Inputs-System'!$C$18)*(1+'Inputs-System'!$C$41))*('Inputs-Proposals'!$H$17*'Inputs-Proposals'!$H$19*(1-'Inputs-Proposals'!$H$20)^(DT$3-'Inputs-System'!$C$7))*(VLOOKUP(DT$3,DRIPE!$A$54:$I$82,5,FALSE)+VLOOKUP(DT$3,DRIPE!$A$54:$I$82,9,FALSE))+ ('Inputs-System'!$C$26*'Coincidence Factors'!$B$6*(1+'Inputs-System'!$C$18)*(1+'Inputs-System'!$C$42))*'Inputs-Proposals'!$H$16*VLOOKUP(DT$3,DRIPE!$A$54:$I$82,8,FALSE), $C36 = "2",( 'Inputs-System'!$C$30*'Coincidence Factors'!$B$6*(1+'Inputs-System'!$C$18)*(1+'Inputs-System'!$C$41))*('Inputs-Proposals'!$H$23*'Inputs-Proposals'!$H$25*(1-'Inputs-Proposals'!$H$26)^(DT$3-'Inputs-System'!$C$7))*(VLOOKUP(DT$3,DRIPE!$A$54:$I$82,5,FALSE)+VLOOKUP(DT$3,DRIPE!$A$54:$I$82,9,FALSE))+ ('Inputs-System'!$C$26*'Coincidence Factors'!$B$6*(1+'Inputs-System'!$C$18)*(1+'Inputs-System'!$C$42))*'Inputs-Proposals'!$H$22*VLOOKUP(DT$3,DRIPE!$A$54:$I$82,8,FALSE), $C36= "3", ( 'Inputs-System'!$C$30*'Coincidence Factors'!$B$6*(1+'Inputs-System'!$C$18)*(1+'Inputs-System'!$C$41))*('Inputs-Proposals'!$H$29*'Inputs-Proposals'!$H$31*(1-'Inputs-Proposals'!$H$32)^(DT$3-'Inputs-System'!$C$7))*(VLOOKUP(DT$3,DRIPE!$A$54:$I$82,5,FALSE)+VLOOKUP(DT$3,DRIPE!$A$54:$I$82,9,FALSE))+ ('Inputs-System'!$C$26*'Coincidence Factors'!$B$6*(1+'Inputs-System'!$C$18)*(1+'Inputs-System'!$C$42))*'Inputs-Proposals'!$H$28*VLOOKUP(DT$3,DRIPE!$A$54:$I$82,8,FALSE), $C36 = "0", 0), 0)</f>
        <v>0</v>
      </c>
      <c r="DW36" s="45">
        <f>IFERROR(_xlfn.IFS($C36="1",('Inputs-System'!$C$26*'Coincidence Factors'!$B$6*(1+'Inputs-System'!$C$18))*'Inputs-Proposals'!$H$16*(VLOOKUP(DT$3,Capacity!$A$53:$E$85,4,FALSE)*(1+'Inputs-System'!$C$42)+VLOOKUP(DT$3,Capacity!$A$53:$E$85,5,FALSE)*'Inputs-System'!$C$29*(1+'Inputs-System'!$C$43)), $C36 = "2", ('Inputs-System'!$C$26*'Coincidence Factors'!$B$6*(1+'Inputs-System'!$C$18))*'Inputs-Proposals'!$H$22*(VLOOKUP(DT$3,Capacity!$A$53:$E$85,4,FALSE)*(1+'Inputs-System'!$C$42)+VLOOKUP(DT$3,Capacity!$A$53:$E$85,5,FALSE)*'Inputs-System'!$C$29*(1+'Inputs-System'!$C$43)), $C36 = "3",('Inputs-System'!$C$26*'Coincidence Factors'!$B$6*(1+'Inputs-System'!$C$18))*'Inputs-Proposals'!$H$28*(VLOOKUP(DT$3,Capacity!$A$53:$E$85,4,FALSE)*(1+'Inputs-System'!$C$42)+VLOOKUP(DT$3,Capacity!$A$53:$E$85,5,FALSE)*'Inputs-System'!$C$29*(1+'Inputs-System'!$C$43)), $C36 = "0", 0), 0)</f>
        <v>0</v>
      </c>
      <c r="DX36" s="44">
        <v>0</v>
      </c>
      <c r="DY36" s="342">
        <f>IFERROR(_xlfn.IFS($C36="1", 'Inputs-System'!$C$30*'Coincidence Factors'!$B$6*'Inputs-Proposals'!$H$17*'Inputs-Proposals'!$H$19*(VLOOKUP(DT$3,'Non-Embedded Emissions'!$A$56:$D$90,2,FALSE)+VLOOKUP(DT$3,'Non-Embedded Emissions'!$A$143:$D$174,2,FALSE)+VLOOKUP(DT$3,'Non-Embedded Emissions'!$A$230:$D$259,2,FALSE)), $C36 = "2", 'Inputs-System'!$C$30*'Coincidence Factors'!$B$6*'Inputs-Proposals'!$H$23*'Inputs-Proposals'!$H$25*(VLOOKUP(DT$3,'Non-Embedded Emissions'!$A$56:$D$90,2,FALSE)+VLOOKUP(DT$3,'Non-Embedded Emissions'!$A$143:$D$174,2,FALSE)+VLOOKUP(DT$3,'Non-Embedded Emissions'!$A$230:$D$259,2,FALSE)), $C36 = "3", 'Inputs-System'!$C$30*'Coincidence Factors'!$B$6*'Inputs-Proposals'!$H$29*'Inputs-Proposals'!$H$31*(VLOOKUP(DT$3,'Non-Embedded Emissions'!$A$56:$D$90,2,FALSE)+VLOOKUP(DT$3,'Non-Embedded Emissions'!$A$143:$D$174,2,FALSE)+VLOOKUP(DT$3,'Non-Embedded Emissions'!$A$230:$D$259,2,FALSE)), $C36 = "0", 0), 0)</f>
        <v>0</v>
      </c>
      <c r="DZ36" s="347">
        <f>IFERROR(_xlfn.IFS($C36="1",('Inputs-System'!$C$30*'Coincidence Factors'!$B$6*(1+'Inputs-System'!$C$18)*(1+'Inputs-System'!$C$41)*('Inputs-Proposals'!$H$17*'Inputs-Proposals'!$H$19*(1-'Inputs-Proposals'!$H$20^(DZ$3-'Inputs-System'!$C$7)))*(VLOOKUP(DZ$3,Energy!$A$51:$K$83,5,FALSE))), $C36 = "2",('Inputs-System'!$C$30*'Coincidence Factors'!$B$6)*(1+'Inputs-System'!$C$18)*(1+'Inputs-System'!$C$41)*('Inputs-Proposals'!$H$23*'Inputs-Proposals'!$H$25*(1-'Inputs-Proposals'!$H$26^(DZ$3-'Inputs-System'!$C$7)))*(VLOOKUP(DZ$3,Energy!$A$51:$K$83,5,FALSE)), $C36= "3", ('Inputs-System'!$C$30*'Coincidence Factors'!$B$6*(1+'Inputs-System'!$C$18)*(1+'Inputs-System'!$C$41)*('Inputs-Proposals'!$H$29*'Inputs-Proposals'!$H$31*(1-'Inputs-Proposals'!$H$32^(DZ$3-'Inputs-System'!$C$7)))*(VLOOKUP(DZ$3,Energy!$A$51:$K$83,5,FALSE))), $C36= "0", 0), 0)</f>
        <v>0</v>
      </c>
      <c r="EA36" s="44">
        <f>IFERROR(_xlfn.IFS($C36="1",('Inputs-System'!$C$30*'Coincidence Factors'!$B$6*(1+'Inputs-System'!$C$18)*(1+'Inputs-System'!$C$41))*'Inputs-Proposals'!$H$17*'Inputs-Proposals'!$H$19*(1-'Inputs-Proposals'!$H$20^(DZ$3-'Inputs-System'!$C$7))*(VLOOKUP(DZ$3,'Embedded Emissions'!$A$47:$B$78,2,FALSE)+VLOOKUP(DZ$3,'Embedded Emissions'!$A$129:$B$158,2,FALSE)), $C36 = "2",('Inputs-System'!$C$30*'Coincidence Factors'!$B$6*(1+'Inputs-System'!$C$18)*(1+'Inputs-System'!$C$41))*'Inputs-Proposals'!$H$23*'Inputs-Proposals'!$H$25*(1-'Inputs-Proposals'!$H$20^(DZ$3-'Inputs-System'!$C$7))*(VLOOKUP(DZ$3,'Embedded Emissions'!$A$47:$B$78,2,FALSE)+VLOOKUP(DZ$3,'Embedded Emissions'!$A$129:$B$158,2,FALSE)), $C36 = "3", ('Inputs-System'!$C$30*'Coincidence Factors'!$B$6*(1+'Inputs-System'!$C$18)*(1+'Inputs-System'!$C$41))*'Inputs-Proposals'!$H$29*'Inputs-Proposals'!$H$31*(1-'Inputs-Proposals'!$H$20^(DZ$3-'Inputs-System'!$C$7))*(VLOOKUP(DZ$3,'Embedded Emissions'!$A$47:$B$78,2,FALSE)+VLOOKUP(DZ$3,'Embedded Emissions'!$A$129:$B$158,2,FALSE)), $C36 = "0", 0), 0)</f>
        <v>0</v>
      </c>
      <c r="EB36" s="44">
        <f>IFERROR(_xlfn.IFS($C36="1",( 'Inputs-System'!$C$30*'Coincidence Factors'!$B$6*(1+'Inputs-System'!$C$18)*(1+'Inputs-System'!$C$41))*('Inputs-Proposals'!$H$17*'Inputs-Proposals'!$H$19*(1-'Inputs-Proposals'!$H$20)^(DZ$3-'Inputs-System'!$C$7))*(VLOOKUP(DZ$3,DRIPE!$A$54:$I$82,5,FALSE)+VLOOKUP(DZ$3,DRIPE!$A$54:$I$82,9,FALSE))+ ('Inputs-System'!$C$26*'Coincidence Factors'!$B$6*(1+'Inputs-System'!$C$18)*(1+'Inputs-System'!$C$42))*'Inputs-Proposals'!$H$16*VLOOKUP(DZ$3,DRIPE!$A$54:$I$82,8,FALSE), $C36 = "2",( 'Inputs-System'!$C$30*'Coincidence Factors'!$B$6*(1+'Inputs-System'!$C$18)*(1+'Inputs-System'!$C$41))*('Inputs-Proposals'!$H$23*'Inputs-Proposals'!$H$25*(1-'Inputs-Proposals'!$H$26)^(DZ$3-'Inputs-System'!$C$7))*(VLOOKUP(DZ$3,DRIPE!$A$54:$I$82,5,FALSE)+VLOOKUP(DZ$3,DRIPE!$A$54:$I$82,9,FALSE))+ ('Inputs-System'!$C$26*'Coincidence Factors'!$B$6*(1+'Inputs-System'!$C$18)*(1+'Inputs-System'!$C$42))*'Inputs-Proposals'!$H$22*VLOOKUP(DZ$3,DRIPE!$A$54:$I$82,8,FALSE), $C36= "3", ( 'Inputs-System'!$C$30*'Coincidence Factors'!$B$6*(1+'Inputs-System'!$C$18)*(1+'Inputs-System'!$C$41))*('Inputs-Proposals'!$H$29*'Inputs-Proposals'!$H$31*(1-'Inputs-Proposals'!$H$32)^(DZ$3-'Inputs-System'!$C$7))*(VLOOKUP(DZ$3,DRIPE!$A$54:$I$82,5,FALSE)+VLOOKUP(DZ$3,DRIPE!$A$54:$I$82,9,FALSE))+ ('Inputs-System'!$C$26*'Coincidence Factors'!$B$6*(1+'Inputs-System'!$C$18)*(1+'Inputs-System'!$C$42))*'Inputs-Proposals'!$H$28*VLOOKUP(DZ$3,DRIPE!$A$54:$I$82,8,FALSE), $C36 = "0", 0), 0)</f>
        <v>0</v>
      </c>
      <c r="EC36" s="45">
        <f>IFERROR(_xlfn.IFS($C36="1",('Inputs-System'!$C$26*'Coincidence Factors'!$B$6*(1+'Inputs-System'!$C$18))*'Inputs-Proposals'!$H$16*(VLOOKUP(DZ$3,Capacity!$A$53:$E$85,4,FALSE)*(1+'Inputs-System'!$C$42)+VLOOKUP(DZ$3,Capacity!$A$53:$E$85,5,FALSE)*'Inputs-System'!$C$29*(1+'Inputs-System'!$C$43)), $C36 = "2", ('Inputs-System'!$C$26*'Coincidence Factors'!$B$6*(1+'Inputs-System'!$C$18))*'Inputs-Proposals'!$H$22*(VLOOKUP(DZ$3,Capacity!$A$53:$E$85,4,FALSE)*(1+'Inputs-System'!$C$42)+VLOOKUP(DZ$3,Capacity!$A$53:$E$85,5,FALSE)*'Inputs-System'!$C$29*(1+'Inputs-System'!$C$43)), $C36 = "3",('Inputs-System'!$C$26*'Coincidence Factors'!$B$6*(1+'Inputs-System'!$C$18))*'Inputs-Proposals'!$H$28*(VLOOKUP(DZ$3,Capacity!$A$53:$E$85,4,FALSE)*(1+'Inputs-System'!$C$42)+VLOOKUP(DZ$3,Capacity!$A$53:$E$85,5,FALSE)*'Inputs-System'!$C$29*(1+'Inputs-System'!$C$43)), $C36 = "0", 0), 0)</f>
        <v>0</v>
      </c>
      <c r="ED36" s="44">
        <v>0</v>
      </c>
      <c r="EE36" s="342">
        <f>IFERROR(_xlfn.IFS($C36="1", 'Inputs-System'!$C$30*'Coincidence Factors'!$B$6*'Inputs-Proposals'!$H$17*'Inputs-Proposals'!$H$19*(VLOOKUP(DZ$3,'Non-Embedded Emissions'!$A$56:$D$90,2,FALSE)+VLOOKUP(DZ$3,'Non-Embedded Emissions'!$A$143:$D$174,2,FALSE)+VLOOKUP(DZ$3,'Non-Embedded Emissions'!$A$230:$D$259,2,FALSE)), $C36 = "2", 'Inputs-System'!$C$30*'Coincidence Factors'!$B$6*'Inputs-Proposals'!$H$23*'Inputs-Proposals'!$H$25*(VLOOKUP(DZ$3,'Non-Embedded Emissions'!$A$56:$D$90,2,FALSE)+VLOOKUP(DZ$3,'Non-Embedded Emissions'!$A$143:$D$174,2,FALSE)+VLOOKUP(DZ$3,'Non-Embedded Emissions'!$A$230:$D$259,2,FALSE)), $C36 = "3", 'Inputs-System'!$C$30*'Coincidence Factors'!$B$6*'Inputs-Proposals'!$H$29*'Inputs-Proposals'!$H$31*(VLOOKUP(DZ$3,'Non-Embedded Emissions'!$A$56:$D$90,2,FALSE)+VLOOKUP(DZ$3,'Non-Embedded Emissions'!$A$143:$D$174,2,FALSE)+VLOOKUP(DZ$3,'Non-Embedded Emissions'!$A$230:$D$259,2,FALSE)), $C36 = "0", 0), 0)</f>
        <v>0</v>
      </c>
    </row>
    <row r="37" spans="1:135" x14ac:dyDescent="0.35">
      <c r="A37" s="708"/>
      <c r="B37" s="3" t="s">
        <v>159</v>
      </c>
      <c r="C37" s="3" t="str">
        <f>IFERROR(_xlfn.IFS('Benefits Calc'!B37='Inputs-Proposals'!$H$15, "1", 'Benefits Calc'!B37='Inputs-Proposals'!$H$21, "2", 'Benefits Calc'!B37='Inputs-Proposals'!$H$27, "3"), "0")</f>
        <v>0</v>
      </c>
      <c r="D37" s="323">
        <f t="shared" si="0"/>
        <v>0</v>
      </c>
      <c r="E37" s="44">
        <f t="shared" si="1"/>
        <v>0</v>
      </c>
      <c r="F37" s="44">
        <f t="shared" si="2"/>
        <v>0</v>
      </c>
      <c r="G37" s="44">
        <f t="shared" si="3"/>
        <v>0</v>
      </c>
      <c r="H37" s="44">
        <f t="shared" si="4"/>
        <v>0</v>
      </c>
      <c r="I37" s="44">
        <f t="shared" si="5"/>
        <v>0</v>
      </c>
      <c r="J37" s="323">
        <f>NPV('Inputs-System'!$C$20,P37+V37+AB37+AH37+AN37+AT37+AZ37+BF37+BL37+BR37+BX37+CD37+CJ37+CP37+CV37+DB37+DH37+DN37+DT37+DZ37)</f>
        <v>0</v>
      </c>
      <c r="K37" s="44">
        <f>NPV('Inputs-System'!$C$20,Q37+W37+AC37+AI37+AO37+AU37+BA37+BG37+BM37+BS37+BY37+CE37+CK37+CQ37+CW37+DC37+DI37+DO37+DU37+EA37)</f>
        <v>0</v>
      </c>
      <c r="L37" s="44">
        <f>NPV('Inputs-System'!$C$20,R37+X37+AD37+AJ37+AP37+AV37+BB37+BH37+BN37+BT37+BZ37+CF37+CL37+CR37+CX37+DD37+DJ37+DP37+DV37+EB37)</f>
        <v>0</v>
      </c>
      <c r="M37" s="44">
        <f>NPV('Inputs-System'!$C$20,S37+Y37+AE37+AK37+AQ37+AW37+BC37+BI37+BO37+BU37+CA37+CG37+CM37+CS37+CY37+DE37+DK37+DQ37+DW37+EC37)</f>
        <v>0</v>
      </c>
      <c r="N37" s="44">
        <f>NPV('Inputs-System'!$C$20,T37+Z37+AF37+AL37+AR37+AX37+BD37+BJ37+BP37+BV37+CB37+CH37+CN37+CT37+CZ37+DF37+DL37+DR37+DX37+ED37)</f>
        <v>0</v>
      </c>
      <c r="O37" s="119">
        <f>NPV('Inputs-System'!$C$20,U37+AA37+AG37+AM37+AS37+AY37+BE37+BK37+BQ37+BW37+CC37+CI37+CO37+CU37+DA37+DG37+DM37+DS37+DY37+EE37)</f>
        <v>0</v>
      </c>
      <c r="P37" s="45">
        <f>IFERROR(_xlfn.IFS($C37="1",('Inputs-System'!$C$30*'Coincidence Factors'!$B$7*(1+'Inputs-System'!$C$18)*(1+'Inputs-System'!$C$41)*('Inputs-Proposals'!$H$17*'Inputs-Proposals'!$H$19*('Inputs-Proposals'!$H$20))*(VLOOKUP(P$3,Energy!$A$51:$K$83,5,FALSE))), $C37 = "2",('Inputs-System'!$C$30*'Coincidence Factors'!$B$7)*(1+'Inputs-System'!$C$18)*(1+'Inputs-System'!$C$41)*('Inputs-Proposals'!$H$23*'Inputs-Proposals'!$H$25*('Inputs-Proposals'!$H$26))*(VLOOKUP(P$3,Energy!$A$51:$K$83,5,FALSE)), $C37= "3", ('Inputs-System'!$C$30*'Coincidence Factors'!$B$7*(1+'Inputs-System'!$C$18)*(1+'Inputs-System'!$C$41)*('Inputs-Proposals'!$H$29*'Inputs-Proposals'!$H$31*('Inputs-Proposals'!$H$32))*(VLOOKUP(P$3,Energy!$A$51:$K$83,5,FALSE))), $C37= "0", 0), 0)</f>
        <v>0</v>
      </c>
      <c r="Q37" s="44">
        <f>IFERROR(_xlfn.IFS($C37="1",'Inputs-System'!$C$30*'Coincidence Factors'!$B$7*(1+'Inputs-System'!$C$18)*(1+'Inputs-System'!$C$41)*'Inputs-Proposals'!$H$17*'Inputs-Proposals'!$H$19*('Inputs-Proposals'!$H$20)*(VLOOKUP(P$3,'Embedded Emissions'!$A$47:$B$78,2,FALSE)+VLOOKUP(P$3,'Embedded Emissions'!$A$129:$B$158,2,FALSE)), $C37 = "2",'Inputs-System'!$C$30*'Coincidence Factors'!$B$7*(1+'Inputs-System'!$C$18)*(1+'Inputs-System'!$C$41)*'Inputs-Proposals'!$H$23*'Inputs-Proposals'!$H$25*('Inputs-Proposals'!$H$20)*(VLOOKUP(P$3,'Embedded Emissions'!$A$47:$B$78,2,FALSE)+VLOOKUP(P$3,'Embedded Emissions'!$A$129:$B$158,2,FALSE)), $C37 = "3", 'Inputs-System'!$C$30*'Coincidence Factors'!$B$7*(1+'Inputs-System'!$C$18)*(1+'Inputs-System'!$C$41)*'Inputs-Proposals'!$H$29*'Inputs-Proposals'!$H$31*('Inputs-Proposals'!$H$20)*(VLOOKUP(P$3,'Embedded Emissions'!$A$47:$B$78,2,FALSE)+VLOOKUP(P$3,'Embedded Emissions'!$A$129:$B$158,2,FALSE)), $C37 = "0", 0), 0)</f>
        <v>0</v>
      </c>
      <c r="R37" s="44">
        <f>IFERROR(_xlfn.IFS($C37="1",( 'Inputs-System'!$C$30*'Coincidence Factors'!$B$7*(1+'Inputs-System'!$C$18)*(1+'Inputs-System'!$C$41))*('Inputs-Proposals'!$H$17*'Inputs-Proposals'!$H$19*('Inputs-Proposals'!$H$20))*(VLOOKUP(P$3,DRIPE!$A$54:$I$82,5,FALSE)+VLOOKUP(P$3,DRIPE!$A$54:$I$82,9,FALSE))+ ('Inputs-System'!$C$26*'Coincidence Factors'!$B$7*(1+'Inputs-System'!$C$18)*(1+'Inputs-System'!$C$42))*'Inputs-Proposals'!$H$16*VLOOKUP(P$3,DRIPE!$A$54:$I$82,8,FALSE), $C37 = "2",( 'Inputs-System'!$C$30*'Coincidence Factors'!$B$7*(1+'Inputs-System'!$C$18)*(1+'Inputs-System'!$C$41))*('Inputs-Proposals'!$H$23*'Inputs-Proposals'!$H$25*('Inputs-Proposals'!$H$26))*(VLOOKUP(P$3,DRIPE!$A$54:$I$82,5,FALSE)+VLOOKUP(P$3,DRIPE!$A$54:$I$82,12,FALSE))+ ('Inputs-System'!$C$26*'Coincidence Factors'!$B$7*(1+'Inputs-System'!$C$18)*(1+'Inputs-System'!$C$42))*'Inputs-Proposals'!$H$22*VLOOKUP(P$3,DRIPE!$A$54:$I$82,8,FALSE), $C37= "3", ( 'Inputs-System'!$C$30*'Coincidence Factors'!$B$7*(1+'Inputs-System'!$C$18)*(1+'Inputs-System'!$C$41))*('Inputs-Proposals'!$H$29*'Inputs-Proposals'!$H$31*('Inputs-Proposals'!$H$32))*(VLOOKUP(P$3,DRIPE!$A$54:$I$82,5,FALSE)+VLOOKUP(P$3,DRIPE!$A$54:$I$82,12,FALSE))+ ('Inputs-System'!$C$26*'Coincidence Factors'!$B$7*(1+'Inputs-System'!$C$18)*(1+'Inputs-System'!$C$42))*'Inputs-Proposals'!$H$28*VLOOKUP(P$3,DRIPE!$A$54:$I$82,8,FALSE), $C37 = "0", 0), 0)</f>
        <v>0</v>
      </c>
      <c r="S37" s="45">
        <f>IFERROR(_xlfn.IFS($C37="1",('Inputs-System'!$C$26*'Coincidence Factors'!$B$7*(1+'Inputs-System'!$C$18))*'Inputs-Proposals'!$H$16*(VLOOKUP(P$3,Capacity!$A$53:$E$85,4,FALSE)*(1+'Inputs-System'!$C$42)+VLOOKUP(P$3,Capacity!$A$53:$E$85,5,FALSE)*'Inputs-System'!$C$29*(1+'Inputs-System'!$C$43)), $C37 = "2", ('Inputs-System'!$C$26*'Coincidence Factors'!$B$7*(1+'Inputs-System'!$C$18))*'Inputs-Proposals'!$H$22*(VLOOKUP(P$3,Capacity!$A$53:$E$85,4,FALSE)*(1+'Inputs-System'!$C$42)+VLOOKUP(P$3,Capacity!$A$53:$E$85,5,FALSE)*'Inputs-System'!$C$29*(1+'Inputs-System'!$C$43)), $C37 = "3",('Inputs-System'!$C$26*'Coincidence Factors'!$B$7*(1+'Inputs-System'!$C$18))*'Inputs-Proposals'!$H$28*(VLOOKUP(P$3,Capacity!$A$53:$E$85,4,FALSE)*(1+'Inputs-System'!$C$42)+VLOOKUP(P$3,Capacity!$A$53:$E$85,5,FALSE)*'Inputs-System'!$C$29*(1+'Inputs-System'!$C$43)), $C37 = "0", 0), 0)</f>
        <v>0</v>
      </c>
      <c r="T37" s="44">
        <v>0</v>
      </c>
      <c r="U37" s="44">
        <f>IFERROR(_xlfn.IFS($C37="1", 'Inputs-System'!$C$30*'Coincidence Factors'!$B$7*'Inputs-Proposals'!$H$17*'Inputs-Proposals'!$H$19*(VLOOKUP(P$3,'Non-Embedded Emissions'!$A$56:$D$90,2,FALSE)+VLOOKUP(P$3,'Non-Embedded Emissions'!$A$143:$D$174,2,FALSE)+VLOOKUP(P$3,'Non-Embedded Emissions'!$A$230:$D$259,2,FALSE)), $C37 = "2", 'Inputs-System'!$C$30*'Coincidence Factors'!$B$7*'Inputs-Proposals'!$H$23*'Inputs-Proposals'!$H$25*(VLOOKUP(P$3,'Non-Embedded Emissions'!$A$56:$D$90,2,FALSE)+VLOOKUP(P$3,'Non-Embedded Emissions'!$A$143:$D$174,2,FALSE)+VLOOKUP(P$3,'Non-Embedded Emissions'!$A$230:$D$259,2,FALSE)), $C37 = "3", 'Inputs-System'!$C$30*'Coincidence Factors'!$B$7*'Inputs-Proposals'!$H$29*'Inputs-Proposals'!$H$31*(VLOOKUP(P$3,'Non-Embedded Emissions'!$A$56:$D$90,2,FALSE)+VLOOKUP(P$3,'Non-Embedded Emissions'!$A$143:$D$174,2,FALSE)+VLOOKUP(P$3,'Non-Embedded Emissions'!$A$230:$D$259,2,FALSE)), $C37 = "0", 0), 0)</f>
        <v>0</v>
      </c>
      <c r="V37" s="347">
        <f>IFERROR(_xlfn.IFS($C37="1",('Inputs-System'!$C$30*'Coincidence Factors'!$B$7*(1+'Inputs-System'!$C$18)*(1+'Inputs-System'!$C$41)*('Inputs-Proposals'!$H$17*'Inputs-Proposals'!$H$19*('Inputs-Proposals'!$H$20))*(VLOOKUP(V$3,Energy!$A$51:$K$83,5,FALSE))), $C37 = "2",('Inputs-System'!$C$30*'Coincidence Factors'!$B$7)*(1+'Inputs-System'!$C$18)*(1+'Inputs-System'!$C$41)*('Inputs-Proposals'!$H$23*'Inputs-Proposals'!$H$25*('Inputs-Proposals'!$H$26))*(VLOOKUP(V$3,Energy!$A$51:$K$83,5,FALSE)), $C37= "3", ('Inputs-System'!$C$30*'Coincidence Factors'!$B$7*(1+'Inputs-System'!$C$18)*(1+'Inputs-System'!$C$41)*('Inputs-Proposals'!$H$29*'Inputs-Proposals'!$H$31*('Inputs-Proposals'!$H$32))*(VLOOKUP(V$3,Energy!$A$51:$K$83,5,FALSE))), $C37= "0", 0), 0)</f>
        <v>0</v>
      </c>
      <c r="W37" s="44">
        <f>IFERROR(_xlfn.IFS($C37="1",'Inputs-System'!$C$30*'Coincidence Factors'!$B$7*(1+'Inputs-System'!$C$18)*(1+'Inputs-System'!$C$41)*'Inputs-Proposals'!$H$17*'Inputs-Proposals'!$H$19*('Inputs-Proposals'!$H$20)*(VLOOKUP(V$3,'Embedded Emissions'!$A$47:$B$78,2,FALSE)+VLOOKUP(V$3,'Embedded Emissions'!$A$129:$B$158,2,FALSE)), $C37 = "2",'Inputs-System'!$C$30*'Coincidence Factors'!$B$7*(1+'Inputs-System'!$C$18)*(1+'Inputs-System'!$C$41)*'Inputs-Proposals'!$H$23*'Inputs-Proposals'!$H$25*('Inputs-Proposals'!$H$20)*(VLOOKUP(V$3,'Embedded Emissions'!$A$47:$B$78,2,FALSE)+VLOOKUP(V$3,'Embedded Emissions'!$A$129:$B$158,2,FALSE)), $C37 = "3", 'Inputs-System'!$C$30*'Coincidence Factors'!$B$7*(1+'Inputs-System'!$C$18)*(1+'Inputs-System'!$C$41)*'Inputs-Proposals'!$H$29*'Inputs-Proposals'!$H$31*('Inputs-Proposals'!$H$20)*(VLOOKUP(V$3,'Embedded Emissions'!$A$47:$B$78,2,FALSE)+VLOOKUP(V$3,'Embedded Emissions'!$A$129:$B$158,2,FALSE)), $C37 = "0", 0), 0)</f>
        <v>0</v>
      </c>
      <c r="X37" s="44">
        <f>IFERROR(_xlfn.IFS($C37="1",( 'Inputs-System'!$C$30*'Coincidence Factors'!$B$7*(1+'Inputs-System'!$C$18)*(1+'Inputs-System'!$C$41))*('Inputs-Proposals'!$H$17*'Inputs-Proposals'!$H$19*('Inputs-Proposals'!$H$20))*(VLOOKUP(V$3,DRIPE!$A$54:$I$82,5,FALSE)+VLOOKUP(V$3,DRIPE!$A$54:$I$82,9,FALSE))+ ('Inputs-System'!$C$26*'Coincidence Factors'!$B$7*(1+'Inputs-System'!$C$18)*(1+'Inputs-System'!$C$42))*'Inputs-Proposals'!$H$16*VLOOKUP(V$3,DRIPE!$A$54:$I$82,8,FALSE), $C37 = "2",( 'Inputs-System'!$C$30*'Coincidence Factors'!$B$7*(1+'Inputs-System'!$C$18)*(1+'Inputs-System'!$C$41))*('Inputs-Proposals'!$H$23*'Inputs-Proposals'!$H$25*('Inputs-Proposals'!$H$26))*(VLOOKUP(V$3,DRIPE!$A$54:$I$82,5,FALSE)+VLOOKUP(V$3,DRIPE!$A$54:$I$82,12,FALSE))+ ('Inputs-System'!$C$26*'Coincidence Factors'!$B$7*(1+'Inputs-System'!$C$18)*(1+'Inputs-System'!$C$42))*'Inputs-Proposals'!$H$22*VLOOKUP(V$3,DRIPE!$A$54:$I$82,8,FALSE), $C37= "3", ( 'Inputs-System'!$C$30*'Coincidence Factors'!$B$7*(1+'Inputs-System'!$C$18)*(1+'Inputs-System'!$C$41))*('Inputs-Proposals'!$H$29*'Inputs-Proposals'!$H$31*('Inputs-Proposals'!$H$32))*(VLOOKUP(V$3,DRIPE!$A$54:$I$82,5,FALSE)+VLOOKUP(V$3,DRIPE!$A$54:$I$82,12,FALSE))+ ('Inputs-System'!$C$26*'Coincidence Factors'!$B$7*(1+'Inputs-System'!$C$18)*(1+'Inputs-System'!$C$42))*'Inputs-Proposals'!$H$28*VLOOKUP(V$3,DRIPE!$A$54:$I$82,8,FALSE), $C37 = "0", 0), 0)</f>
        <v>0</v>
      </c>
      <c r="Y37" s="45">
        <f>IFERROR(_xlfn.IFS($C37="1",('Inputs-System'!$C$26*'Coincidence Factors'!$B$7*(1+'Inputs-System'!$C$18))*'Inputs-Proposals'!$H$16*(VLOOKUP(V$3,Capacity!$A$53:$E$85,4,FALSE)*(1+'Inputs-System'!$C$42)+VLOOKUP(V$3,Capacity!$A$53:$E$85,5,FALSE)*'Inputs-System'!$C$29*(1+'Inputs-System'!$C$43)), $C37 = "2", ('Inputs-System'!$C$26*'Coincidence Factors'!$B$7*(1+'Inputs-System'!$C$18))*'Inputs-Proposals'!$H$22*(VLOOKUP(V$3,Capacity!$A$53:$E$85,4,FALSE)*(1+'Inputs-System'!$C$42)+VLOOKUP(V$3,Capacity!$A$53:$E$85,5,FALSE)*'Inputs-System'!$C$29*(1+'Inputs-System'!$C$43)), $C37 = "3",('Inputs-System'!$C$26*'Coincidence Factors'!$B$7*(1+'Inputs-System'!$C$18))*'Inputs-Proposals'!$H$28*(VLOOKUP(V$3,Capacity!$A$53:$E$85,4,FALSE)*(1+'Inputs-System'!$C$42)+VLOOKUP(V$3,Capacity!$A$53:$E$85,5,FALSE)*'Inputs-System'!$C$29*(1+'Inputs-System'!$C$43)), $C37 = "0", 0), 0)</f>
        <v>0</v>
      </c>
      <c r="Z37" s="44">
        <v>0</v>
      </c>
      <c r="AA37" s="342">
        <f>IFERROR(_xlfn.IFS($C37="1", 'Inputs-System'!$C$30*'Coincidence Factors'!$B$7*'Inputs-Proposals'!$H$17*'Inputs-Proposals'!$H$19*(VLOOKUP(V$3,'Non-Embedded Emissions'!$A$56:$D$90,2,FALSE)+VLOOKUP(V$3,'Non-Embedded Emissions'!$A$143:$D$174,2,FALSE)+VLOOKUP(V$3,'Non-Embedded Emissions'!$A$230:$D$259,2,FALSE)), $C37 = "2", 'Inputs-System'!$C$30*'Coincidence Factors'!$B$7*'Inputs-Proposals'!$H$23*'Inputs-Proposals'!$H$25*(VLOOKUP(V$3,'Non-Embedded Emissions'!$A$56:$D$90,2,FALSE)+VLOOKUP(V$3,'Non-Embedded Emissions'!$A$143:$D$174,2,FALSE)+VLOOKUP(V$3,'Non-Embedded Emissions'!$A$230:$D$259,2,FALSE)), $C37 = "3", 'Inputs-System'!$C$30*'Coincidence Factors'!$B$7*'Inputs-Proposals'!$H$29*'Inputs-Proposals'!$H$31*(VLOOKUP(V$3,'Non-Embedded Emissions'!$A$56:$D$90,2,FALSE)+VLOOKUP(V$3,'Non-Embedded Emissions'!$A$143:$D$174,2,FALSE)+VLOOKUP(V$3,'Non-Embedded Emissions'!$A$230:$D$259,2,FALSE)), $C37 = "0", 0), 0)</f>
        <v>0</v>
      </c>
      <c r="AB37" s="347">
        <f>IFERROR(_xlfn.IFS($C37="1",('Inputs-System'!$C$30*'Coincidence Factors'!$B$7*(1+'Inputs-System'!$C$18)*(1+'Inputs-System'!$C$41)*('Inputs-Proposals'!$H$17*'Inputs-Proposals'!$H$19*('Inputs-Proposals'!$H$20))*(VLOOKUP(AB$3,Energy!$A$51:$K$83,5,FALSE))), $C37 = "2",('Inputs-System'!$C$30*'Coincidence Factors'!$B$7)*(1+'Inputs-System'!$C$18)*(1+'Inputs-System'!$C$41)*('Inputs-Proposals'!$H$23*'Inputs-Proposals'!$H$25*('Inputs-Proposals'!$H$26))*(VLOOKUP(AB$3,Energy!$A$51:$K$83,5,FALSE)), $C37= "3", ('Inputs-System'!$C$30*'Coincidence Factors'!$B$7*(1+'Inputs-System'!$C$18)*(1+'Inputs-System'!$C$41)*('Inputs-Proposals'!$H$29*'Inputs-Proposals'!$H$31*('Inputs-Proposals'!$H$32))*(VLOOKUP(AB$3,Energy!$A$51:$K$83,5,FALSE))), $C37= "0", 0), 0)</f>
        <v>0</v>
      </c>
      <c r="AC37" s="44">
        <f>IFERROR(_xlfn.IFS($C37="1",'Inputs-System'!$C$30*'Coincidence Factors'!$B$7*(1+'Inputs-System'!$C$18)*(1+'Inputs-System'!$C$41)*'Inputs-Proposals'!$H$17*'Inputs-Proposals'!$H$19*('Inputs-Proposals'!$H$20)*(VLOOKUP(AB$3,'Embedded Emissions'!$A$47:$B$78,2,FALSE)+VLOOKUP(AB$3,'Embedded Emissions'!$A$129:$B$158,2,FALSE)), $C37 = "2",'Inputs-System'!$C$30*'Coincidence Factors'!$B$7*(1+'Inputs-System'!$C$18)*(1+'Inputs-System'!$C$41)*'Inputs-Proposals'!$H$23*'Inputs-Proposals'!$H$25*('Inputs-Proposals'!$H$20)*(VLOOKUP(AB$3,'Embedded Emissions'!$A$47:$B$78,2,FALSE)+VLOOKUP(AB$3,'Embedded Emissions'!$A$129:$B$158,2,FALSE)), $C37 = "3", 'Inputs-System'!$C$30*'Coincidence Factors'!$B$7*(1+'Inputs-System'!$C$18)*(1+'Inputs-System'!$C$41)*'Inputs-Proposals'!$H$29*'Inputs-Proposals'!$H$31*('Inputs-Proposals'!$H$20)*(VLOOKUP(AB$3,'Embedded Emissions'!$A$47:$B$78,2,FALSE)+VLOOKUP(AB$3,'Embedded Emissions'!$A$129:$B$158,2,FALSE)), $C37 = "0", 0), 0)</f>
        <v>0</v>
      </c>
      <c r="AD37" s="44">
        <f>IFERROR(_xlfn.IFS($C37="1",( 'Inputs-System'!$C$30*'Coincidence Factors'!$B$7*(1+'Inputs-System'!$C$18)*(1+'Inputs-System'!$C$41))*('Inputs-Proposals'!$H$17*'Inputs-Proposals'!$H$19*('Inputs-Proposals'!$H$20))*(VLOOKUP(AB$3,DRIPE!$A$54:$I$82,5,FALSE)+VLOOKUP(AB$3,DRIPE!$A$54:$I$82,9,FALSE))+ ('Inputs-System'!$C$26*'Coincidence Factors'!$B$7*(1+'Inputs-System'!$C$18)*(1+'Inputs-System'!$C$42))*'Inputs-Proposals'!$H$16*VLOOKUP(AB$3,DRIPE!$A$54:$I$82,8,FALSE), $C37 = "2",( 'Inputs-System'!$C$30*'Coincidence Factors'!$B$7*(1+'Inputs-System'!$C$18)*(1+'Inputs-System'!$C$41))*('Inputs-Proposals'!$H$23*'Inputs-Proposals'!$H$25*('Inputs-Proposals'!$H$26))*(VLOOKUP(AB$3,DRIPE!$A$54:$I$82,5,FALSE)+VLOOKUP(AB$3,DRIPE!$A$54:$I$82,12,FALSE))+ ('Inputs-System'!$C$26*'Coincidence Factors'!$B$7*(1+'Inputs-System'!$C$18)*(1+'Inputs-System'!$C$42))*'Inputs-Proposals'!$H$22*VLOOKUP(AB$3,DRIPE!$A$54:$I$82,8,FALSE), $C37= "3", ( 'Inputs-System'!$C$30*'Coincidence Factors'!$B$7*(1+'Inputs-System'!$C$18)*(1+'Inputs-System'!$C$41))*('Inputs-Proposals'!$H$29*'Inputs-Proposals'!$H$31*('Inputs-Proposals'!$H$32))*(VLOOKUP(AB$3,DRIPE!$A$54:$I$82,5,FALSE)+VLOOKUP(AB$3,DRIPE!$A$54:$I$82,12,FALSE))+ ('Inputs-System'!$C$26*'Coincidence Factors'!$B$7*(1+'Inputs-System'!$C$18)*(1+'Inputs-System'!$C$42))*'Inputs-Proposals'!$H$28*VLOOKUP(AB$3,DRIPE!$A$54:$I$82,8,FALSE), $C37 = "0", 0), 0)</f>
        <v>0</v>
      </c>
      <c r="AE37" s="45">
        <f>IFERROR(_xlfn.IFS($C37="1",('Inputs-System'!$C$26*'Coincidence Factors'!$B$7*(1+'Inputs-System'!$C$18))*'Inputs-Proposals'!$H$16*(VLOOKUP(AB$3,Capacity!$A$53:$E$85,4,FALSE)*(1+'Inputs-System'!$C$42)+VLOOKUP(AB$3,Capacity!$A$53:$E$85,5,FALSE)*'Inputs-System'!$C$29*(1+'Inputs-System'!$C$43)), $C37 = "2", ('Inputs-System'!$C$26*'Coincidence Factors'!$B$7*(1+'Inputs-System'!$C$18))*'Inputs-Proposals'!$H$22*(VLOOKUP(AB$3,Capacity!$A$53:$E$85,4,FALSE)*(1+'Inputs-System'!$C$42)+VLOOKUP(AB$3,Capacity!$A$53:$E$85,5,FALSE)*'Inputs-System'!$C$29*(1+'Inputs-System'!$C$43)), $C37 = "3",('Inputs-System'!$C$26*'Coincidence Factors'!$B$7*(1+'Inputs-System'!$C$18))*'Inputs-Proposals'!$H$28*(VLOOKUP(AB$3,Capacity!$A$53:$E$85,4,FALSE)*(1+'Inputs-System'!$C$42)+VLOOKUP(AB$3,Capacity!$A$53:$E$85,5,FALSE)*'Inputs-System'!$C$29*(1+'Inputs-System'!$C$43)), $C37 = "0", 0), 0)</f>
        <v>0</v>
      </c>
      <c r="AF37" s="44">
        <v>0</v>
      </c>
      <c r="AG37" s="342">
        <f>IFERROR(_xlfn.IFS($C37="1", 'Inputs-System'!$C$30*'Coincidence Factors'!$B$7*'Inputs-Proposals'!$H$17*'Inputs-Proposals'!$H$19*(VLOOKUP(AB$3,'Non-Embedded Emissions'!$A$56:$D$90,2,FALSE)+VLOOKUP(AB$3,'Non-Embedded Emissions'!$A$143:$D$174,2,FALSE)+VLOOKUP(AB$3,'Non-Embedded Emissions'!$A$230:$D$259,2,FALSE)), $C37 = "2", 'Inputs-System'!$C$30*'Coincidence Factors'!$B$7*'Inputs-Proposals'!$H$23*'Inputs-Proposals'!$H$25*(VLOOKUP(AB$3,'Non-Embedded Emissions'!$A$56:$D$90,2,FALSE)+VLOOKUP(AB$3,'Non-Embedded Emissions'!$A$143:$D$174,2,FALSE)+VLOOKUP(AB$3,'Non-Embedded Emissions'!$A$230:$D$259,2,FALSE)), $C37 = "3", 'Inputs-System'!$C$30*'Coincidence Factors'!$B$7*'Inputs-Proposals'!$H$29*'Inputs-Proposals'!$H$31*(VLOOKUP(AB$3,'Non-Embedded Emissions'!$A$56:$D$90,2,FALSE)+VLOOKUP(AB$3,'Non-Embedded Emissions'!$A$143:$D$174,2,FALSE)+VLOOKUP(AB$3,'Non-Embedded Emissions'!$A$230:$D$259,2,FALSE)), $C37 = "0", 0), 0)</f>
        <v>0</v>
      </c>
      <c r="AH37" s="347">
        <f>IFERROR(_xlfn.IFS($C37="1",('Inputs-System'!$C$30*'Coincidence Factors'!$B$7*(1+'Inputs-System'!$C$18)*(1+'Inputs-System'!$C$41)*('Inputs-Proposals'!$H$17*'Inputs-Proposals'!$H$19*('Inputs-Proposals'!$H$20))*(VLOOKUP(AH$3,Energy!$A$51:$K$83,5,FALSE))), $C37 = "2",('Inputs-System'!$C$30*'Coincidence Factors'!$B$7)*(1+'Inputs-System'!$C$18)*(1+'Inputs-System'!$C$41)*('Inputs-Proposals'!$H$23*'Inputs-Proposals'!$H$25*('Inputs-Proposals'!$H$26))*(VLOOKUP(AH$3,Energy!$A$51:$K$83,5,FALSE)), $C37= "3", ('Inputs-System'!$C$30*'Coincidence Factors'!$B$7*(1+'Inputs-System'!$C$18)*(1+'Inputs-System'!$C$41)*('Inputs-Proposals'!$H$29*'Inputs-Proposals'!$H$31*('Inputs-Proposals'!$H$32))*(VLOOKUP(AH$3,Energy!$A$51:$K$83,5,FALSE))), $C37= "0", 0), 0)</f>
        <v>0</v>
      </c>
      <c r="AI37" s="44">
        <f>IFERROR(_xlfn.IFS($C37="1",'Inputs-System'!$C$30*'Coincidence Factors'!$B$7*(1+'Inputs-System'!$C$18)*(1+'Inputs-System'!$C$41)*'Inputs-Proposals'!$H$17*'Inputs-Proposals'!$H$19*('Inputs-Proposals'!$H$20)*(VLOOKUP(AH$3,'Embedded Emissions'!$A$47:$B$78,2,FALSE)+VLOOKUP(AH$3,'Embedded Emissions'!$A$129:$B$158,2,FALSE)), $C37 = "2",'Inputs-System'!$C$30*'Coincidence Factors'!$B$7*(1+'Inputs-System'!$C$18)*(1+'Inputs-System'!$C$41)*'Inputs-Proposals'!$H$23*'Inputs-Proposals'!$H$25*('Inputs-Proposals'!$H$20)*(VLOOKUP(AH$3,'Embedded Emissions'!$A$47:$B$78,2,FALSE)+VLOOKUP(AH$3,'Embedded Emissions'!$A$129:$B$158,2,FALSE)), $C37 = "3", 'Inputs-System'!$C$30*'Coincidence Factors'!$B$7*(1+'Inputs-System'!$C$18)*(1+'Inputs-System'!$C$41)*'Inputs-Proposals'!$H$29*'Inputs-Proposals'!$H$31*('Inputs-Proposals'!$H$20)*(VLOOKUP(AH$3,'Embedded Emissions'!$A$47:$B$78,2,FALSE)+VLOOKUP(AH$3,'Embedded Emissions'!$A$129:$B$158,2,FALSE)), $C37 = "0", 0), 0)</f>
        <v>0</v>
      </c>
      <c r="AJ37" s="44">
        <f>IFERROR(_xlfn.IFS($C37="1",( 'Inputs-System'!$C$30*'Coincidence Factors'!$B$7*(1+'Inputs-System'!$C$18)*(1+'Inputs-System'!$C$41))*('Inputs-Proposals'!$H$17*'Inputs-Proposals'!$H$19*('Inputs-Proposals'!$H$20))*(VLOOKUP(AH$3,DRIPE!$A$54:$I$82,5,FALSE)+VLOOKUP(AH$3,DRIPE!$A$54:$I$82,9,FALSE))+ ('Inputs-System'!$C$26*'Coincidence Factors'!$B$7*(1+'Inputs-System'!$C$18)*(1+'Inputs-System'!$C$42))*'Inputs-Proposals'!$H$16*VLOOKUP(AH$3,DRIPE!$A$54:$I$82,8,FALSE), $C37 = "2",( 'Inputs-System'!$C$30*'Coincidence Factors'!$B$7*(1+'Inputs-System'!$C$18)*(1+'Inputs-System'!$C$41))*('Inputs-Proposals'!$H$23*'Inputs-Proposals'!$H$25*('Inputs-Proposals'!$H$26))*(VLOOKUP(AH$3,DRIPE!$A$54:$I$82,5,FALSE)+VLOOKUP(AH$3,DRIPE!$A$54:$I$82,12,FALSE))+ ('Inputs-System'!$C$26*'Coincidence Factors'!$B$7*(1+'Inputs-System'!$C$18)*(1+'Inputs-System'!$C$42))*'Inputs-Proposals'!$H$22*VLOOKUP(AH$3,DRIPE!$A$54:$I$82,8,FALSE), $C37= "3", ( 'Inputs-System'!$C$30*'Coincidence Factors'!$B$7*(1+'Inputs-System'!$C$18)*(1+'Inputs-System'!$C$41))*('Inputs-Proposals'!$H$29*'Inputs-Proposals'!$H$31*('Inputs-Proposals'!$H$32))*(VLOOKUP(AH$3,DRIPE!$A$54:$I$82,5,FALSE)+VLOOKUP(AH$3,DRIPE!$A$54:$I$82,12,FALSE))+ ('Inputs-System'!$C$26*'Coincidence Factors'!$B$7*(1+'Inputs-System'!$C$18)*(1+'Inputs-System'!$C$42))*'Inputs-Proposals'!$H$28*VLOOKUP(AH$3,DRIPE!$A$54:$I$82,8,FALSE), $C37 = "0", 0), 0)</f>
        <v>0</v>
      </c>
      <c r="AK37" s="45">
        <f>IFERROR(_xlfn.IFS($C37="1",('Inputs-System'!$C$26*'Coincidence Factors'!$B$7*(1+'Inputs-System'!$C$18))*'Inputs-Proposals'!$H$16*(VLOOKUP(AH$3,Capacity!$A$53:$E$85,4,FALSE)*(1+'Inputs-System'!$C$42)+VLOOKUP(AH$3,Capacity!$A$53:$E$85,5,FALSE)*'Inputs-System'!$C$29*(1+'Inputs-System'!$C$43)), $C37 = "2", ('Inputs-System'!$C$26*'Coincidence Factors'!$B$7*(1+'Inputs-System'!$C$18))*'Inputs-Proposals'!$H$22*(VLOOKUP(AH$3,Capacity!$A$53:$E$85,4,FALSE)*(1+'Inputs-System'!$C$42)+VLOOKUP(AH$3,Capacity!$A$53:$E$85,5,FALSE)*'Inputs-System'!$C$29*(1+'Inputs-System'!$C$43)), $C37 = "3",('Inputs-System'!$C$26*'Coincidence Factors'!$B$7*(1+'Inputs-System'!$C$18))*'Inputs-Proposals'!$H$28*(VLOOKUP(AH$3,Capacity!$A$53:$E$85,4,FALSE)*(1+'Inputs-System'!$C$42)+VLOOKUP(AH$3,Capacity!$A$53:$E$85,5,FALSE)*'Inputs-System'!$C$29*(1+'Inputs-System'!$C$43)), $C37 = "0", 0), 0)</f>
        <v>0</v>
      </c>
      <c r="AL37" s="44">
        <v>0</v>
      </c>
      <c r="AM37" s="342">
        <f>IFERROR(_xlfn.IFS($C37="1", 'Inputs-System'!$C$30*'Coincidence Factors'!$B$7*'Inputs-Proposals'!$H$17*'Inputs-Proposals'!$H$19*(VLOOKUP(AH$3,'Non-Embedded Emissions'!$A$56:$D$90,2,FALSE)+VLOOKUP(AH$3,'Non-Embedded Emissions'!$A$143:$D$174,2,FALSE)+VLOOKUP(AH$3,'Non-Embedded Emissions'!$A$230:$D$259,2,FALSE)), $C37 = "2", 'Inputs-System'!$C$30*'Coincidence Factors'!$B$7*'Inputs-Proposals'!$H$23*'Inputs-Proposals'!$H$25*(VLOOKUP(AH$3,'Non-Embedded Emissions'!$A$56:$D$90,2,FALSE)+VLOOKUP(AH$3,'Non-Embedded Emissions'!$A$143:$D$174,2,FALSE)+VLOOKUP(AH$3,'Non-Embedded Emissions'!$A$230:$D$259,2,FALSE)), $C37 = "3", 'Inputs-System'!$C$30*'Coincidence Factors'!$B$7*'Inputs-Proposals'!$H$29*'Inputs-Proposals'!$H$31*(VLOOKUP(AH$3,'Non-Embedded Emissions'!$A$56:$D$90,2,FALSE)+VLOOKUP(AH$3,'Non-Embedded Emissions'!$A$143:$D$174,2,FALSE)+VLOOKUP(AH$3,'Non-Embedded Emissions'!$A$230:$D$259,2,FALSE)), $C37 = "0", 0), 0)</f>
        <v>0</v>
      </c>
      <c r="AN37" s="347">
        <f>IFERROR(_xlfn.IFS($C37="1",('Inputs-System'!$C$30*'Coincidence Factors'!$B$7*(1+'Inputs-System'!$C$18)*(1+'Inputs-System'!$C$41)*('Inputs-Proposals'!$H$17*'Inputs-Proposals'!$H$19*('Inputs-Proposals'!$H$20))*(VLOOKUP(AN$3,Energy!$A$51:$K$83,5,FALSE))), $C37 = "2",('Inputs-System'!$C$30*'Coincidence Factors'!$B$7)*(1+'Inputs-System'!$C$18)*(1+'Inputs-System'!$C$41)*('Inputs-Proposals'!$H$23*'Inputs-Proposals'!$H$25*('Inputs-Proposals'!$H$26))*(VLOOKUP(AN$3,Energy!$A$51:$K$83,5,FALSE)), $C37= "3", ('Inputs-System'!$C$30*'Coincidence Factors'!$B$7*(1+'Inputs-System'!$C$18)*(1+'Inputs-System'!$C$41)*('Inputs-Proposals'!$H$29*'Inputs-Proposals'!$H$31*('Inputs-Proposals'!$H$32))*(VLOOKUP(AN$3,Energy!$A$51:$K$83,5,FALSE))), $C37= "0", 0), 0)</f>
        <v>0</v>
      </c>
      <c r="AO37" s="44">
        <f>IFERROR(_xlfn.IFS($C37="1",'Inputs-System'!$C$30*'Coincidence Factors'!$B$7*(1+'Inputs-System'!$C$18)*(1+'Inputs-System'!$C$41)*'Inputs-Proposals'!$H$17*'Inputs-Proposals'!$H$19*('Inputs-Proposals'!$H$20)*(VLOOKUP(AN$3,'Embedded Emissions'!$A$47:$B$78,2,FALSE)+VLOOKUP(AN$3,'Embedded Emissions'!$A$129:$B$158,2,FALSE)), $C37 = "2",'Inputs-System'!$C$30*'Coincidence Factors'!$B$7*(1+'Inputs-System'!$C$18)*(1+'Inputs-System'!$C$41)*'Inputs-Proposals'!$H$23*'Inputs-Proposals'!$H$25*('Inputs-Proposals'!$H$20)*(VLOOKUP(AN$3,'Embedded Emissions'!$A$47:$B$78,2,FALSE)+VLOOKUP(AN$3,'Embedded Emissions'!$A$129:$B$158,2,FALSE)), $C37 = "3", 'Inputs-System'!$C$30*'Coincidence Factors'!$B$7*(1+'Inputs-System'!$C$18)*(1+'Inputs-System'!$C$41)*'Inputs-Proposals'!$H$29*'Inputs-Proposals'!$H$31*('Inputs-Proposals'!$H$20)*(VLOOKUP(AN$3,'Embedded Emissions'!$A$47:$B$78,2,FALSE)+VLOOKUP(AN$3,'Embedded Emissions'!$A$129:$B$158,2,FALSE)), $C37 = "0", 0), 0)</f>
        <v>0</v>
      </c>
      <c r="AP37" s="44">
        <f>IFERROR(_xlfn.IFS($C37="1",( 'Inputs-System'!$C$30*'Coincidence Factors'!$B$7*(1+'Inputs-System'!$C$18)*(1+'Inputs-System'!$C$41))*('Inputs-Proposals'!$H$17*'Inputs-Proposals'!$H$19*('Inputs-Proposals'!$H$20))*(VLOOKUP(AN$3,DRIPE!$A$54:$I$82,5,FALSE)+VLOOKUP(AN$3,DRIPE!$A$54:$I$82,9,FALSE))+ ('Inputs-System'!$C$26*'Coincidence Factors'!$B$7*(1+'Inputs-System'!$C$18)*(1+'Inputs-System'!$C$42))*'Inputs-Proposals'!$H$16*VLOOKUP(AN$3,DRIPE!$A$54:$I$82,8,FALSE), $C37 = "2",( 'Inputs-System'!$C$30*'Coincidence Factors'!$B$7*(1+'Inputs-System'!$C$18)*(1+'Inputs-System'!$C$41))*('Inputs-Proposals'!$H$23*'Inputs-Proposals'!$H$25*('Inputs-Proposals'!$H$26))*(VLOOKUP(AN$3,DRIPE!$A$54:$I$82,5,FALSE)+VLOOKUP(AN$3,DRIPE!$A$54:$I$82,12,FALSE))+ ('Inputs-System'!$C$26*'Coincidence Factors'!$B$7*(1+'Inputs-System'!$C$18)*(1+'Inputs-System'!$C$42))*'Inputs-Proposals'!$H$22*VLOOKUP(AN$3,DRIPE!$A$54:$I$82,8,FALSE), $C37= "3", ( 'Inputs-System'!$C$30*'Coincidence Factors'!$B$7*(1+'Inputs-System'!$C$18)*(1+'Inputs-System'!$C$41))*('Inputs-Proposals'!$H$29*'Inputs-Proposals'!$H$31*('Inputs-Proposals'!$H$32))*(VLOOKUP(AN$3,DRIPE!$A$54:$I$82,5,FALSE)+VLOOKUP(AN$3,DRIPE!$A$54:$I$82,12,FALSE))+ ('Inputs-System'!$C$26*'Coincidence Factors'!$B$7*(1+'Inputs-System'!$C$18)*(1+'Inputs-System'!$C$42))*'Inputs-Proposals'!$H$28*VLOOKUP(AN$3,DRIPE!$A$54:$I$82,8,FALSE), $C37 = "0", 0), 0)</f>
        <v>0</v>
      </c>
      <c r="AQ37" s="45">
        <f>IFERROR(_xlfn.IFS($C37="1",('Inputs-System'!$C$26*'Coincidence Factors'!$B$7*(1+'Inputs-System'!$C$18))*'Inputs-Proposals'!$H$16*(VLOOKUP(AN$3,Capacity!$A$53:$E$85,4,FALSE)*(1+'Inputs-System'!$C$42)+VLOOKUP(AN$3,Capacity!$A$53:$E$85,5,FALSE)*'Inputs-System'!$C$29*(1+'Inputs-System'!$C$43)), $C37 = "2", ('Inputs-System'!$C$26*'Coincidence Factors'!$B$7*(1+'Inputs-System'!$C$18))*'Inputs-Proposals'!$H$22*(VLOOKUP(AN$3,Capacity!$A$53:$E$85,4,FALSE)*(1+'Inputs-System'!$C$42)+VLOOKUP(AN$3,Capacity!$A$53:$E$85,5,FALSE)*'Inputs-System'!$C$29*(1+'Inputs-System'!$C$43)), $C37 = "3",('Inputs-System'!$C$26*'Coincidence Factors'!$B$7*(1+'Inputs-System'!$C$18))*'Inputs-Proposals'!$H$28*(VLOOKUP(AN$3,Capacity!$A$53:$E$85,4,FALSE)*(1+'Inputs-System'!$C$42)+VLOOKUP(AN$3,Capacity!$A$53:$E$85,5,FALSE)*'Inputs-System'!$C$29*(1+'Inputs-System'!$C$43)), $C37 = "0", 0), 0)</f>
        <v>0</v>
      </c>
      <c r="AR37" s="44">
        <v>0</v>
      </c>
      <c r="AS37" s="342">
        <f>IFERROR(_xlfn.IFS($C37="1", 'Inputs-System'!$C$30*'Coincidence Factors'!$B$7*'Inputs-Proposals'!$H$17*'Inputs-Proposals'!$H$19*(VLOOKUP(AN$3,'Non-Embedded Emissions'!$A$56:$D$90,2,FALSE)+VLOOKUP(AN$3,'Non-Embedded Emissions'!$A$143:$D$174,2,FALSE)+VLOOKUP(AN$3,'Non-Embedded Emissions'!$A$230:$D$259,2,FALSE)), $C37 = "2", 'Inputs-System'!$C$30*'Coincidence Factors'!$B$7*'Inputs-Proposals'!$H$23*'Inputs-Proposals'!$H$25*(VLOOKUP(AN$3,'Non-Embedded Emissions'!$A$56:$D$90,2,FALSE)+VLOOKUP(AN$3,'Non-Embedded Emissions'!$A$143:$D$174,2,FALSE)+VLOOKUP(AN$3,'Non-Embedded Emissions'!$A$230:$D$259,2,FALSE)), $C37 = "3", 'Inputs-System'!$C$30*'Coincidence Factors'!$B$7*'Inputs-Proposals'!$H$29*'Inputs-Proposals'!$H$31*(VLOOKUP(AN$3,'Non-Embedded Emissions'!$A$56:$D$90,2,FALSE)+VLOOKUP(AN$3,'Non-Embedded Emissions'!$A$143:$D$174,2,FALSE)+VLOOKUP(AN$3,'Non-Embedded Emissions'!$A$230:$D$259,2,FALSE)), $C37 = "0", 0), 0)</f>
        <v>0</v>
      </c>
      <c r="AT37" s="347">
        <f>IFERROR(_xlfn.IFS($C37="1",('Inputs-System'!$C$30*'Coincidence Factors'!$B$7*(1+'Inputs-System'!$C$18)*(1+'Inputs-System'!$C$41)*('Inputs-Proposals'!$H$17*'Inputs-Proposals'!$H$19*('Inputs-Proposals'!$H$20))*(VLOOKUP(AT$3,Energy!$A$51:$K$83,5,FALSE))), $C37 = "2",('Inputs-System'!$C$30*'Coincidence Factors'!$B$7)*(1+'Inputs-System'!$C$18)*(1+'Inputs-System'!$C$41)*('Inputs-Proposals'!$H$23*'Inputs-Proposals'!$H$25*('Inputs-Proposals'!$H$26))*(VLOOKUP(AT$3,Energy!$A$51:$K$83,5,FALSE)), $C37= "3", ('Inputs-System'!$C$30*'Coincidence Factors'!$B$7*(1+'Inputs-System'!$C$18)*(1+'Inputs-System'!$C$41)*('Inputs-Proposals'!$H$29*'Inputs-Proposals'!$H$31*('Inputs-Proposals'!$H$32))*(VLOOKUP(AT$3,Energy!$A$51:$K$83,5,FALSE))), $C37= "0", 0), 0)</f>
        <v>0</v>
      </c>
      <c r="AU37" s="44">
        <f>IFERROR(_xlfn.IFS($C37="1",'Inputs-System'!$C$30*'Coincidence Factors'!$B$7*(1+'Inputs-System'!$C$18)*(1+'Inputs-System'!$C$41)*'Inputs-Proposals'!$H$17*'Inputs-Proposals'!$H$19*('Inputs-Proposals'!$H$20)*(VLOOKUP(AT$3,'Embedded Emissions'!$A$47:$B$78,2,FALSE)+VLOOKUP(AT$3,'Embedded Emissions'!$A$129:$B$158,2,FALSE)), $C37 = "2",'Inputs-System'!$C$30*'Coincidence Factors'!$B$7*(1+'Inputs-System'!$C$18)*(1+'Inputs-System'!$C$41)*'Inputs-Proposals'!$H$23*'Inputs-Proposals'!$H$25*('Inputs-Proposals'!$H$20)*(VLOOKUP(AT$3,'Embedded Emissions'!$A$47:$B$78,2,FALSE)+VLOOKUP(AT$3,'Embedded Emissions'!$A$129:$B$158,2,FALSE)), $C37 = "3", 'Inputs-System'!$C$30*'Coincidence Factors'!$B$7*(1+'Inputs-System'!$C$18)*(1+'Inputs-System'!$C$41)*'Inputs-Proposals'!$H$29*'Inputs-Proposals'!$H$31*('Inputs-Proposals'!$H$20)*(VLOOKUP(AT$3,'Embedded Emissions'!$A$47:$B$78,2,FALSE)+VLOOKUP(AT$3,'Embedded Emissions'!$A$129:$B$158,2,FALSE)), $C37 = "0", 0), 0)</f>
        <v>0</v>
      </c>
      <c r="AV37" s="44">
        <f>IFERROR(_xlfn.IFS($C37="1",( 'Inputs-System'!$C$30*'Coincidence Factors'!$B$7*(1+'Inputs-System'!$C$18)*(1+'Inputs-System'!$C$41))*('Inputs-Proposals'!$H$17*'Inputs-Proposals'!$H$19*('Inputs-Proposals'!$H$20))*(VLOOKUP(AT$3,DRIPE!$A$54:$I$82,5,FALSE)+VLOOKUP(AT$3,DRIPE!$A$54:$I$82,9,FALSE))+ ('Inputs-System'!$C$26*'Coincidence Factors'!$B$7*(1+'Inputs-System'!$C$18)*(1+'Inputs-System'!$C$42))*'Inputs-Proposals'!$H$16*VLOOKUP(AT$3,DRIPE!$A$54:$I$82,8,FALSE), $C37 = "2",( 'Inputs-System'!$C$30*'Coincidence Factors'!$B$7*(1+'Inputs-System'!$C$18)*(1+'Inputs-System'!$C$41))*('Inputs-Proposals'!$H$23*'Inputs-Proposals'!$H$25*('Inputs-Proposals'!$H$26))*(VLOOKUP(AT$3,DRIPE!$A$54:$I$82,5,FALSE)+VLOOKUP(AT$3,DRIPE!$A$54:$I$82,12,FALSE))+ ('Inputs-System'!$C$26*'Coincidence Factors'!$B$7*(1+'Inputs-System'!$C$18)*(1+'Inputs-System'!$C$42))*'Inputs-Proposals'!$H$22*VLOOKUP(AT$3,DRIPE!$A$54:$I$82,8,FALSE), $C37= "3", ( 'Inputs-System'!$C$30*'Coincidence Factors'!$B$7*(1+'Inputs-System'!$C$18)*(1+'Inputs-System'!$C$41))*('Inputs-Proposals'!$H$29*'Inputs-Proposals'!$H$31*('Inputs-Proposals'!$H$32))*(VLOOKUP(AT$3,DRIPE!$A$54:$I$82,5,FALSE)+VLOOKUP(AT$3,DRIPE!$A$54:$I$82,12,FALSE))+ ('Inputs-System'!$C$26*'Coincidence Factors'!$B$7*(1+'Inputs-System'!$C$18)*(1+'Inputs-System'!$C$42))*'Inputs-Proposals'!$H$28*VLOOKUP(AT$3,DRIPE!$A$54:$I$82,8,FALSE), $C37 = "0", 0), 0)</f>
        <v>0</v>
      </c>
      <c r="AW37" s="45">
        <f>IFERROR(_xlfn.IFS($C37="1",('Inputs-System'!$C$26*'Coincidence Factors'!$B$7*(1+'Inputs-System'!$C$18))*'Inputs-Proposals'!$H$16*(VLOOKUP(AT$3,Capacity!$A$53:$E$85,4,FALSE)*(1+'Inputs-System'!$C$42)+VLOOKUP(AT$3,Capacity!$A$53:$E$85,5,FALSE)*'Inputs-System'!$C$29*(1+'Inputs-System'!$C$43)), $C37 = "2", ('Inputs-System'!$C$26*'Coincidence Factors'!$B$7*(1+'Inputs-System'!$C$18))*'Inputs-Proposals'!$H$22*(VLOOKUP(AT$3,Capacity!$A$53:$E$85,4,FALSE)*(1+'Inputs-System'!$C$42)+VLOOKUP(AT$3,Capacity!$A$53:$E$85,5,FALSE)*'Inputs-System'!$C$29*(1+'Inputs-System'!$C$43)), $C37 = "3",('Inputs-System'!$C$26*'Coincidence Factors'!$B$7*(1+'Inputs-System'!$C$18))*'Inputs-Proposals'!$H$28*(VLOOKUP(AT$3,Capacity!$A$53:$E$85,4,FALSE)*(1+'Inputs-System'!$C$42)+VLOOKUP(AT$3,Capacity!$A$53:$E$85,5,FALSE)*'Inputs-System'!$C$29*(1+'Inputs-System'!$C$43)), $C37 = "0", 0), 0)</f>
        <v>0</v>
      </c>
      <c r="AX37" s="44">
        <v>0</v>
      </c>
      <c r="AY37" s="342">
        <f>IFERROR(_xlfn.IFS($C37="1", 'Inputs-System'!$C$30*'Coincidence Factors'!$B$7*'Inputs-Proposals'!$H$17*'Inputs-Proposals'!$H$19*(VLOOKUP(AT$3,'Non-Embedded Emissions'!$A$56:$D$90,2,FALSE)+VLOOKUP(AT$3,'Non-Embedded Emissions'!$A$143:$D$174,2,FALSE)+VLOOKUP(AT$3,'Non-Embedded Emissions'!$A$230:$D$259,2,FALSE)), $C37 = "2", 'Inputs-System'!$C$30*'Coincidence Factors'!$B$7*'Inputs-Proposals'!$H$23*'Inputs-Proposals'!$H$25*(VLOOKUP(AT$3,'Non-Embedded Emissions'!$A$56:$D$90,2,FALSE)+VLOOKUP(AT$3,'Non-Embedded Emissions'!$A$143:$D$174,2,FALSE)+VLOOKUP(AT$3,'Non-Embedded Emissions'!$A$230:$D$259,2,FALSE)), $C37 = "3", 'Inputs-System'!$C$30*'Coincidence Factors'!$B$7*'Inputs-Proposals'!$H$29*'Inputs-Proposals'!$H$31*(VLOOKUP(AT$3,'Non-Embedded Emissions'!$A$56:$D$90,2,FALSE)+VLOOKUP(AT$3,'Non-Embedded Emissions'!$A$143:$D$174,2,FALSE)+VLOOKUP(AT$3,'Non-Embedded Emissions'!$A$230:$D$259,2,FALSE)), $C37 = "0", 0), 0)</f>
        <v>0</v>
      </c>
      <c r="AZ37" s="347">
        <f>IFERROR(_xlfn.IFS($C37="1",('Inputs-System'!$C$30*'Coincidence Factors'!$B$7*(1+'Inputs-System'!$C$18)*(1+'Inputs-System'!$C$41)*('Inputs-Proposals'!$H$17*'Inputs-Proposals'!$H$19*('Inputs-Proposals'!$H$20))*(VLOOKUP(AZ$3,Energy!$A$51:$K$83,5,FALSE))), $C37 = "2",('Inputs-System'!$C$30*'Coincidence Factors'!$B$7)*(1+'Inputs-System'!$C$18)*(1+'Inputs-System'!$C$41)*('Inputs-Proposals'!$H$23*'Inputs-Proposals'!$H$25*('Inputs-Proposals'!$H$26))*(VLOOKUP(AZ$3,Energy!$A$51:$K$83,5,FALSE)), $C37= "3", ('Inputs-System'!$C$30*'Coincidence Factors'!$B$7*(1+'Inputs-System'!$C$18)*(1+'Inputs-System'!$C$41)*('Inputs-Proposals'!$H$29*'Inputs-Proposals'!$H$31*('Inputs-Proposals'!$H$32))*(VLOOKUP(AZ$3,Energy!$A$51:$K$83,5,FALSE))), $C37= "0", 0), 0)</f>
        <v>0</v>
      </c>
      <c r="BA37" s="44">
        <f>IFERROR(_xlfn.IFS($C37="1",'Inputs-System'!$C$30*'Coincidence Factors'!$B$7*(1+'Inputs-System'!$C$18)*(1+'Inputs-System'!$C$41)*'Inputs-Proposals'!$H$17*'Inputs-Proposals'!$H$19*('Inputs-Proposals'!$H$20)*(VLOOKUP(AZ$3,'Embedded Emissions'!$A$47:$B$78,2,FALSE)+VLOOKUP(AZ$3,'Embedded Emissions'!$A$129:$B$158,2,FALSE)), $C37 = "2",'Inputs-System'!$C$30*'Coincidence Factors'!$B$7*(1+'Inputs-System'!$C$18)*(1+'Inputs-System'!$C$41)*'Inputs-Proposals'!$H$23*'Inputs-Proposals'!$H$25*('Inputs-Proposals'!$H$20)*(VLOOKUP(AZ$3,'Embedded Emissions'!$A$47:$B$78,2,FALSE)+VLOOKUP(AZ$3,'Embedded Emissions'!$A$129:$B$158,2,FALSE)), $C37 = "3", 'Inputs-System'!$C$30*'Coincidence Factors'!$B$7*(1+'Inputs-System'!$C$18)*(1+'Inputs-System'!$C$41)*'Inputs-Proposals'!$H$29*'Inputs-Proposals'!$H$31*('Inputs-Proposals'!$H$20)*(VLOOKUP(AZ$3,'Embedded Emissions'!$A$47:$B$78,2,FALSE)+VLOOKUP(AZ$3,'Embedded Emissions'!$A$129:$B$158,2,FALSE)), $C37 = "0", 0), 0)</f>
        <v>0</v>
      </c>
      <c r="BB37" s="44">
        <f>IFERROR(_xlfn.IFS($C37="1",( 'Inputs-System'!$C$30*'Coincidence Factors'!$B$7*(1+'Inputs-System'!$C$18)*(1+'Inputs-System'!$C$41))*('Inputs-Proposals'!$H$17*'Inputs-Proposals'!$H$19*('Inputs-Proposals'!$H$20))*(VLOOKUP(AZ$3,DRIPE!$A$54:$I$82,5,FALSE)+VLOOKUP(AZ$3,DRIPE!$A$54:$I$82,9,FALSE))+ ('Inputs-System'!$C$26*'Coincidence Factors'!$B$7*(1+'Inputs-System'!$C$18)*(1+'Inputs-System'!$C$42))*'Inputs-Proposals'!$H$16*VLOOKUP(AZ$3,DRIPE!$A$54:$I$82,8,FALSE), $C37 = "2",( 'Inputs-System'!$C$30*'Coincidence Factors'!$B$7*(1+'Inputs-System'!$C$18)*(1+'Inputs-System'!$C$41))*('Inputs-Proposals'!$H$23*'Inputs-Proposals'!$H$25*('Inputs-Proposals'!$H$26))*(VLOOKUP(AZ$3,DRIPE!$A$54:$I$82,5,FALSE)+VLOOKUP(AZ$3,DRIPE!$A$54:$I$82,12,FALSE))+ ('Inputs-System'!$C$26*'Coincidence Factors'!$B$7*(1+'Inputs-System'!$C$18)*(1+'Inputs-System'!$C$42))*'Inputs-Proposals'!$H$22*VLOOKUP(AZ$3,DRIPE!$A$54:$I$82,8,FALSE), $C37= "3", ( 'Inputs-System'!$C$30*'Coincidence Factors'!$B$7*(1+'Inputs-System'!$C$18)*(1+'Inputs-System'!$C$41))*('Inputs-Proposals'!$H$29*'Inputs-Proposals'!$H$31*('Inputs-Proposals'!$H$32))*(VLOOKUP(AZ$3,DRIPE!$A$54:$I$82,5,FALSE)+VLOOKUP(AZ$3,DRIPE!$A$54:$I$82,12,FALSE))+ ('Inputs-System'!$C$26*'Coincidence Factors'!$B$7*(1+'Inputs-System'!$C$18)*(1+'Inputs-System'!$C$42))*'Inputs-Proposals'!$H$28*VLOOKUP(AZ$3,DRIPE!$A$54:$I$82,8,FALSE), $C37 = "0", 0), 0)</f>
        <v>0</v>
      </c>
      <c r="BC37" s="45">
        <f>IFERROR(_xlfn.IFS($C37="1",('Inputs-System'!$C$26*'Coincidence Factors'!$B$7*(1+'Inputs-System'!$C$18))*'Inputs-Proposals'!$H$16*(VLOOKUP(AZ$3,Capacity!$A$53:$E$85,4,FALSE)*(1+'Inputs-System'!$C$42)+VLOOKUP(AZ$3,Capacity!$A$53:$E$85,5,FALSE)*'Inputs-System'!$C$29*(1+'Inputs-System'!$C$43)), $C37 = "2", ('Inputs-System'!$C$26*'Coincidence Factors'!$B$7*(1+'Inputs-System'!$C$18))*'Inputs-Proposals'!$H$22*(VLOOKUP(AZ$3,Capacity!$A$53:$E$85,4,FALSE)*(1+'Inputs-System'!$C$42)+VLOOKUP(AZ$3,Capacity!$A$53:$E$85,5,FALSE)*'Inputs-System'!$C$29*(1+'Inputs-System'!$C$43)), $C37 = "3",('Inputs-System'!$C$26*'Coincidence Factors'!$B$7*(1+'Inputs-System'!$C$18))*'Inputs-Proposals'!$H$28*(VLOOKUP(AZ$3,Capacity!$A$53:$E$85,4,FALSE)*(1+'Inputs-System'!$C$42)+VLOOKUP(AZ$3,Capacity!$A$53:$E$85,5,FALSE)*'Inputs-System'!$C$29*(1+'Inputs-System'!$C$43)), $C37 = "0", 0), 0)</f>
        <v>0</v>
      </c>
      <c r="BD37" s="44">
        <v>0</v>
      </c>
      <c r="BE37" s="342">
        <f>IFERROR(_xlfn.IFS($C37="1", 'Inputs-System'!$C$30*'Coincidence Factors'!$B$7*'Inputs-Proposals'!$H$17*'Inputs-Proposals'!$H$19*(VLOOKUP(AZ$3,'Non-Embedded Emissions'!$A$56:$D$90,2,FALSE)+VLOOKUP(AZ$3,'Non-Embedded Emissions'!$A$143:$D$174,2,FALSE)+VLOOKUP(AZ$3,'Non-Embedded Emissions'!$A$230:$D$259,2,FALSE)), $C37 = "2", 'Inputs-System'!$C$30*'Coincidence Factors'!$B$7*'Inputs-Proposals'!$H$23*'Inputs-Proposals'!$H$25*(VLOOKUP(AZ$3,'Non-Embedded Emissions'!$A$56:$D$90,2,FALSE)+VLOOKUP(AZ$3,'Non-Embedded Emissions'!$A$143:$D$174,2,FALSE)+VLOOKUP(AZ$3,'Non-Embedded Emissions'!$A$230:$D$259,2,FALSE)), $C37 = "3", 'Inputs-System'!$C$30*'Coincidence Factors'!$B$7*'Inputs-Proposals'!$H$29*'Inputs-Proposals'!$H$31*(VLOOKUP(AZ$3,'Non-Embedded Emissions'!$A$56:$D$90,2,FALSE)+VLOOKUP(AZ$3,'Non-Embedded Emissions'!$A$143:$D$174,2,FALSE)+VLOOKUP(AZ$3,'Non-Embedded Emissions'!$A$230:$D$259,2,FALSE)), $C37 = "0", 0), 0)</f>
        <v>0</v>
      </c>
      <c r="BF37" s="347">
        <f>IFERROR(_xlfn.IFS($C37="1",('Inputs-System'!$C$30*'Coincidence Factors'!$B$7*(1+'Inputs-System'!$C$18)*(1+'Inputs-System'!$C$41)*('Inputs-Proposals'!$H$17*'Inputs-Proposals'!$H$19*('Inputs-Proposals'!$H$20))*(VLOOKUP(BF$3,Energy!$A$51:$K$83,5,FALSE))), $C37 = "2",('Inputs-System'!$C$30*'Coincidence Factors'!$B$7)*(1+'Inputs-System'!$C$18)*(1+'Inputs-System'!$C$41)*('Inputs-Proposals'!$H$23*'Inputs-Proposals'!$H$25*('Inputs-Proposals'!$H$26))*(VLOOKUP(BF$3,Energy!$A$51:$K$83,5,FALSE)), $C37= "3", ('Inputs-System'!$C$30*'Coincidence Factors'!$B$7*(1+'Inputs-System'!$C$18)*(1+'Inputs-System'!$C$41)*('Inputs-Proposals'!$H$29*'Inputs-Proposals'!$H$31*('Inputs-Proposals'!$H$32))*(VLOOKUP(BF$3,Energy!$A$51:$K$83,5,FALSE))), $C37= "0", 0), 0)</f>
        <v>0</v>
      </c>
      <c r="BG37" s="44">
        <f>IFERROR(_xlfn.IFS($C37="1",'Inputs-System'!$C$30*'Coincidence Factors'!$B$7*(1+'Inputs-System'!$C$18)*(1+'Inputs-System'!$C$41)*'Inputs-Proposals'!$H$17*'Inputs-Proposals'!$H$19*('Inputs-Proposals'!$H$20)*(VLOOKUP(BF$3,'Embedded Emissions'!$A$47:$B$78,2,FALSE)+VLOOKUP(BF$3,'Embedded Emissions'!$A$129:$B$158,2,FALSE)), $C37 = "2",'Inputs-System'!$C$30*'Coincidence Factors'!$B$7*(1+'Inputs-System'!$C$18)*(1+'Inputs-System'!$C$41)*'Inputs-Proposals'!$H$23*'Inputs-Proposals'!$H$25*('Inputs-Proposals'!$H$20)*(VLOOKUP(BF$3,'Embedded Emissions'!$A$47:$B$78,2,FALSE)+VLOOKUP(BF$3,'Embedded Emissions'!$A$129:$B$158,2,FALSE)), $C37 = "3", 'Inputs-System'!$C$30*'Coincidence Factors'!$B$7*(1+'Inputs-System'!$C$18)*(1+'Inputs-System'!$C$41)*'Inputs-Proposals'!$H$29*'Inputs-Proposals'!$H$31*('Inputs-Proposals'!$H$20)*(VLOOKUP(BF$3,'Embedded Emissions'!$A$47:$B$78,2,FALSE)+VLOOKUP(BF$3,'Embedded Emissions'!$A$129:$B$158,2,FALSE)), $C37 = "0", 0), 0)</f>
        <v>0</v>
      </c>
      <c r="BH37" s="44">
        <f>IFERROR(_xlfn.IFS($C37="1",( 'Inputs-System'!$C$30*'Coincidence Factors'!$B$7*(1+'Inputs-System'!$C$18)*(1+'Inputs-System'!$C$41))*('Inputs-Proposals'!$H$17*'Inputs-Proposals'!$H$19*('Inputs-Proposals'!$H$20))*(VLOOKUP(BF$3,DRIPE!$A$54:$I$82,5,FALSE)+VLOOKUP(BF$3,DRIPE!$A$54:$I$82,9,FALSE))+ ('Inputs-System'!$C$26*'Coincidence Factors'!$B$7*(1+'Inputs-System'!$C$18)*(1+'Inputs-System'!$C$42))*'Inputs-Proposals'!$H$16*VLOOKUP(BF$3,DRIPE!$A$54:$I$82,8,FALSE), $C37 = "2",( 'Inputs-System'!$C$30*'Coincidence Factors'!$B$7*(1+'Inputs-System'!$C$18)*(1+'Inputs-System'!$C$41))*('Inputs-Proposals'!$H$23*'Inputs-Proposals'!$H$25*('Inputs-Proposals'!$H$26))*(VLOOKUP(BF$3,DRIPE!$A$54:$I$82,5,FALSE)+VLOOKUP(BF$3,DRIPE!$A$54:$I$82,12,FALSE))+ ('Inputs-System'!$C$26*'Coincidence Factors'!$B$7*(1+'Inputs-System'!$C$18)*(1+'Inputs-System'!$C$42))*'Inputs-Proposals'!$H$22*VLOOKUP(BF$3,DRIPE!$A$54:$I$82,8,FALSE), $C37= "3", ( 'Inputs-System'!$C$30*'Coincidence Factors'!$B$7*(1+'Inputs-System'!$C$18)*(1+'Inputs-System'!$C$41))*('Inputs-Proposals'!$H$29*'Inputs-Proposals'!$H$31*('Inputs-Proposals'!$H$32))*(VLOOKUP(BF$3,DRIPE!$A$54:$I$82,5,FALSE)+VLOOKUP(BF$3,DRIPE!$A$54:$I$82,12,FALSE))+ ('Inputs-System'!$C$26*'Coincidence Factors'!$B$7*(1+'Inputs-System'!$C$18)*(1+'Inputs-System'!$C$42))*'Inputs-Proposals'!$H$28*VLOOKUP(BF$3,DRIPE!$A$54:$I$82,8,FALSE), $C37 = "0", 0), 0)</f>
        <v>0</v>
      </c>
      <c r="BI37" s="45">
        <f>IFERROR(_xlfn.IFS($C37="1",('Inputs-System'!$C$26*'Coincidence Factors'!$B$7*(1+'Inputs-System'!$C$18))*'Inputs-Proposals'!$H$16*(VLOOKUP(BF$3,Capacity!$A$53:$E$85,4,FALSE)*(1+'Inputs-System'!$C$42)+VLOOKUP(BF$3,Capacity!$A$53:$E$85,5,FALSE)*'Inputs-System'!$C$29*(1+'Inputs-System'!$C$43)), $C37 = "2", ('Inputs-System'!$C$26*'Coincidence Factors'!$B$7*(1+'Inputs-System'!$C$18))*'Inputs-Proposals'!$H$22*(VLOOKUP(BF$3,Capacity!$A$53:$E$85,4,FALSE)*(1+'Inputs-System'!$C$42)+VLOOKUP(BF$3,Capacity!$A$53:$E$85,5,FALSE)*'Inputs-System'!$C$29*(1+'Inputs-System'!$C$43)), $C37 = "3",('Inputs-System'!$C$26*'Coincidence Factors'!$B$7*(1+'Inputs-System'!$C$18))*'Inputs-Proposals'!$H$28*(VLOOKUP(BF$3,Capacity!$A$53:$E$85,4,FALSE)*(1+'Inputs-System'!$C$42)+VLOOKUP(BF$3,Capacity!$A$53:$E$85,5,FALSE)*'Inputs-System'!$C$29*(1+'Inputs-System'!$C$43)), $C37 = "0", 0), 0)</f>
        <v>0</v>
      </c>
      <c r="BJ37" s="44">
        <v>0</v>
      </c>
      <c r="BK37" s="342">
        <f>IFERROR(_xlfn.IFS($C37="1", 'Inputs-System'!$C$30*'Coincidence Factors'!$B$7*'Inputs-Proposals'!$H$17*'Inputs-Proposals'!$H$19*(VLOOKUP(BF$3,'Non-Embedded Emissions'!$A$56:$D$90,2,FALSE)+VLOOKUP(BF$3,'Non-Embedded Emissions'!$A$143:$D$174,2,FALSE)+VLOOKUP(BF$3,'Non-Embedded Emissions'!$A$230:$D$259,2,FALSE)), $C37 = "2", 'Inputs-System'!$C$30*'Coincidence Factors'!$B$7*'Inputs-Proposals'!$H$23*'Inputs-Proposals'!$H$25*(VLOOKUP(BF$3,'Non-Embedded Emissions'!$A$56:$D$90,2,FALSE)+VLOOKUP(BF$3,'Non-Embedded Emissions'!$A$143:$D$174,2,FALSE)+VLOOKUP(BF$3,'Non-Embedded Emissions'!$A$230:$D$259,2,FALSE)), $C37 = "3", 'Inputs-System'!$C$30*'Coincidence Factors'!$B$7*'Inputs-Proposals'!$H$29*'Inputs-Proposals'!$H$31*(VLOOKUP(BF$3,'Non-Embedded Emissions'!$A$56:$D$90,2,FALSE)+VLOOKUP(BF$3,'Non-Embedded Emissions'!$A$143:$D$174,2,FALSE)+VLOOKUP(BF$3,'Non-Embedded Emissions'!$A$230:$D$259,2,FALSE)), $C37 = "0", 0), 0)</f>
        <v>0</v>
      </c>
      <c r="BL37" s="347">
        <f>IFERROR(_xlfn.IFS($C37="1",('Inputs-System'!$C$30*'Coincidence Factors'!$B$7*(1+'Inputs-System'!$C$18)*(1+'Inputs-System'!$C$41)*('Inputs-Proposals'!$H$17*'Inputs-Proposals'!$H$19*('Inputs-Proposals'!$H$20))*(VLOOKUP(BL$3,Energy!$A$51:$K$83,5,FALSE))), $C37 = "2",('Inputs-System'!$C$30*'Coincidence Factors'!$B$7)*(1+'Inputs-System'!$C$18)*(1+'Inputs-System'!$C$41)*('Inputs-Proposals'!$H$23*'Inputs-Proposals'!$H$25*('Inputs-Proposals'!$H$26))*(VLOOKUP(BL$3,Energy!$A$51:$K$83,5,FALSE)), $C37= "3", ('Inputs-System'!$C$30*'Coincidence Factors'!$B$7*(1+'Inputs-System'!$C$18)*(1+'Inputs-System'!$C$41)*('Inputs-Proposals'!$H$29*'Inputs-Proposals'!$H$31*('Inputs-Proposals'!$H$32))*(VLOOKUP(BL$3,Energy!$A$51:$K$83,5,FALSE))), $C37= "0", 0), 0)</f>
        <v>0</v>
      </c>
      <c r="BM37" s="44">
        <f>IFERROR(_xlfn.IFS($C37="1",'Inputs-System'!$C$30*'Coincidence Factors'!$B$7*(1+'Inputs-System'!$C$18)*(1+'Inputs-System'!$C$41)*'Inputs-Proposals'!$H$17*'Inputs-Proposals'!$H$19*('Inputs-Proposals'!$H$20)*(VLOOKUP(BL$3,'Embedded Emissions'!$A$47:$B$78,2,FALSE)+VLOOKUP(BL$3,'Embedded Emissions'!$A$129:$B$158,2,FALSE)), $C37 = "2",'Inputs-System'!$C$30*'Coincidence Factors'!$B$7*(1+'Inputs-System'!$C$18)*(1+'Inputs-System'!$C$41)*'Inputs-Proposals'!$H$23*'Inputs-Proposals'!$H$25*('Inputs-Proposals'!$H$20)*(VLOOKUP(BL$3,'Embedded Emissions'!$A$47:$B$78,2,FALSE)+VLOOKUP(BL$3,'Embedded Emissions'!$A$129:$B$158,2,FALSE)), $C37 = "3", 'Inputs-System'!$C$30*'Coincidence Factors'!$B$7*(1+'Inputs-System'!$C$18)*(1+'Inputs-System'!$C$41)*'Inputs-Proposals'!$H$29*'Inputs-Proposals'!$H$31*('Inputs-Proposals'!$H$20)*(VLOOKUP(BL$3,'Embedded Emissions'!$A$47:$B$78,2,FALSE)+VLOOKUP(BL$3,'Embedded Emissions'!$A$129:$B$158,2,FALSE)), $C37 = "0", 0), 0)</f>
        <v>0</v>
      </c>
      <c r="BN37" s="44">
        <f>IFERROR(_xlfn.IFS($C37="1",( 'Inputs-System'!$C$30*'Coincidence Factors'!$B$7*(1+'Inputs-System'!$C$18)*(1+'Inputs-System'!$C$41))*('Inputs-Proposals'!$H$17*'Inputs-Proposals'!$H$19*('Inputs-Proposals'!$H$20))*(VLOOKUP(BL$3,DRIPE!$A$54:$I$82,5,FALSE)+VLOOKUP(BL$3,DRIPE!$A$54:$I$82,9,FALSE))+ ('Inputs-System'!$C$26*'Coincidence Factors'!$B$7*(1+'Inputs-System'!$C$18)*(1+'Inputs-System'!$C$42))*'Inputs-Proposals'!$H$16*VLOOKUP(BL$3,DRIPE!$A$54:$I$82,8,FALSE), $C37 = "2",( 'Inputs-System'!$C$30*'Coincidence Factors'!$B$7*(1+'Inputs-System'!$C$18)*(1+'Inputs-System'!$C$41))*('Inputs-Proposals'!$H$23*'Inputs-Proposals'!$H$25*('Inputs-Proposals'!$H$26))*(VLOOKUP(BL$3,DRIPE!$A$54:$I$82,5,FALSE)+VLOOKUP(BL$3,DRIPE!$A$54:$I$82,12,FALSE))+ ('Inputs-System'!$C$26*'Coincidence Factors'!$B$7*(1+'Inputs-System'!$C$18)*(1+'Inputs-System'!$C$42))*'Inputs-Proposals'!$H$22*VLOOKUP(BL$3,DRIPE!$A$54:$I$82,8,FALSE), $C37= "3", ( 'Inputs-System'!$C$30*'Coincidence Factors'!$B$7*(1+'Inputs-System'!$C$18)*(1+'Inputs-System'!$C$41))*('Inputs-Proposals'!$H$29*'Inputs-Proposals'!$H$31*('Inputs-Proposals'!$H$32))*(VLOOKUP(BL$3,DRIPE!$A$54:$I$82,5,FALSE)+VLOOKUP(BL$3,DRIPE!$A$54:$I$82,12,FALSE))+ ('Inputs-System'!$C$26*'Coincidence Factors'!$B$7*(1+'Inputs-System'!$C$18)*(1+'Inputs-System'!$C$42))*'Inputs-Proposals'!$H$28*VLOOKUP(BL$3,DRIPE!$A$54:$I$82,8,FALSE), $C37 = "0", 0), 0)</f>
        <v>0</v>
      </c>
      <c r="BO37" s="45">
        <f>IFERROR(_xlfn.IFS($C37="1",('Inputs-System'!$C$26*'Coincidence Factors'!$B$7*(1+'Inputs-System'!$C$18))*'Inputs-Proposals'!$H$16*(VLOOKUP(BL$3,Capacity!$A$53:$E$85,4,FALSE)*(1+'Inputs-System'!$C$42)+VLOOKUP(BL$3,Capacity!$A$53:$E$85,5,FALSE)*'Inputs-System'!$C$29*(1+'Inputs-System'!$C$43)), $C37 = "2", ('Inputs-System'!$C$26*'Coincidence Factors'!$B$7*(1+'Inputs-System'!$C$18))*'Inputs-Proposals'!$H$22*(VLOOKUP(BL$3,Capacity!$A$53:$E$85,4,FALSE)*(1+'Inputs-System'!$C$42)+VLOOKUP(BL$3,Capacity!$A$53:$E$85,5,FALSE)*'Inputs-System'!$C$29*(1+'Inputs-System'!$C$43)), $C37 = "3",('Inputs-System'!$C$26*'Coincidence Factors'!$B$7*(1+'Inputs-System'!$C$18))*'Inputs-Proposals'!$H$28*(VLOOKUP(BL$3,Capacity!$A$53:$E$85,4,FALSE)*(1+'Inputs-System'!$C$42)+VLOOKUP(BL$3,Capacity!$A$53:$E$85,5,FALSE)*'Inputs-System'!$C$29*(1+'Inputs-System'!$C$43)), $C37 = "0", 0), 0)</f>
        <v>0</v>
      </c>
      <c r="BP37" s="44">
        <v>0</v>
      </c>
      <c r="BQ37" s="342">
        <f>IFERROR(_xlfn.IFS($C37="1", 'Inputs-System'!$C$30*'Coincidence Factors'!$B$7*'Inputs-Proposals'!$H$17*'Inputs-Proposals'!$H$19*(VLOOKUP(BL$3,'Non-Embedded Emissions'!$A$56:$D$90,2,FALSE)+VLOOKUP(BL$3,'Non-Embedded Emissions'!$A$143:$D$174,2,FALSE)+VLOOKUP(BL$3,'Non-Embedded Emissions'!$A$230:$D$259,2,FALSE)), $C37 = "2", 'Inputs-System'!$C$30*'Coincidence Factors'!$B$7*'Inputs-Proposals'!$H$23*'Inputs-Proposals'!$H$25*(VLOOKUP(BL$3,'Non-Embedded Emissions'!$A$56:$D$90,2,FALSE)+VLOOKUP(BL$3,'Non-Embedded Emissions'!$A$143:$D$174,2,FALSE)+VLOOKUP(BL$3,'Non-Embedded Emissions'!$A$230:$D$259,2,FALSE)), $C37 = "3", 'Inputs-System'!$C$30*'Coincidence Factors'!$B$7*'Inputs-Proposals'!$H$29*'Inputs-Proposals'!$H$31*(VLOOKUP(BL$3,'Non-Embedded Emissions'!$A$56:$D$90,2,FALSE)+VLOOKUP(BL$3,'Non-Embedded Emissions'!$A$143:$D$174,2,FALSE)+VLOOKUP(BL$3,'Non-Embedded Emissions'!$A$230:$D$259,2,FALSE)), $C37 = "0", 0), 0)</f>
        <v>0</v>
      </c>
      <c r="BR37" s="347">
        <f>IFERROR(_xlfn.IFS($C37="1",('Inputs-System'!$C$30*'Coincidence Factors'!$B$7*(1+'Inputs-System'!$C$18)*(1+'Inputs-System'!$C$41)*('Inputs-Proposals'!$H$17*'Inputs-Proposals'!$H$19*('Inputs-Proposals'!$H$20))*(VLOOKUP(BR$3,Energy!$A$51:$K$83,5,FALSE))), $C37 = "2",('Inputs-System'!$C$30*'Coincidence Factors'!$B$7)*(1+'Inputs-System'!$C$18)*(1+'Inputs-System'!$C$41)*('Inputs-Proposals'!$H$23*'Inputs-Proposals'!$H$25*('Inputs-Proposals'!$H$26))*(VLOOKUP(BR$3,Energy!$A$51:$K$83,5,FALSE)), $C37= "3", ('Inputs-System'!$C$30*'Coincidence Factors'!$B$7*(1+'Inputs-System'!$C$18)*(1+'Inputs-System'!$C$41)*('Inputs-Proposals'!$H$29*'Inputs-Proposals'!$H$31*('Inputs-Proposals'!$H$32))*(VLOOKUP(BR$3,Energy!$A$51:$K$83,5,FALSE))), $C37= "0", 0), 0)</f>
        <v>0</v>
      </c>
      <c r="BS37" s="44">
        <f>IFERROR(_xlfn.IFS($C37="1",'Inputs-System'!$C$30*'Coincidence Factors'!$B$7*(1+'Inputs-System'!$C$18)*(1+'Inputs-System'!$C$41)*'Inputs-Proposals'!$H$17*'Inputs-Proposals'!$H$19*('Inputs-Proposals'!$H$20)*(VLOOKUP(BR$3,'Embedded Emissions'!$A$47:$B$78,2,FALSE)+VLOOKUP(BR$3,'Embedded Emissions'!$A$129:$B$158,2,FALSE)), $C37 = "2",'Inputs-System'!$C$30*'Coincidence Factors'!$B$7*(1+'Inputs-System'!$C$18)*(1+'Inputs-System'!$C$41)*'Inputs-Proposals'!$H$23*'Inputs-Proposals'!$H$25*('Inputs-Proposals'!$H$20)*(VLOOKUP(BR$3,'Embedded Emissions'!$A$47:$B$78,2,FALSE)+VLOOKUP(BR$3,'Embedded Emissions'!$A$129:$B$158,2,FALSE)), $C37 = "3", 'Inputs-System'!$C$30*'Coincidence Factors'!$B$7*(1+'Inputs-System'!$C$18)*(1+'Inputs-System'!$C$41)*'Inputs-Proposals'!$H$29*'Inputs-Proposals'!$H$31*('Inputs-Proposals'!$H$20)*(VLOOKUP(BR$3,'Embedded Emissions'!$A$47:$B$78,2,FALSE)+VLOOKUP(BR$3,'Embedded Emissions'!$A$129:$B$158,2,FALSE)), $C37 = "0", 0), 0)</f>
        <v>0</v>
      </c>
      <c r="BT37" s="44">
        <f>IFERROR(_xlfn.IFS($C37="1",( 'Inputs-System'!$C$30*'Coincidence Factors'!$B$7*(1+'Inputs-System'!$C$18)*(1+'Inputs-System'!$C$41))*('Inputs-Proposals'!$H$17*'Inputs-Proposals'!$H$19*('Inputs-Proposals'!$H$20))*(VLOOKUP(BR$3,DRIPE!$A$54:$I$82,5,FALSE)+VLOOKUP(BR$3,DRIPE!$A$54:$I$82,9,FALSE))+ ('Inputs-System'!$C$26*'Coincidence Factors'!$B$7*(1+'Inputs-System'!$C$18)*(1+'Inputs-System'!$C$42))*'Inputs-Proposals'!$H$16*VLOOKUP(BR$3,DRIPE!$A$54:$I$82,8,FALSE), $C37 = "2",( 'Inputs-System'!$C$30*'Coincidence Factors'!$B$7*(1+'Inputs-System'!$C$18)*(1+'Inputs-System'!$C$41))*('Inputs-Proposals'!$H$23*'Inputs-Proposals'!$H$25*('Inputs-Proposals'!$H$26))*(VLOOKUP(BR$3,DRIPE!$A$54:$I$82,5,FALSE)+VLOOKUP(BR$3,DRIPE!$A$54:$I$82,12,FALSE))+ ('Inputs-System'!$C$26*'Coincidence Factors'!$B$7*(1+'Inputs-System'!$C$18)*(1+'Inputs-System'!$C$42))*'Inputs-Proposals'!$H$22*VLOOKUP(BR$3,DRIPE!$A$54:$I$82,8,FALSE), $C37= "3", ( 'Inputs-System'!$C$30*'Coincidence Factors'!$B$7*(1+'Inputs-System'!$C$18)*(1+'Inputs-System'!$C$41))*('Inputs-Proposals'!$H$29*'Inputs-Proposals'!$H$31*('Inputs-Proposals'!$H$32))*(VLOOKUP(BR$3,DRIPE!$A$54:$I$82,5,FALSE)+VLOOKUP(BR$3,DRIPE!$A$54:$I$82,12,FALSE))+ ('Inputs-System'!$C$26*'Coincidence Factors'!$B$7*(1+'Inputs-System'!$C$18)*(1+'Inputs-System'!$C$42))*'Inputs-Proposals'!$H$28*VLOOKUP(BR$3,DRIPE!$A$54:$I$82,8,FALSE), $C37 = "0", 0), 0)</f>
        <v>0</v>
      </c>
      <c r="BU37" s="45">
        <f>IFERROR(_xlfn.IFS($C37="1",('Inputs-System'!$C$26*'Coincidence Factors'!$B$7*(1+'Inputs-System'!$C$18))*'Inputs-Proposals'!$H$16*(VLOOKUP(BR$3,Capacity!$A$53:$E$85,4,FALSE)*(1+'Inputs-System'!$C$42)+VLOOKUP(BR$3,Capacity!$A$53:$E$85,5,FALSE)*'Inputs-System'!$C$29*(1+'Inputs-System'!$C$43)), $C37 = "2", ('Inputs-System'!$C$26*'Coincidence Factors'!$B$7*(1+'Inputs-System'!$C$18))*'Inputs-Proposals'!$H$22*(VLOOKUP(BR$3,Capacity!$A$53:$E$85,4,FALSE)*(1+'Inputs-System'!$C$42)+VLOOKUP(BR$3,Capacity!$A$53:$E$85,5,FALSE)*'Inputs-System'!$C$29*(1+'Inputs-System'!$C$43)), $C37 = "3",('Inputs-System'!$C$26*'Coincidence Factors'!$B$7*(1+'Inputs-System'!$C$18))*'Inputs-Proposals'!$H$28*(VLOOKUP(BR$3,Capacity!$A$53:$E$85,4,FALSE)*(1+'Inputs-System'!$C$42)+VLOOKUP(BR$3,Capacity!$A$53:$E$85,5,FALSE)*'Inputs-System'!$C$29*(1+'Inputs-System'!$C$43)), $C37 = "0", 0), 0)</f>
        <v>0</v>
      </c>
      <c r="BV37" s="44">
        <v>0</v>
      </c>
      <c r="BW37" s="342">
        <f>IFERROR(_xlfn.IFS($C37="1", 'Inputs-System'!$C$30*'Coincidence Factors'!$B$7*'Inputs-Proposals'!$H$17*'Inputs-Proposals'!$H$19*(VLOOKUP(BR$3,'Non-Embedded Emissions'!$A$56:$D$90,2,FALSE)+VLOOKUP(BR$3,'Non-Embedded Emissions'!$A$143:$D$174,2,FALSE)+VLOOKUP(BR$3,'Non-Embedded Emissions'!$A$230:$D$259,2,FALSE)), $C37 = "2", 'Inputs-System'!$C$30*'Coincidence Factors'!$B$7*'Inputs-Proposals'!$H$23*'Inputs-Proposals'!$H$25*(VLOOKUP(BR$3,'Non-Embedded Emissions'!$A$56:$D$90,2,FALSE)+VLOOKUP(BR$3,'Non-Embedded Emissions'!$A$143:$D$174,2,FALSE)+VLOOKUP(BR$3,'Non-Embedded Emissions'!$A$230:$D$259,2,FALSE)), $C37 = "3", 'Inputs-System'!$C$30*'Coincidence Factors'!$B$7*'Inputs-Proposals'!$H$29*'Inputs-Proposals'!$H$31*(VLOOKUP(BR$3,'Non-Embedded Emissions'!$A$56:$D$90,2,FALSE)+VLOOKUP(BR$3,'Non-Embedded Emissions'!$A$143:$D$174,2,FALSE)+VLOOKUP(BR$3,'Non-Embedded Emissions'!$A$230:$D$259,2,FALSE)), $C37 = "0", 0), 0)</f>
        <v>0</v>
      </c>
      <c r="BX37" s="347">
        <f>IFERROR(_xlfn.IFS($C37="1",('Inputs-System'!$C$30*'Coincidence Factors'!$B$7*(1+'Inputs-System'!$C$18)*(1+'Inputs-System'!$C$41)*('Inputs-Proposals'!$H$17*'Inputs-Proposals'!$H$19*('Inputs-Proposals'!$H$20))*(VLOOKUP(BX$3,Energy!$A$51:$K$83,5,FALSE))), $C37 = "2",('Inputs-System'!$C$30*'Coincidence Factors'!$B$7)*(1+'Inputs-System'!$C$18)*(1+'Inputs-System'!$C$41)*('Inputs-Proposals'!$H$23*'Inputs-Proposals'!$H$25*('Inputs-Proposals'!$H$26))*(VLOOKUP(BX$3,Energy!$A$51:$K$83,5,FALSE)), $C37= "3", ('Inputs-System'!$C$30*'Coincidence Factors'!$B$7*(1+'Inputs-System'!$C$18)*(1+'Inputs-System'!$C$41)*('Inputs-Proposals'!$H$29*'Inputs-Proposals'!$H$31*('Inputs-Proposals'!$H$32))*(VLOOKUP(BX$3,Energy!$A$51:$K$83,5,FALSE))), $C37= "0", 0), 0)</f>
        <v>0</v>
      </c>
      <c r="BY37" s="44">
        <f>IFERROR(_xlfn.IFS($C37="1",'Inputs-System'!$C$30*'Coincidence Factors'!$B$7*(1+'Inputs-System'!$C$18)*(1+'Inputs-System'!$C$41)*'Inputs-Proposals'!$H$17*'Inputs-Proposals'!$H$19*('Inputs-Proposals'!$H$20)*(VLOOKUP(BX$3,'Embedded Emissions'!$A$47:$B$78,2,FALSE)+VLOOKUP(BX$3,'Embedded Emissions'!$A$129:$B$158,2,FALSE)), $C37 = "2",'Inputs-System'!$C$30*'Coincidence Factors'!$B$7*(1+'Inputs-System'!$C$18)*(1+'Inputs-System'!$C$41)*'Inputs-Proposals'!$H$23*'Inputs-Proposals'!$H$25*('Inputs-Proposals'!$H$20)*(VLOOKUP(BX$3,'Embedded Emissions'!$A$47:$B$78,2,FALSE)+VLOOKUP(BX$3,'Embedded Emissions'!$A$129:$B$158,2,FALSE)), $C37 = "3", 'Inputs-System'!$C$30*'Coincidence Factors'!$B$7*(1+'Inputs-System'!$C$18)*(1+'Inputs-System'!$C$41)*'Inputs-Proposals'!$H$29*'Inputs-Proposals'!$H$31*('Inputs-Proposals'!$H$20)*(VLOOKUP(BX$3,'Embedded Emissions'!$A$47:$B$78,2,FALSE)+VLOOKUP(BX$3,'Embedded Emissions'!$A$129:$B$158,2,FALSE)), $C37 = "0", 0), 0)</f>
        <v>0</v>
      </c>
      <c r="BZ37" s="44">
        <f>IFERROR(_xlfn.IFS($C37="1",( 'Inputs-System'!$C$30*'Coincidence Factors'!$B$7*(1+'Inputs-System'!$C$18)*(1+'Inputs-System'!$C$41))*('Inputs-Proposals'!$H$17*'Inputs-Proposals'!$H$19*('Inputs-Proposals'!$H$20))*(VLOOKUP(BX$3,DRIPE!$A$54:$I$82,5,FALSE)+VLOOKUP(BX$3,DRIPE!$A$54:$I$82,9,FALSE))+ ('Inputs-System'!$C$26*'Coincidence Factors'!$B$7*(1+'Inputs-System'!$C$18)*(1+'Inputs-System'!$C$42))*'Inputs-Proposals'!$H$16*VLOOKUP(BX$3,DRIPE!$A$54:$I$82,8,FALSE), $C37 = "2",( 'Inputs-System'!$C$30*'Coincidence Factors'!$B$7*(1+'Inputs-System'!$C$18)*(1+'Inputs-System'!$C$41))*('Inputs-Proposals'!$H$23*'Inputs-Proposals'!$H$25*('Inputs-Proposals'!$H$26))*(VLOOKUP(BX$3,DRIPE!$A$54:$I$82,5,FALSE)+VLOOKUP(BX$3,DRIPE!$A$54:$I$82,12,FALSE))+ ('Inputs-System'!$C$26*'Coincidence Factors'!$B$7*(1+'Inputs-System'!$C$18)*(1+'Inputs-System'!$C$42))*'Inputs-Proposals'!$H$22*VLOOKUP(BX$3,DRIPE!$A$54:$I$82,8,FALSE), $C37= "3", ( 'Inputs-System'!$C$30*'Coincidence Factors'!$B$7*(1+'Inputs-System'!$C$18)*(1+'Inputs-System'!$C$41))*('Inputs-Proposals'!$H$29*'Inputs-Proposals'!$H$31*('Inputs-Proposals'!$H$32))*(VLOOKUP(BX$3,DRIPE!$A$54:$I$82,5,FALSE)+VLOOKUP(BX$3,DRIPE!$A$54:$I$82,12,FALSE))+ ('Inputs-System'!$C$26*'Coincidence Factors'!$B$7*(1+'Inputs-System'!$C$18)*(1+'Inputs-System'!$C$42))*'Inputs-Proposals'!$H$28*VLOOKUP(BX$3,DRIPE!$A$54:$I$82,8,FALSE), $C37 = "0", 0), 0)</f>
        <v>0</v>
      </c>
      <c r="CA37" s="45">
        <f>IFERROR(_xlfn.IFS($C37="1",('Inputs-System'!$C$26*'Coincidence Factors'!$B$7*(1+'Inputs-System'!$C$18))*'Inputs-Proposals'!$H$16*(VLOOKUP(BX$3,Capacity!$A$53:$E$85,4,FALSE)*(1+'Inputs-System'!$C$42)+VLOOKUP(BX$3,Capacity!$A$53:$E$85,5,FALSE)*'Inputs-System'!$C$29*(1+'Inputs-System'!$C$43)), $C37 = "2", ('Inputs-System'!$C$26*'Coincidence Factors'!$B$7*(1+'Inputs-System'!$C$18))*'Inputs-Proposals'!$H$22*(VLOOKUP(BX$3,Capacity!$A$53:$E$85,4,FALSE)*(1+'Inputs-System'!$C$42)+VLOOKUP(BX$3,Capacity!$A$53:$E$85,5,FALSE)*'Inputs-System'!$C$29*(1+'Inputs-System'!$C$43)), $C37 = "3",('Inputs-System'!$C$26*'Coincidence Factors'!$B$7*(1+'Inputs-System'!$C$18))*'Inputs-Proposals'!$H$28*(VLOOKUP(BX$3,Capacity!$A$53:$E$85,4,FALSE)*(1+'Inputs-System'!$C$42)+VLOOKUP(BX$3,Capacity!$A$53:$E$85,5,FALSE)*'Inputs-System'!$C$29*(1+'Inputs-System'!$C$43)), $C37 = "0", 0), 0)</f>
        <v>0</v>
      </c>
      <c r="CB37" s="44">
        <v>0</v>
      </c>
      <c r="CC37" s="342">
        <f>IFERROR(_xlfn.IFS($C37="1", 'Inputs-System'!$C$30*'Coincidence Factors'!$B$7*'Inputs-Proposals'!$H$17*'Inputs-Proposals'!$H$19*(VLOOKUP(BX$3,'Non-Embedded Emissions'!$A$56:$D$90,2,FALSE)+VLOOKUP(BX$3,'Non-Embedded Emissions'!$A$143:$D$174,2,FALSE)+VLOOKUP(BX$3,'Non-Embedded Emissions'!$A$230:$D$259,2,FALSE)), $C37 = "2", 'Inputs-System'!$C$30*'Coincidence Factors'!$B$7*'Inputs-Proposals'!$H$23*'Inputs-Proposals'!$H$25*(VLOOKUP(BX$3,'Non-Embedded Emissions'!$A$56:$D$90,2,FALSE)+VLOOKUP(BX$3,'Non-Embedded Emissions'!$A$143:$D$174,2,FALSE)+VLOOKUP(BX$3,'Non-Embedded Emissions'!$A$230:$D$259,2,FALSE)), $C37 = "3", 'Inputs-System'!$C$30*'Coincidence Factors'!$B$7*'Inputs-Proposals'!$H$29*'Inputs-Proposals'!$H$31*(VLOOKUP(BX$3,'Non-Embedded Emissions'!$A$56:$D$90,2,FALSE)+VLOOKUP(BX$3,'Non-Embedded Emissions'!$A$143:$D$174,2,FALSE)+VLOOKUP(BX$3,'Non-Embedded Emissions'!$A$230:$D$259,2,FALSE)), $C37 = "0", 0), 0)</f>
        <v>0</v>
      </c>
      <c r="CD37" s="347">
        <f>IFERROR(_xlfn.IFS($C37="1",('Inputs-System'!$C$30*'Coincidence Factors'!$B$7*(1+'Inputs-System'!$C$18)*(1+'Inputs-System'!$C$41)*('Inputs-Proposals'!$H$17*'Inputs-Proposals'!$H$19*('Inputs-Proposals'!$H$20))*(VLOOKUP(CD$3,Energy!$A$51:$K$83,5,FALSE))), $C37 = "2",('Inputs-System'!$C$30*'Coincidence Factors'!$B$7)*(1+'Inputs-System'!$C$18)*(1+'Inputs-System'!$C$41)*('Inputs-Proposals'!$H$23*'Inputs-Proposals'!$H$25*('Inputs-Proposals'!$H$26))*(VLOOKUP(CD$3,Energy!$A$51:$K$83,5,FALSE)), $C37= "3", ('Inputs-System'!$C$30*'Coincidence Factors'!$B$7*(1+'Inputs-System'!$C$18)*(1+'Inputs-System'!$C$41)*('Inputs-Proposals'!$H$29*'Inputs-Proposals'!$H$31*('Inputs-Proposals'!$H$32))*(VLOOKUP(CD$3,Energy!$A$51:$K$83,5,FALSE))), $C37= "0", 0), 0)</f>
        <v>0</v>
      </c>
      <c r="CE37" s="44">
        <f>IFERROR(_xlfn.IFS($C37="1",'Inputs-System'!$C$30*'Coincidence Factors'!$B$7*(1+'Inputs-System'!$C$18)*(1+'Inputs-System'!$C$41)*'Inputs-Proposals'!$H$17*'Inputs-Proposals'!$H$19*('Inputs-Proposals'!$H$20)*(VLOOKUP(CD$3,'Embedded Emissions'!$A$47:$B$78,2,FALSE)+VLOOKUP(CD$3,'Embedded Emissions'!$A$129:$B$158,2,FALSE)), $C37 = "2",'Inputs-System'!$C$30*'Coincidence Factors'!$B$7*(1+'Inputs-System'!$C$18)*(1+'Inputs-System'!$C$41)*'Inputs-Proposals'!$H$23*'Inputs-Proposals'!$H$25*('Inputs-Proposals'!$H$20)*(VLOOKUP(CD$3,'Embedded Emissions'!$A$47:$B$78,2,FALSE)+VLOOKUP(CD$3,'Embedded Emissions'!$A$129:$B$158,2,FALSE)), $C37 = "3", 'Inputs-System'!$C$30*'Coincidence Factors'!$B$7*(1+'Inputs-System'!$C$18)*(1+'Inputs-System'!$C$41)*'Inputs-Proposals'!$H$29*'Inputs-Proposals'!$H$31*('Inputs-Proposals'!$H$20)*(VLOOKUP(CD$3,'Embedded Emissions'!$A$47:$B$78,2,FALSE)+VLOOKUP(CD$3,'Embedded Emissions'!$A$129:$B$158,2,FALSE)), $C37 = "0", 0), 0)</f>
        <v>0</v>
      </c>
      <c r="CF37" s="44">
        <f>IFERROR(_xlfn.IFS($C37="1",( 'Inputs-System'!$C$30*'Coincidence Factors'!$B$7*(1+'Inputs-System'!$C$18)*(1+'Inputs-System'!$C$41))*('Inputs-Proposals'!$H$17*'Inputs-Proposals'!$H$19*('Inputs-Proposals'!$H$20))*(VLOOKUP(CD$3,DRIPE!$A$54:$I$82,5,FALSE)+VLOOKUP(CD$3,DRIPE!$A$54:$I$82,9,FALSE))+ ('Inputs-System'!$C$26*'Coincidence Factors'!$B$7*(1+'Inputs-System'!$C$18)*(1+'Inputs-System'!$C$42))*'Inputs-Proposals'!$H$16*VLOOKUP(CD$3,DRIPE!$A$54:$I$82,8,FALSE), $C37 = "2",( 'Inputs-System'!$C$30*'Coincidence Factors'!$B$7*(1+'Inputs-System'!$C$18)*(1+'Inputs-System'!$C$41))*('Inputs-Proposals'!$H$23*'Inputs-Proposals'!$H$25*('Inputs-Proposals'!$H$26))*(VLOOKUP(CD$3,DRIPE!$A$54:$I$82,5,FALSE)+VLOOKUP(CD$3,DRIPE!$A$54:$I$82,12,FALSE))+ ('Inputs-System'!$C$26*'Coincidence Factors'!$B$7*(1+'Inputs-System'!$C$18)*(1+'Inputs-System'!$C$42))*'Inputs-Proposals'!$H$22*VLOOKUP(CD$3,DRIPE!$A$54:$I$82,8,FALSE), $C37= "3", ( 'Inputs-System'!$C$30*'Coincidence Factors'!$B$7*(1+'Inputs-System'!$C$18)*(1+'Inputs-System'!$C$41))*('Inputs-Proposals'!$H$29*'Inputs-Proposals'!$H$31*('Inputs-Proposals'!$H$32))*(VLOOKUP(CD$3,DRIPE!$A$54:$I$82,5,FALSE)+VLOOKUP(CD$3,DRIPE!$A$54:$I$82,12,FALSE))+ ('Inputs-System'!$C$26*'Coincidence Factors'!$B$7*(1+'Inputs-System'!$C$18)*(1+'Inputs-System'!$C$42))*'Inputs-Proposals'!$H$28*VLOOKUP(CD$3,DRIPE!$A$54:$I$82,8,FALSE), $C37 = "0", 0), 0)</f>
        <v>0</v>
      </c>
      <c r="CG37" s="45">
        <f>IFERROR(_xlfn.IFS($C37="1",('Inputs-System'!$C$26*'Coincidence Factors'!$B$7*(1+'Inputs-System'!$C$18))*'Inputs-Proposals'!$H$16*(VLOOKUP(CD$3,Capacity!$A$53:$E$85,4,FALSE)*(1+'Inputs-System'!$C$42)+VLOOKUP(CD$3,Capacity!$A$53:$E$85,5,FALSE)*'Inputs-System'!$C$29*(1+'Inputs-System'!$C$43)), $C37 = "2", ('Inputs-System'!$C$26*'Coincidence Factors'!$B$7*(1+'Inputs-System'!$C$18))*'Inputs-Proposals'!$H$22*(VLOOKUP(CD$3,Capacity!$A$53:$E$85,4,FALSE)*(1+'Inputs-System'!$C$42)+VLOOKUP(CD$3,Capacity!$A$53:$E$85,5,FALSE)*'Inputs-System'!$C$29*(1+'Inputs-System'!$C$43)), $C37 = "3",('Inputs-System'!$C$26*'Coincidence Factors'!$B$7*(1+'Inputs-System'!$C$18))*'Inputs-Proposals'!$H$28*(VLOOKUP(CD$3,Capacity!$A$53:$E$85,4,FALSE)*(1+'Inputs-System'!$C$42)+VLOOKUP(CD$3,Capacity!$A$53:$E$85,5,FALSE)*'Inputs-System'!$C$29*(1+'Inputs-System'!$C$43)), $C37 = "0", 0), 0)</f>
        <v>0</v>
      </c>
      <c r="CH37" s="44">
        <v>0</v>
      </c>
      <c r="CI37" s="342">
        <f>IFERROR(_xlfn.IFS($C37="1", 'Inputs-System'!$C$30*'Coincidence Factors'!$B$7*'Inputs-Proposals'!$H$17*'Inputs-Proposals'!$H$19*(VLOOKUP(CD$3,'Non-Embedded Emissions'!$A$56:$D$90,2,FALSE)+VLOOKUP(CD$3,'Non-Embedded Emissions'!$A$143:$D$174,2,FALSE)+VLOOKUP(CD$3,'Non-Embedded Emissions'!$A$230:$D$259,2,FALSE)), $C37 = "2", 'Inputs-System'!$C$30*'Coincidence Factors'!$B$7*'Inputs-Proposals'!$H$23*'Inputs-Proposals'!$H$25*(VLOOKUP(CD$3,'Non-Embedded Emissions'!$A$56:$D$90,2,FALSE)+VLOOKUP(CD$3,'Non-Embedded Emissions'!$A$143:$D$174,2,FALSE)+VLOOKUP(CD$3,'Non-Embedded Emissions'!$A$230:$D$259,2,FALSE)), $C37 = "3", 'Inputs-System'!$C$30*'Coincidence Factors'!$B$7*'Inputs-Proposals'!$H$29*'Inputs-Proposals'!$H$31*(VLOOKUP(CD$3,'Non-Embedded Emissions'!$A$56:$D$90,2,FALSE)+VLOOKUP(CD$3,'Non-Embedded Emissions'!$A$143:$D$174,2,FALSE)+VLOOKUP(CD$3,'Non-Embedded Emissions'!$A$230:$D$259,2,FALSE)), $C37 = "0", 0), 0)</f>
        <v>0</v>
      </c>
      <c r="CJ37" s="347">
        <f>IFERROR(_xlfn.IFS($C37="1",('Inputs-System'!$C$30*'Coincidence Factors'!$B$7*(1+'Inputs-System'!$C$18)*(1+'Inputs-System'!$C$41)*('Inputs-Proposals'!$H$17*'Inputs-Proposals'!$H$19*('Inputs-Proposals'!$H$20))*(VLOOKUP(CJ$3,Energy!$A$51:$K$83,5,FALSE))), $C37 = "2",('Inputs-System'!$C$30*'Coincidence Factors'!$B$7)*(1+'Inputs-System'!$C$18)*(1+'Inputs-System'!$C$41)*('Inputs-Proposals'!$H$23*'Inputs-Proposals'!$H$25*('Inputs-Proposals'!$H$26))*(VLOOKUP(CJ$3,Energy!$A$51:$K$83,5,FALSE)), $C37= "3", ('Inputs-System'!$C$30*'Coincidence Factors'!$B$7*(1+'Inputs-System'!$C$18)*(1+'Inputs-System'!$C$41)*('Inputs-Proposals'!$H$29*'Inputs-Proposals'!$H$31*('Inputs-Proposals'!$H$32))*(VLOOKUP(CJ$3,Energy!$A$51:$K$83,5,FALSE))), $C37= "0", 0), 0)</f>
        <v>0</v>
      </c>
      <c r="CK37" s="44">
        <f>IFERROR(_xlfn.IFS($C37="1",'Inputs-System'!$C$30*'Coincidence Factors'!$B$7*(1+'Inputs-System'!$C$18)*(1+'Inputs-System'!$C$41)*'Inputs-Proposals'!$H$17*'Inputs-Proposals'!$H$19*('Inputs-Proposals'!$H$20)*(VLOOKUP(CJ$3,'Embedded Emissions'!$A$47:$B$78,2,FALSE)+VLOOKUP(CJ$3,'Embedded Emissions'!$A$129:$B$158,2,FALSE)), $C37 = "2",'Inputs-System'!$C$30*'Coincidence Factors'!$B$7*(1+'Inputs-System'!$C$18)*(1+'Inputs-System'!$C$41)*'Inputs-Proposals'!$H$23*'Inputs-Proposals'!$H$25*('Inputs-Proposals'!$H$20)*(VLOOKUP(CJ$3,'Embedded Emissions'!$A$47:$B$78,2,FALSE)+VLOOKUP(CJ$3,'Embedded Emissions'!$A$129:$B$158,2,FALSE)), $C37 = "3", 'Inputs-System'!$C$30*'Coincidence Factors'!$B$7*(1+'Inputs-System'!$C$18)*(1+'Inputs-System'!$C$41)*'Inputs-Proposals'!$H$29*'Inputs-Proposals'!$H$31*('Inputs-Proposals'!$H$20)*(VLOOKUP(CJ$3,'Embedded Emissions'!$A$47:$B$78,2,FALSE)+VLOOKUP(CJ$3,'Embedded Emissions'!$A$129:$B$158,2,FALSE)), $C37 = "0", 0), 0)</f>
        <v>0</v>
      </c>
      <c r="CL37" s="44">
        <f>IFERROR(_xlfn.IFS($C37="1",( 'Inputs-System'!$C$30*'Coincidence Factors'!$B$7*(1+'Inputs-System'!$C$18)*(1+'Inputs-System'!$C$41))*('Inputs-Proposals'!$H$17*'Inputs-Proposals'!$H$19*('Inputs-Proposals'!$H$20))*(VLOOKUP(CJ$3,DRIPE!$A$54:$I$82,5,FALSE)+VLOOKUP(CJ$3,DRIPE!$A$54:$I$82,9,FALSE))+ ('Inputs-System'!$C$26*'Coincidence Factors'!$B$7*(1+'Inputs-System'!$C$18)*(1+'Inputs-System'!$C$42))*'Inputs-Proposals'!$H$16*VLOOKUP(CJ$3,DRIPE!$A$54:$I$82,8,FALSE), $C37 = "2",( 'Inputs-System'!$C$30*'Coincidence Factors'!$B$7*(1+'Inputs-System'!$C$18)*(1+'Inputs-System'!$C$41))*('Inputs-Proposals'!$H$23*'Inputs-Proposals'!$H$25*('Inputs-Proposals'!$H$26))*(VLOOKUP(CJ$3,DRIPE!$A$54:$I$82,5,FALSE)+VLOOKUP(CJ$3,DRIPE!$A$54:$I$82,12,FALSE))+ ('Inputs-System'!$C$26*'Coincidence Factors'!$B$7*(1+'Inputs-System'!$C$18)*(1+'Inputs-System'!$C$42))*'Inputs-Proposals'!$H$22*VLOOKUP(CJ$3,DRIPE!$A$54:$I$82,8,FALSE), $C37= "3", ( 'Inputs-System'!$C$30*'Coincidence Factors'!$B$7*(1+'Inputs-System'!$C$18)*(1+'Inputs-System'!$C$41))*('Inputs-Proposals'!$H$29*'Inputs-Proposals'!$H$31*('Inputs-Proposals'!$H$32))*(VLOOKUP(CJ$3,DRIPE!$A$54:$I$82,5,FALSE)+VLOOKUP(CJ$3,DRIPE!$A$54:$I$82,12,FALSE))+ ('Inputs-System'!$C$26*'Coincidence Factors'!$B$7*(1+'Inputs-System'!$C$18)*(1+'Inputs-System'!$C$42))*'Inputs-Proposals'!$H$28*VLOOKUP(CJ$3,DRIPE!$A$54:$I$82,8,FALSE), $C37 = "0", 0), 0)</f>
        <v>0</v>
      </c>
      <c r="CM37" s="45">
        <f>IFERROR(_xlfn.IFS($C37="1",('Inputs-System'!$C$26*'Coincidence Factors'!$B$7*(1+'Inputs-System'!$C$18))*'Inputs-Proposals'!$H$16*(VLOOKUP(CJ$3,Capacity!$A$53:$E$85,4,FALSE)*(1+'Inputs-System'!$C$42)+VLOOKUP(CJ$3,Capacity!$A$53:$E$85,5,FALSE)*'Inputs-System'!$C$29*(1+'Inputs-System'!$C$43)), $C37 = "2", ('Inputs-System'!$C$26*'Coincidence Factors'!$B$7*(1+'Inputs-System'!$C$18))*'Inputs-Proposals'!$H$22*(VLOOKUP(CJ$3,Capacity!$A$53:$E$85,4,FALSE)*(1+'Inputs-System'!$C$42)+VLOOKUP(CJ$3,Capacity!$A$53:$E$85,5,FALSE)*'Inputs-System'!$C$29*(1+'Inputs-System'!$C$43)), $C37 = "3",('Inputs-System'!$C$26*'Coincidence Factors'!$B$7*(1+'Inputs-System'!$C$18))*'Inputs-Proposals'!$H$28*(VLOOKUP(CJ$3,Capacity!$A$53:$E$85,4,FALSE)*(1+'Inputs-System'!$C$42)+VLOOKUP(CJ$3,Capacity!$A$53:$E$85,5,FALSE)*'Inputs-System'!$C$29*(1+'Inputs-System'!$C$43)), $C37 = "0", 0), 0)</f>
        <v>0</v>
      </c>
      <c r="CN37" s="44">
        <v>0</v>
      </c>
      <c r="CO37" s="342">
        <f>IFERROR(_xlfn.IFS($C37="1", 'Inputs-System'!$C$30*'Coincidence Factors'!$B$7*'Inputs-Proposals'!$H$17*'Inputs-Proposals'!$H$19*(VLOOKUP(CJ$3,'Non-Embedded Emissions'!$A$56:$D$90,2,FALSE)+VLOOKUP(CJ$3,'Non-Embedded Emissions'!$A$143:$D$174,2,FALSE)+VLOOKUP(CJ$3,'Non-Embedded Emissions'!$A$230:$D$259,2,FALSE)), $C37 = "2", 'Inputs-System'!$C$30*'Coincidence Factors'!$B$7*'Inputs-Proposals'!$H$23*'Inputs-Proposals'!$H$25*(VLOOKUP(CJ$3,'Non-Embedded Emissions'!$A$56:$D$90,2,FALSE)+VLOOKUP(CJ$3,'Non-Embedded Emissions'!$A$143:$D$174,2,FALSE)+VLOOKUP(CJ$3,'Non-Embedded Emissions'!$A$230:$D$259,2,FALSE)), $C37 = "3", 'Inputs-System'!$C$30*'Coincidence Factors'!$B$7*'Inputs-Proposals'!$H$29*'Inputs-Proposals'!$H$31*(VLOOKUP(CJ$3,'Non-Embedded Emissions'!$A$56:$D$90,2,FALSE)+VLOOKUP(CJ$3,'Non-Embedded Emissions'!$A$143:$D$174,2,FALSE)+VLOOKUP(CJ$3,'Non-Embedded Emissions'!$A$230:$D$259,2,FALSE)), $C37 = "0", 0), 0)</f>
        <v>0</v>
      </c>
      <c r="CP37" s="347">
        <f>IFERROR(_xlfn.IFS($C37="1",('Inputs-System'!$C$30*'Coincidence Factors'!$B$7*(1+'Inputs-System'!$C$18)*(1+'Inputs-System'!$C$41)*('Inputs-Proposals'!$H$17*'Inputs-Proposals'!$H$19*('Inputs-Proposals'!$H$20))*(VLOOKUP(CP$3,Energy!$A$51:$K$83,5,FALSE))), $C37 = "2",('Inputs-System'!$C$30*'Coincidence Factors'!$B$7)*(1+'Inputs-System'!$C$18)*(1+'Inputs-System'!$C$41)*('Inputs-Proposals'!$H$23*'Inputs-Proposals'!$H$25*('Inputs-Proposals'!$H$26))*(VLOOKUP(CP$3,Energy!$A$51:$K$83,5,FALSE)), $C37= "3", ('Inputs-System'!$C$30*'Coincidence Factors'!$B$7*(1+'Inputs-System'!$C$18)*(1+'Inputs-System'!$C$41)*('Inputs-Proposals'!$H$29*'Inputs-Proposals'!$H$31*('Inputs-Proposals'!$H$32))*(VLOOKUP(CP$3,Energy!$A$51:$K$83,5,FALSE))), $C37= "0", 0), 0)</f>
        <v>0</v>
      </c>
      <c r="CQ37" s="44">
        <f>IFERROR(_xlfn.IFS($C37="1",'Inputs-System'!$C$30*'Coincidence Factors'!$B$7*(1+'Inputs-System'!$C$18)*(1+'Inputs-System'!$C$41)*'Inputs-Proposals'!$H$17*'Inputs-Proposals'!$H$19*('Inputs-Proposals'!$H$20)*(VLOOKUP(CP$3,'Embedded Emissions'!$A$47:$B$78,2,FALSE)+VLOOKUP(CP$3,'Embedded Emissions'!$A$129:$B$158,2,FALSE)), $C37 = "2",'Inputs-System'!$C$30*'Coincidence Factors'!$B$7*(1+'Inputs-System'!$C$18)*(1+'Inputs-System'!$C$41)*'Inputs-Proposals'!$H$23*'Inputs-Proposals'!$H$25*('Inputs-Proposals'!$H$20)*(VLOOKUP(CP$3,'Embedded Emissions'!$A$47:$B$78,2,FALSE)+VLOOKUP(CP$3,'Embedded Emissions'!$A$129:$B$158,2,FALSE)), $C37 = "3", 'Inputs-System'!$C$30*'Coincidence Factors'!$B$7*(1+'Inputs-System'!$C$18)*(1+'Inputs-System'!$C$41)*'Inputs-Proposals'!$H$29*'Inputs-Proposals'!$H$31*('Inputs-Proposals'!$H$20)*(VLOOKUP(CP$3,'Embedded Emissions'!$A$47:$B$78,2,FALSE)+VLOOKUP(CP$3,'Embedded Emissions'!$A$129:$B$158,2,FALSE)), $C37 = "0", 0), 0)</f>
        <v>0</v>
      </c>
      <c r="CR37" s="44">
        <f>IFERROR(_xlfn.IFS($C37="1",( 'Inputs-System'!$C$30*'Coincidence Factors'!$B$7*(1+'Inputs-System'!$C$18)*(1+'Inputs-System'!$C$41))*('Inputs-Proposals'!$H$17*'Inputs-Proposals'!$H$19*('Inputs-Proposals'!$H$20))*(VLOOKUP(CP$3,DRIPE!$A$54:$I$82,5,FALSE)+VLOOKUP(CP$3,DRIPE!$A$54:$I$82,9,FALSE))+ ('Inputs-System'!$C$26*'Coincidence Factors'!$B$7*(1+'Inputs-System'!$C$18)*(1+'Inputs-System'!$C$42))*'Inputs-Proposals'!$H$16*VLOOKUP(CP$3,DRIPE!$A$54:$I$82,8,FALSE), $C37 = "2",( 'Inputs-System'!$C$30*'Coincidence Factors'!$B$7*(1+'Inputs-System'!$C$18)*(1+'Inputs-System'!$C$41))*('Inputs-Proposals'!$H$23*'Inputs-Proposals'!$H$25*('Inputs-Proposals'!$H$26))*(VLOOKUP(CP$3,DRIPE!$A$54:$I$82,5,FALSE)+VLOOKUP(CP$3,DRIPE!$A$54:$I$82,12,FALSE))+ ('Inputs-System'!$C$26*'Coincidence Factors'!$B$7*(1+'Inputs-System'!$C$18)*(1+'Inputs-System'!$C$42))*'Inputs-Proposals'!$H$22*VLOOKUP(CP$3,DRIPE!$A$54:$I$82,8,FALSE), $C37= "3", ( 'Inputs-System'!$C$30*'Coincidence Factors'!$B$7*(1+'Inputs-System'!$C$18)*(1+'Inputs-System'!$C$41))*('Inputs-Proposals'!$H$29*'Inputs-Proposals'!$H$31*('Inputs-Proposals'!$H$32))*(VLOOKUP(CP$3,DRIPE!$A$54:$I$82,5,FALSE)+VLOOKUP(CP$3,DRIPE!$A$54:$I$82,12,FALSE))+ ('Inputs-System'!$C$26*'Coincidence Factors'!$B$7*(1+'Inputs-System'!$C$18)*(1+'Inputs-System'!$C$42))*'Inputs-Proposals'!$H$28*VLOOKUP(CP$3,DRIPE!$A$54:$I$82,8,FALSE), $C37 = "0", 0), 0)</f>
        <v>0</v>
      </c>
      <c r="CS37" s="45">
        <f>IFERROR(_xlfn.IFS($C37="1",('Inputs-System'!$C$26*'Coincidence Factors'!$B$7*(1+'Inputs-System'!$C$18))*'Inputs-Proposals'!$H$16*(VLOOKUP(CP$3,Capacity!$A$53:$E$85,4,FALSE)*(1+'Inputs-System'!$C$42)+VLOOKUP(CP$3,Capacity!$A$53:$E$85,5,FALSE)*'Inputs-System'!$C$29*(1+'Inputs-System'!$C$43)), $C37 = "2", ('Inputs-System'!$C$26*'Coincidence Factors'!$B$7*(1+'Inputs-System'!$C$18))*'Inputs-Proposals'!$H$22*(VLOOKUP(CP$3,Capacity!$A$53:$E$85,4,FALSE)*(1+'Inputs-System'!$C$42)+VLOOKUP(CP$3,Capacity!$A$53:$E$85,5,FALSE)*'Inputs-System'!$C$29*(1+'Inputs-System'!$C$43)), $C37 = "3",('Inputs-System'!$C$26*'Coincidence Factors'!$B$7*(1+'Inputs-System'!$C$18))*'Inputs-Proposals'!$H$28*(VLOOKUP(CP$3,Capacity!$A$53:$E$85,4,FALSE)*(1+'Inputs-System'!$C$42)+VLOOKUP(CP$3,Capacity!$A$53:$E$85,5,FALSE)*'Inputs-System'!$C$29*(1+'Inputs-System'!$C$43)), $C37 = "0", 0), 0)</f>
        <v>0</v>
      </c>
      <c r="CT37" s="44">
        <v>0</v>
      </c>
      <c r="CU37" s="342">
        <f>IFERROR(_xlfn.IFS($C37="1", 'Inputs-System'!$C$30*'Coincidence Factors'!$B$7*'Inputs-Proposals'!$H$17*'Inputs-Proposals'!$H$19*(VLOOKUP(CP$3,'Non-Embedded Emissions'!$A$56:$D$90,2,FALSE)+VLOOKUP(CP$3,'Non-Embedded Emissions'!$A$143:$D$174,2,FALSE)+VLOOKUP(CP$3,'Non-Embedded Emissions'!$A$230:$D$259,2,FALSE)), $C37 = "2", 'Inputs-System'!$C$30*'Coincidence Factors'!$B$7*'Inputs-Proposals'!$H$23*'Inputs-Proposals'!$H$25*(VLOOKUP(CP$3,'Non-Embedded Emissions'!$A$56:$D$90,2,FALSE)+VLOOKUP(CP$3,'Non-Embedded Emissions'!$A$143:$D$174,2,FALSE)+VLOOKUP(CP$3,'Non-Embedded Emissions'!$A$230:$D$259,2,FALSE)), $C37 = "3", 'Inputs-System'!$C$30*'Coincidence Factors'!$B$7*'Inputs-Proposals'!$H$29*'Inputs-Proposals'!$H$31*(VLOOKUP(CP$3,'Non-Embedded Emissions'!$A$56:$D$90,2,FALSE)+VLOOKUP(CP$3,'Non-Embedded Emissions'!$A$143:$D$174,2,FALSE)+VLOOKUP(CP$3,'Non-Embedded Emissions'!$A$230:$D$259,2,FALSE)), $C37 = "0", 0), 0)</f>
        <v>0</v>
      </c>
      <c r="CV37" s="347">
        <f>IFERROR(_xlfn.IFS($C37="1",('Inputs-System'!$C$30*'Coincidence Factors'!$B$7*(1+'Inputs-System'!$C$18)*(1+'Inputs-System'!$C$41)*('Inputs-Proposals'!$H$17*'Inputs-Proposals'!$H$19*('Inputs-Proposals'!$H$20))*(VLOOKUP(CV$3,Energy!$A$51:$K$83,5,FALSE))), $C37 = "2",('Inputs-System'!$C$30*'Coincidence Factors'!$B$7)*(1+'Inputs-System'!$C$18)*(1+'Inputs-System'!$C$41)*('Inputs-Proposals'!$H$23*'Inputs-Proposals'!$H$25*('Inputs-Proposals'!$H$26))*(VLOOKUP(CV$3,Energy!$A$51:$K$83,5,FALSE)), $C37= "3", ('Inputs-System'!$C$30*'Coincidence Factors'!$B$7*(1+'Inputs-System'!$C$18)*(1+'Inputs-System'!$C$41)*('Inputs-Proposals'!$H$29*'Inputs-Proposals'!$H$31*('Inputs-Proposals'!$H$32))*(VLOOKUP(CV$3,Energy!$A$51:$K$83,5,FALSE))), $C37= "0", 0), 0)</f>
        <v>0</v>
      </c>
      <c r="CW37" s="44">
        <f>IFERROR(_xlfn.IFS($C37="1",'Inputs-System'!$C$30*'Coincidence Factors'!$B$7*(1+'Inputs-System'!$C$18)*(1+'Inputs-System'!$C$41)*'Inputs-Proposals'!$H$17*'Inputs-Proposals'!$H$19*('Inputs-Proposals'!$H$20)*(VLOOKUP(CV$3,'Embedded Emissions'!$A$47:$B$78,2,FALSE)+VLOOKUP(CV$3,'Embedded Emissions'!$A$129:$B$158,2,FALSE)), $C37 = "2",'Inputs-System'!$C$30*'Coincidence Factors'!$B$7*(1+'Inputs-System'!$C$18)*(1+'Inputs-System'!$C$41)*'Inputs-Proposals'!$H$23*'Inputs-Proposals'!$H$25*('Inputs-Proposals'!$H$20)*(VLOOKUP(CV$3,'Embedded Emissions'!$A$47:$B$78,2,FALSE)+VLOOKUP(CV$3,'Embedded Emissions'!$A$129:$B$158,2,FALSE)), $C37 = "3", 'Inputs-System'!$C$30*'Coincidence Factors'!$B$7*(1+'Inputs-System'!$C$18)*(1+'Inputs-System'!$C$41)*'Inputs-Proposals'!$H$29*'Inputs-Proposals'!$H$31*('Inputs-Proposals'!$H$20)*(VLOOKUP(CV$3,'Embedded Emissions'!$A$47:$B$78,2,FALSE)+VLOOKUP(CV$3,'Embedded Emissions'!$A$129:$B$158,2,FALSE)), $C37 = "0", 0), 0)</f>
        <v>0</v>
      </c>
      <c r="CX37" s="44">
        <f>IFERROR(_xlfn.IFS($C37="1",( 'Inputs-System'!$C$30*'Coincidence Factors'!$B$7*(1+'Inputs-System'!$C$18)*(1+'Inputs-System'!$C$41))*('Inputs-Proposals'!$H$17*'Inputs-Proposals'!$H$19*('Inputs-Proposals'!$H$20))*(VLOOKUP(CV$3,DRIPE!$A$54:$I$82,5,FALSE)+VLOOKUP(CV$3,DRIPE!$A$54:$I$82,9,FALSE))+ ('Inputs-System'!$C$26*'Coincidence Factors'!$B$7*(1+'Inputs-System'!$C$18)*(1+'Inputs-System'!$C$42))*'Inputs-Proposals'!$H$16*VLOOKUP(CV$3,DRIPE!$A$54:$I$82,8,FALSE), $C37 = "2",( 'Inputs-System'!$C$30*'Coincidence Factors'!$B$7*(1+'Inputs-System'!$C$18)*(1+'Inputs-System'!$C$41))*('Inputs-Proposals'!$H$23*'Inputs-Proposals'!$H$25*('Inputs-Proposals'!$H$26))*(VLOOKUP(CV$3,DRIPE!$A$54:$I$82,5,FALSE)+VLOOKUP(CV$3,DRIPE!$A$54:$I$82,12,FALSE))+ ('Inputs-System'!$C$26*'Coincidence Factors'!$B$7*(1+'Inputs-System'!$C$18)*(1+'Inputs-System'!$C$42))*'Inputs-Proposals'!$H$22*VLOOKUP(CV$3,DRIPE!$A$54:$I$82,8,FALSE), $C37= "3", ( 'Inputs-System'!$C$30*'Coincidence Factors'!$B$7*(1+'Inputs-System'!$C$18)*(1+'Inputs-System'!$C$41))*('Inputs-Proposals'!$H$29*'Inputs-Proposals'!$H$31*('Inputs-Proposals'!$H$32))*(VLOOKUP(CV$3,DRIPE!$A$54:$I$82,5,FALSE)+VLOOKUP(CV$3,DRIPE!$A$54:$I$82,12,FALSE))+ ('Inputs-System'!$C$26*'Coincidence Factors'!$B$7*(1+'Inputs-System'!$C$18)*(1+'Inputs-System'!$C$42))*'Inputs-Proposals'!$H$28*VLOOKUP(CV$3,DRIPE!$A$54:$I$82,8,FALSE), $C37 = "0", 0), 0)</f>
        <v>0</v>
      </c>
      <c r="CY37" s="45">
        <f>IFERROR(_xlfn.IFS($C37="1",('Inputs-System'!$C$26*'Coincidence Factors'!$B$7*(1+'Inputs-System'!$C$18))*'Inputs-Proposals'!$H$16*(VLOOKUP(CV$3,Capacity!$A$53:$E$85,4,FALSE)*(1+'Inputs-System'!$C$42)+VLOOKUP(CV$3,Capacity!$A$53:$E$85,5,FALSE)*'Inputs-System'!$C$29*(1+'Inputs-System'!$C$43)), $C37 = "2", ('Inputs-System'!$C$26*'Coincidence Factors'!$B$7*(1+'Inputs-System'!$C$18))*'Inputs-Proposals'!$H$22*(VLOOKUP(CV$3,Capacity!$A$53:$E$85,4,FALSE)*(1+'Inputs-System'!$C$42)+VLOOKUP(CV$3,Capacity!$A$53:$E$85,5,FALSE)*'Inputs-System'!$C$29*(1+'Inputs-System'!$C$43)), $C37 = "3",('Inputs-System'!$C$26*'Coincidence Factors'!$B$7*(1+'Inputs-System'!$C$18))*'Inputs-Proposals'!$H$28*(VLOOKUP(CV$3,Capacity!$A$53:$E$85,4,FALSE)*(1+'Inputs-System'!$C$42)+VLOOKUP(CV$3,Capacity!$A$53:$E$85,5,FALSE)*'Inputs-System'!$C$29*(1+'Inputs-System'!$C$43)), $C37 = "0", 0), 0)</f>
        <v>0</v>
      </c>
      <c r="CZ37" s="44">
        <v>0</v>
      </c>
      <c r="DA37" s="342">
        <f>IFERROR(_xlfn.IFS($C37="1", 'Inputs-System'!$C$30*'Coincidence Factors'!$B$7*'Inputs-Proposals'!$H$17*'Inputs-Proposals'!$H$19*(VLOOKUP(CV$3,'Non-Embedded Emissions'!$A$56:$D$90,2,FALSE)+VLOOKUP(CV$3,'Non-Embedded Emissions'!$A$143:$D$174,2,FALSE)+VLOOKUP(CV$3,'Non-Embedded Emissions'!$A$230:$D$259,2,FALSE)), $C37 = "2", 'Inputs-System'!$C$30*'Coincidence Factors'!$B$7*'Inputs-Proposals'!$H$23*'Inputs-Proposals'!$H$25*(VLOOKUP(CV$3,'Non-Embedded Emissions'!$A$56:$D$90,2,FALSE)+VLOOKUP(CV$3,'Non-Embedded Emissions'!$A$143:$D$174,2,FALSE)+VLOOKUP(CV$3,'Non-Embedded Emissions'!$A$230:$D$259,2,FALSE)), $C37 = "3", 'Inputs-System'!$C$30*'Coincidence Factors'!$B$7*'Inputs-Proposals'!$H$29*'Inputs-Proposals'!$H$31*(VLOOKUP(CV$3,'Non-Embedded Emissions'!$A$56:$D$90,2,FALSE)+VLOOKUP(CV$3,'Non-Embedded Emissions'!$A$143:$D$174,2,FALSE)+VLOOKUP(CV$3,'Non-Embedded Emissions'!$A$230:$D$259,2,FALSE)), $C37 = "0", 0), 0)</f>
        <v>0</v>
      </c>
      <c r="DB37" s="347">
        <f>IFERROR(_xlfn.IFS($C37="1",('Inputs-System'!$C$30*'Coincidence Factors'!$B$7*(1+'Inputs-System'!$C$18)*(1+'Inputs-System'!$C$41)*('Inputs-Proposals'!$H$17*'Inputs-Proposals'!$H$19*('Inputs-Proposals'!$H$20))*(VLOOKUP(DB$3,Energy!$A$51:$K$83,5,FALSE))), $C37 = "2",('Inputs-System'!$C$30*'Coincidence Factors'!$B$7)*(1+'Inputs-System'!$C$18)*(1+'Inputs-System'!$C$41)*('Inputs-Proposals'!$H$23*'Inputs-Proposals'!$H$25*('Inputs-Proposals'!$H$26))*(VLOOKUP(DB$3,Energy!$A$51:$K$83,5,FALSE)), $C37= "3", ('Inputs-System'!$C$30*'Coincidence Factors'!$B$7*(1+'Inputs-System'!$C$18)*(1+'Inputs-System'!$C$41)*('Inputs-Proposals'!$H$29*'Inputs-Proposals'!$H$31*('Inputs-Proposals'!$H$32))*(VLOOKUP(DB$3,Energy!$A$51:$K$83,5,FALSE))), $C37= "0", 0), 0)</f>
        <v>0</v>
      </c>
      <c r="DC37" s="44">
        <f>IFERROR(_xlfn.IFS($C37="1",'Inputs-System'!$C$30*'Coincidence Factors'!$B$7*(1+'Inputs-System'!$C$18)*(1+'Inputs-System'!$C$41)*'Inputs-Proposals'!$H$17*'Inputs-Proposals'!$H$19*('Inputs-Proposals'!$H$20)*(VLOOKUP(DB$3,'Embedded Emissions'!$A$47:$B$78,2,FALSE)+VLOOKUP(DB$3,'Embedded Emissions'!$A$129:$B$158,2,FALSE)), $C37 = "2",'Inputs-System'!$C$30*'Coincidence Factors'!$B$7*(1+'Inputs-System'!$C$18)*(1+'Inputs-System'!$C$41)*'Inputs-Proposals'!$H$23*'Inputs-Proposals'!$H$25*('Inputs-Proposals'!$H$20)*(VLOOKUP(DB$3,'Embedded Emissions'!$A$47:$B$78,2,FALSE)+VLOOKUP(DB$3,'Embedded Emissions'!$A$129:$B$158,2,FALSE)), $C37 = "3", 'Inputs-System'!$C$30*'Coincidence Factors'!$B$7*(1+'Inputs-System'!$C$18)*(1+'Inputs-System'!$C$41)*'Inputs-Proposals'!$H$29*'Inputs-Proposals'!$H$31*('Inputs-Proposals'!$H$20)*(VLOOKUP(DB$3,'Embedded Emissions'!$A$47:$B$78,2,FALSE)+VLOOKUP(DB$3,'Embedded Emissions'!$A$129:$B$158,2,FALSE)), $C37 = "0", 0), 0)</f>
        <v>0</v>
      </c>
      <c r="DD37" s="44">
        <f>IFERROR(_xlfn.IFS($C37="1",( 'Inputs-System'!$C$30*'Coincidence Factors'!$B$7*(1+'Inputs-System'!$C$18)*(1+'Inputs-System'!$C$41))*('Inputs-Proposals'!$H$17*'Inputs-Proposals'!$H$19*('Inputs-Proposals'!$H$20))*(VLOOKUP(DB$3,DRIPE!$A$54:$I$82,5,FALSE)+VLOOKUP(DB$3,DRIPE!$A$54:$I$82,9,FALSE))+ ('Inputs-System'!$C$26*'Coincidence Factors'!$B$7*(1+'Inputs-System'!$C$18)*(1+'Inputs-System'!$C$42))*'Inputs-Proposals'!$H$16*VLOOKUP(DB$3,DRIPE!$A$54:$I$82,8,FALSE), $C37 = "2",( 'Inputs-System'!$C$30*'Coincidence Factors'!$B$7*(1+'Inputs-System'!$C$18)*(1+'Inputs-System'!$C$41))*('Inputs-Proposals'!$H$23*'Inputs-Proposals'!$H$25*('Inputs-Proposals'!$H$26))*(VLOOKUP(DB$3,DRIPE!$A$54:$I$82,5,FALSE)+VLOOKUP(DB$3,DRIPE!$A$54:$I$82,12,FALSE))+ ('Inputs-System'!$C$26*'Coincidence Factors'!$B$7*(1+'Inputs-System'!$C$18)*(1+'Inputs-System'!$C$42))*'Inputs-Proposals'!$H$22*VLOOKUP(DB$3,DRIPE!$A$54:$I$82,8,FALSE), $C37= "3", ( 'Inputs-System'!$C$30*'Coincidence Factors'!$B$7*(1+'Inputs-System'!$C$18)*(1+'Inputs-System'!$C$41))*('Inputs-Proposals'!$H$29*'Inputs-Proposals'!$H$31*('Inputs-Proposals'!$H$32))*(VLOOKUP(DB$3,DRIPE!$A$54:$I$82,5,FALSE)+VLOOKUP(DB$3,DRIPE!$A$54:$I$82,12,FALSE))+ ('Inputs-System'!$C$26*'Coincidence Factors'!$B$7*(1+'Inputs-System'!$C$18)*(1+'Inputs-System'!$C$42))*'Inputs-Proposals'!$H$28*VLOOKUP(DB$3,DRIPE!$A$54:$I$82,8,FALSE), $C37 = "0", 0), 0)</f>
        <v>0</v>
      </c>
      <c r="DE37" s="45">
        <f>IFERROR(_xlfn.IFS($C37="1",('Inputs-System'!$C$26*'Coincidence Factors'!$B$7*(1+'Inputs-System'!$C$18))*'Inputs-Proposals'!$H$16*(VLOOKUP(DB$3,Capacity!$A$53:$E$85,4,FALSE)*(1+'Inputs-System'!$C$42)+VLOOKUP(DB$3,Capacity!$A$53:$E$85,5,FALSE)*'Inputs-System'!$C$29*(1+'Inputs-System'!$C$43)), $C37 = "2", ('Inputs-System'!$C$26*'Coincidence Factors'!$B$7*(1+'Inputs-System'!$C$18))*'Inputs-Proposals'!$H$22*(VLOOKUP(DB$3,Capacity!$A$53:$E$85,4,FALSE)*(1+'Inputs-System'!$C$42)+VLOOKUP(DB$3,Capacity!$A$53:$E$85,5,FALSE)*'Inputs-System'!$C$29*(1+'Inputs-System'!$C$43)), $C37 = "3",('Inputs-System'!$C$26*'Coincidence Factors'!$B$7*(1+'Inputs-System'!$C$18))*'Inputs-Proposals'!$H$28*(VLOOKUP(DB$3,Capacity!$A$53:$E$85,4,FALSE)*(1+'Inputs-System'!$C$42)+VLOOKUP(DB$3,Capacity!$A$53:$E$85,5,FALSE)*'Inputs-System'!$C$29*(1+'Inputs-System'!$C$43)), $C37 = "0", 0), 0)</f>
        <v>0</v>
      </c>
      <c r="DF37" s="44">
        <v>0</v>
      </c>
      <c r="DG37" s="342">
        <f>IFERROR(_xlfn.IFS($C37="1", 'Inputs-System'!$C$30*'Coincidence Factors'!$B$7*'Inputs-Proposals'!$H$17*'Inputs-Proposals'!$H$19*(VLOOKUP(DB$3,'Non-Embedded Emissions'!$A$56:$D$90,2,FALSE)+VLOOKUP(DB$3,'Non-Embedded Emissions'!$A$143:$D$174,2,FALSE)+VLOOKUP(DB$3,'Non-Embedded Emissions'!$A$230:$D$259,2,FALSE)), $C37 = "2", 'Inputs-System'!$C$30*'Coincidence Factors'!$B$7*'Inputs-Proposals'!$H$23*'Inputs-Proposals'!$H$25*(VLOOKUP(DB$3,'Non-Embedded Emissions'!$A$56:$D$90,2,FALSE)+VLOOKUP(DB$3,'Non-Embedded Emissions'!$A$143:$D$174,2,FALSE)+VLOOKUP(DB$3,'Non-Embedded Emissions'!$A$230:$D$259,2,FALSE)), $C37 = "3", 'Inputs-System'!$C$30*'Coincidence Factors'!$B$7*'Inputs-Proposals'!$H$29*'Inputs-Proposals'!$H$31*(VLOOKUP(DB$3,'Non-Embedded Emissions'!$A$56:$D$90,2,FALSE)+VLOOKUP(DB$3,'Non-Embedded Emissions'!$A$143:$D$174,2,FALSE)+VLOOKUP(DB$3,'Non-Embedded Emissions'!$A$230:$D$259,2,FALSE)), $C37 = "0", 0), 0)</f>
        <v>0</v>
      </c>
      <c r="DH37" s="347">
        <f>IFERROR(_xlfn.IFS($C37="1",('Inputs-System'!$C$30*'Coincidence Factors'!$B$7*(1+'Inputs-System'!$C$18)*(1+'Inputs-System'!$C$41)*('Inputs-Proposals'!$H$17*'Inputs-Proposals'!$H$19*('Inputs-Proposals'!$H$20))*(VLOOKUP(DH$3,Energy!$A$51:$K$83,5,FALSE))), $C37 = "2",('Inputs-System'!$C$30*'Coincidence Factors'!$B$7)*(1+'Inputs-System'!$C$18)*(1+'Inputs-System'!$C$41)*('Inputs-Proposals'!$H$23*'Inputs-Proposals'!$H$25*('Inputs-Proposals'!$H$26))*(VLOOKUP(DH$3,Energy!$A$51:$K$83,5,FALSE)), $C37= "3", ('Inputs-System'!$C$30*'Coincidence Factors'!$B$7*(1+'Inputs-System'!$C$18)*(1+'Inputs-System'!$C$41)*('Inputs-Proposals'!$H$29*'Inputs-Proposals'!$H$31*('Inputs-Proposals'!$H$32))*(VLOOKUP(DH$3,Energy!$A$51:$K$83,5,FALSE))), $C37= "0", 0), 0)</f>
        <v>0</v>
      </c>
      <c r="DI37" s="44">
        <f>IFERROR(_xlfn.IFS($C37="1",'Inputs-System'!$C$30*'Coincidence Factors'!$B$7*(1+'Inputs-System'!$C$18)*(1+'Inputs-System'!$C$41)*'Inputs-Proposals'!$H$17*'Inputs-Proposals'!$H$19*('Inputs-Proposals'!$H$20)*(VLOOKUP(DH$3,'Embedded Emissions'!$A$47:$B$78,2,FALSE)+VLOOKUP(DH$3,'Embedded Emissions'!$A$129:$B$158,2,FALSE)), $C37 = "2",'Inputs-System'!$C$30*'Coincidence Factors'!$B$7*(1+'Inputs-System'!$C$18)*(1+'Inputs-System'!$C$41)*'Inputs-Proposals'!$H$23*'Inputs-Proposals'!$H$25*('Inputs-Proposals'!$H$20)*(VLOOKUP(DH$3,'Embedded Emissions'!$A$47:$B$78,2,FALSE)+VLOOKUP(DH$3,'Embedded Emissions'!$A$129:$B$158,2,FALSE)), $C37 = "3", 'Inputs-System'!$C$30*'Coincidence Factors'!$B$7*(1+'Inputs-System'!$C$18)*(1+'Inputs-System'!$C$41)*'Inputs-Proposals'!$H$29*'Inputs-Proposals'!$H$31*('Inputs-Proposals'!$H$20)*(VLOOKUP(DH$3,'Embedded Emissions'!$A$47:$B$78,2,FALSE)+VLOOKUP(DH$3,'Embedded Emissions'!$A$129:$B$158,2,FALSE)), $C37 = "0", 0), 0)</f>
        <v>0</v>
      </c>
      <c r="DJ37" s="44">
        <f>IFERROR(_xlfn.IFS($C37="1",( 'Inputs-System'!$C$30*'Coincidence Factors'!$B$7*(1+'Inputs-System'!$C$18)*(1+'Inputs-System'!$C$41))*('Inputs-Proposals'!$H$17*'Inputs-Proposals'!$H$19*('Inputs-Proposals'!$H$20))*(VLOOKUP(DH$3,DRIPE!$A$54:$I$82,5,FALSE)+VLOOKUP(DH$3,DRIPE!$A$54:$I$82,9,FALSE))+ ('Inputs-System'!$C$26*'Coincidence Factors'!$B$7*(1+'Inputs-System'!$C$18)*(1+'Inputs-System'!$C$42))*'Inputs-Proposals'!$H$16*VLOOKUP(DH$3,DRIPE!$A$54:$I$82,8,FALSE), $C37 = "2",( 'Inputs-System'!$C$30*'Coincidence Factors'!$B$7*(1+'Inputs-System'!$C$18)*(1+'Inputs-System'!$C$41))*('Inputs-Proposals'!$H$23*'Inputs-Proposals'!$H$25*('Inputs-Proposals'!$H$26))*(VLOOKUP(DH$3,DRIPE!$A$54:$I$82,5,FALSE)+VLOOKUP(DH$3,DRIPE!$A$54:$I$82,12,FALSE))+ ('Inputs-System'!$C$26*'Coincidence Factors'!$B$7*(1+'Inputs-System'!$C$18)*(1+'Inputs-System'!$C$42))*'Inputs-Proposals'!$H$22*VLOOKUP(DH$3,DRIPE!$A$54:$I$82,8,FALSE), $C37= "3", ( 'Inputs-System'!$C$30*'Coincidence Factors'!$B$7*(1+'Inputs-System'!$C$18)*(1+'Inputs-System'!$C$41))*('Inputs-Proposals'!$H$29*'Inputs-Proposals'!$H$31*('Inputs-Proposals'!$H$32))*(VLOOKUP(DH$3,DRIPE!$A$54:$I$82,5,FALSE)+VLOOKUP(DH$3,DRIPE!$A$54:$I$82,12,FALSE))+ ('Inputs-System'!$C$26*'Coincidence Factors'!$B$7*(1+'Inputs-System'!$C$18)*(1+'Inputs-System'!$C$42))*'Inputs-Proposals'!$H$28*VLOOKUP(DH$3,DRIPE!$A$54:$I$82,8,FALSE), $C37 = "0", 0), 0)</f>
        <v>0</v>
      </c>
      <c r="DK37" s="45">
        <f>IFERROR(_xlfn.IFS($C37="1",('Inputs-System'!$C$26*'Coincidence Factors'!$B$7*(1+'Inputs-System'!$C$18))*'Inputs-Proposals'!$H$16*(VLOOKUP(DH$3,Capacity!$A$53:$E$85,4,FALSE)*(1+'Inputs-System'!$C$42)+VLOOKUP(DH$3,Capacity!$A$53:$E$85,5,FALSE)*'Inputs-System'!$C$29*(1+'Inputs-System'!$C$43)), $C37 = "2", ('Inputs-System'!$C$26*'Coincidence Factors'!$B$7*(1+'Inputs-System'!$C$18))*'Inputs-Proposals'!$H$22*(VLOOKUP(DH$3,Capacity!$A$53:$E$85,4,FALSE)*(1+'Inputs-System'!$C$42)+VLOOKUP(DH$3,Capacity!$A$53:$E$85,5,FALSE)*'Inputs-System'!$C$29*(1+'Inputs-System'!$C$43)), $C37 = "3",('Inputs-System'!$C$26*'Coincidence Factors'!$B$7*(1+'Inputs-System'!$C$18))*'Inputs-Proposals'!$H$28*(VLOOKUP(DH$3,Capacity!$A$53:$E$85,4,FALSE)*(1+'Inputs-System'!$C$42)+VLOOKUP(DH$3,Capacity!$A$53:$E$85,5,FALSE)*'Inputs-System'!$C$29*(1+'Inputs-System'!$C$43)), $C37 = "0", 0), 0)</f>
        <v>0</v>
      </c>
      <c r="DL37" s="44">
        <v>0</v>
      </c>
      <c r="DM37" s="342">
        <f>IFERROR(_xlfn.IFS($C37="1", 'Inputs-System'!$C$30*'Coincidence Factors'!$B$7*'Inputs-Proposals'!$H$17*'Inputs-Proposals'!$H$19*(VLOOKUP(DH$3,'Non-Embedded Emissions'!$A$56:$D$90,2,FALSE)+VLOOKUP(DH$3,'Non-Embedded Emissions'!$A$143:$D$174,2,FALSE)+VLOOKUP(DH$3,'Non-Embedded Emissions'!$A$230:$D$259,2,FALSE)), $C37 = "2", 'Inputs-System'!$C$30*'Coincidence Factors'!$B$7*'Inputs-Proposals'!$H$23*'Inputs-Proposals'!$H$25*(VLOOKUP(DH$3,'Non-Embedded Emissions'!$A$56:$D$90,2,FALSE)+VLOOKUP(DH$3,'Non-Embedded Emissions'!$A$143:$D$174,2,FALSE)+VLOOKUP(DH$3,'Non-Embedded Emissions'!$A$230:$D$259,2,FALSE)), $C37 = "3", 'Inputs-System'!$C$30*'Coincidence Factors'!$B$7*'Inputs-Proposals'!$H$29*'Inputs-Proposals'!$H$31*(VLOOKUP(DH$3,'Non-Embedded Emissions'!$A$56:$D$90,2,FALSE)+VLOOKUP(DH$3,'Non-Embedded Emissions'!$A$143:$D$174,2,FALSE)+VLOOKUP(DH$3,'Non-Embedded Emissions'!$A$230:$D$259,2,FALSE)), $C37 = "0", 0), 0)</f>
        <v>0</v>
      </c>
      <c r="DN37" s="347">
        <f>IFERROR(_xlfn.IFS($C37="1",('Inputs-System'!$C$30*'Coincidence Factors'!$B$7*(1+'Inputs-System'!$C$18)*(1+'Inputs-System'!$C$41)*('Inputs-Proposals'!$H$17*'Inputs-Proposals'!$H$19*('Inputs-Proposals'!$H$20))*(VLOOKUP(DN$3,Energy!$A$51:$K$83,5,FALSE))), $C37 = "2",('Inputs-System'!$C$30*'Coincidence Factors'!$B$7)*(1+'Inputs-System'!$C$18)*(1+'Inputs-System'!$C$41)*('Inputs-Proposals'!$H$23*'Inputs-Proposals'!$H$25*('Inputs-Proposals'!$H$26))*(VLOOKUP(DN$3,Energy!$A$51:$K$83,5,FALSE)), $C37= "3", ('Inputs-System'!$C$30*'Coincidence Factors'!$B$7*(1+'Inputs-System'!$C$18)*(1+'Inputs-System'!$C$41)*('Inputs-Proposals'!$H$29*'Inputs-Proposals'!$H$31*('Inputs-Proposals'!$H$32))*(VLOOKUP(DN$3,Energy!$A$51:$K$83,5,FALSE))), $C37= "0", 0), 0)</f>
        <v>0</v>
      </c>
      <c r="DO37" s="44">
        <f>IFERROR(_xlfn.IFS($C37="1",'Inputs-System'!$C$30*'Coincidence Factors'!$B$7*(1+'Inputs-System'!$C$18)*(1+'Inputs-System'!$C$41)*'Inputs-Proposals'!$H$17*'Inputs-Proposals'!$H$19*('Inputs-Proposals'!$H$20)*(VLOOKUP(DN$3,'Embedded Emissions'!$A$47:$B$78,2,FALSE)+VLOOKUP(DN$3,'Embedded Emissions'!$A$129:$B$158,2,FALSE)), $C37 = "2",'Inputs-System'!$C$30*'Coincidence Factors'!$B$7*(1+'Inputs-System'!$C$18)*(1+'Inputs-System'!$C$41)*'Inputs-Proposals'!$H$23*'Inputs-Proposals'!$H$25*('Inputs-Proposals'!$H$20)*(VLOOKUP(DN$3,'Embedded Emissions'!$A$47:$B$78,2,FALSE)+VLOOKUP(DN$3,'Embedded Emissions'!$A$129:$B$158,2,FALSE)), $C37 = "3", 'Inputs-System'!$C$30*'Coincidence Factors'!$B$7*(1+'Inputs-System'!$C$18)*(1+'Inputs-System'!$C$41)*'Inputs-Proposals'!$H$29*'Inputs-Proposals'!$H$31*('Inputs-Proposals'!$H$20)*(VLOOKUP(DN$3,'Embedded Emissions'!$A$47:$B$78,2,FALSE)+VLOOKUP(DN$3,'Embedded Emissions'!$A$129:$B$158,2,FALSE)), $C37 = "0", 0), 0)</f>
        <v>0</v>
      </c>
      <c r="DP37" s="44">
        <f>IFERROR(_xlfn.IFS($C37="1",( 'Inputs-System'!$C$30*'Coincidence Factors'!$B$7*(1+'Inputs-System'!$C$18)*(1+'Inputs-System'!$C$41))*('Inputs-Proposals'!$H$17*'Inputs-Proposals'!$H$19*('Inputs-Proposals'!$H$20))*(VLOOKUP(DN$3,DRIPE!$A$54:$I$82,5,FALSE)+VLOOKUP(DN$3,DRIPE!$A$54:$I$82,9,FALSE))+ ('Inputs-System'!$C$26*'Coincidence Factors'!$B$7*(1+'Inputs-System'!$C$18)*(1+'Inputs-System'!$C$42))*'Inputs-Proposals'!$H$16*VLOOKUP(DN$3,DRIPE!$A$54:$I$82,8,FALSE), $C37 = "2",( 'Inputs-System'!$C$30*'Coincidence Factors'!$B$7*(1+'Inputs-System'!$C$18)*(1+'Inputs-System'!$C$41))*('Inputs-Proposals'!$H$23*'Inputs-Proposals'!$H$25*('Inputs-Proposals'!$H$26))*(VLOOKUP(DN$3,DRIPE!$A$54:$I$82,5,FALSE)+VLOOKUP(DN$3,DRIPE!$A$54:$I$82,12,FALSE))+ ('Inputs-System'!$C$26*'Coincidence Factors'!$B$7*(1+'Inputs-System'!$C$18)*(1+'Inputs-System'!$C$42))*'Inputs-Proposals'!$H$22*VLOOKUP(DN$3,DRIPE!$A$54:$I$82,8,FALSE), $C37= "3", ( 'Inputs-System'!$C$30*'Coincidence Factors'!$B$7*(1+'Inputs-System'!$C$18)*(1+'Inputs-System'!$C$41))*('Inputs-Proposals'!$H$29*'Inputs-Proposals'!$H$31*('Inputs-Proposals'!$H$32))*(VLOOKUP(DN$3,DRIPE!$A$54:$I$82,5,FALSE)+VLOOKUP(DN$3,DRIPE!$A$54:$I$82,12,FALSE))+ ('Inputs-System'!$C$26*'Coincidence Factors'!$B$7*(1+'Inputs-System'!$C$18)*(1+'Inputs-System'!$C$42))*'Inputs-Proposals'!$H$28*VLOOKUP(DN$3,DRIPE!$A$54:$I$82,8,FALSE), $C37 = "0", 0), 0)</f>
        <v>0</v>
      </c>
      <c r="DQ37" s="45">
        <f>IFERROR(_xlfn.IFS($C37="1",('Inputs-System'!$C$26*'Coincidence Factors'!$B$7*(1+'Inputs-System'!$C$18))*'Inputs-Proposals'!$H$16*(VLOOKUP(DN$3,Capacity!$A$53:$E$85,4,FALSE)*(1+'Inputs-System'!$C$42)+VLOOKUP(DN$3,Capacity!$A$53:$E$85,5,FALSE)*'Inputs-System'!$C$29*(1+'Inputs-System'!$C$43)), $C37 = "2", ('Inputs-System'!$C$26*'Coincidence Factors'!$B$7*(1+'Inputs-System'!$C$18))*'Inputs-Proposals'!$H$22*(VLOOKUP(DN$3,Capacity!$A$53:$E$85,4,FALSE)*(1+'Inputs-System'!$C$42)+VLOOKUP(DN$3,Capacity!$A$53:$E$85,5,FALSE)*'Inputs-System'!$C$29*(1+'Inputs-System'!$C$43)), $C37 = "3",('Inputs-System'!$C$26*'Coincidence Factors'!$B$7*(1+'Inputs-System'!$C$18))*'Inputs-Proposals'!$H$28*(VLOOKUP(DN$3,Capacity!$A$53:$E$85,4,FALSE)*(1+'Inputs-System'!$C$42)+VLOOKUP(DN$3,Capacity!$A$53:$E$85,5,FALSE)*'Inputs-System'!$C$29*(1+'Inputs-System'!$C$43)), $C37 = "0", 0), 0)</f>
        <v>0</v>
      </c>
      <c r="DR37" s="44">
        <v>0</v>
      </c>
      <c r="DS37" s="342">
        <f>IFERROR(_xlfn.IFS($C37="1", 'Inputs-System'!$C$30*'Coincidence Factors'!$B$7*'Inputs-Proposals'!$H$17*'Inputs-Proposals'!$H$19*(VLOOKUP(DN$3,'Non-Embedded Emissions'!$A$56:$D$90,2,FALSE)+VLOOKUP(DN$3,'Non-Embedded Emissions'!$A$143:$D$174,2,FALSE)+VLOOKUP(DN$3,'Non-Embedded Emissions'!$A$230:$D$259,2,FALSE)), $C37 = "2", 'Inputs-System'!$C$30*'Coincidence Factors'!$B$7*'Inputs-Proposals'!$H$23*'Inputs-Proposals'!$H$25*(VLOOKUP(DN$3,'Non-Embedded Emissions'!$A$56:$D$90,2,FALSE)+VLOOKUP(DN$3,'Non-Embedded Emissions'!$A$143:$D$174,2,FALSE)+VLOOKUP(DN$3,'Non-Embedded Emissions'!$A$230:$D$259,2,FALSE)), $C37 = "3", 'Inputs-System'!$C$30*'Coincidence Factors'!$B$7*'Inputs-Proposals'!$H$29*'Inputs-Proposals'!$H$31*(VLOOKUP(DN$3,'Non-Embedded Emissions'!$A$56:$D$90,2,FALSE)+VLOOKUP(DN$3,'Non-Embedded Emissions'!$A$143:$D$174,2,FALSE)+VLOOKUP(DN$3,'Non-Embedded Emissions'!$A$230:$D$259,2,FALSE)), $C37 = "0", 0), 0)</f>
        <v>0</v>
      </c>
      <c r="DT37" s="347">
        <f>IFERROR(_xlfn.IFS($C37="1",('Inputs-System'!$C$30*'Coincidence Factors'!$B$7*(1+'Inputs-System'!$C$18)*(1+'Inputs-System'!$C$41)*('Inputs-Proposals'!$H$17*'Inputs-Proposals'!$H$19*('Inputs-Proposals'!$H$20))*(VLOOKUP(DT$3,Energy!$A$51:$K$83,5,FALSE))), $C37 = "2",('Inputs-System'!$C$30*'Coincidence Factors'!$B$7)*(1+'Inputs-System'!$C$18)*(1+'Inputs-System'!$C$41)*('Inputs-Proposals'!$H$23*'Inputs-Proposals'!$H$25*('Inputs-Proposals'!$H$26))*(VLOOKUP(DT$3,Energy!$A$51:$K$83,5,FALSE)), $C37= "3", ('Inputs-System'!$C$30*'Coincidence Factors'!$B$7*(1+'Inputs-System'!$C$18)*(1+'Inputs-System'!$C$41)*('Inputs-Proposals'!$H$29*'Inputs-Proposals'!$H$31*('Inputs-Proposals'!$H$32))*(VLOOKUP(DT$3,Energy!$A$51:$K$83,5,FALSE))), $C37= "0", 0), 0)</f>
        <v>0</v>
      </c>
      <c r="DU37" s="44">
        <f>IFERROR(_xlfn.IFS($C37="1",'Inputs-System'!$C$30*'Coincidence Factors'!$B$7*(1+'Inputs-System'!$C$18)*(1+'Inputs-System'!$C$41)*'Inputs-Proposals'!$H$17*'Inputs-Proposals'!$H$19*('Inputs-Proposals'!$H$20)*(VLOOKUP(DT$3,'Embedded Emissions'!$A$47:$B$78,2,FALSE)+VLOOKUP(DT$3,'Embedded Emissions'!$A$129:$B$158,2,FALSE)), $C37 = "2",'Inputs-System'!$C$30*'Coincidence Factors'!$B$7*(1+'Inputs-System'!$C$18)*(1+'Inputs-System'!$C$41)*'Inputs-Proposals'!$H$23*'Inputs-Proposals'!$H$25*('Inputs-Proposals'!$H$20)*(VLOOKUP(DT$3,'Embedded Emissions'!$A$47:$B$78,2,FALSE)+VLOOKUP(DT$3,'Embedded Emissions'!$A$129:$B$158,2,FALSE)), $C37 = "3", 'Inputs-System'!$C$30*'Coincidence Factors'!$B$7*(1+'Inputs-System'!$C$18)*(1+'Inputs-System'!$C$41)*'Inputs-Proposals'!$H$29*'Inputs-Proposals'!$H$31*('Inputs-Proposals'!$H$20)*(VLOOKUP(DT$3,'Embedded Emissions'!$A$47:$B$78,2,FALSE)+VLOOKUP(DT$3,'Embedded Emissions'!$A$129:$B$158,2,FALSE)), $C37 = "0", 0), 0)</f>
        <v>0</v>
      </c>
      <c r="DV37" s="44">
        <f>IFERROR(_xlfn.IFS($C37="1",( 'Inputs-System'!$C$30*'Coincidence Factors'!$B$7*(1+'Inputs-System'!$C$18)*(1+'Inputs-System'!$C$41))*('Inputs-Proposals'!$H$17*'Inputs-Proposals'!$H$19*('Inputs-Proposals'!$H$20))*(VLOOKUP(DT$3,DRIPE!$A$54:$I$82,5,FALSE)+VLOOKUP(DT$3,DRIPE!$A$54:$I$82,9,FALSE))+ ('Inputs-System'!$C$26*'Coincidence Factors'!$B$7*(1+'Inputs-System'!$C$18)*(1+'Inputs-System'!$C$42))*'Inputs-Proposals'!$H$16*VLOOKUP(DT$3,DRIPE!$A$54:$I$82,8,FALSE), $C37 = "2",( 'Inputs-System'!$C$30*'Coincidence Factors'!$B$7*(1+'Inputs-System'!$C$18)*(1+'Inputs-System'!$C$41))*('Inputs-Proposals'!$H$23*'Inputs-Proposals'!$H$25*('Inputs-Proposals'!$H$26))*(VLOOKUP(DT$3,DRIPE!$A$54:$I$82,5,FALSE)+VLOOKUP(DT$3,DRIPE!$A$54:$I$82,12,FALSE))+ ('Inputs-System'!$C$26*'Coincidence Factors'!$B$7*(1+'Inputs-System'!$C$18)*(1+'Inputs-System'!$C$42))*'Inputs-Proposals'!$H$22*VLOOKUP(DT$3,DRIPE!$A$54:$I$82,8,FALSE), $C37= "3", ( 'Inputs-System'!$C$30*'Coincidence Factors'!$B$7*(1+'Inputs-System'!$C$18)*(1+'Inputs-System'!$C$41))*('Inputs-Proposals'!$H$29*'Inputs-Proposals'!$H$31*('Inputs-Proposals'!$H$32))*(VLOOKUP(DT$3,DRIPE!$A$54:$I$82,5,FALSE)+VLOOKUP(DT$3,DRIPE!$A$54:$I$82,12,FALSE))+ ('Inputs-System'!$C$26*'Coincidence Factors'!$B$7*(1+'Inputs-System'!$C$18)*(1+'Inputs-System'!$C$42))*'Inputs-Proposals'!$H$28*VLOOKUP(DT$3,DRIPE!$A$54:$I$82,8,FALSE), $C37 = "0", 0), 0)</f>
        <v>0</v>
      </c>
      <c r="DW37" s="45">
        <f>IFERROR(_xlfn.IFS($C37="1",('Inputs-System'!$C$26*'Coincidence Factors'!$B$7*(1+'Inputs-System'!$C$18))*'Inputs-Proposals'!$H$16*(VLOOKUP(DT$3,Capacity!$A$53:$E$85,4,FALSE)*(1+'Inputs-System'!$C$42)+VLOOKUP(DT$3,Capacity!$A$53:$E$85,5,FALSE)*'Inputs-System'!$C$29*(1+'Inputs-System'!$C$43)), $C37 = "2", ('Inputs-System'!$C$26*'Coincidence Factors'!$B$7*(1+'Inputs-System'!$C$18))*'Inputs-Proposals'!$H$22*(VLOOKUP(DT$3,Capacity!$A$53:$E$85,4,FALSE)*(1+'Inputs-System'!$C$42)+VLOOKUP(DT$3,Capacity!$A$53:$E$85,5,FALSE)*'Inputs-System'!$C$29*(1+'Inputs-System'!$C$43)), $C37 = "3",('Inputs-System'!$C$26*'Coincidence Factors'!$B$7*(1+'Inputs-System'!$C$18))*'Inputs-Proposals'!$H$28*(VLOOKUP(DT$3,Capacity!$A$53:$E$85,4,FALSE)*(1+'Inputs-System'!$C$42)+VLOOKUP(DT$3,Capacity!$A$53:$E$85,5,FALSE)*'Inputs-System'!$C$29*(1+'Inputs-System'!$C$43)), $C37 = "0", 0), 0)</f>
        <v>0</v>
      </c>
      <c r="DX37" s="44">
        <v>0</v>
      </c>
      <c r="DY37" s="342">
        <f>IFERROR(_xlfn.IFS($C37="1", 'Inputs-System'!$C$30*'Coincidence Factors'!$B$7*'Inputs-Proposals'!$H$17*'Inputs-Proposals'!$H$19*(VLOOKUP(DT$3,'Non-Embedded Emissions'!$A$56:$D$90,2,FALSE)+VLOOKUP(DT$3,'Non-Embedded Emissions'!$A$143:$D$174,2,FALSE)+VLOOKUP(DT$3,'Non-Embedded Emissions'!$A$230:$D$259,2,FALSE)), $C37 = "2", 'Inputs-System'!$C$30*'Coincidence Factors'!$B$7*'Inputs-Proposals'!$H$23*'Inputs-Proposals'!$H$25*(VLOOKUP(DT$3,'Non-Embedded Emissions'!$A$56:$D$90,2,FALSE)+VLOOKUP(DT$3,'Non-Embedded Emissions'!$A$143:$D$174,2,FALSE)+VLOOKUP(DT$3,'Non-Embedded Emissions'!$A$230:$D$259,2,FALSE)), $C37 = "3", 'Inputs-System'!$C$30*'Coincidence Factors'!$B$7*'Inputs-Proposals'!$H$29*'Inputs-Proposals'!$H$31*(VLOOKUP(DT$3,'Non-Embedded Emissions'!$A$56:$D$90,2,FALSE)+VLOOKUP(DT$3,'Non-Embedded Emissions'!$A$143:$D$174,2,FALSE)+VLOOKUP(DT$3,'Non-Embedded Emissions'!$A$230:$D$259,2,FALSE)), $C37 = "0", 0), 0)</f>
        <v>0</v>
      </c>
      <c r="DZ37" s="347">
        <f>IFERROR(_xlfn.IFS($C37="1",('Inputs-System'!$C$30*'Coincidence Factors'!$B$7*(1+'Inputs-System'!$C$18)*(1+'Inputs-System'!$C$41)*('Inputs-Proposals'!$H$17*'Inputs-Proposals'!$H$19*('Inputs-Proposals'!$H$20))*(VLOOKUP(DZ$3,Energy!$A$51:$K$83,5,FALSE))), $C37 = "2",('Inputs-System'!$C$30*'Coincidence Factors'!$B$7)*(1+'Inputs-System'!$C$18)*(1+'Inputs-System'!$C$41)*('Inputs-Proposals'!$H$23*'Inputs-Proposals'!$H$25*('Inputs-Proposals'!$H$26))*(VLOOKUP(DZ$3,Energy!$A$51:$K$83,5,FALSE)), $C37= "3", ('Inputs-System'!$C$30*'Coincidence Factors'!$B$7*(1+'Inputs-System'!$C$18)*(1+'Inputs-System'!$C$41)*('Inputs-Proposals'!$H$29*'Inputs-Proposals'!$H$31*('Inputs-Proposals'!$H$32))*(VLOOKUP(DZ$3,Energy!$A$51:$K$83,5,FALSE))), $C37= "0", 0), 0)</f>
        <v>0</v>
      </c>
      <c r="EA37" s="44">
        <f>IFERROR(_xlfn.IFS($C37="1",'Inputs-System'!$C$30*'Coincidence Factors'!$B$7*(1+'Inputs-System'!$C$18)*(1+'Inputs-System'!$C$41)*'Inputs-Proposals'!$H$17*'Inputs-Proposals'!$H$19*('Inputs-Proposals'!$H$20)*(VLOOKUP(DZ$3,'Embedded Emissions'!$A$47:$B$78,2,FALSE)+VLOOKUP(DZ$3,'Embedded Emissions'!$A$129:$B$158,2,FALSE)), $C37 = "2",'Inputs-System'!$C$30*'Coincidence Factors'!$B$7*(1+'Inputs-System'!$C$18)*(1+'Inputs-System'!$C$41)*'Inputs-Proposals'!$H$23*'Inputs-Proposals'!$H$25*('Inputs-Proposals'!$H$20)*(VLOOKUP(DZ$3,'Embedded Emissions'!$A$47:$B$78,2,FALSE)+VLOOKUP(DZ$3,'Embedded Emissions'!$A$129:$B$158,2,FALSE)), $C37 = "3", 'Inputs-System'!$C$30*'Coincidence Factors'!$B$7*(1+'Inputs-System'!$C$18)*(1+'Inputs-System'!$C$41)*'Inputs-Proposals'!$H$29*'Inputs-Proposals'!$H$31*('Inputs-Proposals'!$H$20)*(VLOOKUP(DZ$3,'Embedded Emissions'!$A$47:$B$78,2,FALSE)+VLOOKUP(DZ$3,'Embedded Emissions'!$A$129:$B$158,2,FALSE)), $C37 = "0", 0), 0)</f>
        <v>0</v>
      </c>
      <c r="EB37" s="44">
        <f>IFERROR(_xlfn.IFS($C37="1",( 'Inputs-System'!$C$30*'Coincidence Factors'!$B$7*(1+'Inputs-System'!$C$18)*(1+'Inputs-System'!$C$41))*('Inputs-Proposals'!$H$17*'Inputs-Proposals'!$H$19*('Inputs-Proposals'!$H$20))*(VLOOKUP(DZ$3,DRIPE!$A$54:$I$82,5,FALSE)+VLOOKUP(DZ$3,DRIPE!$A$54:$I$82,9,FALSE))+ ('Inputs-System'!$C$26*'Coincidence Factors'!$B$7*(1+'Inputs-System'!$C$18)*(1+'Inputs-System'!$C$42))*'Inputs-Proposals'!$H$16*VLOOKUP(DZ$3,DRIPE!$A$54:$I$82,8,FALSE), $C37 = "2",( 'Inputs-System'!$C$30*'Coincidence Factors'!$B$7*(1+'Inputs-System'!$C$18)*(1+'Inputs-System'!$C$41))*('Inputs-Proposals'!$H$23*'Inputs-Proposals'!$H$25*('Inputs-Proposals'!$H$26))*(VLOOKUP(DZ$3,DRIPE!$A$54:$I$82,5,FALSE)+VLOOKUP(DZ$3,DRIPE!$A$54:$I$82,12,FALSE))+ ('Inputs-System'!$C$26*'Coincidence Factors'!$B$7*(1+'Inputs-System'!$C$18)*(1+'Inputs-System'!$C$42))*'Inputs-Proposals'!$H$22*VLOOKUP(DZ$3,DRIPE!$A$54:$I$82,8,FALSE), $C37= "3", ( 'Inputs-System'!$C$30*'Coincidence Factors'!$B$7*(1+'Inputs-System'!$C$18)*(1+'Inputs-System'!$C$41))*('Inputs-Proposals'!$H$29*'Inputs-Proposals'!$H$31*('Inputs-Proposals'!$H$32))*(VLOOKUP(DZ$3,DRIPE!$A$54:$I$82,5,FALSE)+VLOOKUP(DZ$3,DRIPE!$A$54:$I$82,12,FALSE))+ ('Inputs-System'!$C$26*'Coincidence Factors'!$B$7*(1+'Inputs-System'!$C$18)*(1+'Inputs-System'!$C$42))*'Inputs-Proposals'!$H$28*VLOOKUP(DZ$3,DRIPE!$A$54:$I$82,8,FALSE), $C37 = "0", 0), 0)</f>
        <v>0</v>
      </c>
      <c r="EC37" s="45">
        <f>IFERROR(_xlfn.IFS($C37="1",('Inputs-System'!$C$26*'Coincidence Factors'!$B$7*(1+'Inputs-System'!$C$18))*'Inputs-Proposals'!$H$16*(VLOOKUP(DZ$3,Capacity!$A$53:$E$85,4,FALSE)*(1+'Inputs-System'!$C$42)+VLOOKUP(DZ$3,Capacity!$A$53:$E$85,5,FALSE)*'Inputs-System'!$C$29*(1+'Inputs-System'!$C$43)), $C37 = "2", ('Inputs-System'!$C$26*'Coincidence Factors'!$B$7*(1+'Inputs-System'!$C$18))*'Inputs-Proposals'!$H$22*(VLOOKUP(DZ$3,Capacity!$A$53:$E$85,4,FALSE)*(1+'Inputs-System'!$C$42)+VLOOKUP(DZ$3,Capacity!$A$53:$E$85,5,FALSE)*'Inputs-System'!$C$29*(1+'Inputs-System'!$C$43)), $C37 = "3",('Inputs-System'!$C$26*'Coincidence Factors'!$B$7*(1+'Inputs-System'!$C$18))*'Inputs-Proposals'!$H$28*(VLOOKUP(DZ$3,Capacity!$A$53:$E$85,4,FALSE)*(1+'Inputs-System'!$C$42)+VLOOKUP(DZ$3,Capacity!$A$53:$E$85,5,FALSE)*'Inputs-System'!$C$29*(1+'Inputs-System'!$C$43)), $C37 = "0", 0), 0)</f>
        <v>0</v>
      </c>
      <c r="ED37" s="44">
        <v>0</v>
      </c>
      <c r="EE37" s="342">
        <f>IFERROR(_xlfn.IFS($C37="1", 'Inputs-System'!$C$30*'Coincidence Factors'!$B$7*'Inputs-Proposals'!$H$17*'Inputs-Proposals'!$H$19*(VLOOKUP(DZ$3,'Non-Embedded Emissions'!$A$56:$D$90,2,FALSE)+VLOOKUP(DZ$3,'Non-Embedded Emissions'!$A$143:$D$174,2,FALSE)+VLOOKUP(DZ$3,'Non-Embedded Emissions'!$A$230:$D$259,2,FALSE)), $C37 = "2", 'Inputs-System'!$C$30*'Coincidence Factors'!$B$7*'Inputs-Proposals'!$H$23*'Inputs-Proposals'!$H$25*(VLOOKUP(DZ$3,'Non-Embedded Emissions'!$A$56:$D$90,2,FALSE)+VLOOKUP(DZ$3,'Non-Embedded Emissions'!$A$143:$D$174,2,FALSE)+VLOOKUP(DZ$3,'Non-Embedded Emissions'!$A$230:$D$259,2,FALSE)), $C37 = "3", 'Inputs-System'!$C$30*'Coincidence Factors'!$B$7*'Inputs-Proposals'!$H$29*'Inputs-Proposals'!$H$31*(VLOOKUP(DZ$3,'Non-Embedded Emissions'!$A$56:$D$90,2,FALSE)+VLOOKUP(DZ$3,'Non-Embedded Emissions'!$A$143:$D$174,2,FALSE)+VLOOKUP(DZ$3,'Non-Embedded Emissions'!$A$230:$D$259,2,FALSE)), $C37 = "0", 0), 0)</f>
        <v>0</v>
      </c>
    </row>
    <row r="38" spans="1:135" x14ac:dyDescent="0.35">
      <c r="A38" s="708"/>
      <c r="B38" s="3" t="s">
        <v>160</v>
      </c>
      <c r="C38" s="3" t="str">
        <f>IFERROR(_xlfn.IFS('Benefits Calc'!B38='Inputs-Proposals'!$H$15, "1", 'Benefits Calc'!B38='Inputs-Proposals'!$H$21, "2", 'Benefits Calc'!B38='Inputs-Proposals'!$H$27, "3"), "0")</f>
        <v>0</v>
      </c>
      <c r="D38" s="323">
        <f t="shared" si="0"/>
        <v>0</v>
      </c>
      <c r="E38" s="44">
        <f t="shared" si="1"/>
        <v>0</v>
      </c>
      <c r="F38" s="44">
        <f t="shared" si="2"/>
        <v>0</v>
      </c>
      <c r="G38" s="44">
        <f t="shared" si="3"/>
        <v>0</v>
      </c>
      <c r="H38" s="44">
        <f t="shared" si="4"/>
        <v>0</v>
      </c>
      <c r="I38" s="44">
        <f t="shared" si="5"/>
        <v>0</v>
      </c>
      <c r="J38" s="323">
        <f>NPV('Inputs-System'!$C$20,P38+V38+AB38+AH38+AN38+AT38+AZ38+BF38+BL38+BR38+BX38+CD38+CJ38+CP38+CV38+DB38+DH38+DN38+DT38+DZ38)</f>
        <v>0</v>
      </c>
      <c r="K38" s="44">
        <f>NPV('Inputs-System'!$C$20,Q38+W38+AC38+AI38+AO38+AU38+BA38+BG38+BM38+BS38+BY38+CE38+CK38+CQ38+CW38+DC38+DI38+DO38+DU38+EA38)</f>
        <v>0</v>
      </c>
      <c r="L38" s="44">
        <f>NPV('Inputs-System'!$C$20,R38+X38+AD38+AJ38+AP38+AV38+BB38+BH38+BN38+BT38+BZ38+CF38+CL38+CR38+CX38+DD38+DJ38+DP38+DV38+EB38)</f>
        <v>0</v>
      </c>
      <c r="M38" s="44">
        <f>NPV('Inputs-System'!$C$20,S38+Y38+AE38+AK38+AQ38+AW38+BC38+BI38+BO38+BU38+CA38+CG38+CM38+CS38+CY38+DE38+DK38+DQ38+DW38+EC38)</f>
        <v>0</v>
      </c>
      <c r="N38" s="44">
        <f>NPV('Inputs-System'!$C$20,T38+Z38+AF38+AL38+AR38+AX38+BD38+BJ38+BP38+BV38+CB38+CH38+CN38+CT38+CZ38+DF38+DL38+DR38+DX38+ED38)</f>
        <v>0</v>
      </c>
      <c r="O38" s="119">
        <f>NPV('Inputs-System'!$C$20,U38+AA38+AG38+AM38+AS38+AY38+BE38+BK38+BQ38+BW38+CC38+CI38+CO38+CU38+DA38+DG38+DM38+DS38+DY38+EE38)</f>
        <v>0</v>
      </c>
      <c r="P38" s="45">
        <f>IFERROR(_xlfn.IFS($C38="1",('Inputs-System'!$C$30*'Coincidence Factors'!$B$8*(1+'Inputs-System'!$C$18)*(1+'Inputs-System'!$C$41)*('Inputs-Proposals'!$H$17*'Inputs-Proposals'!$H$19*('Inputs-Proposals'!$H$20))*(VLOOKUP(P$3,Energy!$A$51:$K$83,5,FALSE))), $C38 = "2",('Inputs-System'!$C$30*'Coincidence Factors'!$B$8)*(1+'Inputs-System'!$C$18)*(1+'Inputs-System'!$C$41)*('Inputs-Proposals'!$H$23*'Inputs-Proposals'!$H$25*('Inputs-Proposals'!$H$26))*(VLOOKUP(P$3,Energy!$A$51:$K$83,5,FALSE)), $C38= "3", ('Inputs-System'!$C$30*'Coincidence Factors'!$B$8*(1+'Inputs-System'!$C$18)*(1+'Inputs-System'!$C$41)*('Inputs-Proposals'!$H$29*'Inputs-Proposals'!$H$31*('Inputs-Proposals'!$H$32))*(VLOOKUP(P$3,Energy!$A$51:$K$83,5,FALSE))), $C38= "0", 0), 0)</f>
        <v>0</v>
      </c>
      <c r="Q38" s="44">
        <f>IFERROR(_xlfn.IFS($C38="1",'Inputs-System'!$C$30*'Coincidence Factors'!$B$8*(1+'Inputs-System'!$C$18)*(1+'Inputs-System'!$C$41)*'Inputs-Proposals'!$H$17*'Inputs-Proposals'!$H$19*('Inputs-Proposals'!$H$20)*(VLOOKUP(P$3,'Embedded Emissions'!$A$47:$B$78,2,FALSE)+VLOOKUP(P$3,'Embedded Emissions'!$A$129:$B$158,2,FALSE)), $C38 = "2", 'Inputs-System'!$C$30*'Coincidence Factors'!$B$8*(1+'Inputs-System'!$C$18)*(1+'Inputs-System'!$C$41)*'Inputs-Proposals'!$H$23*'Inputs-Proposals'!$H$25*('Inputs-Proposals'!$H$20)*(VLOOKUP(P$3,'Embedded Emissions'!$A$47:$B$78,2,FALSE)+VLOOKUP(P$3,'Embedded Emissions'!$A$129:$B$158,2,FALSE)), $C38 = "3",'Inputs-System'!$C$30*'Coincidence Factors'!$B$8*(1+'Inputs-System'!$C$18)*(1+'Inputs-System'!$C$41)*'Inputs-Proposals'!$H$29*'Inputs-Proposals'!$H$31*('Inputs-Proposals'!$H$20)*(VLOOKUP(P$3,'Embedded Emissions'!$A$47:$B$78,2,FALSE)+VLOOKUP(P$3,'Embedded Emissions'!$A$129:$B$158,2,FALSE)), $C38 = "0", 0), 0)</f>
        <v>0</v>
      </c>
      <c r="R38" s="44">
        <f>IFERROR(_xlfn.IFS($C38="1",( 'Inputs-System'!$C$30*'Coincidence Factors'!$B$8*(1+'Inputs-System'!$C$18)*(1+'Inputs-System'!$C$41))*('Inputs-Proposals'!$H$17*'Inputs-Proposals'!$H$19*('Inputs-Proposals'!$H$20))*(VLOOKUP(P$3,DRIPE!$A$54:$I$82,5,FALSE)+VLOOKUP(P$3,DRIPE!$A$54:$I$82,9,FALSE))+ ('Inputs-System'!$C$26*'Coincidence Factors'!$B$8*(1+'Inputs-System'!$C$18)*(1+'Inputs-System'!$C$42))*'Inputs-Proposals'!$H$16*VLOOKUP(P$3,DRIPE!$A$54:$I$82,8,FALSE), $C38 = "2",( 'Inputs-System'!$C$30*'Coincidence Factors'!$B$8*(1+'Inputs-System'!$C$18)*(1+'Inputs-System'!$C$41))*('Inputs-Proposals'!$H$23*'Inputs-Proposals'!$H$25*('Inputs-Proposals'!$H$26))*(VLOOKUP(P$3,DRIPE!$A$54:$I$82,5,FALSE)+VLOOKUP(P$3,DRIPE!$A$54:$I$82,9,FALSE))+  ('Inputs-System'!$C$26*'Coincidence Factors'!$B$8*(1+'Inputs-System'!$C$18)*(1+'Inputs-System'!$C$42))*'Inputs-Proposals'!$H$22*VLOOKUP(P$3,DRIPE!$A$54:$I$82,8,FALSE), $C38= "3", ( 'Inputs-System'!$C$30*'Coincidence Factors'!$B$8*(1+'Inputs-System'!$C$18)*(1+'Inputs-System'!$C$41))*('Inputs-Proposals'!$H$29*'Inputs-Proposals'!$H$31*('Inputs-Proposals'!$H$32))*(VLOOKUP(P$3,DRIPE!$A$54:$I$82,5,FALSE)+VLOOKUP(P$3,DRIPE!$A$54:$I$82,9,FALSE))+  ('Inputs-System'!$C$26*'Coincidence Factors'!$B$8*(1+'Inputs-System'!$C$18)*(1+'Inputs-System'!$C$42))*'Inputs-Proposals'!$H$28*VLOOKUP(P$3,DRIPE!$A$54:$I$82,8,FALSE), $C38 = "0", 0), 0)</f>
        <v>0</v>
      </c>
      <c r="S38" s="45">
        <f>IFERROR(_xlfn.IFS($C38="1",('Inputs-System'!$C$30*'Coincidence Factors'!$B$8*(1+'Inputs-System'!$C$18))*'Inputs-Proposals'!$H$16*(VLOOKUP(P$3,Capacity!$A$53:$E$85,4,FALSE)*(1+'Inputs-System'!$C$42)+VLOOKUP(P$3,Capacity!$A$53:$E$85,5,FALSE)*'Inputs-System'!$C$29*(1+'Inputs-System'!$C$43)), $C38 = "2", ('Inputs-System'!$C$30*'Coincidence Factors'!$B$8*(1+'Inputs-System'!$C$18))*'Inputs-Proposals'!$H$22*(VLOOKUP(P$3,Capacity!$A$53:$E$85,4,FALSE)*(1+'Inputs-System'!$C$42)+VLOOKUP(P$3,Capacity!$A$53:$E$85,5,FALSE)*'Inputs-System'!$C$29*(1+'Inputs-System'!$C$43)), $C38 = "3",('Inputs-System'!$C$30*'Coincidence Factors'!$B$8*(1+'Inputs-System'!$C$18))*'Inputs-Proposals'!$H$28*(VLOOKUP(P$3,Capacity!$A$53:$E$85,4,FALSE)*(1+'Inputs-System'!$C$42)+VLOOKUP(P$3,Capacity!$A$53:$E$85,5,FALSE)*'Inputs-System'!$C$29*(1+'Inputs-System'!$C$43)), $C38 = "0", 0), 0)</f>
        <v>0</v>
      </c>
      <c r="T38" s="44">
        <v>0</v>
      </c>
      <c r="U38" s="44">
        <f>IFERROR(_xlfn.IFS($C38="1", 'Inputs-System'!$C$30*'Coincidence Factors'!$B$8*'Inputs-Proposals'!$H$17*'Inputs-Proposals'!$H$19*(VLOOKUP(P$3,'Non-Embedded Emissions'!$A$56:$D$90,2,FALSE)+VLOOKUP(P$3,'Non-Embedded Emissions'!$A$143:$D$174,2,FALSE)+VLOOKUP(P$3,'Non-Embedded Emissions'!$A$230:$D$259,2,FALSE)), $C38 = "2", 'Inputs-System'!$C$30*'Coincidence Factors'!$B$8*'Inputs-Proposals'!$H$23*'Inputs-Proposals'!$H$25*(VLOOKUP(P$3,'Non-Embedded Emissions'!$A$56:$D$90,2,FALSE)+VLOOKUP(P$3,'Non-Embedded Emissions'!$A$143:$D$174,2,FALSE)+VLOOKUP(P$3,'Non-Embedded Emissions'!$A$230:$D$259,2,FALSE)), $C38 = "3", 'Inputs-System'!$C$30*'Coincidence Factors'!$B$8*'Inputs-Proposals'!$H$29*'Inputs-Proposals'!$H$31*(VLOOKUP(P$3,'Non-Embedded Emissions'!$A$56:$D$90,2,FALSE)+VLOOKUP(P$3,'Non-Embedded Emissions'!$A$143:$D$174,2,FALSE)+VLOOKUP(P$3,'Non-Embedded Emissions'!$A$230:$D$259,2,FALSE)), $C38 = "0", 0), 0)</f>
        <v>0</v>
      </c>
      <c r="V38" s="347">
        <f>IFERROR(_xlfn.IFS($C38="1",('Inputs-System'!$C$30*'Coincidence Factors'!$B$8*(1+'Inputs-System'!$C$18)*(1+'Inputs-System'!$C$41)*('Inputs-Proposals'!$H$17*'Inputs-Proposals'!$H$19*('Inputs-Proposals'!$H$20))*(VLOOKUP(V$3,Energy!$A$51:$K$83,5,FALSE))), $C38 = "2",('Inputs-System'!$C$30*'Coincidence Factors'!$B$8)*(1+'Inputs-System'!$C$18)*(1+'Inputs-System'!$C$41)*('Inputs-Proposals'!$H$23*'Inputs-Proposals'!$H$25*('Inputs-Proposals'!$H$26))*(VLOOKUP(V$3,Energy!$A$51:$K$83,5,FALSE)), $C38= "3", ('Inputs-System'!$C$30*'Coincidence Factors'!$B$8*(1+'Inputs-System'!$C$18)*(1+'Inputs-System'!$C$41)*('Inputs-Proposals'!$H$29*'Inputs-Proposals'!$H$31*('Inputs-Proposals'!$H$32))*(VLOOKUP(V$3,Energy!$A$51:$K$83,5,FALSE))), $C38= "0", 0), 0)</f>
        <v>0</v>
      </c>
      <c r="W38" s="44">
        <f>IFERROR(_xlfn.IFS($C38="1",'Inputs-System'!$C$30*'Coincidence Factors'!$B$8*(1+'Inputs-System'!$C$18)*(1+'Inputs-System'!$C$41)*'Inputs-Proposals'!$H$17*'Inputs-Proposals'!$H$19*('Inputs-Proposals'!$H$20)*(VLOOKUP(V$3,'Embedded Emissions'!$A$47:$B$78,2,FALSE)+VLOOKUP(V$3,'Embedded Emissions'!$A$129:$B$158,2,FALSE)), $C38 = "2", 'Inputs-System'!$C$30*'Coincidence Factors'!$B$8*(1+'Inputs-System'!$C$18)*(1+'Inputs-System'!$C$41)*'Inputs-Proposals'!$H$23*'Inputs-Proposals'!$H$25*('Inputs-Proposals'!$H$20)*(VLOOKUP(V$3,'Embedded Emissions'!$A$47:$B$78,2,FALSE)+VLOOKUP(V$3,'Embedded Emissions'!$A$129:$B$158,2,FALSE)), $C38 = "3",'Inputs-System'!$C$30*'Coincidence Factors'!$B$8*(1+'Inputs-System'!$C$18)*(1+'Inputs-System'!$C$41)*'Inputs-Proposals'!$H$29*'Inputs-Proposals'!$H$31*('Inputs-Proposals'!$H$20)*(VLOOKUP(V$3,'Embedded Emissions'!$A$47:$B$78,2,FALSE)+VLOOKUP(V$3,'Embedded Emissions'!$A$129:$B$158,2,FALSE)), $C38 = "0", 0), 0)</f>
        <v>0</v>
      </c>
      <c r="X38" s="44">
        <f>IFERROR(_xlfn.IFS($C38="1",( 'Inputs-System'!$C$30*'Coincidence Factors'!$B$8*(1+'Inputs-System'!$C$18)*(1+'Inputs-System'!$C$41))*('Inputs-Proposals'!$H$17*'Inputs-Proposals'!$H$19*('Inputs-Proposals'!$H$20))*(VLOOKUP(V$3,DRIPE!$A$54:$I$82,5,FALSE)+VLOOKUP(V$3,DRIPE!$A$54:$I$82,9,FALSE))+ ('Inputs-System'!$C$26*'Coincidence Factors'!$B$8*(1+'Inputs-System'!$C$18)*(1+'Inputs-System'!$C$42))*'Inputs-Proposals'!$H$16*VLOOKUP(V$3,DRIPE!$A$54:$I$82,8,FALSE), $C38 = "2",( 'Inputs-System'!$C$30*'Coincidence Factors'!$B$8*(1+'Inputs-System'!$C$18)*(1+'Inputs-System'!$C$41))*('Inputs-Proposals'!$H$23*'Inputs-Proposals'!$H$25*('Inputs-Proposals'!$H$26))*(VLOOKUP(V$3,DRIPE!$A$54:$I$82,5,FALSE)+VLOOKUP(V$3,DRIPE!$A$54:$I$82,9,FALSE))+  ('Inputs-System'!$C$26*'Coincidence Factors'!$B$8*(1+'Inputs-System'!$C$18)*(1+'Inputs-System'!$C$42))*'Inputs-Proposals'!$H$22*VLOOKUP(V$3,DRIPE!$A$54:$I$82,8,FALSE), $C38= "3", ( 'Inputs-System'!$C$30*'Coincidence Factors'!$B$8*(1+'Inputs-System'!$C$18)*(1+'Inputs-System'!$C$41))*('Inputs-Proposals'!$H$29*'Inputs-Proposals'!$H$31*('Inputs-Proposals'!$H$32))*(VLOOKUP(V$3,DRIPE!$A$54:$I$82,5,FALSE)+VLOOKUP(V$3,DRIPE!$A$54:$I$82,9,FALSE))+  ('Inputs-System'!$C$26*'Coincidence Factors'!$B$8*(1+'Inputs-System'!$C$18)*(1+'Inputs-System'!$C$42))*'Inputs-Proposals'!$H$28*VLOOKUP(V$3,DRIPE!$A$54:$I$82,8,FALSE), $C38 = "0", 0), 0)</f>
        <v>0</v>
      </c>
      <c r="Y38" s="45">
        <f>IFERROR(_xlfn.IFS($C38="1",('Inputs-System'!$C$30*'Coincidence Factors'!$B$8*(1+'Inputs-System'!$C$18))*'Inputs-Proposals'!$H$16*(VLOOKUP(V$3,Capacity!$A$53:$E$85,4,FALSE)*(1+'Inputs-System'!$C$42)+VLOOKUP(V$3,Capacity!$A$53:$E$85,5,FALSE)*'Inputs-System'!$C$29*(1+'Inputs-System'!$C$43)), $C38 = "2", ('Inputs-System'!$C$30*'Coincidence Factors'!$B$8*(1+'Inputs-System'!$C$18))*'Inputs-Proposals'!$H$22*(VLOOKUP(V$3,Capacity!$A$53:$E$85,4,FALSE)*(1+'Inputs-System'!$C$42)+VLOOKUP(V$3,Capacity!$A$53:$E$85,5,FALSE)*'Inputs-System'!$C$29*(1+'Inputs-System'!$C$43)), $C38 = "3",('Inputs-System'!$C$30*'Coincidence Factors'!$B$8*(1+'Inputs-System'!$C$18))*'Inputs-Proposals'!$H$28*(VLOOKUP(V$3,Capacity!$A$53:$E$85,4,FALSE)*(1+'Inputs-System'!$C$42)+VLOOKUP(V$3,Capacity!$A$53:$E$85,5,FALSE)*'Inputs-System'!$C$29*(1+'Inputs-System'!$C$43)), $C38 = "0", 0), 0)</f>
        <v>0</v>
      </c>
      <c r="Z38" s="44">
        <v>0</v>
      </c>
      <c r="AA38" s="342">
        <f>IFERROR(_xlfn.IFS($C38="1", 'Inputs-System'!$C$30*'Coincidence Factors'!$B$8*'Inputs-Proposals'!$H$17*'Inputs-Proposals'!$H$19*(VLOOKUP(V$3,'Non-Embedded Emissions'!$A$56:$D$90,2,FALSE)+VLOOKUP(V$3,'Non-Embedded Emissions'!$A$143:$D$174,2,FALSE)+VLOOKUP(V$3,'Non-Embedded Emissions'!$A$230:$D$259,2,FALSE)), $C38 = "2", 'Inputs-System'!$C$30*'Coincidence Factors'!$B$8*'Inputs-Proposals'!$H$23*'Inputs-Proposals'!$H$25*(VLOOKUP(V$3,'Non-Embedded Emissions'!$A$56:$D$90,2,FALSE)+VLOOKUP(V$3,'Non-Embedded Emissions'!$A$143:$D$174,2,FALSE)+VLOOKUP(V$3,'Non-Embedded Emissions'!$A$230:$D$259,2,FALSE)), $C38 = "3", 'Inputs-System'!$C$30*'Coincidence Factors'!$B$8*'Inputs-Proposals'!$H$29*'Inputs-Proposals'!$H$31*(VLOOKUP(V$3,'Non-Embedded Emissions'!$A$56:$D$90,2,FALSE)+VLOOKUP(V$3,'Non-Embedded Emissions'!$A$143:$D$174,2,FALSE)+VLOOKUP(V$3,'Non-Embedded Emissions'!$A$230:$D$259,2,FALSE)), $C38 = "0", 0), 0)</f>
        <v>0</v>
      </c>
      <c r="AB38" s="347">
        <f>IFERROR(_xlfn.IFS($C38="1",('Inputs-System'!$C$30*'Coincidence Factors'!$B$8*(1+'Inputs-System'!$C$18)*(1+'Inputs-System'!$C$41)*('Inputs-Proposals'!$H$17*'Inputs-Proposals'!$H$19*('Inputs-Proposals'!$H$20))*(VLOOKUP(AB$3,Energy!$A$51:$K$83,5,FALSE))), $C38 = "2",('Inputs-System'!$C$30*'Coincidence Factors'!$B$8)*(1+'Inputs-System'!$C$18)*(1+'Inputs-System'!$C$41)*('Inputs-Proposals'!$H$23*'Inputs-Proposals'!$H$25*('Inputs-Proposals'!$H$26))*(VLOOKUP(AB$3,Energy!$A$51:$K$83,5,FALSE)), $C38= "3", ('Inputs-System'!$C$30*'Coincidence Factors'!$B$8*(1+'Inputs-System'!$C$18)*(1+'Inputs-System'!$C$41)*('Inputs-Proposals'!$H$29*'Inputs-Proposals'!$H$31*('Inputs-Proposals'!$H$32))*(VLOOKUP(AB$3,Energy!$A$51:$K$83,5,FALSE))), $C38= "0", 0), 0)</f>
        <v>0</v>
      </c>
      <c r="AC38" s="44">
        <f>IFERROR(_xlfn.IFS($C38="1",'Inputs-System'!$C$30*'Coincidence Factors'!$B$8*(1+'Inputs-System'!$C$18)*(1+'Inputs-System'!$C$41)*'Inputs-Proposals'!$H$17*'Inputs-Proposals'!$H$19*('Inputs-Proposals'!$H$20)*(VLOOKUP(AB$3,'Embedded Emissions'!$A$47:$B$78,2,FALSE)+VLOOKUP(AB$3,'Embedded Emissions'!$A$129:$B$158,2,FALSE)), $C38 = "2", 'Inputs-System'!$C$30*'Coincidence Factors'!$B$8*(1+'Inputs-System'!$C$18)*(1+'Inputs-System'!$C$41)*'Inputs-Proposals'!$H$23*'Inputs-Proposals'!$H$25*('Inputs-Proposals'!$H$20)*(VLOOKUP(AB$3,'Embedded Emissions'!$A$47:$B$78,2,FALSE)+VLOOKUP(AB$3,'Embedded Emissions'!$A$129:$B$158,2,FALSE)), $C38 = "3",'Inputs-System'!$C$30*'Coincidence Factors'!$B$8*(1+'Inputs-System'!$C$18)*(1+'Inputs-System'!$C$41)*'Inputs-Proposals'!$H$29*'Inputs-Proposals'!$H$31*('Inputs-Proposals'!$H$20)*(VLOOKUP(AB$3,'Embedded Emissions'!$A$47:$B$78,2,FALSE)+VLOOKUP(AB$3,'Embedded Emissions'!$A$129:$B$158,2,FALSE)), $C38 = "0", 0), 0)</f>
        <v>0</v>
      </c>
      <c r="AD38" s="44">
        <f>IFERROR(_xlfn.IFS($C38="1",( 'Inputs-System'!$C$30*'Coincidence Factors'!$B$8*(1+'Inputs-System'!$C$18)*(1+'Inputs-System'!$C$41))*('Inputs-Proposals'!$H$17*'Inputs-Proposals'!$H$19*('Inputs-Proposals'!$H$20))*(VLOOKUP(AB$3,DRIPE!$A$54:$I$82,5,FALSE)+VLOOKUP(AB$3,DRIPE!$A$54:$I$82,9,FALSE))+ ('Inputs-System'!$C$26*'Coincidence Factors'!$B$8*(1+'Inputs-System'!$C$18)*(1+'Inputs-System'!$C$42))*'Inputs-Proposals'!$H$16*VLOOKUP(AB$3,DRIPE!$A$54:$I$82,8,FALSE), $C38 = "2",( 'Inputs-System'!$C$30*'Coincidence Factors'!$B$8*(1+'Inputs-System'!$C$18)*(1+'Inputs-System'!$C$41))*('Inputs-Proposals'!$H$23*'Inputs-Proposals'!$H$25*('Inputs-Proposals'!$H$26))*(VLOOKUP(AB$3,DRIPE!$A$54:$I$82,5,FALSE)+VLOOKUP(AB$3,DRIPE!$A$54:$I$82,9,FALSE))+  ('Inputs-System'!$C$26*'Coincidence Factors'!$B$8*(1+'Inputs-System'!$C$18)*(1+'Inputs-System'!$C$42))*'Inputs-Proposals'!$H$22*VLOOKUP(AB$3,DRIPE!$A$54:$I$82,8,FALSE), $C38= "3", ( 'Inputs-System'!$C$30*'Coincidence Factors'!$B$8*(1+'Inputs-System'!$C$18)*(1+'Inputs-System'!$C$41))*('Inputs-Proposals'!$H$29*'Inputs-Proposals'!$H$31*('Inputs-Proposals'!$H$32))*(VLOOKUP(AB$3,DRIPE!$A$54:$I$82,5,FALSE)+VLOOKUP(AB$3,DRIPE!$A$54:$I$82,9,FALSE))+  ('Inputs-System'!$C$26*'Coincidence Factors'!$B$8*(1+'Inputs-System'!$C$18)*(1+'Inputs-System'!$C$42))*'Inputs-Proposals'!$H$28*VLOOKUP(AB$3,DRIPE!$A$54:$I$82,8,FALSE), $C38 = "0", 0), 0)</f>
        <v>0</v>
      </c>
      <c r="AE38" s="45">
        <f>IFERROR(_xlfn.IFS($C38="1",('Inputs-System'!$C$30*'Coincidence Factors'!$B$8*(1+'Inputs-System'!$C$18))*'Inputs-Proposals'!$H$16*(VLOOKUP(AB$3,Capacity!$A$53:$E$85,4,FALSE)*(1+'Inputs-System'!$C$42)+VLOOKUP(AB$3,Capacity!$A$53:$E$85,5,FALSE)*'Inputs-System'!$C$29*(1+'Inputs-System'!$C$43)), $C38 = "2", ('Inputs-System'!$C$30*'Coincidence Factors'!$B$8*(1+'Inputs-System'!$C$18))*'Inputs-Proposals'!$H$22*(VLOOKUP(AB$3,Capacity!$A$53:$E$85,4,FALSE)*(1+'Inputs-System'!$C$42)+VLOOKUP(AB$3,Capacity!$A$53:$E$85,5,FALSE)*'Inputs-System'!$C$29*(1+'Inputs-System'!$C$43)), $C38 = "3",('Inputs-System'!$C$30*'Coincidence Factors'!$B$8*(1+'Inputs-System'!$C$18))*'Inputs-Proposals'!$H$28*(VLOOKUP(AB$3,Capacity!$A$53:$E$85,4,FALSE)*(1+'Inputs-System'!$C$42)+VLOOKUP(AB$3,Capacity!$A$53:$E$85,5,FALSE)*'Inputs-System'!$C$29*(1+'Inputs-System'!$C$43)), $C38 = "0", 0), 0)</f>
        <v>0</v>
      </c>
      <c r="AF38" s="44">
        <v>0</v>
      </c>
      <c r="AG38" s="342">
        <f>IFERROR(_xlfn.IFS($C38="1", 'Inputs-System'!$C$30*'Coincidence Factors'!$B$8*'Inputs-Proposals'!$H$17*'Inputs-Proposals'!$H$19*(VLOOKUP(AB$3,'Non-Embedded Emissions'!$A$56:$D$90,2,FALSE)+VLOOKUP(AB$3,'Non-Embedded Emissions'!$A$143:$D$174,2,FALSE)+VLOOKUP(AB$3,'Non-Embedded Emissions'!$A$230:$D$259,2,FALSE)), $C38 = "2", 'Inputs-System'!$C$30*'Coincidence Factors'!$B$8*'Inputs-Proposals'!$H$23*'Inputs-Proposals'!$H$25*(VLOOKUP(AB$3,'Non-Embedded Emissions'!$A$56:$D$90,2,FALSE)+VLOOKUP(AB$3,'Non-Embedded Emissions'!$A$143:$D$174,2,FALSE)+VLOOKUP(AB$3,'Non-Embedded Emissions'!$A$230:$D$259,2,FALSE)), $C38 = "3", 'Inputs-System'!$C$30*'Coincidence Factors'!$B$8*'Inputs-Proposals'!$H$29*'Inputs-Proposals'!$H$31*(VLOOKUP(AB$3,'Non-Embedded Emissions'!$A$56:$D$90,2,FALSE)+VLOOKUP(AB$3,'Non-Embedded Emissions'!$A$143:$D$174,2,FALSE)+VLOOKUP(AB$3,'Non-Embedded Emissions'!$A$230:$D$259,2,FALSE)), $C38 = "0", 0), 0)</f>
        <v>0</v>
      </c>
      <c r="AH38" s="347">
        <f>IFERROR(_xlfn.IFS($C38="1",('Inputs-System'!$C$30*'Coincidence Factors'!$B$8*(1+'Inputs-System'!$C$18)*(1+'Inputs-System'!$C$41)*('Inputs-Proposals'!$H$17*'Inputs-Proposals'!$H$19*('Inputs-Proposals'!$H$20))*(VLOOKUP(AH$3,Energy!$A$51:$K$83,5,FALSE))), $C38 = "2",('Inputs-System'!$C$30*'Coincidence Factors'!$B$8)*(1+'Inputs-System'!$C$18)*(1+'Inputs-System'!$C$41)*('Inputs-Proposals'!$H$23*'Inputs-Proposals'!$H$25*('Inputs-Proposals'!$H$26))*(VLOOKUP(AH$3,Energy!$A$51:$K$83,5,FALSE)), $C38= "3", ('Inputs-System'!$C$30*'Coincidence Factors'!$B$8*(1+'Inputs-System'!$C$18)*(1+'Inputs-System'!$C$41)*('Inputs-Proposals'!$H$29*'Inputs-Proposals'!$H$31*('Inputs-Proposals'!$H$32))*(VLOOKUP(AH$3,Energy!$A$51:$K$83,5,FALSE))), $C38= "0", 0), 0)</f>
        <v>0</v>
      </c>
      <c r="AI38" s="44">
        <f>IFERROR(_xlfn.IFS($C38="1",'Inputs-System'!$C$30*'Coincidence Factors'!$B$8*(1+'Inputs-System'!$C$18)*(1+'Inputs-System'!$C$41)*'Inputs-Proposals'!$H$17*'Inputs-Proposals'!$H$19*('Inputs-Proposals'!$H$20)*(VLOOKUP(AH$3,'Embedded Emissions'!$A$47:$B$78,2,FALSE)+VLOOKUP(AH$3,'Embedded Emissions'!$A$129:$B$158,2,FALSE)), $C38 = "2", 'Inputs-System'!$C$30*'Coincidence Factors'!$B$8*(1+'Inputs-System'!$C$18)*(1+'Inputs-System'!$C$41)*'Inputs-Proposals'!$H$23*'Inputs-Proposals'!$H$25*('Inputs-Proposals'!$H$20)*(VLOOKUP(AH$3,'Embedded Emissions'!$A$47:$B$78,2,FALSE)+VLOOKUP(AH$3,'Embedded Emissions'!$A$129:$B$158,2,FALSE)), $C38 = "3",'Inputs-System'!$C$30*'Coincidence Factors'!$B$8*(1+'Inputs-System'!$C$18)*(1+'Inputs-System'!$C$41)*'Inputs-Proposals'!$H$29*'Inputs-Proposals'!$H$31*('Inputs-Proposals'!$H$20)*(VLOOKUP(AH$3,'Embedded Emissions'!$A$47:$B$78,2,FALSE)+VLOOKUP(AH$3,'Embedded Emissions'!$A$129:$B$158,2,FALSE)), $C38 = "0", 0), 0)</f>
        <v>0</v>
      </c>
      <c r="AJ38" s="44">
        <f>IFERROR(_xlfn.IFS($C38="1",( 'Inputs-System'!$C$30*'Coincidence Factors'!$B$8*(1+'Inputs-System'!$C$18)*(1+'Inputs-System'!$C$41))*('Inputs-Proposals'!$H$17*'Inputs-Proposals'!$H$19*('Inputs-Proposals'!$H$20))*(VLOOKUP(AH$3,DRIPE!$A$54:$I$82,5,FALSE)+VLOOKUP(AH$3,DRIPE!$A$54:$I$82,9,FALSE))+ ('Inputs-System'!$C$26*'Coincidence Factors'!$B$8*(1+'Inputs-System'!$C$18)*(1+'Inputs-System'!$C$42))*'Inputs-Proposals'!$H$16*VLOOKUP(AH$3,DRIPE!$A$54:$I$82,8,FALSE), $C38 = "2",( 'Inputs-System'!$C$30*'Coincidence Factors'!$B$8*(1+'Inputs-System'!$C$18)*(1+'Inputs-System'!$C$41))*('Inputs-Proposals'!$H$23*'Inputs-Proposals'!$H$25*('Inputs-Proposals'!$H$26))*(VLOOKUP(AH$3,DRIPE!$A$54:$I$82,5,FALSE)+VLOOKUP(AH$3,DRIPE!$A$54:$I$82,9,FALSE))+  ('Inputs-System'!$C$26*'Coincidence Factors'!$B$8*(1+'Inputs-System'!$C$18)*(1+'Inputs-System'!$C$42))*'Inputs-Proposals'!$H$22*VLOOKUP(AH$3,DRIPE!$A$54:$I$82,8,FALSE), $C38= "3", ( 'Inputs-System'!$C$30*'Coincidence Factors'!$B$8*(1+'Inputs-System'!$C$18)*(1+'Inputs-System'!$C$41))*('Inputs-Proposals'!$H$29*'Inputs-Proposals'!$H$31*('Inputs-Proposals'!$H$32))*(VLOOKUP(AH$3,DRIPE!$A$54:$I$82,5,FALSE)+VLOOKUP(AH$3,DRIPE!$A$54:$I$82,9,FALSE))+  ('Inputs-System'!$C$26*'Coincidence Factors'!$B$8*(1+'Inputs-System'!$C$18)*(1+'Inputs-System'!$C$42))*'Inputs-Proposals'!$H$28*VLOOKUP(AH$3,DRIPE!$A$54:$I$82,8,FALSE), $C38 = "0", 0), 0)</f>
        <v>0</v>
      </c>
      <c r="AK38" s="45">
        <f>IFERROR(_xlfn.IFS($C38="1",('Inputs-System'!$C$30*'Coincidence Factors'!$B$8*(1+'Inputs-System'!$C$18))*'Inputs-Proposals'!$H$16*(VLOOKUP(AH$3,Capacity!$A$53:$E$85,4,FALSE)*(1+'Inputs-System'!$C$42)+VLOOKUP(AH$3,Capacity!$A$53:$E$85,5,FALSE)*'Inputs-System'!$C$29*(1+'Inputs-System'!$C$43)), $C38 = "2", ('Inputs-System'!$C$30*'Coincidence Factors'!$B$8*(1+'Inputs-System'!$C$18))*'Inputs-Proposals'!$H$22*(VLOOKUP(AH$3,Capacity!$A$53:$E$85,4,FALSE)*(1+'Inputs-System'!$C$42)+VLOOKUP(AH$3,Capacity!$A$53:$E$85,5,FALSE)*'Inputs-System'!$C$29*(1+'Inputs-System'!$C$43)), $C38 = "3",('Inputs-System'!$C$30*'Coincidence Factors'!$B$8*(1+'Inputs-System'!$C$18))*'Inputs-Proposals'!$H$28*(VLOOKUP(AH$3,Capacity!$A$53:$E$85,4,FALSE)*(1+'Inputs-System'!$C$42)+VLOOKUP(AH$3,Capacity!$A$53:$E$85,5,FALSE)*'Inputs-System'!$C$29*(1+'Inputs-System'!$C$43)), $C38 = "0", 0), 0)</f>
        <v>0</v>
      </c>
      <c r="AL38" s="44">
        <v>0</v>
      </c>
      <c r="AM38" s="342">
        <f>IFERROR(_xlfn.IFS($C38="1", 'Inputs-System'!$C$30*'Coincidence Factors'!$B$8*'Inputs-Proposals'!$H$17*'Inputs-Proposals'!$H$19*(VLOOKUP(AH$3,'Non-Embedded Emissions'!$A$56:$D$90,2,FALSE)+VLOOKUP(AH$3,'Non-Embedded Emissions'!$A$143:$D$174,2,FALSE)+VLOOKUP(AH$3,'Non-Embedded Emissions'!$A$230:$D$259,2,FALSE)), $C38 = "2", 'Inputs-System'!$C$30*'Coincidence Factors'!$B$8*'Inputs-Proposals'!$H$23*'Inputs-Proposals'!$H$25*(VLOOKUP(AH$3,'Non-Embedded Emissions'!$A$56:$D$90,2,FALSE)+VLOOKUP(AH$3,'Non-Embedded Emissions'!$A$143:$D$174,2,FALSE)+VLOOKUP(AH$3,'Non-Embedded Emissions'!$A$230:$D$259,2,FALSE)), $C38 = "3", 'Inputs-System'!$C$30*'Coincidence Factors'!$B$8*'Inputs-Proposals'!$H$29*'Inputs-Proposals'!$H$31*(VLOOKUP(AH$3,'Non-Embedded Emissions'!$A$56:$D$90,2,FALSE)+VLOOKUP(AH$3,'Non-Embedded Emissions'!$A$143:$D$174,2,FALSE)+VLOOKUP(AH$3,'Non-Embedded Emissions'!$A$230:$D$259,2,FALSE)), $C38 = "0", 0), 0)</f>
        <v>0</v>
      </c>
      <c r="AN38" s="347">
        <f>IFERROR(_xlfn.IFS($C38="1",('Inputs-System'!$C$30*'Coincidence Factors'!$B$8*(1+'Inputs-System'!$C$18)*(1+'Inputs-System'!$C$41)*('Inputs-Proposals'!$H$17*'Inputs-Proposals'!$H$19*('Inputs-Proposals'!$H$20))*(VLOOKUP(AN$3,Energy!$A$51:$K$83,5,FALSE))), $C38 = "2",('Inputs-System'!$C$30*'Coincidence Factors'!$B$8)*(1+'Inputs-System'!$C$18)*(1+'Inputs-System'!$C$41)*('Inputs-Proposals'!$H$23*'Inputs-Proposals'!$H$25*('Inputs-Proposals'!$H$26))*(VLOOKUP(AN$3,Energy!$A$51:$K$83,5,FALSE)), $C38= "3", ('Inputs-System'!$C$30*'Coincidence Factors'!$B$8*(1+'Inputs-System'!$C$18)*(1+'Inputs-System'!$C$41)*('Inputs-Proposals'!$H$29*'Inputs-Proposals'!$H$31*('Inputs-Proposals'!$H$32))*(VLOOKUP(AN$3,Energy!$A$51:$K$83,5,FALSE))), $C38= "0", 0), 0)</f>
        <v>0</v>
      </c>
      <c r="AO38" s="44">
        <f>IFERROR(_xlfn.IFS($C38="1",'Inputs-System'!$C$30*'Coincidence Factors'!$B$8*(1+'Inputs-System'!$C$18)*(1+'Inputs-System'!$C$41)*'Inputs-Proposals'!$H$17*'Inputs-Proposals'!$H$19*('Inputs-Proposals'!$H$20)*(VLOOKUP(AN$3,'Embedded Emissions'!$A$47:$B$78,2,FALSE)+VLOOKUP(AN$3,'Embedded Emissions'!$A$129:$B$158,2,FALSE)), $C38 = "2", 'Inputs-System'!$C$30*'Coincidence Factors'!$B$8*(1+'Inputs-System'!$C$18)*(1+'Inputs-System'!$C$41)*'Inputs-Proposals'!$H$23*'Inputs-Proposals'!$H$25*('Inputs-Proposals'!$H$20)*(VLOOKUP(AN$3,'Embedded Emissions'!$A$47:$B$78,2,FALSE)+VLOOKUP(AN$3,'Embedded Emissions'!$A$129:$B$158,2,FALSE)), $C38 = "3",'Inputs-System'!$C$30*'Coincidence Factors'!$B$8*(1+'Inputs-System'!$C$18)*(1+'Inputs-System'!$C$41)*'Inputs-Proposals'!$H$29*'Inputs-Proposals'!$H$31*('Inputs-Proposals'!$H$20)*(VLOOKUP(AN$3,'Embedded Emissions'!$A$47:$B$78,2,FALSE)+VLOOKUP(AN$3,'Embedded Emissions'!$A$129:$B$158,2,FALSE)), $C38 = "0", 0), 0)</f>
        <v>0</v>
      </c>
      <c r="AP38" s="44">
        <f>IFERROR(_xlfn.IFS($C38="1",( 'Inputs-System'!$C$30*'Coincidence Factors'!$B$8*(1+'Inputs-System'!$C$18)*(1+'Inputs-System'!$C$41))*('Inputs-Proposals'!$H$17*'Inputs-Proposals'!$H$19*('Inputs-Proposals'!$H$20))*(VLOOKUP(AN$3,DRIPE!$A$54:$I$82,5,FALSE)+VLOOKUP(AN$3,DRIPE!$A$54:$I$82,9,FALSE))+ ('Inputs-System'!$C$26*'Coincidence Factors'!$B$8*(1+'Inputs-System'!$C$18)*(1+'Inputs-System'!$C$42))*'Inputs-Proposals'!$H$16*VLOOKUP(AN$3,DRIPE!$A$54:$I$82,8,FALSE), $C38 = "2",( 'Inputs-System'!$C$30*'Coincidence Factors'!$B$8*(1+'Inputs-System'!$C$18)*(1+'Inputs-System'!$C$41))*('Inputs-Proposals'!$H$23*'Inputs-Proposals'!$H$25*('Inputs-Proposals'!$H$26))*(VLOOKUP(AN$3,DRIPE!$A$54:$I$82,5,FALSE)+VLOOKUP(AN$3,DRIPE!$A$54:$I$82,9,FALSE))+  ('Inputs-System'!$C$26*'Coincidence Factors'!$B$8*(1+'Inputs-System'!$C$18)*(1+'Inputs-System'!$C$42))*'Inputs-Proposals'!$H$22*VLOOKUP(AN$3,DRIPE!$A$54:$I$82,8,FALSE), $C38= "3", ( 'Inputs-System'!$C$30*'Coincidence Factors'!$B$8*(1+'Inputs-System'!$C$18)*(1+'Inputs-System'!$C$41))*('Inputs-Proposals'!$H$29*'Inputs-Proposals'!$H$31*('Inputs-Proposals'!$H$32))*(VLOOKUP(AN$3,DRIPE!$A$54:$I$82,5,FALSE)+VLOOKUP(AN$3,DRIPE!$A$54:$I$82,9,FALSE))+  ('Inputs-System'!$C$26*'Coincidence Factors'!$B$8*(1+'Inputs-System'!$C$18)*(1+'Inputs-System'!$C$42))*'Inputs-Proposals'!$H$28*VLOOKUP(AN$3,DRIPE!$A$54:$I$82,8,FALSE), $C38 = "0", 0), 0)</f>
        <v>0</v>
      </c>
      <c r="AQ38" s="45">
        <f>IFERROR(_xlfn.IFS($C38="1",('Inputs-System'!$C$30*'Coincidence Factors'!$B$8*(1+'Inputs-System'!$C$18))*'Inputs-Proposals'!$H$16*(VLOOKUP(AN$3,Capacity!$A$53:$E$85,4,FALSE)*(1+'Inputs-System'!$C$42)+VLOOKUP(AN$3,Capacity!$A$53:$E$85,5,FALSE)*'Inputs-System'!$C$29*(1+'Inputs-System'!$C$43)), $C38 = "2", ('Inputs-System'!$C$30*'Coincidence Factors'!$B$8*(1+'Inputs-System'!$C$18))*'Inputs-Proposals'!$H$22*(VLOOKUP(AN$3,Capacity!$A$53:$E$85,4,FALSE)*(1+'Inputs-System'!$C$42)+VLOOKUP(AN$3,Capacity!$A$53:$E$85,5,FALSE)*'Inputs-System'!$C$29*(1+'Inputs-System'!$C$43)), $C38 = "3",('Inputs-System'!$C$30*'Coincidence Factors'!$B$8*(1+'Inputs-System'!$C$18))*'Inputs-Proposals'!$H$28*(VLOOKUP(AN$3,Capacity!$A$53:$E$85,4,FALSE)*(1+'Inputs-System'!$C$42)+VLOOKUP(AN$3,Capacity!$A$53:$E$85,5,FALSE)*'Inputs-System'!$C$29*(1+'Inputs-System'!$C$43)), $C38 = "0", 0), 0)</f>
        <v>0</v>
      </c>
      <c r="AR38" s="44">
        <v>0</v>
      </c>
      <c r="AS38" s="342">
        <f>IFERROR(_xlfn.IFS($C38="1", 'Inputs-System'!$C$30*'Coincidence Factors'!$B$8*'Inputs-Proposals'!$H$17*'Inputs-Proposals'!$H$19*(VLOOKUP(AN$3,'Non-Embedded Emissions'!$A$56:$D$90,2,FALSE)+VLOOKUP(AN$3,'Non-Embedded Emissions'!$A$143:$D$174,2,FALSE)+VLOOKUP(AN$3,'Non-Embedded Emissions'!$A$230:$D$259,2,FALSE)), $C38 = "2", 'Inputs-System'!$C$30*'Coincidence Factors'!$B$8*'Inputs-Proposals'!$H$23*'Inputs-Proposals'!$H$25*(VLOOKUP(AN$3,'Non-Embedded Emissions'!$A$56:$D$90,2,FALSE)+VLOOKUP(AN$3,'Non-Embedded Emissions'!$A$143:$D$174,2,FALSE)+VLOOKUP(AN$3,'Non-Embedded Emissions'!$A$230:$D$259,2,FALSE)), $C38 = "3", 'Inputs-System'!$C$30*'Coincidence Factors'!$B$8*'Inputs-Proposals'!$H$29*'Inputs-Proposals'!$H$31*(VLOOKUP(AN$3,'Non-Embedded Emissions'!$A$56:$D$90,2,FALSE)+VLOOKUP(AN$3,'Non-Embedded Emissions'!$A$143:$D$174,2,FALSE)+VLOOKUP(AN$3,'Non-Embedded Emissions'!$A$230:$D$259,2,FALSE)), $C38 = "0", 0), 0)</f>
        <v>0</v>
      </c>
      <c r="AT38" s="347">
        <f>IFERROR(_xlfn.IFS($C38="1",('Inputs-System'!$C$30*'Coincidence Factors'!$B$8*(1+'Inputs-System'!$C$18)*(1+'Inputs-System'!$C$41)*('Inputs-Proposals'!$H$17*'Inputs-Proposals'!$H$19*('Inputs-Proposals'!$H$20))*(VLOOKUP(AT$3,Energy!$A$51:$K$83,5,FALSE))), $C38 = "2",('Inputs-System'!$C$30*'Coincidence Factors'!$B$8)*(1+'Inputs-System'!$C$18)*(1+'Inputs-System'!$C$41)*('Inputs-Proposals'!$H$23*'Inputs-Proposals'!$H$25*('Inputs-Proposals'!$H$26))*(VLOOKUP(AT$3,Energy!$A$51:$K$83,5,FALSE)), $C38= "3", ('Inputs-System'!$C$30*'Coincidence Factors'!$B$8*(1+'Inputs-System'!$C$18)*(1+'Inputs-System'!$C$41)*('Inputs-Proposals'!$H$29*'Inputs-Proposals'!$H$31*('Inputs-Proposals'!$H$32))*(VLOOKUP(AT$3,Energy!$A$51:$K$83,5,FALSE))), $C38= "0", 0), 0)</f>
        <v>0</v>
      </c>
      <c r="AU38" s="44">
        <f>IFERROR(_xlfn.IFS($C38="1",'Inputs-System'!$C$30*'Coincidence Factors'!$B$8*(1+'Inputs-System'!$C$18)*(1+'Inputs-System'!$C$41)*'Inputs-Proposals'!$H$17*'Inputs-Proposals'!$H$19*('Inputs-Proposals'!$H$20)*(VLOOKUP(AT$3,'Embedded Emissions'!$A$47:$B$78,2,FALSE)+VLOOKUP(AT$3,'Embedded Emissions'!$A$129:$B$158,2,FALSE)), $C38 = "2", 'Inputs-System'!$C$30*'Coincidence Factors'!$B$8*(1+'Inputs-System'!$C$18)*(1+'Inputs-System'!$C$41)*'Inputs-Proposals'!$H$23*'Inputs-Proposals'!$H$25*('Inputs-Proposals'!$H$20)*(VLOOKUP(AT$3,'Embedded Emissions'!$A$47:$B$78,2,FALSE)+VLOOKUP(AT$3,'Embedded Emissions'!$A$129:$B$158,2,FALSE)), $C38 = "3",'Inputs-System'!$C$30*'Coincidence Factors'!$B$8*(1+'Inputs-System'!$C$18)*(1+'Inputs-System'!$C$41)*'Inputs-Proposals'!$H$29*'Inputs-Proposals'!$H$31*('Inputs-Proposals'!$H$20)*(VLOOKUP(AT$3,'Embedded Emissions'!$A$47:$B$78,2,FALSE)+VLOOKUP(AT$3,'Embedded Emissions'!$A$129:$B$158,2,FALSE)), $C38 = "0", 0), 0)</f>
        <v>0</v>
      </c>
      <c r="AV38" s="44">
        <f>IFERROR(_xlfn.IFS($C38="1",( 'Inputs-System'!$C$30*'Coincidence Factors'!$B$8*(1+'Inputs-System'!$C$18)*(1+'Inputs-System'!$C$41))*('Inputs-Proposals'!$H$17*'Inputs-Proposals'!$H$19*('Inputs-Proposals'!$H$20))*(VLOOKUP(AT$3,DRIPE!$A$54:$I$82,5,FALSE)+VLOOKUP(AT$3,DRIPE!$A$54:$I$82,9,FALSE))+ ('Inputs-System'!$C$26*'Coincidence Factors'!$B$8*(1+'Inputs-System'!$C$18)*(1+'Inputs-System'!$C$42))*'Inputs-Proposals'!$H$16*VLOOKUP(AT$3,DRIPE!$A$54:$I$82,8,FALSE), $C38 = "2",( 'Inputs-System'!$C$30*'Coincidence Factors'!$B$8*(1+'Inputs-System'!$C$18)*(1+'Inputs-System'!$C$41))*('Inputs-Proposals'!$H$23*'Inputs-Proposals'!$H$25*('Inputs-Proposals'!$H$26))*(VLOOKUP(AT$3,DRIPE!$A$54:$I$82,5,FALSE)+VLOOKUP(AT$3,DRIPE!$A$54:$I$82,9,FALSE))+  ('Inputs-System'!$C$26*'Coincidence Factors'!$B$8*(1+'Inputs-System'!$C$18)*(1+'Inputs-System'!$C$42))*'Inputs-Proposals'!$H$22*VLOOKUP(AT$3,DRIPE!$A$54:$I$82,8,FALSE), $C38= "3", ( 'Inputs-System'!$C$30*'Coincidence Factors'!$B$8*(1+'Inputs-System'!$C$18)*(1+'Inputs-System'!$C$41))*('Inputs-Proposals'!$H$29*'Inputs-Proposals'!$H$31*('Inputs-Proposals'!$H$32))*(VLOOKUP(AT$3,DRIPE!$A$54:$I$82,5,FALSE)+VLOOKUP(AT$3,DRIPE!$A$54:$I$82,9,FALSE))+  ('Inputs-System'!$C$26*'Coincidence Factors'!$B$8*(1+'Inputs-System'!$C$18)*(1+'Inputs-System'!$C$42))*'Inputs-Proposals'!$H$28*VLOOKUP(AT$3,DRIPE!$A$54:$I$82,8,FALSE), $C38 = "0", 0), 0)</f>
        <v>0</v>
      </c>
      <c r="AW38" s="45">
        <f>IFERROR(_xlfn.IFS($C38="1",('Inputs-System'!$C$30*'Coincidence Factors'!$B$8*(1+'Inputs-System'!$C$18))*'Inputs-Proposals'!$H$16*(VLOOKUP(AT$3,Capacity!$A$53:$E$85,4,FALSE)*(1+'Inputs-System'!$C$42)+VLOOKUP(AT$3,Capacity!$A$53:$E$85,5,FALSE)*'Inputs-System'!$C$29*(1+'Inputs-System'!$C$43)), $C38 = "2", ('Inputs-System'!$C$30*'Coincidence Factors'!$B$8*(1+'Inputs-System'!$C$18))*'Inputs-Proposals'!$H$22*(VLOOKUP(AT$3,Capacity!$A$53:$E$85,4,FALSE)*(1+'Inputs-System'!$C$42)+VLOOKUP(AT$3,Capacity!$A$53:$E$85,5,FALSE)*'Inputs-System'!$C$29*(1+'Inputs-System'!$C$43)), $C38 = "3",('Inputs-System'!$C$30*'Coincidence Factors'!$B$8*(1+'Inputs-System'!$C$18))*'Inputs-Proposals'!$H$28*(VLOOKUP(AT$3,Capacity!$A$53:$E$85,4,FALSE)*(1+'Inputs-System'!$C$42)+VLOOKUP(AT$3,Capacity!$A$53:$E$85,5,FALSE)*'Inputs-System'!$C$29*(1+'Inputs-System'!$C$43)), $C38 = "0", 0), 0)</f>
        <v>0</v>
      </c>
      <c r="AX38" s="44">
        <v>0</v>
      </c>
      <c r="AY38" s="342">
        <f>IFERROR(_xlfn.IFS($C38="1", 'Inputs-System'!$C$30*'Coincidence Factors'!$B$8*'Inputs-Proposals'!$H$17*'Inputs-Proposals'!$H$19*(VLOOKUP(AT$3,'Non-Embedded Emissions'!$A$56:$D$90,2,FALSE)+VLOOKUP(AT$3,'Non-Embedded Emissions'!$A$143:$D$174,2,FALSE)+VLOOKUP(AT$3,'Non-Embedded Emissions'!$A$230:$D$259,2,FALSE)), $C38 = "2", 'Inputs-System'!$C$30*'Coincidence Factors'!$B$8*'Inputs-Proposals'!$H$23*'Inputs-Proposals'!$H$25*(VLOOKUP(AT$3,'Non-Embedded Emissions'!$A$56:$D$90,2,FALSE)+VLOOKUP(AT$3,'Non-Embedded Emissions'!$A$143:$D$174,2,FALSE)+VLOOKUP(AT$3,'Non-Embedded Emissions'!$A$230:$D$259,2,FALSE)), $C38 = "3", 'Inputs-System'!$C$30*'Coincidence Factors'!$B$8*'Inputs-Proposals'!$H$29*'Inputs-Proposals'!$H$31*(VLOOKUP(AT$3,'Non-Embedded Emissions'!$A$56:$D$90,2,FALSE)+VLOOKUP(AT$3,'Non-Embedded Emissions'!$A$143:$D$174,2,FALSE)+VLOOKUP(AT$3,'Non-Embedded Emissions'!$A$230:$D$259,2,FALSE)), $C38 = "0", 0), 0)</f>
        <v>0</v>
      </c>
      <c r="AZ38" s="347">
        <f>IFERROR(_xlfn.IFS($C38="1",('Inputs-System'!$C$30*'Coincidence Factors'!$B$8*(1+'Inputs-System'!$C$18)*(1+'Inputs-System'!$C$41)*('Inputs-Proposals'!$H$17*'Inputs-Proposals'!$H$19*('Inputs-Proposals'!$H$20))*(VLOOKUP(AZ$3,Energy!$A$51:$K$83,5,FALSE))), $C38 = "2",('Inputs-System'!$C$30*'Coincidence Factors'!$B$8)*(1+'Inputs-System'!$C$18)*(1+'Inputs-System'!$C$41)*('Inputs-Proposals'!$H$23*'Inputs-Proposals'!$H$25*('Inputs-Proposals'!$H$26))*(VLOOKUP(AZ$3,Energy!$A$51:$K$83,5,FALSE)), $C38= "3", ('Inputs-System'!$C$30*'Coincidence Factors'!$B$8*(1+'Inputs-System'!$C$18)*(1+'Inputs-System'!$C$41)*('Inputs-Proposals'!$H$29*'Inputs-Proposals'!$H$31*('Inputs-Proposals'!$H$32))*(VLOOKUP(AZ$3,Energy!$A$51:$K$83,5,FALSE))), $C38= "0", 0), 0)</f>
        <v>0</v>
      </c>
      <c r="BA38" s="44">
        <f>IFERROR(_xlfn.IFS($C38="1",'Inputs-System'!$C$30*'Coincidence Factors'!$B$8*(1+'Inputs-System'!$C$18)*(1+'Inputs-System'!$C$41)*'Inputs-Proposals'!$H$17*'Inputs-Proposals'!$H$19*('Inputs-Proposals'!$H$20)*(VLOOKUP(AZ$3,'Embedded Emissions'!$A$47:$B$78,2,FALSE)+VLOOKUP(AZ$3,'Embedded Emissions'!$A$129:$B$158,2,FALSE)), $C38 = "2", 'Inputs-System'!$C$30*'Coincidence Factors'!$B$8*(1+'Inputs-System'!$C$18)*(1+'Inputs-System'!$C$41)*'Inputs-Proposals'!$H$23*'Inputs-Proposals'!$H$25*('Inputs-Proposals'!$H$20)*(VLOOKUP(AZ$3,'Embedded Emissions'!$A$47:$B$78,2,FALSE)+VLOOKUP(AZ$3,'Embedded Emissions'!$A$129:$B$158,2,FALSE)), $C38 = "3",'Inputs-System'!$C$30*'Coincidence Factors'!$B$8*(1+'Inputs-System'!$C$18)*(1+'Inputs-System'!$C$41)*'Inputs-Proposals'!$H$29*'Inputs-Proposals'!$H$31*('Inputs-Proposals'!$H$20)*(VLOOKUP(AZ$3,'Embedded Emissions'!$A$47:$B$78,2,FALSE)+VLOOKUP(AZ$3,'Embedded Emissions'!$A$129:$B$158,2,FALSE)), $C38 = "0", 0), 0)</f>
        <v>0</v>
      </c>
      <c r="BB38" s="44">
        <f>IFERROR(_xlfn.IFS($C38="1",( 'Inputs-System'!$C$30*'Coincidence Factors'!$B$8*(1+'Inputs-System'!$C$18)*(1+'Inputs-System'!$C$41))*('Inputs-Proposals'!$H$17*'Inputs-Proposals'!$H$19*('Inputs-Proposals'!$H$20))*(VLOOKUP(AZ$3,DRIPE!$A$54:$I$82,5,FALSE)+VLOOKUP(AZ$3,DRIPE!$A$54:$I$82,9,FALSE))+ ('Inputs-System'!$C$26*'Coincidence Factors'!$B$8*(1+'Inputs-System'!$C$18)*(1+'Inputs-System'!$C$42))*'Inputs-Proposals'!$H$16*VLOOKUP(AZ$3,DRIPE!$A$54:$I$82,8,FALSE), $C38 = "2",( 'Inputs-System'!$C$30*'Coincidence Factors'!$B$8*(1+'Inputs-System'!$C$18)*(1+'Inputs-System'!$C$41))*('Inputs-Proposals'!$H$23*'Inputs-Proposals'!$H$25*('Inputs-Proposals'!$H$26))*(VLOOKUP(AZ$3,DRIPE!$A$54:$I$82,5,FALSE)+VLOOKUP(AZ$3,DRIPE!$A$54:$I$82,9,FALSE))+  ('Inputs-System'!$C$26*'Coincidence Factors'!$B$8*(1+'Inputs-System'!$C$18)*(1+'Inputs-System'!$C$42))*'Inputs-Proposals'!$H$22*VLOOKUP(AZ$3,DRIPE!$A$54:$I$82,8,FALSE), $C38= "3", ( 'Inputs-System'!$C$30*'Coincidence Factors'!$B$8*(1+'Inputs-System'!$C$18)*(1+'Inputs-System'!$C$41))*('Inputs-Proposals'!$H$29*'Inputs-Proposals'!$H$31*('Inputs-Proposals'!$H$32))*(VLOOKUP(AZ$3,DRIPE!$A$54:$I$82,5,FALSE)+VLOOKUP(AZ$3,DRIPE!$A$54:$I$82,9,FALSE))+  ('Inputs-System'!$C$26*'Coincidence Factors'!$B$8*(1+'Inputs-System'!$C$18)*(1+'Inputs-System'!$C$42))*'Inputs-Proposals'!$H$28*VLOOKUP(AZ$3,DRIPE!$A$54:$I$82,8,FALSE), $C38 = "0", 0), 0)</f>
        <v>0</v>
      </c>
      <c r="BC38" s="45">
        <f>IFERROR(_xlfn.IFS($C38="1",('Inputs-System'!$C$30*'Coincidence Factors'!$B$8*(1+'Inputs-System'!$C$18))*'Inputs-Proposals'!$H$16*(VLOOKUP(AZ$3,Capacity!$A$53:$E$85,4,FALSE)*(1+'Inputs-System'!$C$42)+VLOOKUP(AZ$3,Capacity!$A$53:$E$85,5,FALSE)*'Inputs-System'!$C$29*(1+'Inputs-System'!$C$43)), $C38 = "2", ('Inputs-System'!$C$30*'Coincidence Factors'!$B$8*(1+'Inputs-System'!$C$18))*'Inputs-Proposals'!$H$22*(VLOOKUP(AZ$3,Capacity!$A$53:$E$85,4,FALSE)*(1+'Inputs-System'!$C$42)+VLOOKUP(AZ$3,Capacity!$A$53:$E$85,5,FALSE)*'Inputs-System'!$C$29*(1+'Inputs-System'!$C$43)), $C38 = "3",('Inputs-System'!$C$30*'Coincidence Factors'!$B$8*(1+'Inputs-System'!$C$18))*'Inputs-Proposals'!$H$28*(VLOOKUP(AZ$3,Capacity!$A$53:$E$85,4,FALSE)*(1+'Inputs-System'!$C$42)+VLOOKUP(AZ$3,Capacity!$A$53:$E$85,5,FALSE)*'Inputs-System'!$C$29*(1+'Inputs-System'!$C$43)), $C38 = "0", 0), 0)</f>
        <v>0</v>
      </c>
      <c r="BD38" s="44">
        <v>0</v>
      </c>
      <c r="BE38" s="342">
        <f>IFERROR(_xlfn.IFS($C38="1", 'Inputs-System'!$C$30*'Coincidence Factors'!$B$8*'Inputs-Proposals'!$H$17*'Inputs-Proposals'!$H$19*(VLOOKUP(AZ$3,'Non-Embedded Emissions'!$A$56:$D$90,2,FALSE)+VLOOKUP(AZ$3,'Non-Embedded Emissions'!$A$143:$D$174,2,FALSE)+VLOOKUP(AZ$3,'Non-Embedded Emissions'!$A$230:$D$259,2,FALSE)), $C38 = "2", 'Inputs-System'!$C$30*'Coincidence Factors'!$B$8*'Inputs-Proposals'!$H$23*'Inputs-Proposals'!$H$25*(VLOOKUP(AZ$3,'Non-Embedded Emissions'!$A$56:$D$90,2,FALSE)+VLOOKUP(AZ$3,'Non-Embedded Emissions'!$A$143:$D$174,2,FALSE)+VLOOKUP(AZ$3,'Non-Embedded Emissions'!$A$230:$D$259,2,FALSE)), $C38 = "3", 'Inputs-System'!$C$30*'Coincidence Factors'!$B$8*'Inputs-Proposals'!$H$29*'Inputs-Proposals'!$H$31*(VLOOKUP(AZ$3,'Non-Embedded Emissions'!$A$56:$D$90,2,FALSE)+VLOOKUP(AZ$3,'Non-Embedded Emissions'!$A$143:$D$174,2,FALSE)+VLOOKUP(AZ$3,'Non-Embedded Emissions'!$A$230:$D$259,2,FALSE)), $C38 = "0", 0), 0)</f>
        <v>0</v>
      </c>
      <c r="BF38" s="347">
        <f>IFERROR(_xlfn.IFS($C38="1",('Inputs-System'!$C$30*'Coincidence Factors'!$B$8*(1+'Inputs-System'!$C$18)*(1+'Inputs-System'!$C$41)*('Inputs-Proposals'!$H$17*'Inputs-Proposals'!$H$19*('Inputs-Proposals'!$H$20))*(VLOOKUP(BF$3,Energy!$A$51:$K$83,5,FALSE))), $C38 = "2",('Inputs-System'!$C$30*'Coincidence Factors'!$B$8)*(1+'Inputs-System'!$C$18)*(1+'Inputs-System'!$C$41)*('Inputs-Proposals'!$H$23*'Inputs-Proposals'!$H$25*('Inputs-Proposals'!$H$26))*(VLOOKUP(BF$3,Energy!$A$51:$K$83,5,FALSE)), $C38= "3", ('Inputs-System'!$C$30*'Coincidence Factors'!$B$8*(1+'Inputs-System'!$C$18)*(1+'Inputs-System'!$C$41)*('Inputs-Proposals'!$H$29*'Inputs-Proposals'!$H$31*('Inputs-Proposals'!$H$32))*(VLOOKUP(BF$3,Energy!$A$51:$K$83,5,FALSE))), $C38= "0", 0), 0)</f>
        <v>0</v>
      </c>
      <c r="BG38" s="44">
        <f>IFERROR(_xlfn.IFS($C38="1",'Inputs-System'!$C$30*'Coincidence Factors'!$B$8*(1+'Inputs-System'!$C$18)*(1+'Inputs-System'!$C$41)*'Inputs-Proposals'!$H$17*'Inputs-Proposals'!$H$19*('Inputs-Proposals'!$H$20)*(VLOOKUP(BF$3,'Embedded Emissions'!$A$47:$B$78,2,FALSE)+VLOOKUP(BF$3,'Embedded Emissions'!$A$129:$B$158,2,FALSE)), $C38 = "2", 'Inputs-System'!$C$30*'Coincidence Factors'!$B$8*(1+'Inputs-System'!$C$18)*(1+'Inputs-System'!$C$41)*'Inputs-Proposals'!$H$23*'Inputs-Proposals'!$H$25*('Inputs-Proposals'!$H$20)*(VLOOKUP(BF$3,'Embedded Emissions'!$A$47:$B$78,2,FALSE)+VLOOKUP(BF$3,'Embedded Emissions'!$A$129:$B$158,2,FALSE)), $C38 = "3",'Inputs-System'!$C$30*'Coincidence Factors'!$B$8*(1+'Inputs-System'!$C$18)*(1+'Inputs-System'!$C$41)*'Inputs-Proposals'!$H$29*'Inputs-Proposals'!$H$31*('Inputs-Proposals'!$H$20)*(VLOOKUP(BF$3,'Embedded Emissions'!$A$47:$B$78,2,FALSE)+VLOOKUP(BF$3,'Embedded Emissions'!$A$129:$B$158,2,FALSE)), $C38 = "0", 0), 0)</f>
        <v>0</v>
      </c>
      <c r="BH38" s="44">
        <f>IFERROR(_xlfn.IFS($C38="1",( 'Inputs-System'!$C$30*'Coincidence Factors'!$B$8*(1+'Inputs-System'!$C$18)*(1+'Inputs-System'!$C$41))*('Inputs-Proposals'!$H$17*'Inputs-Proposals'!$H$19*('Inputs-Proposals'!$H$20))*(VLOOKUP(BF$3,DRIPE!$A$54:$I$82,5,FALSE)+VLOOKUP(BF$3,DRIPE!$A$54:$I$82,9,FALSE))+ ('Inputs-System'!$C$26*'Coincidence Factors'!$B$8*(1+'Inputs-System'!$C$18)*(1+'Inputs-System'!$C$42))*'Inputs-Proposals'!$H$16*VLOOKUP(BF$3,DRIPE!$A$54:$I$82,8,FALSE), $C38 = "2",( 'Inputs-System'!$C$30*'Coincidence Factors'!$B$8*(1+'Inputs-System'!$C$18)*(1+'Inputs-System'!$C$41))*('Inputs-Proposals'!$H$23*'Inputs-Proposals'!$H$25*('Inputs-Proposals'!$H$26))*(VLOOKUP(BF$3,DRIPE!$A$54:$I$82,5,FALSE)+VLOOKUP(BF$3,DRIPE!$A$54:$I$82,9,FALSE))+  ('Inputs-System'!$C$26*'Coincidence Factors'!$B$8*(1+'Inputs-System'!$C$18)*(1+'Inputs-System'!$C$42))*'Inputs-Proposals'!$H$22*VLOOKUP(BF$3,DRIPE!$A$54:$I$82,8,FALSE), $C38= "3", ( 'Inputs-System'!$C$30*'Coincidence Factors'!$B$8*(1+'Inputs-System'!$C$18)*(1+'Inputs-System'!$C$41))*('Inputs-Proposals'!$H$29*'Inputs-Proposals'!$H$31*('Inputs-Proposals'!$H$32))*(VLOOKUP(BF$3,DRIPE!$A$54:$I$82,5,FALSE)+VLOOKUP(BF$3,DRIPE!$A$54:$I$82,9,FALSE))+  ('Inputs-System'!$C$26*'Coincidence Factors'!$B$8*(1+'Inputs-System'!$C$18)*(1+'Inputs-System'!$C$42))*'Inputs-Proposals'!$H$28*VLOOKUP(BF$3,DRIPE!$A$54:$I$82,8,FALSE), $C38 = "0", 0), 0)</f>
        <v>0</v>
      </c>
      <c r="BI38" s="45">
        <f>IFERROR(_xlfn.IFS($C38="1",('Inputs-System'!$C$30*'Coincidence Factors'!$B$8*(1+'Inputs-System'!$C$18))*'Inputs-Proposals'!$H$16*(VLOOKUP(BF$3,Capacity!$A$53:$E$85,4,FALSE)*(1+'Inputs-System'!$C$42)+VLOOKUP(BF$3,Capacity!$A$53:$E$85,5,FALSE)*'Inputs-System'!$C$29*(1+'Inputs-System'!$C$43)), $C38 = "2", ('Inputs-System'!$C$30*'Coincidence Factors'!$B$8*(1+'Inputs-System'!$C$18))*'Inputs-Proposals'!$H$22*(VLOOKUP(BF$3,Capacity!$A$53:$E$85,4,FALSE)*(1+'Inputs-System'!$C$42)+VLOOKUP(BF$3,Capacity!$A$53:$E$85,5,FALSE)*'Inputs-System'!$C$29*(1+'Inputs-System'!$C$43)), $C38 = "3",('Inputs-System'!$C$30*'Coincidence Factors'!$B$8*(1+'Inputs-System'!$C$18))*'Inputs-Proposals'!$H$28*(VLOOKUP(BF$3,Capacity!$A$53:$E$85,4,FALSE)*(1+'Inputs-System'!$C$42)+VLOOKUP(BF$3,Capacity!$A$53:$E$85,5,FALSE)*'Inputs-System'!$C$29*(1+'Inputs-System'!$C$43)), $C38 = "0", 0), 0)</f>
        <v>0</v>
      </c>
      <c r="BJ38" s="44">
        <v>0</v>
      </c>
      <c r="BK38" s="342">
        <f>IFERROR(_xlfn.IFS($C38="1", 'Inputs-System'!$C$30*'Coincidence Factors'!$B$8*'Inputs-Proposals'!$H$17*'Inputs-Proposals'!$H$19*(VLOOKUP(BF$3,'Non-Embedded Emissions'!$A$56:$D$90,2,FALSE)+VLOOKUP(BF$3,'Non-Embedded Emissions'!$A$143:$D$174,2,FALSE)+VLOOKUP(BF$3,'Non-Embedded Emissions'!$A$230:$D$259,2,FALSE)), $C38 = "2", 'Inputs-System'!$C$30*'Coincidence Factors'!$B$8*'Inputs-Proposals'!$H$23*'Inputs-Proposals'!$H$25*(VLOOKUP(BF$3,'Non-Embedded Emissions'!$A$56:$D$90,2,FALSE)+VLOOKUP(BF$3,'Non-Embedded Emissions'!$A$143:$D$174,2,FALSE)+VLOOKUP(BF$3,'Non-Embedded Emissions'!$A$230:$D$259,2,FALSE)), $C38 = "3", 'Inputs-System'!$C$30*'Coincidence Factors'!$B$8*'Inputs-Proposals'!$H$29*'Inputs-Proposals'!$H$31*(VLOOKUP(BF$3,'Non-Embedded Emissions'!$A$56:$D$90,2,FALSE)+VLOOKUP(BF$3,'Non-Embedded Emissions'!$A$143:$D$174,2,FALSE)+VLOOKUP(BF$3,'Non-Embedded Emissions'!$A$230:$D$259,2,FALSE)), $C38 = "0", 0), 0)</f>
        <v>0</v>
      </c>
      <c r="BL38" s="347">
        <f>IFERROR(_xlfn.IFS($C38="1",('Inputs-System'!$C$30*'Coincidence Factors'!$B$8*(1+'Inputs-System'!$C$18)*(1+'Inputs-System'!$C$41)*('Inputs-Proposals'!$H$17*'Inputs-Proposals'!$H$19*('Inputs-Proposals'!$H$20))*(VLOOKUP(BL$3,Energy!$A$51:$K$83,5,FALSE))), $C38 = "2",('Inputs-System'!$C$30*'Coincidence Factors'!$B$8)*(1+'Inputs-System'!$C$18)*(1+'Inputs-System'!$C$41)*('Inputs-Proposals'!$H$23*'Inputs-Proposals'!$H$25*('Inputs-Proposals'!$H$26))*(VLOOKUP(BL$3,Energy!$A$51:$K$83,5,FALSE)), $C38= "3", ('Inputs-System'!$C$30*'Coincidence Factors'!$B$8*(1+'Inputs-System'!$C$18)*(1+'Inputs-System'!$C$41)*('Inputs-Proposals'!$H$29*'Inputs-Proposals'!$H$31*('Inputs-Proposals'!$H$32))*(VLOOKUP(BL$3,Energy!$A$51:$K$83,5,FALSE))), $C38= "0", 0), 0)</f>
        <v>0</v>
      </c>
      <c r="BM38" s="44">
        <f>IFERROR(_xlfn.IFS($C38="1",'Inputs-System'!$C$30*'Coincidence Factors'!$B$8*(1+'Inputs-System'!$C$18)*(1+'Inputs-System'!$C$41)*'Inputs-Proposals'!$H$17*'Inputs-Proposals'!$H$19*('Inputs-Proposals'!$H$20)*(VLOOKUP(BL$3,'Embedded Emissions'!$A$47:$B$78,2,FALSE)+VLOOKUP(BL$3,'Embedded Emissions'!$A$129:$B$158,2,FALSE)), $C38 = "2", 'Inputs-System'!$C$30*'Coincidence Factors'!$B$8*(1+'Inputs-System'!$C$18)*(1+'Inputs-System'!$C$41)*'Inputs-Proposals'!$H$23*'Inputs-Proposals'!$H$25*('Inputs-Proposals'!$H$20)*(VLOOKUP(BL$3,'Embedded Emissions'!$A$47:$B$78,2,FALSE)+VLOOKUP(BL$3,'Embedded Emissions'!$A$129:$B$158,2,FALSE)), $C38 = "3",'Inputs-System'!$C$30*'Coincidence Factors'!$B$8*(1+'Inputs-System'!$C$18)*(1+'Inputs-System'!$C$41)*'Inputs-Proposals'!$H$29*'Inputs-Proposals'!$H$31*('Inputs-Proposals'!$H$20)*(VLOOKUP(BL$3,'Embedded Emissions'!$A$47:$B$78,2,FALSE)+VLOOKUP(BL$3,'Embedded Emissions'!$A$129:$B$158,2,FALSE)), $C38 = "0", 0), 0)</f>
        <v>0</v>
      </c>
      <c r="BN38" s="44">
        <f>IFERROR(_xlfn.IFS($C38="1",( 'Inputs-System'!$C$30*'Coincidence Factors'!$B$8*(1+'Inputs-System'!$C$18)*(1+'Inputs-System'!$C$41))*('Inputs-Proposals'!$H$17*'Inputs-Proposals'!$H$19*('Inputs-Proposals'!$H$20))*(VLOOKUP(BL$3,DRIPE!$A$54:$I$82,5,FALSE)+VLOOKUP(BL$3,DRIPE!$A$54:$I$82,9,FALSE))+ ('Inputs-System'!$C$26*'Coincidence Factors'!$B$8*(1+'Inputs-System'!$C$18)*(1+'Inputs-System'!$C$42))*'Inputs-Proposals'!$H$16*VLOOKUP(BL$3,DRIPE!$A$54:$I$82,8,FALSE), $C38 = "2",( 'Inputs-System'!$C$30*'Coincidence Factors'!$B$8*(1+'Inputs-System'!$C$18)*(1+'Inputs-System'!$C$41))*('Inputs-Proposals'!$H$23*'Inputs-Proposals'!$H$25*('Inputs-Proposals'!$H$26))*(VLOOKUP(BL$3,DRIPE!$A$54:$I$82,5,FALSE)+VLOOKUP(BL$3,DRIPE!$A$54:$I$82,9,FALSE))+  ('Inputs-System'!$C$26*'Coincidence Factors'!$B$8*(1+'Inputs-System'!$C$18)*(1+'Inputs-System'!$C$42))*'Inputs-Proposals'!$H$22*VLOOKUP(BL$3,DRIPE!$A$54:$I$82,8,FALSE), $C38= "3", ( 'Inputs-System'!$C$30*'Coincidence Factors'!$B$8*(1+'Inputs-System'!$C$18)*(1+'Inputs-System'!$C$41))*('Inputs-Proposals'!$H$29*'Inputs-Proposals'!$H$31*('Inputs-Proposals'!$H$32))*(VLOOKUP(BL$3,DRIPE!$A$54:$I$82,5,FALSE)+VLOOKUP(BL$3,DRIPE!$A$54:$I$82,9,FALSE))+  ('Inputs-System'!$C$26*'Coincidence Factors'!$B$8*(1+'Inputs-System'!$C$18)*(1+'Inputs-System'!$C$42))*'Inputs-Proposals'!$H$28*VLOOKUP(BL$3,DRIPE!$A$54:$I$82,8,FALSE), $C38 = "0", 0), 0)</f>
        <v>0</v>
      </c>
      <c r="BO38" s="45">
        <f>IFERROR(_xlfn.IFS($C38="1",('Inputs-System'!$C$30*'Coincidence Factors'!$B$8*(1+'Inputs-System'!$C$18))*'Inputs-Proposals'!$H$16*(VLOOKUP(BL$3,Capacity!$A$53:$E$85,4,FALSE)*(1+'Inputs-System'!$C$42)+VLOOKUP(BL$3,Capacity!$A$53:$E$85,5,FALSE)*'Inputs-System'!$C$29*(1+'Inputs-System'!$C$43)), $C38 = "2", ('Inputs-System'!$C$30*'Coincidence Factors'!$B$8*(1+'Inputs-System'!$C$18))*'Inputs-Proposals'!$H$22*(VLOOKUP(BL$3,Capacity!$A$53:$E$85,4,FALSE)*(1+'Inputs-System'!$C$42)+VLOOKUP(BL$3,Capacity!$A$53:$E$85,5,FALSE)*'Inputs-System'!$C$29*(1+'Inputs-System'!$C$43)), $C38 = "3",('Inputs-System'!$C$30*'Coincidence Factors'!$B$8*(1+'Inputs-System'!$C$18))*'Inputs-Proposals'!$H$28*(VLOOKUP(BL$3,Capacity!$A$53:$E$85,4,FALSE)*(1+'Inputs-System'!$C$42)+VLOOKUP(BL$3,Capacity!$A$53:$E$85,5,FALSE)*'Inputs-System'!$C$29*(1+'Inputs-System'!$C$43)), $C38 = "0", 0), 0)</f>
        <v>0</v>
      </c>
      <c r="BP38" s="44">
        <v>0</v>
      </c>
      <c r="BQ38" s="342">
        <f>IFERROR(_xlfn.IFS($C38="1", 'Inputs-System'!$C$30*'Coincidence Factors'!$B$8*'Inputs-Proposals'!$H$17*'Inputs-Proposals'!$H$19*(VLOOKUP(BL$3,'Non-Embedded Emissions'!$A$56:$D$90,2,FALSE)+VLOOKUP(BL$3,'Non-Embedded Emissions'!$A$143:$D$174,2,FALSE)+VLOOKUP(BL$3,'Non-Embedded Emissions'!$A$230:$D$259,2,FALSE)), $C38 = "2", 'Inputs-System'!$C$30*'Coincidence Factors'!$B$8*'Inputs-Proposals'!$H$23*'Inputs-Proposals'!$H$25*(VLOOKUP(BL$3,'Non-Embedded Emissions'!$A$56:$D$90,2,FALSE)+VLOOKUP(BL$3,'Non-Embedded Emissions'!$A$143:$D$174,2,FALSE)+VLOOKUP(BL$3,'Non-Embedded Emissions'!$A$230:$D$259,2,FALSE)), $C38 = "3", 'Inputs-System'!$C$30*'Coincidence Factors'!$B$8*'Inputs-Proposals'!$H$29*'Inputs-Proposals'!$H$31*(VLOOKUP(BL$3,'Non-Embedded Emissions'!$A$56:$D$90,2,FALSE)+VLOOKUP(BL$3,'Non-Embedded Emissions'!$A$143:$D$174,2,FALSE)+VLOOKUP(BL$3,'Non-Embedded Emissions'!$A$230:$D$259,2,FALSE)), $C38 = "0", 0), 0)</f>
        <v>0</v>
      </c>
      <c r="BR38" s="347">
        <f>IFERROR(_xlfn.IFS($C38="1",('Inputs-System'!$C$30*'Coincidence Factors'!$B$8*(1+'Inputs-System'!$C$18)*(1+'Inputs-System'!$C$41)*('Inputs-Proposals'!$H$17*'Inputs-Proposals'!$H$19*('Inputs-Proposals'!$H$20))*(VLOOKUP(BR$3,Energy!$A$51:$K$83,5,FALSE))), $C38 = "2",('Inputs-System'!$C$30*'Coincidence Factors'!$B$8)*(1+'Inputs-System'!$C$18)*(1+'Inputs-System'!$C$41)*('Inputs-Proposals'!$H$23*'Inputs-Proposals'!$H$25*('Inputs-Proposals'!$H$26))*(VLOOKUP(BR$3,Energy!$A$51:$K$83,5,FALSE)), $C38= "3", ('Inputs-System'!$C$30*'Coincidence Factors'!$B$8*(1+'Inputs-System'!$C$18)*(1+'Inputs-System'!$C$41)*('Inputs-Proposals'!$H$29*'Inputs-Proposals'!$H$31*('Inputs-Proposals'!$H$32))*(VLOOKUP(BR$3,Energy!$A$51:$K$83,5,FALSE))), $C38= "0", 0), 0)</f>
        <v>0</v>
      </c>
      <c r="BS38" s="44">
        <f>IFERROR(_xlfn.IFS($C38="1",'Inputs-System'!$C$30*'Coincidence Factors'!$B$8*(1+'Inputs-System'!$C$18)*(1+'Inputs-System'!$C$41)*'Inputs-Proposals'!$H$17*'Inputs-Proposals'!$H$19*('Inputs-Proposals'!$H$20)*(VLOOKUP(BR$3,'Embedded Emissions'!$A$47:$B$78,2,FALSE)+VLOOKUP(BR$3,'Embedded Emissions'!$A$129:$B$158,2,FALSE)), $C38 = "2", 'Inputs-System'!$C$30*'Coincidence Factors'!$B$8*(1+'Inputs-System'!$C$18)*(1+'Inputs-System'!$C$41)*'Inputs-Proposals'!$H$23*'Inputs-Proposals'!$H$25*('Inputs-Proposals'!$H$20)*(VLOOKUP(BR$3,'Embedded Emissions'!$A$47:$B$78,2,FALSE)+VLOOKUP(BR$3,'Embedded Emissions'!$A$129:$B$158,2,FALSE)), $C38 = "3",'Inputs-System'!$C$30*'Coincidence Factors'!$B$8*(1+'Inputs-System'!$C$18)*(1+'Inputs-System'!$C$41)*'Inputs-Proposals'!$H$29*'Inputs-Proposals'!$H$31*('Inputs-Proposals'!$H$20)*(VLOOKUP(BR$3,'Embedded Emissions'!$A$47:$B$78,2,FALSE)+VLOOKUP(BR$3,'Embedded Emissions'!$A$129:$B$158,2,FALSE)), $C38 = "0", 0), 0)</f>
        <v>0</v>
      </c>
      <c r="BT38" s="44">
        <f>IFERROR(_xlfn.IFS($C38="1",( 'Inputs-System'!$C$30*'Coincidence Factors'!$B$8*(1+'Inputs-System'!$C$18)*(1+'Inputs-System'!$C$41))*('Inputs-Proposals'!$H$17*'Inputs-Proposals'!$H$19*('Inputs-Proposals'!$H$20))*(VLOOKUP(BR$3,DRIPE!$A$54:$I$82,5,FALSE)+VLOOKUP(BR$3,DRIPE!$A$54:$I$82,9,FALSE))+ ('Inputs-System'!$C$26*'Coincidence Factors'!$B$8*(1+'Inputs-System'!$C$18)*(1+'Inputs-System'!$C$42))*'Inputs-Proposals'!$H$16*VLOOKUP(BR$3,DRIPE!$A$54:$I$82,8,FALSE), $C38 = "2",( 'Inputs-System'!$C$30*'Coincidence Factors'!$B$8*(1+'Inputs-System'!$C$18)*(1+'Inputs-System'!$C$41))*('Inputs-Proposals'!$H$23*'Inputs-Proposals'!$H$25*('Inputs-Proposals'!$H$26))*(VLOOKUP(BR$3,DRIPE!$A$54:$I$82,5,FALSE)+VLOOKUP(BR$3,DRIPE!$A$54:$I$82,9,FALSE))+  ('Inputs-System'!$C$26*'Coincidence Factors'!$B$8*(1+'Inputs-System'!$C$18)*(1+'Inputs-System'!$C$42))*'Inputs-Proposals'!$H$22*VLOOKUP(BR$3,DRIPE!$A$54:$I$82,8,FALSE), $C38= "3", ( 'Inputs-System'!$C$30*'Coincidence Factors'!$B$8*(1+'Inputs-System'!$C$18)*(1+'Inputs-System'!$C$41))*('Inputs-Proposals'!$H$29*'Inputs-Proposals'!$H$31*('Inputs-Proposals'!$H$32))*(VLOOKUP(BR$3,DRIPE!$A$54:$I$82,5,FALSE)+VLOOKUP(BR$3,DRIPE!$A$54:$I$82,9,FALSE))+  ('Inputs-System'!$C$26*'Coincidence Factors'!$B$8*(1+'Inputs-System'!$C$18)*(1+'Inputs-System'!$C$42))*'Inputs-Proposals'!$H$28*VLOOKUP(BR$3,DRIPE!$A$54:$I$82,8,FALSE), $C38 = "0", 0), 0)</f>
        <v>0</v>
      </c>
      <c r="BU38" s="45">
        <f>IFERROR(_xlfn.IFS($C38="1",('Inputs-System'!$C$30*'Coincidence Factors'!$B$8*(1+'Inputs-System'!$C$18))*'Inputs-Proposals'!$H$16*(VLOOKUP(BR$3,Capacity!$A$53:$E$85,4,FALSE)*(1+'Inputs-System'!$C$42)+VLOOKUP(BR$3,Capacity!$A$53:$E$85,5,FALSE)*'Inputs-System'!$C$29*(1+'Inputs-System'!$C$43)), $C38 = "2", ('Inputs-System'!$C$30*'Coincidence Factors'!$B$8*(1+'Inputs-System'!$C$18))*'Inputs-Proposals'!$H$22*(VLOOKUP(BR$3,Capacity!$A$53:$E$85,4,FALSE)*(1+'Inputs-System'!$C$42)+VLOOKUP(BR$3,Capacity!$A$53:$E$85,5,FALSE)*'Inputs-System'!$C$29*(1+'Inputs-System'!$C$43)), $C38 = "3",('Inputs-System'!$C$30*'Coincidence Factors'!$B$8*(1+'Inputs-System'!$C$18))*'Inputs-Proposals'!$H$28*(VLOOKUP(BR$3,Capacity!$A$53:$E$85,4,FALSE)*(1+'Inputs-System'!$C$42)+VLOOKUP(BR$3,Capacity!$A$53:$E$85,5,FALSE)*'Inputs-System'!$C$29*(1+'Inputs-System'!$C$43)), $C38 = "0", 0), 0)</f>
        <v>0</v>
      </c>
      <c r="BV38" s="44">
        <v>0</v>
      </c>
      <c r="BW38" s="342">
        <f>IFERROR(_xlfn.IFS($C38="1", 'Inputs-System'!$C$30*'Coincidence Factors'!$B$8*'Inputs-Proposals'!$H$17*'Inputs-Proposals'!$H$19*(VLOOKUP(BR$3,'Non-Embedded Emissions'!$A$56:$D$90,2,FALSE)+VLOOKUP(BR$3,'Non-Embedded Emissions'!$A$143:$D$174,2,FALSE)+VLOOKUP(BR$3,'Non-Embedded Emissions'!$A$230:$D$259,2,FALSE)), $C38 = "2", 'Inputs-System'!$C$30*'Coincidence Factors'!$B$8*'Inputs-Proposals'!$H$23*'Inputs-Proposals'!$H$25*(VLOOKUP(BR$3,'Non-Embedded Emissions'!$A$56:$D$90,2,FALSE)+VLOOKUP(BR$3,'Non-Embedded Emissions'!$A$143:$D$174,2,FALSE)+VLOOKUP(BR$3,'Non-Embedded Emissions'!$A$230:$D$259,2,FALSE)), $C38 = "3", 'Inputs-System'!$C$30*'Coincidence Factors'!$B$8*'Inputs-Proposals'!$H$29*'Inputs-Proposals'!$H$31*(VLOOKUP(BR$3,'Non-Embedded Emissions'!$A$56:$D$90,2,FALSE)+VLOOKUP(BR$3,'Non-Embedded Emissions'!$A$143:$D$174,2,FALSE)+VLOOKUP(BR$3,'Non-Embedded Emissions'!$A$230:$D$259,2,FALSE)), $C38 = "0", 0), 0)</f>
        <v>0</v>
      </c>
      <c r="BX38" s="347">
        <f>IFERROR(_xlfn.IFS($C38="1",('Inputs-System'!$C$30*'Coincidence Factors'!$B$8*(1+'Inputs-System'!$C$18)*(1+'Inputs-System'!$C$41)*('Inputs-Proposals'!$H$17*'Inputs-Proposals'!$H$19*('Inputs-Proposals'!$H$20))*(VLOOKUP(BX$3,Energy!$A$51:$K$83,5,FALSE))), $C38 = "2",('Inputs-System'!$C$30*'Coincidence Factors'!$B$8)*(1+'Inputs-System'!$C$18)*(1+'Inputs-System'!$C$41)*('Inputs-Proposals'!$H$23*'Inputs-Proposals'!$H$25*('Inputs-Proposals'!$H$26))*(VLOOKUP(BX$3,Energy!$A$51:$K$83,5,FALSE)), $C38= "3", ('Inputs-System'!$C$30*'Coincidence Factors'!$B$8*(1+'Inputs-System'!$C$18)*(1+'Inputs-System'!$C$41)*('Inputs-Proposals'!$H$29*'Inputs-Proposals'!$H$31*('Inputs-Proposals'!$H$32))*(VLOOKUP(BX$3,Energy!$A$51:$K$83,5,FALSE))), $C38= "0", 0), 0)</f>
        <v>0</v>
      </c>
      <c r="BY38" s="44">
        <f>IFERROR(_xlfn.IFS($C38="1",'Inputs-System'!$C$30*'Coincidence Factors'!$B$8*(1+'Inputs-System'!$C$18)*(1+'Inputs-System'!$C$41)*'Inputs-Proposals'!$H$17*'Inputs-Proposals'!$H$19*('Inputs-Proposals'!$H$20)*(VLOOKUP(BX$3,'Embedded Emissions'!$A$47:$B$78,2,FALSE)+VLOOKUP(BX$3,'Embedded Emissions'!$A$129:$B$158,2,FALSE)), $C38 = "2", 'Inputs-System'!$C$30*'Coincidence Factors'!$B$8*(1+'Inputs-System'!$C$18)*(1+'Inputs-System'!$C$41)*'Inputs-Proposals'!$H$23*'Inputs-Proposals'!$H$25*('Inputs-Proposals'!$H$20)*(VLOOKUP(BX$3,'Embedded Emissions'!$A$47:$B$78,2,FALSE)+VLOOKUP(BX$3,'Embedded Emissions'!$A$129:$B$158,2,FALSE)), $C38 = "3",'Inputs-System'!$C$30*'Coincidence Factors'!$B$8*(1+'Inputs-System'!$C$18)*(1+'Inputs-System'!$C$41)*'Inputs-Proposals'!$H$29*'Inputs-Proposals'!$H$31*('Inputs-Proposals'!$H$20)*(VLOOKUP(BX$3,'Embedded Emissions'!$A$47:$B$78,2,FALSE)+VLOOKUP(BX$3,'Embedded Emissions'!$A$129:$B$158,2,FALSE)), $C38 = "0", 0), 0)</f>
        <v>0</v>
      </c>
      <c r="BZ38" s="44">
        <f>IFERROR(_xlfn.IFS($C38="1",( 'Inputs-System'!$C$30*'Coincidence Factors'!$B$8*(1+'Inputs-System'!$C$18)*(1+'Inputs-System'!$C$41))*('Inputs-Proposals'!$H$17*'Inputs-Proposals'!$H$19*('Inputs-Proposals'!$H$20))*(VLOOKUP(BX$3,DRIPE!$A$54:$I$82,5,FALSE)+VLOOKUP(BX$3,DRIPE!$A$54:$I$82,9,FALSE))+ ('Inputs-System'!$C$26*'Coincidence Factors'!$B$8*(1+'Inputs-System'!$C$18)*(1+'Inputs-System'!$C$42))*'Inputs-Proposals'!$H$16*VLOOKUP(BX$3,DRIPE!$A$54:$I$82,8,FALSE), $C38 = "2",( 'Inputs-System'!$C$30*'Coincidence Factors'!$B$8*(1+'Inputs-System'!$C$18)*(1+'Inputs-System'!$C$41))*('Inputs-Proposals'!$H$23*'Inputs-Proposals'!$H$25*('Inputs-Proposals'!$H$26))*(VLOOKUP(BX$3,DRIPE!$A$54:$I$82,5,FALSE)+VLOOKUP(BX$3,DRIPE!$A$54:$I$82,9,FALSE))+  ('Inputs-System'!$C$26*'Coincidence Factors'!$B$8*(1+'Inputs-System'!$C$18)*(1+'Inputs-System'!$C$42))*'Inputs-Proposals'!$H$22*VLOOKUP(BX$3,DRIPE!$A$54:$I$82,8,FALSE), $C38= "3", ( 'Inputs-System'!$C$30*'Coincidence Factors'!$B$8*(1+'Inputs-System'!$C$18)*(1+'Inputs-System'!$C$41))*('Inputs-Proposals'!$H$29*'Inputs-Proposals'!$H$31*('Inputs-Proposals'!$H$32))*(VLOOKUP(BX$3,DRIPE!$A$54:$I$82,5,FALSE)+VLOOKUP(BX$3,DRIPE!$A$54:$I$82,9,FALSE))+  ('Inputs-System'!$C$26*'Coincidence Factors'!$B$8*(1+'Inputs-System'!$C$18)*(1+'Inputs-System'!$C$42))*'Inputs-Proposals'!$H$28*VLOOKUP(BX$3,DRIPE!$A$54:$I$82,8,FALSE), $C38 = "0", 0), 0)</f>
        <v>0</v>
      </c>
      <c r="CA38" s="45">
        <f>IFERROR(_xlfn.IFS($C38="1",('Inputs-System'!$C$30*'Coincidence Factors'!$B$8*(1+'Inputs-System'!$C$18))*'Inputs-Proposals'!$H$16*(VLOOKUP(BX$3,Capacity!$A$53:$E$85,4,FALSE)*(1+'Inputs-System'!$C$42)+VLOOKUP(BX$3,Capacity!$A$53:$E$85,5,FALSE)*'Inputs-System'!$C$29*(1+'Inputs-System'!$C$43)), $C38 = "2", ('Inputs-System'!$C$30*'Coincidence Factors'!$B$8*(1+'Inputs-System'!$C$18))*'Inputs-Proposals'!$H$22*(VLOOKUP(BX$3,Capacity!$A$53:$E$85,4,FALSE)*(1+'Inputs-System'!$C$42)+VLOOKUP(BX$3,Capacity!$A$53:$E$85,5,FALSE)*'Inputs-System'!$C$29*(1+'Inputs-System'!$C$43)), $C38 = "3",('Inputs-System'!$C$30*'Coincidence Factors'!$B$8*(1+'Inputs-System'!$C$18))*'Inputs-Proposals'!$H$28*(VLOOKUP(BX$3,Capacity!$A$53:$E$85,4,FALSE)*(1+'Inputs-System'!$C$42)+VLOOKUP(BX$3,Capacity!$A$53:$E$85,5,FALSE)*'Inputs-System'!$C$29*(1+'Inputs-System'!$C$43)), $C38 = "0", 0), 0)</f>
        <v>0</v>
      </c>
      <c r="CB38" s="44">
        <v>0</v>
      </c>
      <c r="CC38" s="342">
        <f>IFERROR(_xlfn.IFS($C38="1", 'Inputs-System'!$C$30*'Coincidence Factors'!$B$8*'Inputs-Proposals'!$H$17*'Inputs-Proposals'!$H$19*(VLOOKUP(BX$3,'Non-Embedded Emissions'!$A$56:$D$90,2,FALSE)+VLOOKUP(BX$3,'Non-Embedded Emissions'!$A$143:$D$174,2,FALSE)+VLOOKUP(BX$3,'Non-Embedded Emissions'!$A$230:$D$259,2,FALSE)), $C38 = "2", 'Inputs-System'!$C$30*'Coincidence Factors'!$B$8*'Inputs-Proposals'!$H$23*'Inputs-Proposals'!$H$25*(VLOOKUP(BX$3,'Non-Embedded Emissions'!$A$56:$D$90,2,FALSE)+VLOOKUP(BX$3,'Non-Embedded Emissions'!$A$143:$D$174,2,FALSE)+VLOOKUP(BX$3,'Non-Embedded Emissions'!$A$230:$D$259,2,FALSE)), $C38 = "3", 'Inputs-System'!$C$30*'Coincidence Factors'!$B$8*'Inputs-Proposals'!$H$29*'Inputs-Proposals'!$H$31*(VLOOKUP(BX$3,'Non-Embedded Emissions'!$A$56:$D$90,2,FALSE)+VLOOKUP(BX$3,'Non-Embedded Emissions'!$A$143:$D$174,2,FALSE)+VLOOKUP(BX$3,'Non-Embedded Emissions'!$A$230:$D$259,2,FALSE)), $C38 = "0", 0), 0)</f>
        <v>0</v>
      </c>
      <c r="CD38" s="347">
        <f>IFERROR(_xlfn.IFS($C38="1",('Inputs-System'!$C$30*'Coincidence Factors'!$B$8*(1+'Inputs-System'!$C$18)*(1+'Inputs-System'!$C$41)*('Inputs-Proposals'!$H$17*'Inputs-Proposals'!$H$19*('Inputs-Proposals'!$H$20))*(VLOOKUP(CD$3,Energy!$A$51:$K$83,5,FALSE))), $C38 = "2",('Inputs-System'!$C$30*'Coincidence Factors'!$B$8)*(1+'Inputs-System'!$C$18)*(1+'Inputs-System'!$C$41)*('Inputs-Proposals'!$H$23*'Inputs-Proposals'!$H$25*('Inputs-Proposals'!$H$26))*(VLOOKUP(CD$3,Energy!$A$51:$K$83,5,FALSE)), $C38= "3", ('Inputs-System'!$C$30*'Coincidence Factors'!$B$8*(1+'Inputs-System'!$C$18)*(1+'Inputs-System'!$C$41)*('Inputs-Proposals'!$H$29*'Inputs-Proposals'!$H$31*('Inputs-Proposals'!$H$32))*(VLOOKUP(CD$3,Energy!$A$51:$K$83,5,FALSE))), $C38= "0", 0), 0)</f>
        <v>0</v>
      </c>
      <c r="CE38" s="44">
        <f>IFERROR(_xlfn.IFS($C38="1",'Inputs-System'!$C$30*'Coincidence Factors'!$B$8*(1+'Inputs-System'!$C$18)*(1+'Inputs-System'!$C$41)*'Inputs-Proposals'!$H$17*'Inputs-Proposals'!$H$19*('Inputs-Proposals'!$H$20)*(VLOOKUP(CD$3,'Embedded Emissions'!$A$47:$B$78,2,FALSE)+VLOOKUP(CD$3,'Embedded Emissions'!$A$129:$B$158,2,FALSE)), $C38 = "2", 'Inputs-System'!$C$30*'Coincidence Factors'!$B$8*(1+'Inputs-System'!$C$18)*(1+'Inputs-System'!$C$41)*'Inputs-Proposals'!$H$23*'Inputs-Proposals'!$H$25*('Inputs-Proposals'!$H$20)*(VLOOKUP(CD$3,'Embedded Emissions'!$A$47:$B$78,2,FALSE)+VLOOKUP(CD$3,'Embedded Emissions'!$A$129:$B$158,2,FALSE)), $C38 = "3",'Inputs-System'!$C$30*'Coincidence Factors'!$B$8*(1+'Inputs-System'!$C$18)*(1+'Inputs-System'!$C$41)*'Inputs-Proposals'!$H$29*'Inputs-Proposals'!$H$31*('Inputs-Proposals'!$H$20)*(VLOOKUP(CD$3,'Embedded Emissions'!$A$47:$B$78,2,FALSE)+VLOOKUP(CD$3,'Embedded Emissions'!$A$129:$B$158,2,FALSE)), $C38 = "0", 0), 0)</f>
        <v>0</v>
      </c>
      <c r="CF38" s="44">
        <f>IFERROR(_xlfn.IFS($C38="1",( 'Inputs-System'!$C$30*'Coincidence Factors'!$B$8*(1+'Inputs-System'!$C$18)*(1+'Inputs-System'!$C$41))*('Inputs-Proposals'!$H$17*'Inputs-Proposals'!$H$19*('Inputs-Proposals'!$H$20))*(VLOOKUP(CD$3,DRIPE!$A$54:$I$82,5,FALSE)+VLOOKUP(CD$3,DRIPE!$A$54:$I$82,9,FALSE))+ ('Inputs-System'!$C$26*'Coincidence Factors'!$B$8*(1+'Inputs-System'!$C$18)*(1+'Inputs-System'!$C$42))*'Inputs-Proposals'!$H$16*VLOOKUP(CD$3,DRIPE!$A$54:$I$82,8,FALSE), $C38 = "2",( 'Inputs-System'!$C$30*'Coincidence Factors'!$B$8*(1+'Inputs-System'!$C$18)*(1+'Inputs-System'!$C$41))*('Inputs-Proposals'!$H$23*'Inputs-Proposals'!$H$25*('Inputs-Proposals'!$H$26))*(VLOOKUP(CD$3,DRIPE!$A$54:$I$82,5,FALSE)+VLOOKUP(CD$3,DRIPE!$A$54:$I$82,9,FALSE))+  ('Inputs-System'!$C$26*'Coincidence Factors'!$B$8*(1+'Inputs-System'!$C$18)*(1+'Inputs-System'!$C$42))*'Inputs-Proposals'!$H$22*VLOOKUP(CD$3,DRIPE!$A$54:$I$82,8,FALSE), $C38= "3", ( 'Inputs-System'!$C$30*'Coincidence Factors'!$B$8*(1+'Inputs-System'!$C$18)*(1+'Inputs-System'!$C$41))*('Inputs-Proposals'!$H$29*'Inputs-Proposals'!$H$31*('Inputs-Proposals'!$H$32))*(VLOOKUP(CD$3,DRIPE!$A$54:$I$82,5,FALSE)+VLOOKUP(CD$3,DRIPE!$A$54:$I$82,9,FALSE))+  ('Inputs-System'!$C$26*'Coincidence Factors'!$B$8*(1+'Inputs-System'!$C$18)*(1+'Inputs-System'!$C$42))*'Inputs-Proposals'!$H$28*VLOOKUP(CD$3,DRIPE!$A$54:$I$82,8,FALSE), $C38 = "0", 0), 0)</f>
        <v>0</v>
      </c>
      <c r="CG38" s="45">
        <f>IFERROR(_xlfn.IFS($C38="1",('Inputs-System'!$C$30*'Coincidence Factors'!$B$8*(1+'Inputs-System'!$C$18))*'Inputs-Proposals'!$H$16*(VLOOKUP(CD$3,Capacity!$A$53:$E$85,4,FALSE)*(1+'Inputs-System'!$C$42)+VLOOKUP(CD$3,Capacity!$A$53:$E$85,5,FALSE)*'Inputs-System'!$C$29*(1+'Inputs-System'!$C$43)), $C38 = "2", ('Inputs-System'!$C$30*'Coincidence Factors'!$B$8*(1+'Inputs-System'!$C$18))*'Inputs-Proposals'!$H$22*(VLOOKUP(CD$3,Capacity!$A$53:$E$85,4,FALSE)*(1+'Inputs-System'!$C$42)+VLOOKUP(CD$3,Capacity!$A$53:$E$85,5,FALSE)*'Inputs-System'!$C$29*(1+'Inputs-System'!$C$43)), $C38 = "3",('Inputs-System'!$C$30*'Coincidence Factors'!$B$8*(1+'Inputs-System'!$C$18))*'Inputs-Proposals'!$H$28*(VLOOKUP(CD$3,Capacity!$A$53:$E$85,4,FALSE)*(1+'Inputs-System'!$C$42)+VLOOKUP(CD$3,Capacity!$A$53:$E$85,5,FALSE)*'Inputs-System'!$C$29*(1+'Inputs-System'!$C$43)), $C38 = "0", 0), 0)</f>
        <v>0</v>
      </c>
      <c r="CH38" s="44">
        <v>0</v>
      </c>
      <c r="CI38" s="342">
        <f>IFERROR(_xlfn.IFS($C38="1", 'Inputs-System'!$C$30*'Coincidence Factors'!$B$8*'Inputs-Proposals'!$H$17*'Inputs-Proposals'!$H$19*(VLOOKUP(CD$3,'Non-Embedded Emissions'!$A$56:$D$90,2,FALSE)+VLOOKUP(CD$3,'Non-Embedded Emissions'!$A$143:$D$174,2,FALSE)+VLOOKUP(CD$3,'Non-Embedded Emissions'!$A$230:$D$259,2,FALSE)), $C38 = "2", 'Inputs-System'!$C$30*'Coincidence Factors'!$B$8*'Inputs-Proposals'!$H$23*'Inputs-Proposals'!$H$25*(VLOOKUP(CD$3,'Non-Embedded Emissions'!$A$56:$D$90,2,FALSE)+VLOOKUP(CD$3,'Non-Embedded Emissions'!$A$143:$D$174,2,FALSE)+VLOOKUP(CD$3,'Non-Embedded Emissions'!$A$230:$D$259,2,FALSE)), $C38 = "3", 'Inputs-System'!$C$30*'Coincidence Factors'!$B$8*'Inputs-Proposals'!$H$29*'Inputs-Proposals'!$H$31*(VLOOKUP(CD$3,'Non-Embedded Emissions'!$A$56:$D$90,2,FALSE)+VLOOKUP(CD$3,'Non-Embedded Emissions'!$A$143:$D$174,2,FALSE)+VLOOKUP(CD$3,'Non-Embedded Emissions'!$A$230:$D$259,2,FALSE)), $C38 = "0", 0), 0)</f>
        <v>0</v>
      </c>
      <c r="CJ38" s="347">
        <f>IFERROR(_xlfn.IFS($C38="1",('Inputs-System'!$C$30*'Coincidence Factors'!$B$8*(1+'Inputs-System'!$C$18)*(1+'Inputs-System'!$C$41)*('Inputs-Proposals'!$H$17*'Inputs-Proposals'!$H$19*('Inputs-Proposals'!$H$20))*(VLOOKUP(CJ$3,Energy!$A$51:$K$83,5,FALSE))), $C38 = "2",('Inputs-System'!$C$30*'Coincidence Factors'!$B$8)*(1+'Inputs-System'!$C$18)*(1+'Inputs-System'!$C$41)*('Inputs-Proposals'!$H$23*'Inputs-Proposals'!$H$25*('Inputs-Proposals'!$H$26))*(VLOOKUP(CJ$3,Energy!$A$51:$K$83,5,FALSE)), $C38= "3", ('Inputs-System'!$C$30*'Coincidence Factors'!$B$8*(1+'Inputs-System'!$C$18)*(1+'Inputs-System'!$C$41)*('Inputs-Proposals'!$H$29*'Inputs-Proposals'!$H$31*('Inputs-Proposals'!$H$32))*(VLOOKUP(CJ$3,Energy!$A$51:$K$83,5,FALSE))), $C38= "0", 0), 0)</f>
        <v>0</v>
      </c>
      <c r="CK38" s="44">
        <f>IFERROR(_xlfn.IFS($C38="1",'Inputs-System'!$C$30*'Coincidence Factors'!$B$8*(1+'Inputs-System'!$C$18)*(1+'Inputs-System'!$C$41)*'Inputs-Proposals'!$H$17*'Inputs-Proposals'!$H$19*('Inputs-Proposals'!$H$20)*(VLOOKUP(CJ$3,'Embedded Emissions'!$A$47:$B$78,2,FALSE)+VLOOKUP(CJ$3,'Embedded Emissions'!$A$129:$B$158,2,FALSE)), $C38 = "2", 'Inputs-System'!$C$30*'Coincidence Factors'!$B$8*(1+'Inputs-System'!$C$18)*(1+'Inputs-System'!$C$41)*'Inputs-Proposals'!$H$23*'Inputs-Proposals'!$H$25*('Inputs-Proposals'!$H$20)*(VLOOKUP(CJ$3,'Embedded Emissions'!$A$47:$B$78,2,FALSE)+VLOOKUP(CJ$3,'Embedded Emissions'!$A$129:$B$158,2,FALSE)), $C38 = "3",'Inputs-System'!$C$30*'Coincidence Factors'!$B$8*(1+'Inputs-System'!$C$18)*(1+'Inputs-System'!$C$41)*'Inputs-Proposals'!$H$29*'Inputs-Proposals'!$H$31*('Inputs-Proposals'!$H$20)*(VLOOKUP(CJ$3,'Embedded Emissions'!$A$47:$B$78,2,FALSE)+VLOOKUP(CJ$3,'Embedded Emissions'!$A$129:$B$158,2,FALSE)), $C38 = "0", 0), 0)</f>
        <v>0</v>
      </c>
      <c r="CL38" s="44">
        <f>IFERROR(_xlfn.IFS($C38="1",( 'Inputs-System'!$C$30*'Coincidence Factors'!$B$8*(1+'Inputs-System'!$C$18)*(1+'Inputs-System'!$C$41))*('Inputs-Proposals'!$H$17*'Inputs-Proposals'!$H$19*('Inputs-Proposals'!$H$20))*(VLOOKUP(CJ$3,DRIPE!$A$54:$I$82,5,FALSE)+VLOOKUP(CJ$3,DRIPE!$A$54:$I$82,9,FALSE))+ ('Inputs-System'!$C$26*'Coincidence Factors'!$B$8*(1+'Inputs-System'!$C$18)*(1+'Inputs-System'!$C$42))*'Inputs-Proposals'!$H$16*VLOOKUP(CJ$3,DRIPE!$A$54:$I$82,8,FALSE), $C38 = "2",( 'Inputs-System'!$C$30*'Coincidence Factors'!$B$8*(1+'Inputs-System'!$C$18)*(1+'Inputs-System'!$C$41))*('Inputs-Proposals'!$H$23*'Inputs-Proposals'!$H$25*('Inputs-Proposals'!$H$26))*(VLOOKUP(CJ$3,DRIPE!$A$54:$I$82,5,FALSE)+VLOOKUP(CJ$3,DRIPE!$A$54:$I$82,9,FALSE))+  ('Inputs-System'!$C$26*'Coincidence Factors'!$B$8*(1+'Inputs-System'!$C$18)*(1+'Inputs-System'!$C$42))*'Inputs-Proposals'!$H$22*VLOOKUP(CJ$3,DRIPE!$A$54:$I$82,8,FALSE), $C38= "3", ( 'Inputs-System'!$C$30*'Coincidence Factors'!$B$8*(1+'Inputs-System'!$C$18)*(1+'Inputs-System'!$C$41))*('Inputs-Proposals'!$H$29*'Inputs-Proposals'!$H$31*('Inputs-Proposals'!$H$32))*(VLOOKUP(CJ$3,DRIPE!$A$54:$I$82,5,FALSE)+VLOOKUP(CJ$3,DRIPE!$A$54:$I$82,9,FALSE))+  ('Inputs-System'!$C$26*'Coincidence Factors'!$B$8*(1+'Inputs-System'!$C$18)*(1+'Inputs-System'!$C$42))*'Inputs-Proposals'!$H$28*VLOOKUP(CJ$3,DRIPE!$A$54:$I$82,8,FALSE), $C38 = "0", 0), 0)</f>
        <v>0</v>
      </c>
      <c r="CM38" s="45">
        <f>IFERROR(_xlfn.IFS($C38="1",('Inputs-System'!$C$30*'Coincidence Factors'!$B$8*(1+'Inputs-System'!$C$18))*'Inputs-Proposals'!$H$16*(VLOOKUP(CJ$3,Capacity!$A$53:$E$85,4,FALSE)*(1+'Inputs-System'!$C$42)+VLOOKUP(CJ$3,Capacity!$A$53:$E$85,5,FALSE)*'Inputs-System'!$C$29*(1+'Inputs-System'!$C$43)), $C38 = "2", ('Inputs-System'!$C$30*'Coincidence Factors'!$B$8*(1+'Inputs-System'!$C$18))*'Inputs-Proposals'!$H$22*(VLOOKUP(CJ$3,Capacity!$A$53:$E$85,4,FALSE)*(1+'Inputs-System'!$C$42)+VLOOKUP(CJ$3,Capacity!$A$53:$E$85,5,FALSE)*'Inputs-System'!$C$29*(1+'Inputs-System'!$C$43)), $C38 = "3",('Inputs-System'!$C$30*'Coincidence Factors'!$B$8*(1+'Inputs-System'!$C$18))*'Inputs-Proposals'!$H$28*(VLOOKUP(CJ$3,Capacity!$A$53:$E$85,4,FALSE)*(1+'Inputs-System'!$C$42)+VLOOKUP(CJ$3,Capacity!$A$53:$E$85,5,FALSE)*'Inputs-System'!$C$29*(1+'Inputs-System'!$C$43)), $C38 = "0", 0), 0)</f>
        <v>0</v>
      </c>
      <c r="CN38" s="44">
        <v>0</v>
      </c>
      <c r="CO38" s="342">
        <f>IFERROR(_xlfn.IFS($C38="1", 'Inputs-System'!$C$30*'Coincidence Factors'!$B$8*'Inputs-Proposals'!$H$17*'Inputs-Proposals'!$H$19*(VLOOKUP(CJ$3,'Non-Embedded Emissions'!$A$56:$D$90,2,FALSE)+VLOOKUP(CJ$3,'Non-Embedded Emissions'!$A$143:$D$174,2,FALSE)+VLOOKUP(CJ$3,'Non-Embedded Emissions'!$A$230:$D$259,2,FALSE)), $C38 = "2", 'Inputs-System'!$C$30*'Coincidence Factors'!$B$8*'Inputs-Proposals'!$H$23*'Inputs-Proposals'!$H$25*(VLOOKUP(CJ$3,'Non-Embedded Emissions'!$A$56:$D$90,2,FALSE)+VLOOKUP(CJ$3,'Non-Embedded Emissions'!$A$143:$D$174,2,FALSE)+VLOOKUP(CJ$3,'Non-Embedded Emissions'!$A$230:$D$259,2,FALSE)), $C38 = "3", 'Inputs-System'!$C$30*'Coincidence Factors'!$B$8*'Inputs-Proposals'!$H$29*'Inputs-Proposals'!$H$31*(VLOOKUP(CJ$3,'Non-Embedded Emissions'!$A$56:$D$90,2,FALSE)+VLOOKUP(CJ$3,'Non-Embedded Emissions'!$A$143:$D$174,2,FALSE)+VLOOKUP(CJ$3,'Non-Embedded Emissions'!$A$230:$D$259,2,FALSE)), $C38 = "0", 0), 0)</f>
        <v>0</v>
      </c>
      <c r="CP38" s="347">
        <f>IFERROR(_xlfn.IFS($C38="1",('Inputs-System'!$C$30*'Coincidence Factors'!$B$8*(1+'Inputs-System'!$C$18)*(1+'Inputs-System'!$C$41)*('Inputs-Proposals'!$H$17*'Inputs-Proposals'!$H$19*('Inputs-Proposals'!$H$20))*(VLOOKUP(CP$3,Energy!$A$51:$K$83,5,FALSE))), $C38 = "2",('Inputs-System'!$C$30*'Coincidence Factors'!$B$8)*(1+'Inputs-System'!$C$18)*(1+'Inputs-System'!$C$41)*('Inputs-Proposals'!$H$23*'Inputs-Proposals'!$H$25*('Inputs-Proposals'!$H$26))*(VLOOKUP(CP$3,Energy!$A$51:$K$83,5,FALSE)), $C38= "3", ('Inputs-System'!$C$30*'Coincidence Factors'!$B$8*(1+'Inputs-System'!$C$18)*(1+'Inputs-System'!$C$41)*('Inputs-Proposals'!$H$29*'Inputs-Proposals'!$H$31*('Inputs-Proposals'!$H$32))*(VLOOKUP(CP$3,Energy!$A$51:$K$83,5,FALSE))), $C38= "0", 0), 0)</f>
        <v>0</v>
      </c>
      <c r="CQ38" s="44">
        <f>IFERROR(_xlfn.IFS($C38="1",'Inputs-System'!$C$30*'Coincidence Factors'!$B$8*(1+'Inputs-System'!$C$18)*(1+'Inputs-System'!$C$41)*'Inputs-Proposals'!$H$17*'Inputs-Proposals'!$H$19*('Inputs-Proposals'!$H$20)*(VLOOKUP(CP$3,'Embedded Emissions'!$A$47:$B$78,2,FALSE)+VLOOKUP(CP$3,'Embedded Emissions'!$A$129:$B$158,2,FALSE)), $C38 = "2", 'Inputs-System'!$C$30*'Coincidence Factors'!$B$8*(1+'Inputs-System'!$C$18)*(1+'Inputs-System'!$C$41)*'Inputs-Proposals'!$H$23*'Inputs-Proposals'!$H$25*('Inputs-Proposals'!$H$20)*(VLOOKUP(CP$3,'Embedded Emissions'!$A$47:$B$78,2,FALSE)+VLOOKUP(CP$3,'Embedded Emissions'!$A$129:$B$158,2,FALSE)), $C38 = "3",'Inputs-System'!$C$30*'Coincidence Factors'!$B$8*(1+'Inputs-System'!$C$18)*(1+'Inputs-System'!$C$41)*'Inputs-Proposals'!$H$29*'Inputs-Proposals'!$H$31*('Inputs-Proposals'!$H$20)*(VLOOKUP(CP$3,'Embedded Emissions'!$A$47:$B$78,2,FALSE)+VLOOKUP(CP$3,'Embedded Emissions'!$A$129:$B$158,2,FALSE)), $C38 = "0", 0), 0)</f>
        <v>0</v>
      </c>
      <c r="CR38" s="44">
        <f>IFERROR(_xlfn.IFS($C38="1",( 'Inputs-System'!$C$30*'Coincidence Factors'!$B$8*(1+'Inputs-System'!$C$18)*(1+'Inputs-System'!$C$41))*('Inputs-Proposals'!$H$17*'Inputs-Proposals'!$H$19*('Inputs-Proposals'!$H$20))*(VLOOKUP(CP$3,DRIPE!$A$54:$I$82,5,FALSE)+VLOOKUP(CP$3,DRIPE!$A$54:$I$82,9,FALSE))+ ('Inputs-System'!$C$26*'Coincidence Factors'!$B$8*(1+'Inputs-System'!$C$18)*(1+'Inputs-System'!$C$42))*'Inputs-Proposals'!$H$16*VLOOKUP(CP$3,DRIPE!$A$54:$I$82,8,FALSE), $C38 = "2",( 'Inputs-System'!$C$30*'Coincidence Factors'!$B$8*(1+'Inputs-System'!$C$18)*(1+'Inputs-System'!$C$41))*('Inputs-Proposals'!$H$23*'Inputs-Proposals'!$H$25*('Inputs-Proposals'!$H$26))*(VLOOKUP(CP$3,DRIPE!$A$54:$I$82,5,FALSE)+VLOOKUP(CP$3,DRIPE!$A$54:$I$82,9,FALSE))+  ('Inputs-System'!$C$26*'Coincidence Factors'!$B$8*(1+'Inputs-System'!$C$18)*(1+'Inputs-System'!$C$42))*'Inputs-Proposals'!$H$22*VLOOKUP(CP$3,DRIPE!$A$54:$I$82,8,FALSE), $C38= "3", ( 'Inputs-System'!$C$30*'Coincidence Factors'!$B$8*(1+'Inputs-System'!$C$18)*(1+'Inputs-System'!$C$41))*('Inputs-Proposals'!$H$29*'Inputs-Proposals'!$H$31*('Inputs-Proposals'!$H$32))*(VLOOKUP(CP$3,DRIPE!$A$54:$I$82,5,FALSE)+VLOOKUP(CP$3,DRIPE!$A$54:$I$82,9,FALSE))+  ('Inputs-System'!$C$26*'Coincidence Factors'!$B$8*(1+'Inputs-System'!$C$18)*(1+'Inputs-System'!$C$42))*'Inputs-Proposals'!$H$28*VLOOKUP(CP$3,DRIPE!$A$54:$I$82,8,FALSE), $C38 = "0", 0), 0)</f>
        <v>0</v>
      </c>
      <c r="CS38" s="45">
        <f>IFERROR(_xlfn.IFS($C38="1",('Inputs-System'!$C$30*'Coincidence Factors'!$B$8*(1+'Inputs-System'!$C$18))*'Inputs-Proposals'!$H$16*(VLOOKUP(CP$3,Capacity!$A$53:$E$85,4,FALSE)*(1+'Inputs-System'!$C$42)+VLOOKUP(CP$3,Capacity!$A$53:$E$85,5,FALSE)*'Inputs-System'!$C$29*(1+'Inputs-System'!$C$43)), $C38 = "2", ('Inputs-System'!$C$30*'Coincidence Factors'!$B$8*(1+'Inputs-System'!$C$18))*'Inputs-Proposals'!$H$22*(VLOOKUP(CP$3,Capacity!$A$53:$E$85,4,FALSE)*(1+'Inputs-System'!$C$42)+VLOOKUP(CP$3,Capacity!$A$53:$E$85,5,FALSE)*'Inputs-System'!$C$29*(1+'Inputs-System'!$C$43)), $C38 = "3",('Inputs-System'!$C$30*'Coincidence Factors'!$B$8*(1+'Inputs-System'!$C$18))*'Inputs-Proposals'!$H$28*(VLOOKUP(CP$3,Capacity!$A$53:$E$85,4,FALSE)*(1+'Inputs-System'!$C$42)+VLOOKUP(CP$3,Capacity!$A$53:$E$85,5,FALSE)*'Inputs-System'!$C$29*(1+'Inputs-System'!$C$43)), $C38 = "0", 0), 0)</f>
        <v>0</v>
      </c>
      <c r="CT38" s="44">
        <v>0</v>
      </c>
      <c r="CU38" s="342">
        <f>IFERROR(_xlfn.IFS($C38="1", 'Inputs-System'!$C$30*'Coincidence Factors'!$B$8*'Inputs-Proposals'!$H$17*'Inputs-Proposals'!$H$19*(VLOOKUP(CP$3,'Non-Embedded Emissions'!$A$56:$D$90,2,FALSE)+VLOOKUP(CP$3,'Non-Embedded Emissions'!$A$143:$D$174,2,FALSE)+VLOOKUP(CP$3,'Non-Embedded Emissions'!$A$230:$D$259,2,FALSE)), $C38 = "2", 'Inputs-System'!$C$30*'Coincidence Factors'!$B$8*'Inputs-Proposals'!$H$23*'Inputs-Proposals'!$H$25*(VLOOKUP(CP$3,'Non-Embedded Emissions'!$A$56:$D$90,2,FALSE)+VLOOKUP(CP$3,'Non-Embedded Emissions'!$A$143:$D$174,2,FALSE)+VLOOKUP(CP$3,'Non-Embedded Emissions'!$A$230:$D$259,2,FALSE)), $C38 = "3", 'Inputs-System'!$C$30*'Coincidence Factors'!$B$8*'Inputs-Proposals'!$H$29*'Inputs-Proposals'!$H$31*(VLOOKUP(CP$3,'Non-Embedded Emissions'!$A$56:$D$90,2,FALSE)+VLOOKUP(CP$3,'Non-Embedded Emissions'!$A$143:$D$174,2,FALSE)+VLOOKUP(CP$3,'Non-Embedded Emissions'!$A$230:$D$259,2,FALSE)), $C38 = "0", 0), 0)</f>
        <v>0</v>
      </c>
      <c r="CV38" s="347">
        <f>IFERROR(_xlfn.IFS($C38="1",('Inputs-System'!$C$30*'Coincidence Factors'!$B$8*(1+'Inputs-System'!$C$18)*(1+'Inputs-System'!$C$41)*('Inputs-Proposals'!$H$17*'Inputs-Proposals'!$H$19*('Inputs-Proposals'!$H$20))*(VLOOKUP(CV$3,Energy!$A$51:$K$83,5,FALSE))), $C38 = "2",('Inputs-System'!$C$30*'Coincidence Factors'!$B$8)*(1+'Inputs-System'!$C$18)*(1+'Inputs-System'!$C$41)*('Inputs-Proposals'!$H$23*'Inputs-Proposals'!$H$25*('Inputs-Proposals'!$H$26))*(VLOOKUP(CV$3,Energy!$A$51:$K$83,5,FALSE)), $C38= "3", ('Inputs-System'!$C$30*'Coincidence Factors'!$B$8*(1+'Inputs-System'!$C$18)*(1+'Inputs-System'!$C$41)*('Inputs-Proposals'!$H$29*'Inputs-Proposals'!$H$31*('Inputs-Proposals'!$H$32))*(VLOOKUP(CV$3,Energy!$A$51:$K$83,5,FALSE))), $C38= "0", 0), 0)</f>
        <v>0</v>
      </c>
      <c r="CW38" s="44">
        <f>IFERROR(_xlfn.IFS($C38="1",'Inputs-System'!$C$30*'Coincidence Factors'!$B$8*(1+'Inputs-System'!$C$18)*(1+'Inputs-System'!$C$41)*'Inputs-Proposals'!$H$17*'Inputs-Proposals'!$H$19*('Inputs-Proposals'!$H$20)*(VLOOKUP(CV$3,'Embedded Emissions'!$A$47:$B$78,2,FALSE)+VLOOKUP(CV$3,'Embedded Emissions'!$A$129:$B$158,2,FALSE)), $C38 = "2", 'Inputs-System'!$C$30*'Coincidence Factors'!$B$8*(1+'Inputs-System'!$C$18)*(1+'Inputs-System'!$C$41)*'Inputs-Proposals'!$H$23*'Inputs-Proposals'!$H$25*('Inputs-Proposals'!$H$20)*(VLOOKUP(CV$3,'Embedded Emissions'!$A$47:$B$78,2,FALSE)+VLOOKUP(CV$3,'Embedded Emissions'!$A$129:$B$158,2,FALSE)), $C38 = "3",'Inputs-System'!$C$30*'Coincidence Factors'!$B$8*(1+'Inputs-System'!$C$18)*(1+'Inputs-System'!$C$41)*'Inputs-Proposals'!$H$29*'Inputs-Proposals'!$H$31*('Inputs-Proposals'!$H$20)*(VLOOKUP(CV$3,'Embedded Emissions'!$A$47:$B$78,2,FALSE)+VLOOKUP(CV$3,'Embedded Emissions'!$A$129:$B$158,2,FALSE)), $C38 = "0", 0), 0)</f>
        <v>0</v>
      </c>
      <c r="CX38" s="44">
        <f>IFERROR(_xlfn.IFS($C38="1",( 'Inputs-System'!$C$30*'Coincidence Factors'!$B$8*(1+'Inputs-System'!$C$18)*(1+'Inputs-System'!$C$41))*('Inputs-Proposals'!$H$17*'Inputs-Proposals'!$H$19*('Inputs-Proposals'!$H$20))*(VLOOKUP(CV$3,DRIPE!$A$54:$I$82,5,FALSE)+VLOOKUP(CV$3,DRIPE!$A$54:$I$82,9,FALSE))+ ('Inputs-System'!$C$26*'Coincidence Factors'!$B$8*(1+'Inputs-System'!$C$18)*(1+'Inputs-System'!$C$42))*'Inputs-Proposals'!$H$16*VLOOKUP(CV$3,DRIPE!$A$54:$I$82,8,FALSE), $C38 = "2",( 'Inputs-System'!$C$30*'Coincidence Factors'!$B$8*(1+'Inputs-System'!$C$18)*(1+'Inputs-System'!$C$41))*('Inputs-Proposals'!$H$23*'Inputs-Proposals'!$H$25*('Inputs-Proposals'!$H$26))*(VLOOKUP(CV$3,DRIPE!$A$54:$I$82,5,FALSE)+VLOOKUP(CV$3,DRIPE!$A$54:$I$82,9,FALSE))+  ('Inputs-System'!$C$26*'Coincidence Factors'!$B$8*(1+'Inputs-System'!$C$18)*(1+'Inputs-System'!$C$42))*'Inputs-Proposals'!$H$22*VLOOKUP(CV$3,DRIPE!$A$54:$I$82,8,FALSE), $C38= "3", ( 'Inputs-System'!$C$30*'Coincidence Factors'!$B$8*(1+'Inputs-System'!$C$18)*(1+'Inputs-System'!$C$41))*('Inputs-Proposals'!$H$29*'Inputs-Proposals'!$H$31*('Inputs-Proposals'!$H$32))*(VLOOKUP(CV$3,DRIPE!$A$54:$I$82,5,FALSE)+VLOOKUP(CV$3,DRIPE!$A$54:$I$82,9,FALSE))+  ('Inputs-System'!$C$26*'Coincidence Factors'!$B$8*(1+'Inputs-System'!$C$18)*(1+'Inputs-System'!$C$42))*'Inputs-Proposals'!$H$28*VLOOKUP(CV$3,DRIPE!$A$54:$I$82,8,FALSE), $C38 = "0", 0), 0)</f>
        <v>0</v>
      </c>
      <c r="CY38" s="45">
        <f>IFERROR(_xlfn.IFS($C38="1",('Inputs-System'!$C$30*'Coincidence Factors'!$B$8*(1+'Inputs-System'!$C$18))*'Inputs-Proposals'!$H$16*(VLOOKUP(CV$3,Capacity!$A$53:$E$85,4,FALSE)*(1+'Inputs-System'!$C$42)+VLOOKUP(CV$3,Capacity!$A$53:$E$85,5,FALSE)*'Inputs-System'!$C$29*(1+'Inputs-System'!$C$43)), $C38 = "2", ('Inputs-System'!$C$30*'Coincidence Factors'!$B$8*(1+'Inputs-System'!$C$18))*'Inputs-Proposals'!$H$22*(VLOOKUP(CV$3,Capacity!$A$53:$E$85,4,FALSE)*(1+'Inputs-System'!$C$42)+VLOOKUP(CV$3,Capacity!$A$53:$E$85,5,FALSE)*'Inputs-System'!$C$29*(1+'Inputs-System'!$C$43)), $C38 = "3",('Inputs-System'!$C$30*'Coincidence Factors'!$B$8*(1+'Inputs-System'!$C$18))*'Inputs-Proposals'!$H$28*(VLOOKUP(CV$3,Capacity!$A$53:$E$85,4,FALSE)*(1+'Inputs-System'!$C$42)+VLOOKUP(CV$3,Capacity!$A$53:$E$85,5,FALSE)*'Inputs-System'!$C$29*(1+'Inputs-System'!$C$43)), $C38 = "0", 0), 0)</f>
        <v>0</v>
      </c>
      <c r="CZ38" s="44">
        <v>0</v>
      </c>
      <c r="DA38" s="342">
        <f>IFERROR(_xlfn.IFS($C38="1", 'Inputs-System'!$C$30*'Coincidence Factors'!$B$8*'Inputs-Proposals'!$H$17*'Inputs-Proposals'!$H$19*(VLOOKUP(CV$3,'Non-Embedded Emissions'!$A$56:$D$90,2,FALSE)+VLOOKUP(CV$3,'Non-Embedded Emissions'!$A$143:$D$174,2,FALSE)+VLOOKUP(CV$3,'Non-Embedded Emissions'!$A$230:$D$259,2,FALSE)), $C38 = "2", 'Inputs-System'!$C$30*'Coincidence Factors'!$B$8*'Inputs-Proposals'!$H$23*'Inputs-Proposals'!$H$25*(VLOOKUP(CV$3,'Non-Embedded Emissions'!$A$56:$D$90,2,FALSE)+VLOOKUP(CV$3,'Non-Embedded Emissions'!$A$143:$D$174,2,FALSE)+VLOOKUP(CV$3,'Non-Embedded Emissions'!$A$230:$D$259,2,FALSE)), $C38 = "3", 'Inputs-System'!$C$30*'Coincidence Factors'!$B$8*'Inputs-Proposals'!$H$29*'Inputs-Proposals'!$H$31*(VLOOKUP(CV$3,'Non-Embedded Emissions'!$A$56:$D$90,2,FALSE)+VLOOKUP(CV$3,'Non-Embedded Emissions'!$A$143:$D$174,2,FALSE)+VLOOKUP(CV$3,'Non-Embedded Emissions'!$A$230:$D$259,2,FALSE)), $C38 = "0", 0), 0)</f>
        <v>0</v>
      </c>
      <c r="DB38" s="347">
        <f>IFERROR(_xlfn.IFS($C38="1",('Inputs-System'!$C$30*'Coincidence Factors'!$B$8*(1+'Inputs-System'!$C$18)*(1+'Inputs-System'!$C$41)*('Inputs-Proposals'!$H$17*'Inputs-Proposals'!$H$19*('Inputs-Proposals'!$H$20))*(VLOOKUP(DB$3,Energy!$A$51:$K$83,5,FALSE))), $C38 = "2",('Inputs-System'!$C$30*'Coincidence Factors'!$B$8)*(1+'Inputs-System'!$C$18)*(1+'Inputs-System'!$C$41)*('Inputs-Proposals'!$H$23*'Inputs-Proposals'!$H$25*('Inputs-Proposals'!$H$26))*(VLOOKUP(DB$3,Energy!$A$51:$K$83,5,FALSE)), $C38= "3", ('Inputs-System'!$C$30*'Coincidence Factors'!$B$8*(1+'Inputs-System'!$C$18)*(1+'Inputs-System'!$C$41)*('Inputs-Proposals'!$H$29*'Inputs-Proposals'!$H$31*('Inputs-Proposals'!$H$32))*(VLOOKUP(DB$3,Energy!$A$51:$K$83,5,FALSE))), $C38= "0", 0), 0)</f>
        <v>0</v>
      </c>
      <c r="DC38" s="44">
        <f>IFERROR(_xlfn.IFS($C38="1",'Inputs-System'!$C$30*'Coincidence Factors'!$B$8*(1+'Inputs-System'!$C$18)*(1+'Inputs-System'!$C$41)*'Inputs-Proposals'!$H$17*'Inputs-Proposals'!$H$19*('Inputs-Proposals'!$H$20)*(VLOOKUP(DB$3,'Embedded Emissions'!$A$47:$B$78,2,FALSE)+VLOOKUP(DB$3,'Embedded Emissions'!$A$129:$B$158,2,FALSE)), $C38 = "2", 'Inputs-System'!$C$30*'Coincidence Factors'!$B$8*(1+'Inputs-System'!$C$18)*(1+'Inputs-System'!$C$41)*'Inputs-Proposals'!$H$23*'Inputs-Proposals'!$H$25*('Inputs-Proposals'!$H$20)*(VLOOKUP(DB$3,'Embedded Emissions'!$A$47:$B$78,2,FALSE)+VLOOKUP(DB$3,'Embedded Emissions'!$A$129:$B$158,2,FALSE)), $C38 = "3",'Inputs-System'!$C$30*'Coincidence Factors'!$B$8*(1+'Inputs-System'!$C$18)*(1+'Inputs-System'!$C$41)*'Inputs-Proposals'!$H$29*'Inputs-Proposals'!$H$31*('Inputs-Proposals'!$H$20)*(VLOOKUP(DB$3,'Embedded Emissions'!$A$47:$B$78,2,FALSE)+VLOOKUP(DB$3,'Embedded Emissions'!$A$129:$B$158,2,FALSE)), $C38 = "0", 0), 0)</f>
        <v>0</v>
      </c>
      <c r="DD38" s="44">
        <f>IFERROR(_xlfn.IFS($C38="1",( 'Inputs-System'!$C$30*'Coincidence Factors'!$B$8*(1+'Inputs-System'!$C$18)*(1+'Inputs-System'!$C$41))*('Inputs-Proposals'!$H$17*'Inputs-Proposals'!$H$19*('Inputs-Proposals'!$H$20))*(VLOOKUP(DB$3,DRIPE!$A$54:$I$82,5,FALSE)+VLOOKUP(DB$3,DRIPE!$A$54:$I$82,9,FALSE))+ ('Inputs-System'!$C$26*'Coincidence Factors'!$B$8*(1+'Inputs-System'!$C$18)*(1+'Inputs-System'!$C$42))*'Inputs-Proposals'!$H$16*VLOOKUP(DB$3,DRIPE!$A$54:$I$82,8,FALSE), $C38 = "2",( 'Inputs-System'!$C$30*'Coincidence Factors'!$B$8*(1+'Inputs-System'!$C$18)*(1+'Inputs-System'!$C$41))*('Inputs-Proposals'!$H$23*'Inputs-Proposals'!$H$25*('Inputs-Proposals'!$H$26))*(VLOOKUP(DB$3,DRIPE!$A$54:$I$82,5,FALSE)+VLOOKUP(DB$3,DRIPE!$A$54:$I$82,9,FALSE))+  ('Inputs-System'!$C$26*'Coincidence Factors'!$B$8*(1+'Inputs-System'!$C$18)*(1+'Inputs-System'!$C$42))*'Inputs-Proposals'!$H$22*VLOOKUP(DB$3,DRIPE!$A$54:$I$82,8,FALSE), $C38= "3", ( 'Inputs-System'!$C$30*'Coincidence Factors'!$B$8*(1+'Inputs-System'!$C$18)*(1+'Inputs-System'!$C$41))*('Inputs-Proposals'!$H$29*'Inputs-Proposals'!$H$31*('Inputs-Proposals'!$H$32))*(VLOOKUP(DB$3,DRIPE!$A$54:$I$82,5,FALSE)+VLOOKUP(DB$3,DRIPE!$A$54:$I$82,9,FALSE))+  ('Inputs-System'!$C$26*'Coincidence Factors'!$B$8*(1+'Inputs-System'!$C$18)*(1+'Inputs-System'!$C$42))*'Inputs-Proposals'!$H$28*VLOOKUP(DB$3,DRIPE!$A$54:$I$82,8,FALSE), $C38 = "0", 0), 0)</f>
        <v>0</v>
      </c>
      <c r="DE38" s="45">
        <f>IFERROR(_xlfn.IFS($C38="1",('Inputs-System'!$C$30*'Coincidence Factors'!$B$8*(1+'Inputs-System'!$C$18))*'Inputs-Proposals'!$H$16*(VLOOKUP(DB$3,Capacity!$A$53:$E$85,4,FALSE)*(1+'Inputs-System'!$C$42)+VLOOKUP(DB$3,Capacity!$A$53:$E$85,5,FALSE)*'Inputs-System'!$C$29*(1+'Inputs-System'!$C$43)), $C38 = "2", ('Inputs-System'!$C$30*'Coincidence Factors'!$B$8*(1+'Inputs-System'!$C$18))*'Inputs-Proposals'!$H$22*(VLOOKUP(DB$3,Capacity!$A$53:$E$85,4,FALSE)*(1+'Inputs-System'!$C$42)+VLOOKUP(DB$3,Capacity!$A$53:$E$85,5,FALSE)*'Inputs-System'!$C$29*(1+'Inputs-System'!$C$43)), $C38 = "3",('Inputs-System'!$C$30*'Coincidence Factors'!$B$8*(1+'Inputs-System'!$C$18))*'Inputs-Proposals'!$H$28*(VLOOKUP(DB$3,Capacity!$A$53:$E$85,4,FALSE)*(1+'Inputs-System'!$C$42)+VLOOKUP(DB$3,Capacity!$A$53:$E$85,5,FALSE)*'Inputs-System'!$C$29*(1+'Inputs-System'!$C$43)), $C38 = "0", 0), 0)</f>
        <v>0</v>
      </c>
      <c r="DF38" s="44">
        <v>0</v>
      </c>
      <c r="DG38" s="342">
        <f>IFERROR(_xlfn.IFS($C38="1", 'Inputs-System'!$C$30*'Coincidence Factors'!$B$8*'Inputs-Proposals'!$H$17*'Inputs-Proposals'!$H$19*(VLOOKUP(DB$3,'Non-Embedded Emissions'!$A$56:$D$90,2,FALSE)+VLOOKUP(DB$3,'Non-Embedded Emissions'!$A$143:$D$174,2,FALSE)+VLOOKUP(DB$3,'Non-Embedded Emissions'!$A$230:$D$259,2,FALSE)), $C38 = "2", 'Inputs-System'!$C$30*'Coincidence Factors'!$B$8*'Inputs-Proposals'!$H$23*'Inputs-Proposals'!$H$25*(VLOOKUP(DB$3,'Non-Embedded Emissions'!$A$56:$D$90,2,FALSE)+VLOOKUP(DB$3,'Non-Embedded Emissions'!$A$143:$D$174,2,FALSE)+VLOOKUP(DB$3,'Non-Embedded Emissions'!$A$230:$D$259,2,FALSE)), $C38 = "3", 'Inputs-System'!$C$30*'Coincidence Factors'!$B$8*'Inputs-Proposals'!$H$29*'Inputs-Proposals'!$H$31*(VLOOKUP(DB$3,'Non-Embedded Emissions'!$A$56:$D$90,2,FALSE)+VLOOKUP(DB$3,'Non-Embedded Emissions'!$A$143:$D$174,2,FALSE)+VLOOKUP(DB$3,'Non-Embedded Emissions'!$A$230:$D$259,2,FALSE)), $C38 = "0", 0), 0)</f>
        <v>0</v>
      </c>
      <c r="DH38" s="347">
        <f>IFERROR(_xlfn.IFS($C38="1",('Inputs-System'!$C$30*'Coincidence Factors'!$B$8*(1+'Inputs-System'!$C$18)*(1+'Inputs-System'!$C$41)*('Inputs-Proposals'!$H$17*'Inputs-Proposals'!$H$19*('Inputs-Proposals'!$H$20))*(VLOOKUP(DH$3,Energy!$A$51:$K$83,5,FALSE))), $C38 = "2",('Inputs-System'!$C$30*'Coincidence Factors'!$B$8)*(1+'Inputs-System'!$C$18)*(1+'Inputs-System'!$C$41)*('Inputs-Proposals'!$H$23*'Inputs-Proposals'!$H$25*('Inputs-Proposals'!$H$26))*(VLOOKUP(DH$3,Energy!$A$51:$K$83,5,FALSE)), $C38= "3", ('Inputs-System'!$C$30*'Coincidence Factors'!$B$8*(1+'Inputs-System'!$C$18)*(1+'Inputs-System'!$C$41)*('Inputs-Proposals'!$H$29*'Inputs-Proposals'!$H$31*('Inputs-Proposals'!$H$32))*(VLOOKUP(DH$3,Energy!$A$51:$K$83,5,FALSE))), $C38= "0", 0), 0)</f>
        <v>0</v>
      </c>
      <c r="DI38" s="44">
        <f>IFERROR(_xlfn.IFS($C38="1",'Inputs-System'!$C$30*'Coincidence Factors'!$B$8*(1+'Inputs-System'!$C$18)*(1+'Inputs-System'!$C$41)*'Inputs-Proposals'!$H$17*'Inputs-Proposals'!$H$19*('Inputs-Proposals'!$H$20)*(VLOOKUP(DH$3,'Embedded Emissions'!$A$47:$B$78,2,FALSE)+VLOOKUP(DH$3,'Embedded Emissions'!$A$129:$B$158,2,FALSE)), $C38 = "2", 'Inputs-System'!$C$30*'Coincidence Factors'!$B$8*(1+'Inputs-System'!$C$18)*(1+'Inputs-System'!$C$41)*'Inputs-Proposals'!$H$23*'Inputs-Proposals'!$H$25*('Inputs-Proposals'!$H$20)*(VLOOKUP(DH$3,'Embedded Emissions'!$A$47:$B$78,2,FALSE)+VLOOKUP(DH$3,'Embedded Emissions'!$A$129:$B$158,2,FALSE)), $C38 = "3",'Inputs-System'!$C$30*'Coincidence Factors'!$B$8*(1+'Inputs-System'!$C$18)*(1+'Inputs-System'!$C$41)*'Inputs-Proposals'!$H$29*'Inputs-Proposals'!$H$31*('Inputs-Proposals'!$H$20)*(VLOOKUP(DH$3,'Embedded Emissions'!$A$47:$B$78,2,FALSE)+VLOOKUP(DH$3,'Embedded Emissions'!$A$129:$B$158,2,FALSE)), $C38 = "0", 0), 0)</f>
        <v>0</v>
      </c>
      <c r="DJ38" s="44">
        <f>IFERROR(_xlfn.IFS($C38="1",( 'Inputs-System'!$C$30*'Coincidence Factors'!$B$8*(1+'Inputs-System'!$C$18)*(1+'Inputs-System'!$C$41))*('Inputs-Proposals'!$H$17*'Inputs-Proposals'!$H$19*('Inputs-Proposals'!$H$20))*(VLOOKUP(DH$3,DRIPE!$A$54:$I$82,5,FALSE)+VLOOKUP(DH$3,DRIPE!$A$54:$I$82,9,FALSE))+ ('Inputs-System'!$C$26*'Coincidence Factors'!$B$8*(1+'Inputs-System'!$C$18)*(1+'Inputs-System'!$C$42))*'Inputs-Proposals'!$H$16*VLOOKUP(DH$3,DRIPE!$A$54:$I$82,8,FALSE), $C38 = "2",( 'Inputs-System'!$C$30*'Coincidence Factors'!$B$8*(1+'Inputs-System'!$C$18)*(1+'Inputs-System'!$C$41))*('Inputs-Proposals'!$H$23*'Inputs-Proposals'!$H$25*('Inputs-Proposals'!$H$26))*(VLOOKUP(DH$3,DRIPE!$A$54:$I$82,5,FALSE)+VLOOKUP(DH$3,DRIPE!$A$54:$I$82,9,FALSE))+  ('Inputs-System'!$C$26*'Coincidence Factors'!$B$8*(1+'Inputs-System'!$C$18)*(1+'Inputs-System'!$C$42))*'Inputs-Proposals'!$H$22*VLOOKUP(DH$3,DRIPE!$A$54:$I$82,8,FALSE), $C38= "3", ( 'Inputs-System'!$C$30*'Coincidence Factors'!$B$8*(1+'Inputs-System'!$C$18)*(1+'Inputs-System'!$C$41))*('Inputs-Proposals'!$H$29*'Inputs-Proposals'!$H$31*('Inputs-Proposals'!$H$32))*(VLOOKUP(DH$3,DRIPE!$A$54:$I$82,5,FALSE)+VLOOKUP(DH$3,DRIPE!$A$54:$I$82,9,FALSE))+  ('Inputs-System'!$C$26*'Coincidence Factors'!$B$8*(1+'Inputs-System'!$C$18)*(1+'Inputs-System'!$C$42))*'Inputs-Proposals'!$H$28*VLOOKUP(DH$3,DRIPE!$A$54:$I$82,8,FALSE), $C38 = "0", 0), 0)</f>
        <v>0</v>
      </c>
      <c r="DK38" s="45">
        <f>IFERROR(_xlfn.IFS($C38="1",('Inputs-System'!$C$30*'Coincidence Factors'!$B$8*(1+'Inputs-System'!$C$18))*'Inputs-Proposals'!$H$16*(VLOOKUP(DH$3,Capacity!$A$53:$E$85,4,FALSE)*(1+'Inputs-System'!$C$42)+VLOOKUP(DH$3,Capacity!$A$53:$E$85,5,FALSE)*'Inputs-System'!$C$29*(1+'Inputs-System'!$C$43)), $C38 = "2", ('Inputs-System'!$C$30*'Coincidence Factors'!$B$8*(1+'Inputs-System'!$C$18))*'Inputs-Proposals'!$H$22*(VLOOKUP(DH$3,Capacity!$A$53:$E$85,4,FALSE)*(1+'Inputs-System'!$C$42)+VLOOKUP(DH$3,Capacity!$A$53:$E$85,5,FALSE)*'Inputs-System'!$C$29*(1+'Inputs-System'!$C$43)), $C38 = "3",('Inputs-System'!$C$30*'Coincidence Factors'!$B$8*(1+'Inputs-System'!$C$18))*'Inputs-Proposals'!$H$28*(VLOOKUP(DH$3,Capacity!$A$53:$E$85,4,FALSE)*(1+'Inputs-System'!$C$42)+VLOOKUP(DH$3,Capacity!$A$53:$E$85,5,FALSE)*'Inputs-System'!$C$29*(1+'Inputs-System'!$C$43)), $C38 = "0", 0), 0)</f>
        <v>0</v>
      </c>
      <c r="DL38" s="44">
        <v>0</v>
      </c>
      <c r="DM38" s="342">
        <f>IFERROR(_xlfn.IFS($C38="1", 'Inputs-System'!$C$30*'Coincidence Factors'!$B$8*'Inputs-Proposals'!$H$17*'Inputs-Proposals'!$H$19*(VLOOKUP(DH$3,'Non-Embedded Emissions'!$A$56:$D$90,2,FALSE)+VLOOKUP(DH$3,'Non-Embedded Emissions'!$A$143:$D$174,2,FALSE)+VLOOKUP(DH$3,'Non-Embedded Emissions'!$A$230:$D$259,2,FALSE)), $C38 = "2", 'Inputs-System'!$C$30*'Coincidence Factors'!$B$8*'Inputs-Proposals'!$H$23*'Inputs-Proposals'!$H$25*(VLOOKUP(DH$3,'Non-Embedded Emissions'!$A$56:$D$90,2,FALSE)+VLOOKUP(DH$3,'Non-Embedded Emissions'!$A$143:$D$174,2,FALSE)+VLOOKUP(DH$3,'Non-Embedded Emissions'!$A$230:$D$259,2,FALSE)), $C38 = "3", 'Inputs-System'!$C$30*'Coincidence Factors'!$B$8*'Inputs-Proposals'!$H$29*'Inputs-Proposals'!$H$31*(VLOOKUP(DH$3,'Non-Embedded Emissions'!$A$56:$D$90,2,FALSE)+VLOOKUP(DH$3,'Non-Embedded Emissions'!$A$143:$D$174,2,FALSE)+VLOOKUP(DH$3,'Non-Embedded Emissions'!$A$230:$D$259,2,FALSE)), $C38 = "0", 0), 0)</f>
        <v>0</v>
      </c>
      <c r="DN38" s="347">
        <f>IFERROR(_xlfn.IFS($C38="1",('Inputs-System'!$C$30*'Coincidence Factors'!$B$8*(1+'Inputs-System'!$C$18)*(1+'Inputs-System'!$C$41)*('Inputs-Proposals'!$H$17*'Inputs-Proposals'!$H$19*('Inputs-Proposals'!$H$20))*(VLOOKUP(DN$3,Energy!$A$51:$K$83,5,FALSE))), $C38 = "2",('Inputs-System'!$C$30*'Coincidence Factors'!$B$8)*(1+'Inputs-System'!$C$18)*(1+'Inputs-System'!$C$41)*('Inputs-Proposals'!$H$23*'Inputs-Proposals'!$H$25*('Inputs-Proposals'!$H$26))*(VLOOKUP(DN$3,Energy!$A$51:$K$83,5,FALSE)), $C38= "3", ('Inputs-System'!$C$30*'Coincidence Factors'!$B$8*(1+'Inputs-System'!$C$18)*(1+'Inputs-System'!$C$41)*('Inputs-Proposals'!$H$29*'Inputs-Proposals'!$H$31*('Inputs-Proposals'!$H$32))*(VLOOKUP(DN$3,Energy!$A$51:$K$83,5,FALSE))), $C38= "0", 0), 0)</f>
        <v>0</v>
      </c>
      <c r="DO38" s="44">
        <f>IFERROR(_xlfn.IFS($C38="1",'Inputs-System'!$C$30*'Coincidence Factors'!$B$8*(1+'Inputs-System'!$C$18)*(1+'Inputs-System'!$C$41)*'Inputs-Proposals'!$H$17*'Inputs-Proposals'!$H$19*('Inputs-Proposals'!$H$20)*(VLOOKUP(DN$3,'Embedded Emissions'!$A$47:$B$78,2,FALSE)+VLOOKUP(DN$3,'Embedded Emissions'!$A$129:$B$158,2,FALSE)), $C38 = "2", 'Inputs-System'!$C$30*'Coincidence Factors'!$B$8*(1+'Inputs-System'!$C$18)*(1+'Inputs-System'!$C$41)*'Inputs-Proposals'!$H$23*'Inputs-Proposals'!$H$25*('Inputs-Proposals'!$H$20)*(VLOOKUP(DN$3,'Embedded Emissions'!$A$47:$B$78,2,FALSE)+VLOOKUP(DN$3,'Embedded Emissions'!$A$129:$B$158,2,FALSE)), $C38 = "3",'Inputs-System'!$C$30*'Coincidence Factors'!$B$8*(1+'Inputs-System'!$C$18)*(1+'Inputs-System'!$C$41)*'Inputs-Proposals'!$H$29*'Inputs-Proposals'!$H$31*('Inputs-Proposals'!$H$20)*(VLOOKUP(DN$3,'Embedded Emissions'!$A$47:$B$78,2,FALSE)+VLOOKUP(DN$3,'Embedded Emissions'!$A$129:$B$158,2,FALSE)), $C38 = "0", 0), 0)</f>
        <v>0</v>
      </c>
      <c r="DP38" s="44">
        <f>IFERROR(_xlfn.IFS($C38="1",( 'Inputs-System'!$C$30*'Coincidence Factors'!$B$8*(1+'Inputs-System'!$C$18)*(1+'Inputs-System'!$C$41))*('Inputs-Proposals'!$H$17*'Inputs-Proposals'!$H$19*('Inputs-Proposals'!$H$20))*(VLOOKUP(DN$3,DRIPE!$A$54:$I$82,5,FALSE)+VLOOKUP(DN$3,DRIPE!$A$54:$I$82,9,FALSE))+ ('Inputs-System'!$C$26*'Coincidence Factors'!$B$8*(1+'Inputs-System'!$C$18)*(1+'Inputs-System'!$C$42))*'Inputs-Proposals'!$H$16*VLOOKUP(DN$3,DRIPE!$A$54:$I$82,8,FALSE), $C38 = "2",( 'Inputs-System'!$C$30*'Coincidence Factors'!$B$8*(1+'Inputs-System'!$C$18)*(1+'Inputs-System'!$C$41))*('Inputs-Proposals'!$H$23*'Inputs-Proposals'!$H$25*('Inputs-Proposals'!$H$26))*(VLOOKUP(DN$3,DRIPE!$A$54:$I$82,5,FALSE)+VLOOKUP(DN$3,DRIPE!$A$54:$I$82,9,FALSE))+  ('Inputs-System'!$C$26*'Coincidence Factors'!$B$8*(1+'Inputs-System'!$C$18)*(1+'Inputs-System'!$C$42))*'Inputs-Proposals'!$H$22*VLOOKUP(DN$3,DRIPE!$A$54:$I$82,8,FALSE), $C38= "3", ( 'Inputs-System'!$C$30*'Coincidence Factors'!$B$8*(1+'Inputs-System'!$C$18)*(1+'Inputs-System'!$C$41))*('Inputs-Proposals'!$H$29*'Inputs-Proposals'!$H$31*('Inputs-Proposals'!$H$32))*(VLOOKUP(DN$3,DRIPE!$A$54:$I$82,5,FALSE)+VLOOKUP(DN$3,DRIPE!$A$54:$I$82,9,FALSE))+  ('Inputs-System'!$C$26*'Coincidence Factors'!$B$8*(1+'Inputs-System'!$C$18)*(1+'Inputs-System'!$C$42))*'Inputs-Proposals'!$H$28*VLOOKUP(DN$3,DRIPE!$A$54:$I$82,8,FALSE), $C38 = "0", 0), 0)</f>
        <v>0</v>
      </c>
      <c r="DQ38" s="45">
        <f>IFERROR(_xlfn.IFS($C38="1",('Inputs-System'!$C$30*'Coincidence Factors'!$B$8*(1+'Inputs-System'!$C$18))*'Inputs-Proposals'!$H$16*(VLOOKUP(DN$3,Capacity!$A$53:$E$85,4,FALSE)*(1+'Inputs-System'!$C$42)+VLOOKUP(DN$3,Capacity!$A$53:$E$85,5,FALSE)*'Inputs-System'!$C$29*(1+'Inputs-System'!$C$43)), $C38 = "2", ('Inputs-System'!$C$30*'Coincidence Factors'!$B$8*(1+'Inputs-System'!$C$18))*'Inputs-Proposals'!$H$22*(VLOOKUP(DN$3,Capacity!$A$53:$E$85,4,FALSE)*(1+'Inputs-System'!$C$42)+VLOOKUP(DN$3,Capacity!$A$53:$E$85,5,FALSE)*'Inputs-System'!$C$29*(1+'Inputs-System'!$C$43)), $C38 = "3",('Inputs-System'!$C$30*'Coincidence Factors'!$B$8*(1+'Inputs-System'!$C$18))*'Inputs-Proposals'!$H$28*(VLOOKUP(DN$3,Capacity!$A$53:$E$85,4,FALSE)*(1+'Inputs-System'!$C$42)+VLOOKUP(DN$3,Capacity!$A$53:$E$85,5,FALSE)*'Inputs-System'!$C$29*(1+'Inputs-System'!$C$43)), $C38 = "0", 0), 0)</f>
        <v>0</v>
      </c>
      <c r="DR38" s="44">
        <v>0</v>
      </c>
      <c r="DS38" s="342">
        <f>IFERROR(_xlfn.IFS($C38="1", 'Inputs-System'!$C$30*'Coincidence Factors'!$B$8*'Inputs-Proposals'!$H$17*'Inputs-Proposals'!$H$19*(VLOOKUP(DN$3,'Non-Embedded Emissions'!$A$56:$D$90,2,FALSE)+VLOOKUP(DN$3,'Non-Embedded Emissions'!$A$143:$D$174,2,FALSE)+VLOOKUP(DN$3,'Non-Embedded Emissions'!$A$230:$D$259,2,FALSE)), $C38 = "2", 'Inputs-System'!$C$30*'Coincidence Factors'!$B$8*'Inputs-Proposals'!$H$23*'Inputs-Proposals'!$H$25*(VLOOKUP(DN$3,'Non-Embedded Emissions'!$A$56:$D$90,2,FALSE)+VLOOKUP(DN$3,'Non-Embedded Emissions'!$A$143:$D$174,2,FALSE)+VLOOKUP(DN$3,'Non-Embedded Emissions'!$A$230:$D$259,2,FALSE)), $C38 = "3", 'Inputs-System'!$C$30*'Coincidence Factors'!$B$8*'Inputs-Proposals'!$H$29*'Inputs-Proposals'!$H$31*(VLOOKUP(DN$3,'Non-Embedded Emissions'!$A$56:$D$90,2,FALSE)+VLOOKUP(DN$3,'Non-Embedded Emissions'!$A$143:$D$174,2,FALSE)+VLOOKUP(DN$3,'Non-Embedded Emissions'!$A$230:$D$259,2,FALSE)), $C38 = "0", 0), 0)</f>
        <v>0</v>
      </c>
      <c r="DT38" s="347">
        <f>IFERROR(_xlfn.IFS($C38="1",('Inputs-System'!$C$30*'Coincidence Factors'!$B$8*(1+'Inputs-System'!$C$18)*(1+'Inputs-System'!$C$41)*('Inputs-Proposals'!$H$17*'Inputs-Proposals'!$H$19*('Inputs-Proposals'!$H$20))*(VLOOKUP(DT$3,Energy!$A$51:$K$83,5,FALSE))), $C38 = "2",('Inputs-System'!$C$30*'Coincidence Factors'!$B$8)*(1+'Inputs-System'!$C$18)*(1+'Inputs-System'!$C$41)*('Inputs-Proposals'!$H$23*'Inputs-Proposals'!$H$25*('Inputs-Proposals'!$H$26))*(VLOOKUP(DT$3,Energy!$A$51:$K$83,5,FALSE)), $C38= "3", ('Inputs-System'!$C$30*'Coincidence Factors'!$B$8*(1+'Inputs-System'!$C$18)*(1+'Inputs-System'!$C$41)*('Inputs-Proposals'!$H$29*'Inputs-Proposals'!$H$31*('Inputs-Proposals'!$H$32))*(VLOOKUP(DT$3,Energy!$A$51:$K$83,5,FALSE))), $C38= "0", 0), 0)</f>
        <v>0</v>
      </c>
      <c r="DU38" s="44">
        <f>IFERROR(_xlfn.IFS($C38="1",'Inputs-System'!$C$30*'Coincidence Factors'!$B$8*(1+'Inputs-System'!$C$18)*(1+'Inputs-System'!$C$41)*'Inputs-Proposals'!$H$17*'Inputs-Proposals'!$H$19*('Inputs-Proposals'!$H$20)*(VLOOKUP(DT$3,'Embedded Emissions'!$A$47:$B$78,2,FALSE)+VLOOKUP(DT$3,'Embedded Emissions'!$A$129:$B$158,2,FALSE)), $C38 = "2", 'Inputs-System'!$C$30*'Coincidence Factors'!$B$8*(1+'Inputs-System'!$C$18)*(1+'Inputs-System'!$C$41)*'Inputs-Proposals'!$H$23*'Inputs-Proposals'!$H$25*('Inputs-Proposals'!$H$20)*(VLOOKUP(DT$3,'Embedded Emissions'!$A$47:$B$78,2,FALSE)+VLOOKUP(DT$3,'Embedded Emissions'!$A$129:$B$158,2,FALSE)), $C38 = "3",'Inputs-System'!$C$30*'Coincidence Factors'!$B$8*(1+'Inputs-System'!$C$18)*(1+'Inputs-System'!$C$41)*'Inputs-Proposals'!$H$29*'Inputs-Proposals'!$H$31*('Inputs-Proposals'!$H$20)*(VLOOKUP(DT$3,'Embedded Emissions'!$A$47:$B$78,2,FALSE)+VLOOKUP(DT$3,'Embedded Emissions'!$A$129:$B$158,2,FALSE)), $C38 = "0", 0), 0)</f>
        <v>0</v>
      </c>
      <c r="DV38" s="44">
        <f>IFERROR(_xlfn.IFS($C38="1",( 'Inputs-System'!$C$30*'Coincidence Factors'!$B$8*(1+'Inputs-System'!$C$18)*(1+'Inputs-System'!$C$41))*('Inputs-Proposals'!$H$17*'Inputs-Proposals'!$H$19*('Inputs-Proposals'!$H$20))*(VLOOKUP(DT$3,DRIPE!$A$54:$I$82,5,FALSE)+VLOOKUP(DT$3,DRIPE!$A$54:$I$82,9,FALSE))+ ('Inputs-System'!$C$26*'Coincidence Factors'!$B$8*(1+'Inputs-System'!$C$18)*(1+'Inputs-System'!$C$42))*'Inputs-Proposals'!$H$16*VLOOKUP(DT$3,DRIPE!$A$54:$I$82,8,FALSE), $C38 = "2",( 'Inputs-System'!$C$30*'Coincidence Factors'!$B$8*(1+'Inputs-System'!$C$18)*(1+'Inputs-System'!$C$41))*('Inputs-Proposals'!$H$23*'Inputs-Proposals'!$H$25*('Inputs-Proposals'!$H$26))*(VLOOKUP(DT$3,DRIPE!$A$54:$I$82,5,FALSE)+VLOOKUP(DT$3,DRIPE!$A$54:$I$82,9,FALSE))+  ('Inputs-System'!$C$26*'Coincidence Factors'!$B$8*(1+'Inputs-System'!$C$18)*(1+'Inputs-System'!$C$42))*'Inputs-Proposals'!$H$22*VLOOKUP(DT$3,DRIPE!$A$54:$I$82,8,FALSE), $C38= "3", ( 'Inputs-System'!$C$30*'Coincidence Factors'!$B$8*(1+'Inputs-System'!$C$18)*(1+'Inputs-System'!$C$41))*('Inputs-Proposals'!$H$29*'Inputs-Proposals'!$H$31*('Inputs-Proposals'!$H$32))*(VLOOKUP(DT$3,DRIPE!$A$54:$I$82,5,FALSE)+VLOOKUP(DT$3,DRIPE!$A$54:$I$82,9,FALSE))+  ('Inputs-System'!$C$26*'Coincidence Factors'!$B$8*(1+'Inputs-System'!$C$18)*(1+'Inputs-System'!$C$42))*'Inputs-Proposals'!$H$28*VLOOKUP(DT$3,DRIPE!$A$54:$I$82,8,FALSE), $C38 = "0", 0), 0)</f>
        <v>0</v>
      </c>
      <c r="DW38" s="45">
        <f>IFERROR(_xlfn.IFS($C38="1",('Inputs-System'!$C$30*'Coincidence Factors'!$B$8*(1+'Inputs-System'!$C$18))*'Inputs-Proposals'!$H$16*(VLOOKUP(DT$3,Capacity!$A$53:$E$85,4,FALSE)*(1+'Inputs-System'!$C$42)+VLOOKUP(DT$3,Capacity!$A$53:$E$85,5,FALSE)*'Inputs-System'!$C$29*(1+'Inputs-System'!$C$43)), $C38 = "2", ('Inputs-System'!$C$30*'Coincidence Factors'!$B$8*(1+'Inputs-System'!$C$18))*'Inputs-Proposals'!$H$22*(VLOOKUP(DT$3,Capacity!$A$53:$E$85,4,FALSE)*(1+'Inputs-System'!$C$42)+VLOOKUP(DT$3,Capacity!$A$53:$E$85,5,FALSE)*'Inputs-System'!$C$29*(1+'Inputs-System'!$C$43)), $C38 = "3",('Inputs-System'!$C$30*'Coincidence Factors'!$B$8*(1+'Inputs-System'!$C$18))*'Inputs-Proposals'!$H$28*(VLOOKUP(DT$3,Capacity!$A$53:$E$85,4,FALSE)*(1+'Inputs-System'!$C$42)+VLOOKUP(DT$3,Capacity!$A$53:$E$85,5,FALSE)*'Inputs-System'!$C$29*(1+'Inputs-System'!$C$43)), $C38 = "0", 0), 0)</f>
        <v>0</v>
      </c>
      <c r="DX38" s="44">
        <v>0</v>
      </c>
      <c r="DY38" s="342">
        <f>IFERROR(_xlfn.IFS($C38="1", 'Inputs-System'!$C$30*'Coincidence Factors'!$B$8*'Inputs-Proposals'!$H$17*'Inputs-Proposals'!$H$19*(VLOOKUP(DT$3,'Non-Embedded Emissions'!$A$56:$D$90,2,FALSE)+VLOOKUP(DT$3,'Non-Embedded Emissions'!$A$143:$D$174,2,FALSE)+VLOOKUP(DT$3,'Non-Embedded Emissions'!$A$230:$D$259,2,FALSE)), $C38 = "2", 'Inputs-System'!$C$30*'Coincidence Factors'!$B$8*'Inputs-Proposals'!$H$23*'Inputs-Proposals'!$H$25*(VLOOKUP(DT$3,'Non-Embedded Emissions'!$A$56:$D$90,2,FALSE)+VLOOKUP(DT$3,'Non-Embedded Emissions'!$A$143:$D$174,2,FALSE)+VLOOKUP(DT$3,'Non-Embedded Emissions'!$A$230:$D$259,2,FALSE)), $C38 = "3", 'Inputs-System'!$C$30*'Coincidence Factors'!$B$8*'Inputs-Proposals'!$H$29*'Inputs-Proposals'!$H$31*(VLOOKUP(DT$3,'Non-Embedded Emissions'!$A$56:$D$90,2,FALSE)+VLOOKUP(DT$3,'Non-Embedded Emissions'!$A$143:$D$174,2,FALSE)+VLOOKUP(DT$3,'Non-Embedded Emissions'!$A$230:$D$259,2,FALSE)), $C38 = "0", 0), 0)</f>
        <v>0</v>
      </c>
      <c r="DZ38" s="347">
        <f>IFERROR(_xlfn.IFS($C38="1",('Inputs-System'!$C$30*'Coincidence Factors'!$B$8*(1+'Inputs-System'!$C$18)*(1+'Inputs-System'!$C$41)*('Inputs-Proposals'!$H$17*'Inputs-Proposals'!$H$19*('Inputs-Proposals'!$H$20))*(VLOOKUP(DZ$3,Energy!$A$51:$K$83,5,FALSE))), $C38 = "2",('Inputs-System'!$C$30*'Coincidence Factors'!$B$8)*(1+'Inputs-System'!$C$18)*(1+'Inputs-System'!$C$41)*('Inputs-Proposals'!$H$23*'Inputs-Proposals'!$H$25*('Inputs-Proposals'!$H$26))*(VLOOKUP(DZ$3,Energy!$A$51:$K$83,5,FALSE)), $C38= "3", ('Inputs-System'!$C$30*'Coincidence Factors'!$B$8*(1+'Inputs-System'!$C$18)*(1+'Inputs-System'!$C$41)*('Inputs-Proposals'!$H$29*'Inputs-Proposals'!$H$31*('Inputs-Proposals'!$H$32))*(VLOOKUP(DZ$3,Energy!$A$51:$K$83,5,FALSE))), $C38= "0", 0), 0)</f>
        <v>0</v>
      </c>
      <c r="EA38" s="44">
        <f>IFERROR(_xlfn.IFS($C38="1",'Inputs-System'!$C$30*'Coincidence Factors'!$B$8*(1+'Inputs-System'!$C$18)*(1+'Inputs-System'!$C$41)*'Inputs-Proposals'!$H$17*'Inputs-Proposals'!$H$19*('Inputs-Proposals'!$H$20)*(VLOOKUP(DZ$3,'Embedded Emissions'!$A$47:$B$78,2,FALSE)+VLOOKUP(DZ$3,'Embedded Emissions'!$A$129:$B$158,2,FALSE)), $C38 = "2", 'Inputs-System'!$C$30*'Coincidence Factors'!$B$8*(1+'Inputs-System'!$C$18)*(1+'Inputs-System'!$C$41)*'Inputs-Proposals'!$H$23*'Inputs-Proposals'!$H$25*('Inputs-Proposals'!$H$20)*(VLOOKUP(DZ$3,'Embedded Emissions'!$A$47:$B$78,2,FALSE)+VLOOKUP(DZ$3,'Embedded Emissions'!$A$129:$B$158,2,FALSE)), $C38 = "3",'Inputs-System'!$C$30*'Coincidence Factors'!$B$8*(1+'Inputs-System'!$C$18)*(1+'Inputs-System'!$C$41)*'Inputs-Proposals'!$H$29*'Inputs-Proposals'!$H$31*('Inputs-Proposals'!$H$20)*(VLOOKUP(DZ$3,'Embedded Emissions'!$A$47:$B$78,2,FALSE)+VLOOKUP(DZ$3,'Embedded Emissions'!$A$129:$B$158,2,FALSE)), $C38 = "0", 0), 0)</f>
        <v>0</v>
      </c>
      <c r="EB38" s="44">
        <f>IFERROR(_xlfn.IFS($C38="1",( 'Inputs-System'!$C$30*'Coincidence Factors'!$B$8*(1+'Inputs-System'!$C$18)*(1+'Inputs-System'!$C$41))*('Inputs-Proposals'!$H$17*'Inputs-Proposals'!$H$19*('Inputs-Proposals'!$H$20))*(VLOOKUP(DZ$3,DRIPE!$A$54:$I$82,5,FALSE)+VLOOKUP(DZ$3,DRIPE!$A$54:$I$82,9,FALSE))+ ('Inputs-System'!$C$26*'Coincidence Factors'!$B$8*(1+'Inputs-System'!$C$18)*(1+'Inputs-System'!$C$42))*'Inputs-Proposals'!$H$16*VLOOKUP(DZ$3,DRIPE!$A$54:$I$82,8,FALSE), $C38 = "2",( 'Inputs-System'!$C$30*'Coincidence Factors'!$B$8*(1+'Inputs-System'!$C$18)*(1+'Inputs-System'!$C$41))*('Inputs-Proposals'!$H$23*'Inputs-Proposals'!$H$25*('Inputs-Proposals'!$H$26))*(VLOOKUP(DZ$3,DRIPE!$A$54:$I$82,5,FALSE)+VLOOKUP(DZ$3,DRIPE!$A$54:$I$82,9,FALSE))+  ('Inputs-System'!$C$26*'Coincidence Factors'!$B$8*(1+'Inputs-System'!$C$18)*(1+'Inputs-System'!$C$42))*'Inputs-Proposals'!$H$22*VLOOKUP(DZ$3,DRIPE!$A$54:$I$82,8,FALSE), $C38= "3", ( 'Inputs-System'!$C$30*'Coincidence Factors'!$B$8*(1+'Inputs-System'!$C$18)*(1+'Inputs-System'!$C$41))*('Inputs-Proposals'!$H$29*'Inputs-Proposals'!$H$31*('Inputs-Proposals'!$H$32))*(VLOOKUP(DZ$3,DRIPE!$A$54:$I$82,5,FALSE)+VLOOKUP(DZ$3,DRIPE!$A$54:$I$82,9,FALSE))+  ('Inputs-System'!$C$26*'Coincidence Factors'!$B$8*(1+'Inputs-System'!$C$18)*(1+'Inputs-System'!$C$42))*'Inputs-Proposals'!$H$28*VLOOKUP(DZ$3,DRIPE!$A$54:$I$82,8,FALSE), $C38 = "0", 0), 0)</f>
        <v>0</v>
      </c>
      <c r="EC38" s="45">
        <f>IFERROR(_xlfn.IFS($C38="1",('Inputs-System'!$C$30*'Coincidence Factors'!$B$8*(1+'Inputs-System'!$C$18))*'Inputs-Proposals'!$H$16*(VLOOKUP(DZ$3,Capacity!$A$53:$E$85,4,FALSE)*(1+'Inputs-System'!$C$42)+VLOOKUP(DZ$3,Capacity!$A$53:$E$85,5,FALSE)*'Inputs-System'!$C$29*(1+'Inputs-System'!$C$43)), $C38 = "2", ('Inputs-System'!$C$30*'Coincidence Factors'!$B$8*(1+'Inputs-System'!$C$18))*'Inputs-Proposals'!$H$22*(VLOOKUP(DZ$3,Capacity!$A$53:$E$85,4,FALSE)*(1+'Inputs-System'!$C$42)+VLOOKUP(DZ$3,Capacity!$A$53:$E$85,5,FALSE)*'Inputs-System'!$C$29*(1+'Inputs-System'!$C$43)), $C38 = "3",('Inputs-System'!$C$30*'Coincidence Factors'!$B$8*(1+'Inputs-System'!$C$18))*'Inputs-Proposals'!$H$28*(VLOOKUP(DZ$3,Capacity!$A$53:$E$85,4,FALSE)*(1+'Inputs-System'!$C$42)+VLOOKUP(DZ$3,Capacity!$A$53:$E$85,5,FALSE)*'Inputs-System'!$C$29*(1+'Inputs-System'!$C$43)), $C38 = "0", 0), 0)</f>
        <v>0</v>
      </c>
      <c r="ED38" s="44">
        <v>0</v>
      </c>
      <c r="EE38" s="342">
        <f>IFERROR(_xlfn.IFS($C38="1", 'Inputs-System'!$C$30*'Coincidence Factors'!$B$8*'Inputs-Proposals'!$H$17*'Inputs-Proposals'!$H$19*(VLOOKUP(DZ$3,'Non-Embedded Emissions'!$A$56:$D$90,2,FALSE)+VLOOKUP(DZ$3,'Non-Embedded Emissions'!$A$143:$D$174,2,FALSE)+VLOOKUP(DZ$3,'Non-Embedded Emissions'!$A$230:$D$259,2,FALSE)), $C38 = "2", 'Inputs-System'!$C$30*'Coincidence Factors'!$B$8*'Inputs-Proposals'!$H$23*'Inputs-Proposals'!$H$25*(VLOOKUP(DZ$3,'Non-Embedded Emissions'!$A$56:$D$90,2,FALSE)+VLOOKUP(DZ$3,'Non-Embedded Emissions'!$A$143:$D$174,2,FALSE)+VLOOKUP(DZ$3,'Non-Embedded Emissions'!$A$230:$D$259,2,FALSE)), $C38 = "3", 'Inputs-System'!$C$30*'Coincidence Factors'!$B$8*'Inputs-Proposals'!$H$29*'Inputs-Proposals'!$H$31*(VLOOKUP(DZ$3,'Non-Embedded Emissions'!$A$56:$D$90,2,FALSE)+VLOOKUP(DZ$3,'Non-Embedded Emissions'!$A$143:$D$174,2,FALSE)+VLOOKUP(DZ$3,'Non-Embedded Emissions'!$A$230:$D$259,2,FALSE)), $C38 = "0", 0), 0)</f>
        <v>0</v>
      </c>
    </row>
    <row r="39" spans="1:135" x14ac:dyDescent="0.35">
      <c r="A39" s="708"/>
      <c r="B39" s="3" t="str">
        <f>B33</f>
        <v>Diesel GenSet</v>
      </c>
      <c r="C39" s="3" t="str">
        <f>IFERROR(_xlfn.IFS('Benefits Calc'!B39='Inputs-Proposals'!$H$15, "1", 'Benefits Calc'!B39='Inputs-Proposals'!$H$21, "2", 'Benefits Calc'!B39='Inputs-Proposals'!$H$27, "3"), "0")</f>
        <v>0</v>
      </c>
      <c r="D39" s="323">
        <f t="shared" ref="D39:D40" si="36">P39+V39+AB39+AH39+AN39+AT39+AZ39+BF39+BL39+BR39+BX39+CD39+CJ39+CP39+CV39+DB39+DH39+DN39+DT39+DZ39</f>
        <v>0</v>
      </c>
      <c r="E39" s="44">
        <f t="shared" ref="E39:E40" si="37">Q39+W39+AC39+AI39+AO39+AU39+BA39+BG39+BM39+BS39+BY39+CE39+CK39+CQ39+CW39+DC39+DI39+DO39+DU39+EA39</f>
        <v>0</v>
      </c>
      <c r="F39" s="44">
        <f t="shared" ref="F39:F40" si="38">R39+X39+AD39+AJ39+AP39+AV39+BB39+BH39+BN39+BT39+BZ39+CF39+CL39+CR39+CX39+DD39+DJ39+DP39+DV39+EB39</f>
        <v>0</v>
      </c>
      <c r="G39" s="44">
        <f t="shared" ref="G39:G40" si="39">S39+Y39+AE39+AK39+AQ39+AW39+BC39+BI39+BO39+BU39+CA39+CG39+CM39+CS39+CY39+DE39+DK39+DQ39+DW39+EC39</f>
        <v>0</v>
      </c>
      <c r="H39" s="44">
        <f t="shared" ref="H39:H40" si="40">T39+Z39+AF39+AL39+AR39+AX39+BD39+BJ39+BP39+BV39+CB39+CH39+CN39+CT39+CZ39+DF39+DL39+DR39+DX39+ED39</f>
        <v>0</v>
      </c>
      <c r="I39" s="44">
        <f t="shared" ref="I39:I40" si="41">U39+AA39+AG39+AM39+AS39+AY39+BE39+BK39+BQ39+BW39+CC39+CI39+CO39+CU39+DA39+DG39+DM39+DS39+DY39+EE39</f>
        <v>0</v>
      </c>
      <c r="J39" s="323">
        <f>NPV('Inputs-System'!$C$20,P39+V39+AB39+AH39+AN39+AT39+AZ39+BF39+BL39+BR39+BX39+CD39+CJ39+CP39+CV39+DB39+DH39+DN39+DT39+DZ39)</f>
        <v>0</v>
      </c>
      <c r="K39" s="44">
        <f>NPV('Inputs-System'!$C$20,Q39+W39+AC39+AI39+AO39+AU39+BA39+BG39+BM39+BS39+BY39+CE39+CK39+CQ39+CW39+DC39+DI39+DO39+DU39+EA39)</f>
        <v>0</v>
      </c>
      <c r="L39" s="44">
        <f>NPV('Inputs-System'!$C$20,R39+X39+AD39+AJ39+AP39+AV39+BB39+BH39+BN39+BT39+BZ39+CF39+CL39+CR39+CX39+DD39+DJ39+DP39+DV39+EB39)</f>
        <v>0</v>
      </c>
      <c r="M39" s="44">
        <f>NPV('Inputs-System'!$C$20,S39+Y39+AE39+AK39+AQ39+AW39+BC39+BI39+BO39+BU39+CA39+CG39+CM39+CS39+CY39+DE39+DK39+DQ39+DW39+EC39)</f>
        <v>0</v>
      </c>
      <c r="N39" s="44">
        <f>NPV('Inputs-System'!$C$20,T39+Z39+AF39+AL39+AR39+AX39+BD39+BJ39+BP39+BV39+CB39+CH39+CN39+CT39+CZ39+DF39+DL39+DR39+DX39+ED39)</f>
        <v>0</v>
      </c>
      <c r="O39" s="119">
        <f>NPV('Inputs-System'!$C$20,U39+AA39+AG39+AM39+AS39+AY39+BE39+BK39+BQ39+BW39+CC39+CI39+CO39+CU39+DA39+DG39+DM39+DS39+DY39+EE39)</f>
        <v>0</v>
      </c>
      <c r="P39" s="366">
        <f>IFERROR(_xlfn.IFS($C39="1",('Inputs-System'!$C$30*'Coincidence Factors'!$B$9*(1+'Inputs-System'!$C$18)*(1+'Inputs-System'!$C$41)*('Inputs-Proposals'!$H$17*'Inputs-Proposals'!$H$19*(1-'Inputs-Proposals'!$H$20^(P$3-'Inputs-System'!$C$7+1)))*(VLOOKUP(P$3,Energy!$A$51:$K$83,5,FALSE))), $C39 = "2",('Inputs-System'!$C$30*'Coincidence Factors'!$B$9)*(1+'Inputs-System'!$C$18)*(1+'Inputs-System'!$C$41)*('Inputs-Proposals'!$H$23*'Inputs-Proposals'!$H$25*(1-'Inputs-Proposals'!$H$26^(P$3-'Inputs-System'!$C$7+1)))*(VLOOKUP(P$3,Energy!$A$51:$K$83,5,FALSE)), $C39= "3", ('Inputs-System'!$C$30*'Coincidence Factors'!$B$9*(1+'Inputs-System'!$C$18)*(1+'Inputs-System'!$C$41)*('Inputs-Proposals'!$H$29*'Inputs-Proposals'!$H$31*(1-'Inputs-Proposals'!$H$32^(P$3-'Inputs-System'!$C$7+1)))*(VLOOKUP(P$3,Energy!$A$51:$K$83,5,FALSE))), $C39= "0", 0), 0)</f>
        <v>0</v>
      </c>
      <c r="Q39" s="44">
        <f>IFERROR(_xlfn.IFS($C39="1",('Inputs-System'!$C$30*'Coincidence Factors'!$B$9*(1+'Inputs-System'!$C$18)*(1+'Inputs-System'!$C$41))*'Inputs-Proposals'!$H$17*'Inputs-Proposals'!$H$19*(1-'Inputs-Proposals'!$H$20^(P$3-'Inputs-System'!$C$7+1))*(VLOOKUP(P$3,'Embedded Emissions'!$A$47:$B$78,2,FALSE)+VLOOKUP(P$3,'Embedded Emissions'!$A$129:$B$158,2,FALSE)), $C39 = "2",('Inputs-System'!$C$30*'Coincidence Factors'!$B$9*(1+'Inputs-System'!$C$18)*(1+'Inputs-System'!$C$41))*'Inputs-Proposals'!$H$23*'Inputs-Proposals'!$H$25*(1-'Inputs-Proposals'!$H$20^(P$3-'Inputs-System'!$C$7+1))*(VLOOKUP(P$3,'Embedded Emissions'!$A$47:$B$78,2,FALSE)+VLOOKUP(P$3,'Embedded Emissions'!$A$129:$B$158,2,FALSE)), $C39 = "3", ('Inputs-System'!$C$30*'Coincidence Factors'!$B$9*(1+'Inputs-System'!$C$18)*(1+'Inputs-System'!$C$41))*'Inputs-Proposals'!$H$29*'Inputs-Proposals'!$H$31*(1-'Inputs-Proposals'!$H$20^(P$3-'Inputs-System'!$C$7+1))*(VLOOKUP(P$3,'Embedded Emissions'!$A$47:$B$78,2,FALSE)+VLOOKUP(P$3,'Embedded Emissions'!$A$129:$B$158,2,FALSE)), $C39 = "0", 0), 0)</f>
        <v>0</v>
      </c>
      <c r="R39" s="44">
        <f>IFERROR(_xlfn.IFS($C39="1",( 'Inputs-System'!$C$30*'Coincidence Factors'!$B$9*(1+'Inputs-System'!$C$18)*(1+'Inputs-System'!$C$41))*('Inputs-Proposals'!$H$17*'Inputs-Proposals'!$H$19*(1-'Inputs-Proposals'!$H$20)^(P$3-'Inputs-System'!$C$7))*(VLOOKUP(P$3,DRIPE!$A$54:$I$82,5,FALSE)+VLOOKUP(P$3,DRIPE!$A$54:$I$82,9,FALSE))+ ('Inputs-System'!$C$26*'Coincidence Factors'!$B$6*(1+'Inputs-System'!$C$18)*(1+'Inputs-System'!$C$42))*'Inputs-Proposals'!$H$16*VLOOKUP(P$3,DRIPE!$A$54:$I$82,8,FALSE), $C39 = "2",( 'Inputs-System'!$C$30*'Coincidence Factors'!$B$9*(1+'Inputs-System'!$C$18)*(1+'Inputs-System'!$C$41))*('Inputs-Proposals'!$H$23*'Inputs-Proposals'!$H$25*(1-'Inputs-Proposals'!$H$26)^(P$3-'Inputs-System'!$C$7))*(VLOOKUP(P$3,DRIPE!$A$54:$I$82,5,FALSE)+VLOOKUP(P$3,DRIPE!$A$54:$I$82,9,FALSE))+ ('Inputs-System'!$C$26*'Coincidence Factors'!$B$6*(1+'Inputs-System'!$C$18)*(1+'Inputs-System'!$C$42))*'Inputs-Proposals'!$H$22*VLOOKUP(P$3,DRIPE!$A$54:$I$82,8,FALSE), $C39= "3", ( 'Inputs-System'!$C$30*'Coincidence Factors'!$B$9*(1+'Inputs-System'!$C$18)*(1+'Inputs-System'!$C$41))*('Inputs-Proposals'!$H$29*'Inputs-Proposals'!$H$31*(1-'Inputs-Proposals'!$H$32)^(P$3-'Inputs-System'!$C$7))*(VLOOKUP(P$3,DRIPE!$A$54:$I$82,5,FALSE)+VLOOKUP(P$3,DRIPE!$A$54:$I$82,9,FALSE))+ ('Inputs-System'!$C$26*'Coincidence Factors'!$B$6*(1+'Inputs-System'!$C$18)*(1+'Inputs-System'!$C$42))*'Inputs-Proposals'!$H$28*VLOOKUP(P$3,DRIPE!$A$54:$I$82,8,FALSE), $C39 = "0", 0), 0)</f>
        <v>0</v>
      </c>
      <c r="S39" s="45">
        <f>IFERROR(_xlfn.IFS($C39="1",('Inputs-System'!$C$26*'Coincidence Factors'!$B$9*(1+'Inputs-System'!$C$18)*(1+'Inputs-System'!$C$42))*'Inputs-Proposals'!$D$16*(VLOOKUP(P$3,Capacity!$A$53:$E$85,4,FALSE)*(1+'Inputs-System'!$C$42)+VLOOKUP(P$3,Capacity!$A$53:$E$85,5,FALSE)*(1+'Inputs-System'!$C$43)*'Inputs-System'!$C$29), $C39 = "2", ('Inputs-System'!$C$26*'Coincidence Factors'!$B$9*(1+'Inputs-System'!$C$18))*'Inputs-Proposals'!$D$22*(VLOOKUP(P$3,Capacity!$A$53:$E$85,4,FALSE)*(1+'Inputs-System'!$C$42)+VLOOKUP(P$3,Capacity!$A$53:$E$85,5,FALSE)*'Inputs-System'!$C$29*(1+'Inputs-System'!$C$43)), $C39 = "3", ('Inputs-System'!$C$26*'Coincidence Factors'!$B$9*(1+'Inputs-System'!$C$18))*'Inputs-Proposals'!$D$28*(VLOOKUP(P$3,Capacity!$A$53:$E$85,4,FALSE)*(1+'Inputs-System'!$C$42)+VLOOKUP(P$3,Capacity!$A$53:$E$85,5,FALSE)*'Inputs-System'!$C$29*(1+'Inputs-System'!$C$43)), $C39 = "0", 0), 0)</f>
        <v>0</v>
      </c>
      <c r="T39" s="44">
        <v>0</v>
      </c>
      <c r="U39" s="342">
        <f>IFERROR(_xlfn.IFS($C39="1", 'Inputs-System'!$C$30*'Coincidence Factors'!$B$9*'Inputs-Proposals'!$H$17*'Inputs-Proposals'!$H$19*(VLOOKUP(P$3,'Non-Embedded Emissions'!$A$56:$D$90,2,FALSE)-VLOOKUP(P$3,'Non-Embedded Emissions'!$F$57:$H$88,2,FALSE)+VLOOKUP(P$3,'Non-Embedded Emissions'!$A$143:$D$174,2,FALSE)-VLOOKUP(P$3,'Non-Embedded Emissions'!$F$143:$H$174,2,FALSE)+VLOOKUP(P$3,'Non-Embedded Emissions'!$A$230:$D$259,2,FALSE)), $C39 = "2", 'Inputs-System'!$C$30*'Coincidence Factors'!$B$9*'Inputs-Proposals'!$H$23*'Inputs-Proposals'!$H$25*(VLOOKUP(P$3,'Non-Embedded Emissions'!$A$56:$D$90,2,FALSE)-VLOOKUP(P$3,'Non-Embedded Emissions'!$F$57:$H$88,2,FALSE)+VLOOKUP(P$3,'Non-Embedded Emissions'!$A$143:$D$174,2,FALSE)-VLOOKUP(P$3,'Non-Embedded Emissions'!$F$143:$H$174,2,FALSE)+VLOOKUP(P$3,'Non-Embedded Emissions'!$A$230:$D$259,2,FALSE)), $C39 = "3", 'Inputs-System'!$C$30*'Coincidence Factors'!$B$9*'Inputs-Proposals'!$H$29*'Inputs-Proposals'!$H$31*(VLOOKUP(P$3,'Non-Embedded Emissions'!$A$56:$D$90,2,FALSE)-VLOOKUP(P$3,'Non-Embedded Emissions'!$F$57:$H$88,2,FALSE)+VLOOKUP(P$3,'Non-Embedded Emissions'!$A$143:$D$174,2,FALSE)-VLOOKUP(P$3,'Non-Embedded Emissions'!$F$143:$H$174,2,FALSE)+VLOOKUP(P$3,'Non-Embedded Emissions'!$A$230:$D$259,2,FALSE)), $C39 = "0", 0), 0)</f>
        <v>0</v>
      </c>
      <c r="V39" s="45">
        <f>IFERROR(_xlfn.IFS($C39="1",('Inputs-System'!$C$30*'Coincidence Factors'!$B$9*(1+'Inputs-System'!$C$18)*(1+'Inputs-System'!$C$41)*('Inputs-Proposals'!$H$17*'Inputs-Proposals'!$H$19*(1-'Inputs-Proposals'!$H$20^(V$3-'Inputs-System'!$C$7)))*(VLOOKUP(V$3,Energy!$A$51:$K$83,5,FALSE))), $C39 = "2",('Inputs-System'!$C$30*'Coincidence Factors'!$B$9)*(1+'Inputs-System'!$C$18)*(1+'Inputs-System'!$C$41)*('Inputs-Proposals'!$H$23*'Inputs-Proposals'!$H$25*(1-'Inputs-Proposals'!$H$26^(V$3-'Inputs-System'!$C$7)))*(VLOOKUP(V$3,Energy!$A$51:$K$83,5,FALSE)), $C39= "3", ('Inputs-System'!$C$30*'Coincidence Factors'!$B$9*(1+'Inputs-System'!$C$18)*(1+'Inputs-System'!$C$41)*('Inputs-Proposals'!$H$29*'Inputs-Proposals'!$H$31*(1-'Inputs-Proposals'!$H$32^(V$3-'Inputs-System'!$C$7)))*(VLOOKUP(V$3,Energy!$A$51:$K$83,5,FALSE))), $C39= "0", 0), 0)</f>
        <v>0</v>
      </c>
      <c r="W39" s="44">
        <f>IFERROR(_xlfn.IFS($C39="1",('Inputs-System'!$C$30*'Coincidence Factors'!$B$9*(1+'Inputs-System'!$C$18)*(1+'Inputs-System'!$C$41))*'Inputs-Proposals'!$H$17*'Inputs-Proposals'!$H$19*(1-'Inputs-Proposals'!$H$20^(V$3-'Inputs-System'!$C$7))*(VLOOKUP(V$3,'Embedded Emissions'!$A$47:$B$78,2,FALSE)+VLOOKUP(V$3,'Embedded Emissions'!$A$129:$B$158,2,FALSE)), $C39 = "2",('Inputs-System'!$C$30*'Coincidence Factors'!$B$9*(1+'Inputs-System'!$C$18)*(1+'Inputs-System'!$C$41))*'Inputs-Proposals'!$H$23*'Inputs-Proposals'!$H$25*(1-'Inputs-Proposals'!$H$20^(V$3-'Inputs-System'!$C$7))*(VLOOKUP(V$3,'Embedded Emissions'!$A$47:$B$78,2,FALSE)+VLOOKUP(V$3,'Embedded Emissions'!$A$129:$B$158,2,FALSE)), $C39 = "3", ('Inputs-System'!$C$30*'Coincidence Factors'!$B$9*(1+'Inputs-System'!$C$18)*(1+'Inputs-System'!$C$41))*'Inputs-Proposals'!$H$29*'Inputs-Proposals'!$H$31*(1-'Inputs-Proposals'!$H$20^(V$3-'Inputs-System'!$C$7))*(VLOOKUP(V$3,'Embedded Emissions'!$A$47:$B$78,2,FALSE)+VLOOKUP(V$3,'Embedded Emissions'!$A$129:$B$158,2,FALSE)), $C39 = "0", 0), 0)</f>
        <v>0</v>
      </c>
      <c r="X39" s="44">
        <f>IFERROR(_xlfn.IFS($C39="1",( 'Inputs-System'!$C$30*'Coincidence Factors'!$B$9*(1+'Inputs-System'!$C$18)*(1+'Inputs-System'!$C$41))*('Inputs-Proposals'!$H$17*'Inputs-Proposals'!$H$19*(1-'Inputs-Proposals'!$H$20)^(V$3-'Inputs-System'!$C$7))*(VLOOKUP(V$3,DRIPE!$A$54:$I$82,5,FALSE)+VLOOKUP(V$3,DRIPE!$A$54:$I$82,9,FALSE))+ ('Inputs-System'!$C$26*'Coincidence Factors'!$B$6*(1+'Inputs-System'!$C$18)*(1+'Inputs-System'!$C$42))*'Inputs-Proposals'!$H$16*VLOOKUP(V$3,DRIPE!$A$54:$I$82,8,FALSE), $C39 = "2",( 'Inputs-System'!$C$30*'Coincidence Factors'!$B$9*(1+'Inputs-System'!$C$18)*(1+'Inputs-System'!$C$41))*('Inputs-Proposals'!$H$23*'Inputs-Proposals'!$H$25*(1-'Inputs-Proposals'!$H$26)^(V$3-'Inputs-System'!$C$7))*(VLOOKUP(V$3,DRIPE!$A$54:$I$82,5,FALSE)+VLOOKUP(V$3,DRIPE!$A$54:$I$82,9,FALSE))+ ('Inputs-System'!$C$26*'Coincidence Factors'!$B$6*(1+'Inputs-System'!$C$18)*(1+'Inputs-System'!$C$42))*'Inputs-Proposals'!$H$22*VLOOKUP(V$3,DRIPE!$A$54:$I$82,8,FALSE), $C39= "3", ( 'Inputs-System'!$C$30*'Coincidence Factors'!$B$9*(1+'Inputs-System'!$C$18)*(1+'Inputs-System'!$C$41))*('Inputs-Proposals'!$H$29*'Inputs-Proposals'!$H$31*(1-'Inputs-Proposals'!$H$32)^(V$3-'Inputs-System'!$C$7))*(VLOOKUP(V$3,DRIPE!$A$54:$I$82,5,FALSE)+VLOOKUP(V$3,DRIPE!$A$54:$I$82,9,FALSE))+ ('Inputs-System'!$C$26*'Coincidence Factors'!$B$6*(1+'Inputs-System'!$C$18)*(1+'Inputs-System'!$C$42))*'Inputs-Proposals'!$H$28*VLOOKUP(V$3,DRIPE!$A$54:$I$82,8,FALSE), $C39 = "0", 0), 0)</f>
        <v>0</v>
      </c>
      <c r="Y39" s="45">
        <f>IFERROR(_xlfn.IFS($C39="1",('Inputs-System'!$C$26*'Coincidence Factors'!$B$9*(1+'Inputs-System'!$C$18)*(1+'Inputs-System'!$C$42))*'Inputs-Proposals'!$D$16*(VLOOKUP(V$3,Capacity!$A$53:$E$85,4,FALSE)*(1+'Inputs-System'!$C$42)+VLOOKUP(V$3,Capacity!$A$53:$E$85,5,FALSE)*(1+'Inputs-System'!$C$43)*'Inputs-System'!$C$29), $C39 = "2", ('Inputs-System'!$C$26*'Coincidence Factors'!$B$9*(1+'Inputs-System'!$C$18))*'Inputs-Proposals'!$D$22*(VLOOKUP(V$3,Capacity!$A$53:$E$85,4,FALSE)*(1+'Inputs-System'!$C$42)+VLOOKUP(V$3,Capacity!$A$53:$E$85,5,FALSE)*'Inputs-System'!$C$29*(1+'Inputs-System'!$C$43)), $C39 = "3", ('Inputs-System'!$C$26*'Coincidence Factors'!$B$9*(1+'Inputs-System'!$C$18))*'Inputs-Proposals'!$D$28*(VLOOKUP(V$3,Capacity!$A$53:$E$85,4,FALSE)*(1+'Inputs-System'!$C$42)+VLOOKUP(V$3,Capacity!$A$53:$E$85,5,FALSE)*'Inputs-System'!$C$29*(1+'Inputs-System'!$C$43)), $C39 = "0", 0), 0)</f>
        <v>0</v>
      </c>
      <c r="Z39" s="44">
        <v>0</v>
      </c>
      <c r="AA39" s="342">
        <f>IFERROR(_xlfn.IFS($C39="1", 'Inputs-System'!$C$30*'Coincidence Factors'!$B$9*'Inputs-Proposals'!$H$17*'Inputs-Proposals'!$H$19*(VLOOKUP(V$3,'Non-Embedded Emissions'!$A$56:$D$90,2,FALSE)-VLOOKUP(V$3,'Non-Embedded Emissions'!$F$57:$H$88,2,FALSE)+VLOOKUP(V$3,'Non-Embedded Emissions'!$A$143:$D$174,2,FALSE)-VLOOKUP(V$3,'Non-Embedded Emissions'!$F$143:$H$174,2,FALSE)+VLOOKUP(V$3,'Non-Embedded Emissions'!$A$230:$D$259,2,FALSE)), $C39 = "2", 'Inputs-System'!$C$30*'Coincidence Factors'!$B$9*'Inputs-Proposals'!$H$23*'Inputs-Proposals'!$H$25*(VLOOKUP(V$3,'Non-Embedded Emissions'!$A$56:$D$90,2,FALSE)-VLOOKUP(V$3,'Non-Embedded Emissions'!$F$57:$H$88,2,FALSE)+VLOOKUP(V$3,'Non-Embedded Emissions'!$A$143:$D$174,2,FALSE)-VLOOKUP(V$3,'Non-Embedded Emissions'!$F$143:$H$174,2,FALSE)+VLOOKUP(V$3,'Non-Embedded Emissions'!$A$230:$D$259,2,FALSE)), $C39 = "3", 'Inputs-System'!$C$30*'Coincidence Factors'!$B$9*'Inputs-Proposals'!$H$29*'Inputs-Proposals'!$H$31*(VLOOKUP(V$3,'Non-Embedded Emissions'!$A$56:$D$90,2,FALSE)-VLOOKUP(V$3,'Non-Embedded Emissions'!$F$57:$H$88,2,FALSE)+VLOOKUP(V$3,'Non-Embedded Emissions'!$A$143:$D$174,2,FALSE)-VLOOKUP(V$3,'Non-Embedded Emissions'!$F$143:$H$174,2,FALSE)+VLOOKUP(V$3,'Non-Embedded Emissions'!$A$230:$D$259,2,FALSE)), $C39 = "0", 0), 0)</f>
        <v>0</v>
      </c>
      <c r="AB39" s="45">
        <f>IFERROR(_xlfn.IFS($C39="1",('Inputs-System'!$C$30*'Coincidence Factors'!$B$9*(1+'Inputs-System'!$C$18)*(1+'Inputs-System'!$C$41)*('Inputs-Proposals'!$H$17*'Inputs-Proposals'!$H$19*(1-'Inputs-Proposals'!$H$20^(AB$3-'Inputs-System'!$C$7)))*(VLOOKUP(AB$3,Energy!$A$51:$K$83,5,FALSE))), $C39 = "2",('Inputs-System'!$C$30*'Coincidence Factors'!$B$9)*(1+'Inputs-System'!$C$18)*(1+'Inputs-System'!$C$41)*('Inputs-Proposals'!$H$23*'Inputs-Proposals'!$H$25*(1-'Inputs-Proposals'!$H$26^(AB$3-'Inputs-System'!$C$7)))*(VLOOKUP(AB$3,Energy!$A$51:$K$83,5,FALSE)), $C39= "3", ('Inputs-System'!$C$30*'Coincidence Factors'!$B$9*(1+'Inputs-System'!$C$18)*(1+'Inputs-System'!$C$41)*('Inputs-Proposals'!$H$29*'Inputs-Proposals'!$H$31*(1-'Inputs-Proposals'!$H$32^(AB$3-'Inputs-System'!$C$7)))*(VLOOKUP(AB$3,Energy!$A$51:$K$83,5,FALSE))), $C39= "0", 0), 0)</f>
        <v>0</v>
      </c>
      <c r="AC39" s="44">
        <f>IFERROR(_xlfn.IFS($C39="1",('Inputs-System'!$C$30*'Coincidence Factors'!$B$9*(1+'Inputs-System'!$C$18)*(1+'Inputs-System'!$C$41))*'Inputs-Proposals'!$H$17*'Inputs-Proposals'!$H$19*(1-'Inputs-Proposals'!$H$20^(AB$3-'Inputs-System'!$C$7))*(VLOOKUP(AB$3,'Embedded Emissions'!$A$47:$B$78,2,FALSE)+VLOOKUP(AB$3,'Embedded Emissions'!$A$129:$B$158,2,FALSE)), $C39 = "2",('Inputs-System'!$C$30*'Coincidence Factors'!$B$9*(1+'Inputs-System'!$C$18)*(1+'Inputs-System'!$C$41))*'Inputs-Proposals'!$H$23*'Inputs-Proposals'!$H$25*(1-'Inputs-Proposals'!$H$20^(AB$3-'Inputs-System'!$C$7))*(VLOOKUP(AB$3,'Embedded Emissions'!$A$47:$B$78,2,FALSE)+VLOOKUP(AB$3,'Embedded Emissions'!$A$129:$B$158,2,FALSE)), $C39 = "3", ('Inputs-System'!$C$30*'Coincidence Factors'!$B$9*(1+'Inputs-System'!$C$18)*(1+'Inputs-System'!$C$41))*'Inputs-Proposals'!$H$29*'Inputs-Proposals'!$H$31*(1-'Inputs-Proposals'!$H$20^(AB$3-'Inputs-System'!$C$7))*(VLOOKUP(AB$3,'Embedded Emissions'!$A$47:$B$78,2,FALSE)+VLOOKUP(AB$3,'Embedded Emissions'!$A$129:$B$158,2,FALSE)), $C39 = "0", 0), 0)</f>
        <v>0</v>
      </c>
      <c r="AD39" s="44">
        <f>IFERROR(_xlfn.IFS($C39="1",( 'Inputs-System'!$C$30*'Coincidence Factors'!$B$9*(1+'Inputs-System'!$C$18)*(1+'Inputs-System'!$C$41))*('Inputs-Proposals'!$H$17*'Inputs-Proposals'!$H$19*(1-'Inputs-Proposals'!$H$20)^(AB$3-'Inputs-System'!$C$7))*(VLOOKUP(AB$3,DRIPE!$A$54:$I$82,5,FALSE)+VLOOKUP(AB$3,DRIPE!$A$54:$I$82,9,FALSE))+ ('Inputs-System'!$C$26*'Coincidence Factors'!$B$6*(1+'Inputs-System'!$C$18)*(1+'Inputs-System'!$C$42))*'Inputs-Proposals'!$H$16*VLOOKUP(AB$3,DRIPE!$A$54:$I$82,8,FALSE), $C39 = "2",( 'Inputs-System'!$C$30*'Coincidence Factors'!$B$9*(1+'Inputs-System'!$C$18)*(1+'Inputs-System'!$C$41))*('Inputs-Proposals'!$H$23*'Inputs-Proposals'!$H$25*(1-'Inputs-Proposals'!$H$26)^(AB$3-'Inputs-System'!$C$7))*(VLOOKUP(AB$3,DRIPE!$A$54:$I$82,5,FALSE)+VLOOKUP(AB$3,DRIPE!$A$54:$I$82,9,FALSE))+ ('Inputs-System'!$C$26*'Coincidence Factors'!$B$6*(1+'Inputs-System'!$C$18)*(1+'Inputs-System'!$C$42))*'Inputs-Proposals'!$H$22*VLOOKUP(AB$3,DRIPE!$A$54:$I$82,8,FALSE), $C39= "3", ( 'Inputs-System'!$C$30*'Coincidence Factors'!$B$9*(1+'Inputs-System'!$C$18)*(1+'Inputs-System'!$C$41))*('Inputs-Proposals'!$H$29*'Inputs-Proposals'!$H$31*(1-'Inputs-Proposals'!$H$32)^(AB$3-'Inputs-System'!$C$7))*(VLOOKUP(AB$3,DRIPE!$A$54:$I$82,5,FALSE)+VLOOKUP(AB$3,DRIPE!$A$54:$I$82,9,FALSE))+ ('Inputs-System'!$C$26*'Coincidence Factors'!$B$6*(1+'Inputs-System'!$C$18)*(1+'Inputs-System'!$C$42))*'Inputs-Proposals'!$H$28*VLOOKUP(AB$3,DRIPE!$A$54:$I$82,8,FALSE), $C39 = "0", 0), 0)</f>
        <v>0</v>
      </c>
      <c r="AE39" s="45">
        <f>IFERROR(_xlfn.IFS($C39="1",('Inputs-System'!$C$26*'Coincidence Factors'!$B$9*(1+'Inputs-System'!$C$18)*(1+'Inputs-System'!$C$42))*'Inputs-Proposals'!$D$16*(VLOOKUP(AB$3,Capacity!$A$53:$E$85,4,FALSE)*(1+'Inputs-System'!$C$42)+VLOOKUP(AB$3,Capacity!$A$53:$E$85,5,FALSE)*(1+'Inputs-System'!$C$43)*'Inputs-System'!$C$29), $C39 = "2", ('Inputs-System'!$C$26*'Coincidence Factors'!$B$9*(1+'Inputs-System'!$C$18))*'Inputs-Proposals'!$D$22*(VLOOKUP(AB$3,Capacity!$A$53:$E$85,4,FALSE)*(1+'Inputs-System'!$C$42)+VLOOKUP(AB$3,Capacity!$A$53:$E$85,5,FALSE)*'Inputs-System'!$C$29*(1+'Inputs-System'!$C$43)), $C39 = "3", ('Inputs-System'!$C$26*'Coincidence Factors'!$B$9*(1+'Inputs-System'!$C$18))*'Inputs-Proposals'!$D$28*(VLOOKUP(AB$3,Capacity!$A$53:$E$85,4,FALSE)*(1+'Inputs-System'!$C$42)+VLOOKUP(AB$3,Capacity!$A$53:$E$85,5,FALSE)*'Inputs-System'!$C$29*(1+'Inputs-System'!$C$43)), $C39 = "0", 0), 0)</f>
        <v>0</v>
      </c>
      <c r="AF39" s="44">
        <v>0</v>
      </c>
      <c r="AG39" s="342">
        <f>IFERROR(_xlfn.IFS($C39="1", 'Inputs-System'!$C$30*'Coincidence Factors'!$B$9*'Inputs-Proposals'!$H$17*'Inputs-Proposals'!$H$19*(VLOOKUP(AB$3,'Non-Embedded Emissions'!$A$56:$D$90,2,FALSE)-VLOOKUP(AB$3,'Non-Embedded Emissions'!$F$57:$H$88,2,FALSE)+VLOOKUP(AB$3,'Non-Embedded Emissions'!$A$143:$D$174,2,FALSE)-VLOOKUP(AB$3,'Non-Embedded Emissions'!$F$143:$H$174,2,FALSE)+VLOOKUP(AB$3,'Non-Embedded Emissions'!$A$230:$D$259,2,FALSE)), $C39 = "2", 'Inputs-System'!$C$30*'Coincidence Factors'!$B$9*'Inputs-Proposals'!$H$23*'Inputs-Proposals'!$H$25*(VLOOKUP(AB$3,'Non-Embedded Emissions'!$A$56:$D$90,2,FALSE)-VLOOKUP(AB$3,'Non-Embedded Emissions'!$F$57:$H$88,2,FALSE)+VLOOKUP(AB$3,'Non-Embedded Emissions'!$A$143:$D$174,2,FALSE)-VLOOKUP(AB$3,'Non-Embedded Emissions'!$F$143:$H$174,2,FALSE)+VLOOKUP(AB$3,'Non-Embedded Emissions'!$A$230:$D$259,2,FALSE)), $C39 = "3", 'Inputs-System'!$C$30*'Coincidence Factors'!$B$9*'Inputs-Proposals'!$H$29*'Inputs-Proposals'!$H$31*(VLOOKUP(AB$3,'Non-Embedded Emissions'!$A$56:$D$90,2,FALSE)-VLOOKUP(AB$3,'Non-Embedded Emissions'!$F$57:$H$88,2,FALSE)+VLOOKUP(AB$3,'Non-Embedded Emissions'!$A$143:$D$174,2,FALSE)-VLOOKUP(AB$3,'Non-Embedded Emissions'!$F$143:$H$174,2,FALSE)+VLOOKUP(AB$3,'Non-Embedded Emissions'!$A$230:$D$259,2,FALSE)), $C39 = "0", 0), 0)</f>
        <v>0</v>
      </c>
      <c r="AH39" s="45">
        <f>IFERROR(_xlfn.IFS($C39="1",('Inputs-System'!$C$30*'Coincidence Factors'!$B$9*(1+'Inputs-System'!$C$18)*(1+'Inputs-System'!$C$41)*('Inputs-Proposals'!$H$17*'Inputs-Proposals'!$H$19*(1-'Inputs-Proposals'!$H$20^(AH$3-'Inputs-System'!$C$7)))*(VLOOKUP(AH$3,Energy!$A$51:$K$83,5,FALSE))), $C39 = "2",('Inputs-System'!$C$30*'Coincidence Factors'!$B$9)*(1+'Inputs-System'!$C$18)*(1+'Inputs-System'!$C$41)*('Inputs-Proposals'!$H$23*'Inputs-Proposals'!$H$25*(1-'Inputs-Proposals'!$H$26^(AH$3-'Inputs-System'!$C$7)))*(VLOOKUP(AH$3,Energy!$A$51:$K$83,5,FALSE)), $C39= "3", ('Inputs-System'!$C$30*'Coincidence Factors'!$B$9*(1+'Inputs-System'!$C$18)*(1+'Inputs-System'!$C$41)*('Inputs-Proposals'!$H$29*'Inputs-Proposals'!$H$31*(1-'Inputs-Proposals'!$H$32^(AH$3-'Inputs-System'!$C$7)))*(VLOOKUP(AH$3,Energy!$A$51:$K$83,5,FALSE))), $C39= "0", 0), 0)</f>
        <v>0</v>
      </c>
      <c r="AI39" s="44">
        <f>IFERROR(_xlfn.IFS($C39="1",('Inputs-System'!$C$30*'Coincidence Factors'!$B$9*(1+'Inputs-System'!$C$18)*(1+'Inputs-System'!$C$41))*'Inputs-Proposals'!$H$17*'Inputs-Proposals'!$H$19*(1-'Inputs-Proposals'!$H$20^(AH$3-'Inputs-System'!$C$7))*(VLOOKUP(AH$3,'Embedded Emissions'!$A$47:$B$78,2,FALSE)+VLOOKUP(AH$3,'Embedded Emissions'!$A$129:$B$158,2,FALSE)), $C39 = "2",('Inputs-System'!$C$30*'Coincidence Factors'!$B$9*(1+'Inputs-System'!$C$18)*(1+'Inputs-System'!$C$41))*'Inputs-Proposals'!$H$23*'Inputs-Proposals'!$H$25*(1-'Inputs-Proposals'!$H$20^(AH$3-'Inputs-System'!$C$7))*(VLOOKUP(AH$3,'Embedded Emissions'!$A$47:$B$78,2,FALSE)+VLOOKUP(AH$3,'Embedded Emissions'!$A$129:$B$158,2,FALSE)), $C39 = "3", ('Inputs-System'!$C$30*'Coincidence Factors'!$B$9*(1+'Inputs-System'!$C$18)*(1+'Inputs-System'!$C$41))*'Inputs-Proposals'!$H$29*'Inputs-Proposals'!$H$31*(1-'Inputs-Proposals'!$H$20^(AH$3-'Inputs-System'!$C$7))*(VLOOKUP(AH$3,'Embedded Emissions'!$A$47:$B$78,2,FALSE)+VLOOKUP(AH$3,'Embedded Emissions'!$A$129:$B$158,2,FALSE)), $C39 = "0", 0), 0)</f>
        <v>0</v>
      </c>
      <c r="AJ39" s="44">
        <f>IFERROR(_xlfn.IFS($C39="1",( 'Inputs-System'!$C$30*'Coincidence Factors'!$B$9*(1+'Inputs-System'!$C$18)*(1+'Inputs-System'!$C$41))*('Inputs-Proposals'!$H$17*'Inputs-Proposals'!$H$19*(1-'Inputs-Proposals'!$H$20)^(AH$3-'Inputs-System'!$C$7))*(VLOOKUP(AH$3,DRIPE!$A$54:$I$82,5,FALSE)+VLOOKUP(AH$3,DRIPE!$A$54:$I$82,9,FALSE))+ ('Inputs-System'!$C$26*'Coincidence Factors'!$B$6*(1+'Inputs-System'!$C$18)*(1+'Inputs-System'!$C$42))*'Inputs-Proposals'!$H$16*VLOOKUP(AH$3,DRIPE!$A$54:$I$82,8,FALSE), $C39 = "2",( 'Inputs-System'!$C$30*'Coincidence Factors'!$B$9*(1+'Inputs-System'!$C$18)*(1+'Inputs-System'!$C$41))*('Inputs-Proposals'!$H$23*'Inputs-Proposals'!$H$25*(1-'Inputs-Proposals'!$H$26)^(AH$3-'Inputs-System'!$C$7))*(VLOOKUP(AH$3,DRIPE!$A$54:$I$82,5,FALSE)+VLOOKUP(AH$3,DRIPE!$A$54:$I$82,9,FALSE))+ ('Inputs-System'!$C$26*'Coincidence Factors'!$B$6*(1+'Inputs-System'!$C$18)*(1+'Inputs-System'!$C$42))*'Inputs-Proposals'!$H$22*VLOOKUP(AH$3,DRIPE!$A$54:$I$82,8,FALSE), $C39= "3", ( 'Inputs-System'!$C$30*'Coincidence Factors'!$B$9*(1+'Inputs-System'!$C$18)*(1+'Inputs-System'!$C$41))*('Inputs-Proposals'!$H$29*'Inputs-Proposals'!$H$31*(1-'Inputs-Proposals'!$H$32)^(AH$3-'Inputs-System'!$C$7))*(VLOOKUP(AH$3,DRIPE!$A$54:$I$82,5,FALSE)+VLOOKUP(AH$3,DRIPE!$A$54:$I$82,9,FALSE))+ ('Inputs-System'!$C$26*'Coincidence Factors'!$B$6*(1+'Inputs-System'!$C$18)*(1+'Inputs-System'!$C$42))*'Inputs-Proposals'!$H$28*VLOOKUP(AH$3,DRIPE!$A$54:$I$82,8,FALSE), $C39 = "0", 0), 0)</f>
        <v>0</v>
      </c>
      <c r="AK39" s="45">
        <f>IFERROR(_xlfn.IFS($C39="1",('Inputs-System'!$C$26*'Coincidence Factors'!$B$9*(1+'Inputs-System'!$C$18)*(1+'Inputs-System'!$C$42))*'Inputs-Proposals'!$D$16*(VLOOKUP(AH$3,Capacity!$A$53:$E$85,4,FALSE)*(1+'Inputs-System'!$C$42)+VLOOKUP(AH$3,Capacity!$A$53:$E$85,5,FALSE)*(1+'Inputs-System'!$C$43)*'Inputs-System'!$C$29), $C39 = "2", ('Inputs-System'!$C$26*'Coincidence Factors'!$B$9*(1+'Inputs-System'!$C$18))*'Inputs-Proposals'!$D$22*(VLOOKUP(AH$3,Capacity!$A$53:$E$85,4,FALSE)*(1+'Inputs-System'!$C$42)+VLOOKUP(AH$3,Capacity!$A$53:$E$85,5,FALSE)*'Inputs-System'!$C$29*(1+'Inputs-System'!$C$43)), $C39 = "3", ('Inputs-System'!$C$26*'Coincidence Factors'!$B$9*(1+'Inputs-System'!$C$18))*'Inputs-Proposals'!$D$28*(VLOOKUP(AH$3,Capacity!$A$53:$E$85,4,FALSE)*(1+'Inputs-System'!$C$42)+VLOOKUP(AH$3,Capacity!$A$53:$E$85,5,FALSE)*'Inputs-System'!$C$29*(1+'Inputs-System'!$C$43)), $C39 = "0", 0), 0)</f>
        <v>0</v>
      </c>
      <c r="AL39" s="44">
        <v>0</v>
      </c>
      <c r="AM39" s="342">
        <f>IFERROR(_xlfn.IFS($C39="1", 'Inputs-System'!$C$30*'Coincidence Factors'!$B$9*'Inputs-Proposals'!$H$17*'Inputs-Proposals'!$H$19*(VLOOKUP(AH$3,'Non-Embedded Emissions'!$A$56:$D$90,2,FALSE)-VLOOKUP(AH$3,'Non-Embedded Emissions'!$F$57:$H$88,2,FALSE)+VLOOKUP(AH$3,'Non-Embedded Emissions'!$A$143:$D$174,2,FALSE)-VLOOKUP(AH$3,'Non-Embedded Emissions'!$F$143:$H$174,2,FALSE)+VLOOKUP(AH$3,'Non-Embedded Emissions'!$A$230:$D$259,2,FALSE)), $C39 = "2", 'Inputs-System'!$C$30*'Coincidence Factors'!$B$9*'Inputs-Proposals'!$H$23*'Inputs-Proposals'!$H$25*(VLOOKUP(AH$3,'Non-Embedded Emissions'!$A$56:$D$90,2,FALSE)-VLOOKUP(AH$3,'Non-Embedded Emissions'!$F$57:$H$88,2,FALSE)+VLOOKUP(AH$3,'Non-Embedded Emissions'!$A$143:$D$174,2,FALSE)-VLOOKUP(AH$3,'Non-Embedded Emissions'!$F$143:$H$174,2,FALSE)+VLOOKUP(AH$3,'Non-Embedded Emissions'!$A$230:$D$259,2,FALSE)), $C39 = "3", 'Inputs-System'!$C$30*'Coincidence Factors'!$B$9*'Inputs-Proposals'!$H$29*'Inputs-Proposals'!$H$31*(VLOOKUP(AH$3,'Non-Embedded Emissions'!$A$56:$D$90,2,FALSE)-VLOOKUP(AH$3,'Non-Embedded Emissions'!$F$57:$H$88,2,FALSE)+VLOOKUP(AH$3,'Non-Embedded Emissions'!$A$143:$D$174,2,FALSE)-VLOOKUP(AH$3,'Non-Embedded Emissions'!$F$143:$H$174,2,FALSE)+VLOOKUP(AH$3,'Non-Embedded Emissions'!$A$230:$D$259,2,FALSE)), $C39 = "0", 0), 0)</f>
        <v>0</v>
      </c>
      <c r="AN39" s="45">
        <f>IFERROR(_xlfn.IFS($C39="1",('Inputs-System'!$C$30*'Coincidence Factors'!$B$9*(1+'Inputs-System'!$C$18)*(1+'Inputs-System'!$C$41)*('Inputs-Proposals'!$H$17*'Inputs-Proposals'!$H$19*(1-'Inputs-Proposals'!$H$20^(AN$3-'Inputs-System'!$C$7)))*(VLOOKUP(AN$3,Energy!$A$51:$K$83,5,FALSE))), $C39 = "2",('Inputs-System'!$C$30*'Coincidence Factors'!$B$9)*(1+'Inputs-System'!$C$18)*(1+'Inputs-System'!$C$41)*('Inputs-Proposals'!$H$23*'Inputs-Proposals'!$H$25*(1-'Inputs-Proposals'!$H$26^(AN$3-'Inputs-System'!$C$7)))*(VLOOKUP(AN$3,Energy!$A$51:$K$83,5,FALSE)), $C39= "3", ('Inputs-System'!$C$30*'Coincidence Factors'!$B$9*(1+'Inputs-System'!$C$18)*(1+'Inputs-System'!$C$41)*('Inputs-Proposals'!$H$29*'Inputs-Proposals'!$H$31*(1-'Inputs-Proposals'!$H$32^(AN$3-'Inputs-System'!$C$7)))*(VLOOKUP(AN$3,Energy!$A$51:$K$83,5,FALSE))), $C39= "0", 0), 0)</f>
        <v>0</v>
      </c>
      <c r="AO39" s="44">
        <f>IFERROR(_xlfn.IFS($C39="1",('Inputs-System'!$C$30*'Coincidence Factors'!$B$9*(1+'Inputs-System'!$C$18)*(1+'Inputs-System'!$C$41))*'Inputs-Proposals'!$H$17*'Inputs-Proposals'!$H$19*(1-'Inputs-Proposals'!$H$20^(AN$3-'Inputs-System'!$C$7))*(VLOOKUP(AN$3,'Embedded Emissions'!$A$47:$B$78,2,FALSE)+VLOOKUP(AN$3,'Embedded Emissions'!$A$129:$B$158,2,FALSE)), $C39 = "2",('Inputs-System'!$C$30*'Coincidence Factors'!$B$9*(1+'Inputs-System'!$C$18)*(1+'Inputs-System'!$C$41))*'Inputs-Proposals'!$H$23*'Inputs-Proposals'!$H$25*(1-'Inputs-Proposals'!$H$20^(AN$3-'Inputs-System'!$C$7))*(VLOOKUP(AN$3,'Embedded Emissions'!$A$47:$B$78,2,FALSE)+VLOOKUP(AN$3,'Embedded Emissions'!$A$129:$B$158,2,FALSE)), $C39 = "3", ('Inputs-System'!$C$30*'Coincidence Factors'!$B$9*(1+'Inputs-System'!$C$18)*(1+'Inputs-System'!$C$41))*'Inputs-Proposals'!$H$29*'Inputs-Proposals'!$H$31*(1-'Inputs-Proposals'!$H$20^(AN$3-'Inputs-System'!$C$7))*(VLOOKUP(AN$3,'Embedded Emissions'!$A$47:$B$78,2,FALSE)+VLOOKUP(AN$3,'Embedded Emissions'!$A$129:$B$158,2,FALSE)), $C39 = "0", 0), 0)</f>
        <v>0</v>
      </c>
      <c r="AP39" s="44">
        <f>IFERROR(_xlfn.IFS($C39="1",( 'Inputs-System'!$C$30*'Coincidence Factors'!$B$9*(1+'Inputs-System'!$C$18)*(1+'Inputs-System'!$C$41))*('Inputs-Proposals'!$H$17*'Inputs-Proposals'!$H$19*(1-'Inputs-Proposals'!$H$20)^(AN$3-'Inputs-System'!$C$7))*(VLOOKUP(AN$3,DRIPE!$A$54:$I$82,5,FALSE)+VLOOKUP(AN$3,DRIPE!$A$54:$I$82,9,FALSE))+ ('Inputs-System'!$C$26*'Coincidence Factors'!$B$6*(1+'Inputs-System'!$C$18)*(1+'Inputs-System'!$C$42))*'Inputs-Proposals'!$H$16*VLOOKUP(AN$3,DRIPE!$A$54:$I$82,8,FALSE), $C39 = "2",( 'Inputs-System'!$C$30*'Coincidence Factors'!$B$9*(1+'Inputs-System'!$C$18)*(1+'Inputs-System'!$C$41))*('Inputs-Proposals'!$H$23*'Inputs-Proposals'!$H$25*(1-'Inputs-Proposals'!$H$26)^(AN$3-'Inputs-System'!$C$7))*(VLOOKUP(AN$3,DRIPE!$A$54:$I$82,5,FALSE)+VLOOKUP(AN$3,DRIPE!$A$54:$I$82,9,FALSE))+ ('Inputs-System'!$C$26*'Coincidence Factors'!$B$6*(1+'Inputs-System'!$C$18)*(1+'Inputs-System'!$C$42))*'Inputs-Proposals'!$H$22*VLOOKUP(AN$3,DRIPE!$A$54:$I$82,8,FALSE), $C39= "3", ( 'Inputs-System'!$C$30*'Coincidence Factors'!$B$9*(1+'Inputs-System'!$C$18)*(1+'Inputs-System'!$C$41))*('Inputs-Proposals'!$H$29*'Inputs-Proposals'!$H$31*(1-'Inputs-Proposals'!$H$32)^(AN$3-'Inputs-System'!$C$7))*(VLOOKUP(AN$3,DRIPE!$A$54:$I$82,5,FALSE)+VLOOKUP(AN$3,DRIPE!$A$54:$I$82,9,FALSE))+ ('Inputs-System'!$C$26*'Coincidence Factors'!$B$6*(1+'Inputs-System'!$C$18)*(1+'Inputs-System'!$C$42))*'Inputs-Proposals'!$H$28*VLOOKUP(AN$3,DRIPE!$A$54:$I$82,8,FALSE), $C39 = "0", 0), 0)</f>
        <v>0</v>
      </c>
      <c r="AQ39" s="45">
        <f>IFERROR(_xlfn.IFS($C39="1",('Inputs-System'!$C$26*'Coincidence Factors'!$B$9*(1+'Inputs-System'!$C$18)*(1+'Inputs-System'!$C$42))*'Inputs-Proposals'!$D$16*(VLOOKUP(AN$3,Capacity!$A$53:$E$85,4,FALSE)*(1+'Inputs-System'!$C$42)+VLOOKUP(AN$3,Capacity!$A$53:$E$85,5,FALSE)*(1+'Inputs-System'!$C$43)*'Inputs-System'!$C$29), $C39 = "2", ('Inputs-System'!$C$26*'Coincidence Factors'!$B$9*(1+'Inputs-System'!$C$18))*'Inputs-Proposals'!$D$22*(VLOOKUP(AN$3,Capacity!$A$53:$E$85,4,FALSE)*(1+'Inputs-System'!$C$42)+VLOOKUP(AN$3,Capacity!$A$53:$E$85,5,FALSE)*'Inputs-System'!$C$29*(1+'Inputs-System'!$C$43)), $C39 = "3", ('Inputs-System'!$C$26*'Coincidence Factors'!$B$9*(1+'Inputs-System'!$C$18))*'Inputs-Proposals'!$D$28*(VLOOKUP(AN$3,Capacity!$A$53:$E$85,4,FALSE)*(1+'Inputs-System'!$C$42)+VLOOKUP(AN$3,Capacity!$A$53:$E$85,5,FALSE)*'Inputs-System'!$C$29*(1+'Inputs-System'!$C$43)), $C39 = "0", 0), 0)</f>
        <v>0</v>
      </c>
      <c r="AR39" s="44">
        <v>0</v>
      </c>
      <c r="AS39" s="342">
        <f>IFERROR(_xlfn.IFS($C39="1", 'Inputs-System'!$C$30*'Coincidence Factors'!$B$9*'Inputs-Proposals'!$H$17*'Inputs-Proposals'!$H$19*(VLOOKUP(AN$3,'Non-Embedded Emissions'!$A$56:$D$90,2,FALSE)-VLOOKUP(AN$3,'Non-Embedded Emissions'!$F$57:$H$88,2,FALSE)+VLOOKUP(AN$3,'Non-Embedded Emissions'!$A$143:$D$174,2,FALSE)-VLOOKUP(AN$3,'Non-Embedded Emissions'!$F$143:$H$174,2,FALSE)+VLOOKUP(AN$3,'Non-Embedded Emissions'!$A$230:$D$259,2,FALSE)), $C39 = "2", 'Inputs-System'!$C$30*'Coincidence Factors'!$B$9*'Inputs-Proposals'!$H$23*'Inputs-Proposals'!$H$25*(VLOOKUP(AN$3,'Non-Embedded Emissions'!$A$56:$D$90,2,FALSE)-VLOOKUP(AN$3,'Non-Embedded Emissions'!$F$57:$H$88,2,FALSE)+VLOOKUP(AN$3,'Non-Embedded Emissions'!$A$143:$D$174,2,FALSE)-VLOOKUP(AN$3,'Non-Embedded Emissions'!$F$143:$H$174,2,FALSE)+VLOOKUP(AN$3,'Non-Embedded Emissions'!$A$230:$D$259,2,FALSE)), $C39 = "3", 'Inputs-System'!$C$30*'Coincidence Factors'!$B$9*'Inputs-Proposals'!$H$29*'Inputs-Proposals'!$H$31*(VLOOKUP(AN$3,'Non-Embedded Emissions'!$A$56:$D$90,2,FALSE)-VLOOKUP(AN$3,'Non-Embedded Emissions'!$F$57:$H$88,2,FALSE)+VLOOKUP(AN$3,'Non-Embedded Emissions'!$A$143:$D$174,2,FALSE)-VLOOKUP(AN$3,'Non-Embedded Emissions'!$F$143:$H$174,2,FALSE)+VLOOKUP(AN$3,'Non-Embedded Emissions'!$A$230:$D$259,2,FALSE)), $C39 = "0", 0), 0)</f>
        <v>0</v>
      </c>
      <c r="AT39" s="45">
        <f>IFERROR(_xlfn.IFS($C39="1",('Inputs-System'!$C$30*'Coincidence Factors'!$B$9*(1+'Inputs-System'!$C$18)*(1+'Inputs-System'!$C$41)*('Inputs-Proposals'!$H$17*'Inputs-Proposals'!$H$19*(1-'Inputs-Proposals'!$H$20^(AT$3-'Inputs-System'!$C$7)))*(VLOOKUP(AT$3,Energy!$A$51:$K$83,5,FALSE))), $C39 = "2",('Inputs-System'!$C$30*'Coincidence Factors'!$B$9)*(1+'Inputs-System'!$C$18)*(1+'Inputs-System'!$C$41)*('Inputs-Proposals'!$H$23*'Inputs-Proposals'!$H$25*(1-'Inputs-Proposals'!$H$26^(AT$3-'Inputs-System'!$C$7)))*(VLOOKUP(AT$3,Energy!$A$51:$K$83,5,FALSE)), $C39= "3", ('Inputs-System'!$C$30*'Coincidence Factors'!$B$9*(1+'Inputs-System'!$C$18)*(1+'Inputs-System'!$C$41)*('Inputs-Proposals'!$H$29*'Inputs-Proposals'!$H$31*(1-'Inputs-Proposals'!$H$32^(AT$3-'Inputs-System'!$C$7)))*(VLOOKUP(AT$3,Energy!$A$51:$K$83,5,FALSE))), $C39= "0", 0), 0)</f>
        <v>0</v>
      </c>
      <c r="AU39" s="44">
        <f>IFERROR(_xlfn.IFS($C39="1",('Inputs-System'!$C$30*'Coincidence Factors'!$B$9*(1+'Inputs-System'!$C$18)*(1+'Inputs-System'!$C$41))*'Inputs-Proposals'!$H$17*'Inputs-Proposals'!$H$19*(1-'Inputs-Proposals'!$H$20^(AT$3-'Inputs-System'!$C$7))*(VLOOKUP(AT$3,'Embedded Emissions'!$A$47:$B$78,2,FALSE)+VLOOKUP(AT$3,'Embedded Emissions'!$A$129:$B$158,2,FALSE)), $C39 = "2",('Inputs-System'!$C$30*'Coincidence Factors'!$B$9*(1+'Inputs-System'!$C$18)*(1+'Inputs-System'!$C$41))*'Inputs-Proposals'!$H$23*'Inputs-Proposals'!$H$25*(1-'Inputs-Proposals'!$H$20^(AT$3-'Inputs-System'!$C$7))*(VLOOKUP(AT$3,'Embedded Emissions'!$A$47:$B$78,2,FALSE)+VLOOKUP(AT$3,'Embedded Emissions'!$A$129:$B$158,2,FALSE)), $C39 = "3", ('Inputs-System'!$C$30*'Coincidence Factors'!$B$9*(1+'Inputs-System'!$C$18)*(1+'Inputs-System'!$C$41))*'Inputs-Proposals'!$H$29*'Inputs-Proposals'!$H$31*(1-'Inputs-Proposals'!$H$20^(AT$3-'Inputs-System'!$C$7))*(VLOOKUP(AT$3,'Embedded Emissions'!$A$47:$B$78,2,FALSE)+VLOOKUP(AT$3,'Embedded Emissions'!$A$129:$B$158,2,FALSE)), $C39 = "0", 0), 0)</f>
        <v>0</v>
      </c>
      <c r="AV39" s="44">
        <f>IFERROR(_xlfn.IFS($C39="1",( 'Inputs-System'!$C$30*'Coincidence Factors'!$B$9*(1+'Inputs-System'!$C$18)*(1+'Inputs-System'!$C$41))*('Inputs-Proposals'!$H$17*'Inputs-Proposals'!$H$19*(1-'Inputs-Proposals'!$H$20)^(AT$3-'Inputs-System'!$C$7))*(VLOOKUP(AT$3,DRIPE!$A$54:$I$82,5,FALSE)+VLOOKUP(AT$3,DRIPE!$A$54:$I$82,9,FALSE))+ ('Inputs-System'!$C$26*'Coincidence Factors'!$B$6*(1+'Inputs-System'!$C$18)*(1+'Inputs-System'!$C$42))*'Inputs-Proposals'!$H$16*VLOOKUP(AT$3,DRIPE!$A$54:$I$82,8,FALSE), $C39 = "2",( 'Inputs-System'!$C$30*'Coincidence Factors'!$B$9*(1+'Inputs-System'!$C$18)*(1+'Inputs-System'!$C$41))*('Inputs-Proposals'!$H$23*'Inputs-Proposals'!$H$25*(1-'Inputs-Proposals'!$H$26)^(AT$3-'Inputs-System'!$C$7))*(VLOOKUP(AT$3,DRIPE!$A$54:$I$82,5,FALSE)+VLOOKUP(AT$3,DRIPE!$A$54:$I$82,9,FALSE))+ ('Inputs-System'!$C$26*'Coincidence Factors'!$B$6*(1+'Inputs-System'!$C$18)*(1+'Inputs-System'!$C$42))*'Inputs-Proposals'!$H$22*VLOOKUP(AT$3,DRIPE!$A$54:$I$82,8,FALSE), $C39= "3", ( 'Inputs-System'!$C$30*'Coincidence Factors'!$B$9*(1+'Inputs-System'!$C$18)*(1+'Inputs-System'!$C$41))*('Inputs-Proposals'!$H$29*'Inputs-Proposals'!$H$31*(1-'Inputs-Proposals'!$H$32)^(AT$3-'Inputs-System'!$C$7))*(VLOOKUP(AT$3,DRIPE!$A$54:$I$82,5,FALSE)+VLOOKUP(AT$3,DRIPE!$A$54:$I$82,9,FALSE))+ ('Inputs-System'!$C$26*'Coincidence Factors'!$B$6*(1+'Inputs-System'!$C$18)*(1+'Inputs-System'!$C$42))*'Inputs-Proposals'!$H$28*VLOOKUP(AT$3,DRIPE!$A$54:$I$82,8,FALSE), $C39 = "0", 0), 0)</f>
        <v>0</v>
      </c>
      <c r="AW39" s="45">
        <f>IFERROR(_xlfn.IFS($C39="1",('Inputs-System'!$C$26*'Coincidence Factors'!$B$9*(1+'Inputs-System'!$C$18)*(1+'Inputs-System'!$C$42))*'Inputs-Proposals'!$D$16*(VLOOKUP(AT$3,Capacity!$A$53:$E$85,4,FALSE)*(1+'Inputs-System'!$C$42)+VLOOKUP(AT$3,Capacity!$A$53:$E$85,5,FALSE)*(1+'Inputs-System'!$C$43)*'Inputs-System'!$C$29), $C39 = "2", ('Inputs-System'!$C$26*'Coincidence Factors'!$B$9*(1+'Inputs-System'!$C$18))*'Inputs-Proposals'!$D$22*(VLOOKUP(AT$3,Capacity!$A$53:$E$85,4,FALSE)*(1+'Inputs-System'!$C$42)+VLOOKUP(AT$3,Capacity!$A$53:$E$85,5,FALSE)*'Inputs-System'!$C$29*(1+'Inputs-System'!$C$43)), $C39 = "3", ('Inputs-System'!$C$26*'Coincidence Factors'!$B$9*(1+'Inputs-System'!$C$18))*'Inputs-Proposals'!$D$28*(VLOOKUP(AT$3,Capacity!$A$53:$E$85,4,FALSE)*(1+'Inputs-System'!$C$42)+VLOOKUP(AT$3,Capacity!$A$53:$E$85,5,FALSE)*'Inputs-System'!$C$29*(1+'Inputs-System'!$C$43)), $C39 = "0", 0), 0)</f>
        <v>0</v>
      </c>
      <c r="AX39" s="44">
        <v>0</v>
      </c>
      <c r="AY39" s="342">
        <f>IFERROR(_xlfn.IFS($C39="1", 'Inputs-System'!$C$30*'Coincidence Factors'!$B$9*'Inputs-Proposals'!$H$17*'Inputs-Proposals'!$H$19*(VLOOKUP(AT$3,'Non-Embedded Emissions'!$A$56:$D$90,2,FALSE)-VLOOKUP(AT$3,'Non-Embedded Emissions'!$F$57:$H$88,2,FALSE)+VLOOKUP(AT$3,'Non-Embedded Emissions'!$A$143:$D$174,2,FALSE)-VLOOKUP(AT$3,'Non-Embedded Emissions'!$F$143:$H$174,2,FALSE)+VLOOKUP(AT$3,'Non-Embedded Emissions'!$A$230:$D$259,2,FALSE)), $C39 = "2", 'Inputs-System'!$C$30*'Coincidence Factors'!$B$9*'Inputs-Proposals'!$H$23*'Inputs-Proposals'!$H$25*(VLOOKUP(AT$3,'Non-Embedded Emissions'!$A$56:$D$90,2,FALSE)-VLOOKUP(AT$3,'Non-Embedded Emissions'!$F$57:$H$88,2,FALSE)+VLOOKUP(AT$3,'Non-Embedded Emissions'!$A$143:$D$174,2,FALSE)-VLOOKUP(AT$3,'Non-Embedded Emissions'!$F$143:$H$174,2,FALSE)+VLOOKUP(AT$3,'Non-Embedded Emissions'!$A$230:$D$259,2,FALSE)), $C39 = "3", 'Inputs-System'!$C$30*'Coincidence Factors'!$B$9*'Inputs-Proposals'!$H$29*'Inputs-Proposals'!$H$31*(VLOOKUP(AT$3,'Non-Embedded Emissions'!$A$56:$D$90,2,FALSE)-VLOOKUP(AT$3,'Non-Embedded Emissions'!$F$57:$H$88,2,FALSE)+VLOOKUP(AT$3,'Non-Embedded Emissions'!$A$143:$D$174,2,FALSE)-VLOOKUP(AT$3,'Non-Embedded Emissions'!$F$143:$H$174,2,FALSE)+VLOOKUP(AT$3,'Non-Embedded Emissions'!$A$230:$D$259,2,FALSE)), $C39 = "0", 0), 0)</f>
        <v>0</v>
      </c>
      <c r="AZ39" s="45">
        <f>IFERROR(_xlfn.IFS($C39="1",('Inputs-System'!$C$30*'Coincidence Factors'!$B$9*(1+'Inputs-System'!$C$18)*(1+'Inputs-System'!$C$41)*('Inputs-Proposals'!$H$17*'Inputs-Proposals'!$H$19*(1-'Inputs-Proposals'!$H$20^(AZ$3-'Inputs-System'!$C$7)))*(VLOOKUP(AZ$3,Energy!$A$51:$K$83,5,FALSE))), $C39 = "2",('Inputs-System'!$C$30*'Coincidence Factors'!$B$9)*(1+'Inputs-System'!$C$18)*(1+'Inputs-System'!$C$41)*('Inputs-Proposals'!$H$23*'Inputs-Proposals'!$H$25*(1-'Inputs-Proposals'!$H$26^(AZ$3-'Inputs-System'!$C$7)))*(VLOOKUP(AZ$3,Energy!$A$51:$K$83,5,FALSE)), $C39= "3", ('Inputs-System'!$C$30*'Coincidence Factors'!$B$9*(1+'Inputs-System'!$C$18)*(1+'Inputs-System'!$C$41)*('Inputs-Proposals'!$H$29*'Inputs-Proposals'!$H$31*(1-'Inputs-Proposals'!$H$32^(AZ$3-'Inputs-System'!$C$7)))*(VLOOKUP(AZ$3,Energy!$A$51:$K$83,5,FALSE))), $C39= "0", 0), 0)</f>
        <v>0</v>
      </c>
      <c r="BA39" s="44">
        <f>IFERROR(_xlfn.IFS($C39="1",('Inputs-System'!$C$30*'Coincidence Factors'!$B$9*(1+'Inputs-System'!$C$18)*(1+'Inputs-System'!$C$41))*'Inputs-Proposals'!$H$17*'Inputs-Proposals'!$H$19*(1-'Inputs-Proposals'!$H$20^(AZ$3-'Inputs-System'!$C$7))*(VLOOKUP(AZ$3,'Embedded Emissions'!$A$47:$B$78,2,FALSE)+VLOOKUP(AZ$3,'Embedded Emissions'!$A$129:$B$158,2,FALSE)), $C39 = "2",('Inputs-System'!$C$30*'Coincidence Factors'!$B$9*(1+'Inputs-System'!$C$18)*(1+'Inputs-System'!$C$41))*'Inputs-Proposals'!$H$23*'Inputs-Proposals'!$H$25*(1-'Inputs-Proposals'!$H$20^(AZ$3-'Inputs-System'!$C$7))*(VLOOKUP(AZ$3,'Embedded Emissions'!$A$47:$B$78,2,FALSE)+VLOOKUP(AZ$3,'Embedded Emissions'!$A$129:$B$158,2,FALSE)), $C39 = "3", ('Inputs-System'!$C$30*'Coincidence Factors'!$B$9*(1+'Inputs-System'!$C$18)*(1+'Inputs-System'!$C$41))*'Inputs-Proposals'!$H$29*'Inputs-Proposals'!$H$31*(1-'Inputs-Proposals'!$H$20^(AZ$3-'Inputs-System'!$C$7))*(VLOOKUP(AZ$3,'Embedded Emissions'!$A$47:$B$78,2,FALSE)+VLOOKUP(AZ$3,'Embedded Emissions'!$A$129:$B$158,2,FALSE)), $C39 = "0", 0), 0)</f>
        <v>0</v>
      </c>
      <c r="BB39" s="44">
        <f>IFERROR(_xlfn.IFS($C39="1",( 'Inputs-System'!$C$30*'Coincidence Factors'!$B$9*(1+'Inputs-System'!$C$18)*(1+'Inputs-System'!$C$41))*('Inputs-Proposals'!$H$17*'Inputs-Proposals'!$H$19*(1-'Inputs-Proposals'!$H$20)^(AZ$3-'Inputs-System'!$C$7))*(VLOOKUP(AZ$3,DRIPE!$A$54:$I$82,5,FALSE)+VLOOKUP(AZ$3,DRIPE!$A$54:$I$82,9,FALSE))+ ('Inputs-System'!$C$26*'Coincidence Factors'!$B$6*(1+'Inputs-System'!$C$18)*(1+'Inputs-System'!$C$42))*'Inputs-Proposals'!$H$16*VLOOKUP(AZ$3,DRIPE!$A$54:$I$82,8,FALSE), $C39 = "2",( 'Inputs-System'!$C$30*'Coincidence Factors'!$B$9*(1+'Inputs-System'!$C$18)*(1+'Inputs-System'!$C$41))*('Inputs-Proposals'!$H$23*'Inputs-Proposals'!$H$25*(1-'Inputs-Proposals'!$H$26)^(AZ$3-'Inputs-System'!$C$7))*(VLOOKUP(AZ$3,DRIPE!$A$54:$I$82,5,FALSE)+VLOOKUP(AZ$3,DRIPE!$A$54:$I$82,9,FALSE))+ ('Inputs-System'!$C$26*'Coincidence Factors'!$B$6*(1+'Inputs-System'!$C$18)*(1+'Inputs-System'!$C$42))*'Inputs-Proposals'!$H$22*VLOOKUP(AZ$3,DRIPE!$A$54:$I$82,8,FALSE), $C39= "3", ( 'Inputs-System'!$C$30*'Coincidence Factors'!$B$9*(1+'Inputs-System'!$C$18)*(1+'Inputs-System'!$C$41))*('Inputs-Proposals'!$H$29*'Inputs-Proposals'!$H$31*(1-'Inputs-Proposals'!$H$32)^(AZ$3-'Inputs-System'!$C$7))*(VLOOKUP(AZ$3,DRIPE!$A$54:$I$82,5,FALSE)+VLOOKUP(AZ$3,DRIPE!$A$54:$I$82,9,FALSE))+ ('Inputs-System'!$C$26*'Coincidence Factors'!$B$6*(1+'Inputs-System'!$C$18)*(1+'Inputs-System'!$C$42))*'Inputs-Proposals'!$H$28*VLOOKUP(AZ$3,DRIPE!$A$54:$I$82,8,FALSE), $C39 = "0", 0), 0)</f>
        <v>0</v>
      </c>
      <c r="BC39" s="45">
        <f>IFERROR(_xlfn.IFS($C39="1",('Inputs-System'!$C$26*'Coincidence Factors'!$B$9*(1+'Inputs-System'!$C$18)*(1+'Inputs-System'!$C$42))*'Inputs-Proposals'!$D$16*(VLOOKUP(AZ$3,Capacity!$A$53:$E$85,4,FALSE)*(1+'Inputs-System'!$C$42)+VLOOKUP(AZ$3,Capacity!$A$53:$E$85,5,FALSE)*(1+'Inputs-System'!$C$43)*'Inputs-System'!$C$29), $C39 = "2", ('Inputs-System'!$C$26*'Coincidence Factors'!$B$9*(1+'Inputs-System'!$C$18))*'Inputs-Proposals'!$D$22*(VLOOKUP(AZ$3,Capacity!$A$53:$E$85,4,FALSE)*(1+'Inputs-System'!$C$42)+VLOOKUP(AZ$3,Capacity!$A$53:$E$85,5,FALSE)*'Inputs-System'!$C$29*(1+'Inputs-System'!$C$43)), $C39 = "3", ('Inputs-System'!$C$26*'Coincidence Factors'!$B$9*(1+'Inputs-System'!$C$18))*'Inputs-Proposals'!$D$28*(VLOOKUP(AZ$3,Capacity!$A$53:$E$85,4,FALSE)*(1+'Inputs-System'!$C$42)+VLOOKUP(AZ$3,Capacity!$A$53:$E$85,5,FALSE)*'Inputs-System'!$C$29*(1+'Inputs-System'!$C$43)), $C39 = "0", 0), 0)</f>
        <v>0</v>
      </c>
      <c r="BD39" s="44">
        <v>0</v>
      </c>
      <c r="BE39" s="342">
        <f>IFERROR(_xlfn.IFS($C39="1", 'Inputs-System'!$C$30*'Coincidence Factors'!$B$9*'Inputs-Proposals'!$H$17*'Inputs-Proposals'!$H$19*(VLOOKUP(AZ$3,'Non-Embedded Emissions'!$A$56:$D$90,2,FALSE)-VLOOKUP(AZ$3,'Non-Embedded Emissions'!$F$57:$H$88,2,FALSE)+VLOOKUP(AZ$3,'Non-Embedded Emissions'!$A$143:$D$174,2,FALSE)-VLOOKUP(AZ$3,'Non-Embedded Emissions'!$F$143:$H$174,2,FALSE)+VLOOKUP(AZ$3,'Non-Embedded Emissions'!$A$230:$D$259,2,FALSE)), $C39 = "2", 'Inputs-System'!$C$30*'Coincidence Factors'!$B$9*'Inputs-Proposals'!$H$23*'Inputs-Proposals'!$H$25*(VLOOKUP(AZ$3,'Non-Embedded Emissions'!$A$56:$D$90,2,FALSE)-VLOOKUP(AZ$3,'Non-Embedded Emissions'!$F$57:$H$88,2,FALSE)+VLOOKUP(AZ$3,'Non-Embedded Emissions'!$A$143:$D$174,2,FALSE)-VLOOKUP(AZ$3,'Non-Embedded Emissions'!$F$143:$H$174,2,FALSE)+VLOOKUP(AZ$3,'Non-Embedded Emissions'!$A$230:$D$259,2,FALSE)), $C39 = "3", 'Inputs-System'!$C$30*'Coincidence Factors'!$B$9*'Inputs-Proposals'!$H$29*'Inputs-Proposals'!$H$31*(VLOOKUP(AZ$3,'Non-Embedded Emissions'!$A$56:$D$90,2,FALSE)-VLOOKUP(AZ$3,'Non-Embedded Emissions'!$F$57:$H$88,2,FALSE)+VLOOKUP(AZ$3,'Non-Embedded Emissions'!$A$143:$D$174,2,FALSE)-VLOOKUP(AZ$3,'Non-Embedded Emissions'!$F$143:$H$174,2,FALSE)+VLOOKUP(AZ$3,'Non-Embedded Emissions'!$A$230:$D$259,2,FALSE)), $C39 = "0", 0), 0)</f>
        <v>0</v>
      </c>
      <c r="BF39" s="45">
        <f>IFERROR(_xlfn.IFS($C39="1",('Inputs-System'!$C$30*'Coincidence Factors'!$B$9*(1+'Inputs-System'!$C$18)*(1+'Inputs-System'!$C$41)*('Inputs-Proposals'!$H$17*'Inputs-Proposals'!$H$19*(1-'Inputs-Proposals'!$H$20^(BF$3-'Inputs-System'!$C$7)))*(VLOOKUP(BF$3,Energy!$A$51:$K$83,5,FALSE))), $C39 = "2",('Inputs-System'!$C$30*'Coincidence Factors'!$B$9)*(1+'Inputs-System'!$C$18)*(1+'Inputs-System'!$C$41)*('Inputs-Proposals'!$H$23*'Inputs-Proposals'!$H$25*(1-'Inputs-Proposals'!$H$26^(BF$3-'Inputs-System'!$C$7)))*(VLOOKUP(BF$3,Energy!$A$51:$K$83,5,FALSE)), $C39= "3", ('Inputs-System'!$C$30*'Coincidence Factors'!$B$9*(1+'Inputs-System'!$C$18)*(1+'Inputs-System'!$C$41)*('Inputs-Proposals'!$H$29*'Inputs-Proposals'!$H$31*(1-'Inputs-Proposals'!$H$32^(BF$3-'Inputs-System'!$C$7)))*(VLOOKUP(BF$3,Energy!$A$51:$K$83,5,FALSE))), $C39= "0", 0), 0)</f>
        <v>0</v>
      </c>
      <c r="BG39" s="44">
        <f>IFERROR(_xlfn.IFS($C39="1",('Inputs-System'!$C$30*'Coincidence Factors'!$B$9*(1+'Inputs-System'!$C$18)*(1+'Inputs-System'!$C$41))*'Inputs-Proposals'!$H$17*'Inputs-Proposals'!$H$19*(1-'Inputs-Proposals'!$H$20^(BF$3-'Inputs-System'!$C$7))*(VLOOKUP(BF$3,'Embedded Emissions'!$A$47:$B$78,2,FALSE)+VLOOKUP(BF$3,'Embedded Emissions'!$A$129:$B$158,2,FALSE)), $C39 = "2",('Inputs-System'!$C$30*'Coincidence Factors'!$B$9*(1+'Inputs-System'!$C$18)*(1+'Inputs-System'!$C$41))*'Inputs-Proposals'!$H$23*'Inputs-Proposals'!$H$25*(1-'Inputs-Proposals'!$H$20^(BF$3-'Inputs-System'!$C$7))*(VLOOKUP(BF$3,'Embedded Emissions'!$A$47:$B$78,2,FALSE)+VLOOKUP(BF$3,'Embedded Emissions'!$A$129:$B$158,2,FALSE)), $C39 = "3", ('Inputs-System'!$C$30*'Coincidence Factors'!$B$9*(1+'Inputs-System'!$C$18)*(1+'Inputs-System'!$C$41))*'Inputs-Proposals'!$H$29*'Inputs-Proposals'!$H$31*(1-'Inputs-Proposals'!$H$20^(BF$3-'Inputs-System'!$C$7))*(VLOOKUP(BF$3,'Embedded Emissions'!$A$47:$B$78,2,FALSE)+VLOOKUP(BF$3,'Embedded Emissions'!$A$129:$B$158,2,FALSE)), $C39 = "0", 0), 0)</f>
        <v>0</v>
      </c>
      <c r="BH39" s="44">
        <f>IFERROR(_xlfn.IFS($C39="1",( 'Inputs-System'!$C$30*'Coincidence Factors'!$B$9*(1+'Inputs-System'!$C$18)*(1+'Inputs-System'!$C$41))*('Inputs-Proposals'!$H$17*'Inputs-Proposals'!$H$19*(1-'Inputs-Proposals'!$H$20)^(BF$3-'Inputs-System'!$C$7))*(VLOOKUP(BF$3,DRIPE!$A$54:$I$82,5,FALSE)+VLOOKUP(BF$3,DRIPE!$A$54:$I$82,9,FALSE))+ ('Inputs-System'!$C$26*'Coincidence Factors'!$B$6*(1+'Inputs-System'!$C$18)*(1+'Inputs-System'!$C$42))*'Inputs-Proposals'!$H$16*VLOOKUP(BF$3,DRIPE!$A$54:$I$82,8,FALSE), $C39 = "2",( 'Inputs-System'!$C$30*'Coincidence Factors'!$B$9*(1+'Inputs-System'!$C$18)*(1+'Inputs-System'!$C$41))*('Inputs-Proposals'!$H$23*'Inputs-Proposals'!$H$25*(1-'Inputs-Proposals'!$H$26)^(BF$3-'Inputs-System'!$C$7))*(VLOOKUP(BF$3,DRIPE!$A$54:$I$82,5,FALSE)+VLOOKUP(BF$3,DRIPE!$A$54:$I$82,9,FALSE))+ ('Inputs-System'!$C$26*'Coincidence Factors'!$B$6*(1+'Inputs-System'!$C$18)*(1+'Inputs-System'!$C$42))*'Inputs-Proposals'!$H$22*VLOOKUP(BF$3,DRIPE!$A$54:$I$82,8,FALSE), $C39= "3", ( 'Inputs-System'!$C$30*'Coincidence Factors'!$B$9*(1+'Inputs-System'!$C$18)*(1+'Inputs-System'!$C$41))*('Inputs-Proposals'!$H$29*'Inputs-Proposals'!$H$31*(1-'Inputs-Proposals'!$H$32)^(BF$3-'Inputs-System'!$C$7))*(VLOOKUP(BF$3,DRIPE!$A$54:$I$82,5,FALSE)+VLOOKUP(BF$3,DRIPE!$A$54:$I$82,9,FALSE))+ ('Inputs-System'!$C$26*'Coincidence Factors'!$B$6*(1+'Inputs-System'!$C$18)*(1+'Inputs-System'!$C$42))*'Inputs-Proposals'!$H$28*VLOOKUP(BF$3,DRIPE!$A$54:$I$82,8,FALSE), $C39 = "0", 0), 0)</f>
        <v>0</v>
      </c>
      <c r="BI39" s="45">
        <f>IFERROR(_xlfn.IFS($C39="1",('Inputs-System'!$C$26*'Coincidence Factors'!$B$9*(1+'Inputs-System'!$C$18)*(1+'Inputs-System'!$C$42))*'Inputs-Proposals'!$D$16*(VLOOKUP(BF$3,Capacity!$A$53:$E$85,4,FALSE)*(1+'Inputs-System'!$C$42)+VLOOKUP(BF$3,Capacity!$A$53:$E$85,5,FALSE)*(1+'Inputs-System'!$C$43)*'Inputs-System'!$C$29), $C39 = "2", ('Inputs-System'!$C$26*'Coincidence Factors'!$B$9*(1+'Inputs-System'!$C$18))*'Inputs-Proposals'!$D$22*(VLOOKUP(BF$3,Capacity!$A$53:$E$85,4,FALSE)*(1+'Inputs-System'!$C$42)+VLOOKUP(BF$3,Capacity!$A$53:$E$85,5,FALSE)*'Inputs-System'!$C$29*(1+'Inputs-System'!$C$43)), $C39 = "3", ('Inputs-System'!$C$26*'Coincidence Factors'!$B$9*(1+'Inputs-System'!$C$18))*'Inputs-Proposals'!$D$28*(VLOOKUP(BF$3,Capacity!$A$53:$E$85,4,FALSE)*(1+'Inputs-System'!$C$42)+VLOOKUP(BF$3,Capacity!$A$53:$E$85,5,FALSE)*'Inputs-System'!$C$29*(1+'Inputs-System'!$C$43)), $C39 = "0", 0), 0)</f>
        <v>0</v>
      </c>
      <c r="BJ39" s="44">
        <v>0</v>
      </c>
      <c r="BK39" s="342">
        <f>IFERROR(_xlfn.IFS($C39="1", 'Inputs-System'!$C$30*'Coincidence Factors'!$B$9*'Inputs-Proposals'!$H$17*'Inputs-Proposals'!$H$19*(VLOOKUP(BF$3,'Non-Embedded Emissions'!$A$56:$D$90,2,FALSE)-VLOOKUP(BF$3,'Non-Embedded Emissions'!$F$57:$H$88,2,FALSE)+VLOOKUP(BF$3,'Non-Embedded Emissions'!$A$143:$D$174,2,FALSE)-VLOOKUP(BF$3,'Non-Embedded Emissions'!$F$143:$H$174,2,FALSE)+VLOOKUP(BF$3,'Non-Embedded Emissions'!$A$230:$D$259,2,FALSE)), $C39 = "2", 'Inputs-System'!$C$30*'Coincidence Factors'!$B$9*'Inputs-Proposals'!$H$23*'Inputs-Proposals'!$H$25*(VLOOKUP(BF$3,'Non-Embedded Emissions'!$A$56:$D$90,2,FALSE)-VLOOKUP(BF$3,'Non-Embedded Emissions'!$F$57:$H$88,2,FALSE)+VLOOKUP(BF$3,'Non-Embedded Emissions'!$A$143:$D$174,2,FALSE)-VLOOKUP(BF$3,'Non-Embedded Emissions'!$F$143:$H$174,2,FALSE)+VLOOKUP(BF$3,'Non-Embedded Emissions'!$A$230:$D$259,2,FALSE)), $C39 = "3", 'Inputs-System'!$C$30*'Coincidence Factors'!$B$9*'Inputs-Proposals'!$H$29*'Inputs-Proposals'!$H$31*(VLOOKUP(BF$3,'Non-Embedded Emissions'!$A$56:$D$90,2,FALSE)-VLOOKUP(BF$3,'Non-Embedded Emissions'!$F$57:$H$88,2,FALSE)+VLOOKUP(BF$3,'Non-Embedded Emissions'!$A$143:$D$174,2,FALSE)-VLOOKUP(BF$3,'Non-Embedded Emissions'!$F$143:$H$174,2,FALSE)+VLOOKUP(BF$3,'Non-Embedded Emissions'!$A$230:$D$259,2,FALSE)), $C39 = "0", 0), 0)</f>
        <v>0</v>
      </c>
      <c r="BL39" s="45">
        <f>IFERROR(_xlfn.IFS($C39="1",('Inputs-System'!$C$30*'Coincidence Factors'!$B$9*(1+'Inputs-System'!$C$18)*(1+'Inputs-System'!$C$41)*('Inputs-Proposals'!$H$17*'Inputs-Proposals'!$H$19*(1-'Inputs-Proposals'!$H$20^(BL$3-'Inputs-System'!$C$7)))*(VLOOKUP(BL$3,Energy!$A$51:$K$83,5,FALSE))), $C39 = "2",('Inputs-System'!$C$30*'Coincidence Factors'!$B$9)*(1+'Inputs-System'!$C$18)*(1+'Inputs-System'!$C$41)*('Inputs-Proposals'!$H$23*'Inputs-Proposals'!$H$25*(1-'Inputs-Proposals'!$H$26^(BL$3-'Inputs-System'!$C$7)))*(VLOOKUP(BL$3,Energy!$A$51:$K$83,5,FALSE)), $C39= "3", ('Inputs-System'!$C$30*'Coincidence Factors'!$B$9*(1+'Inputs-System'!$C$18)*(1+'Inputs-System'!$C$41)*('Inputs-Proposals'!$H$29*'Inputs-Proposals'!$H$31*(1-'Inputs-Proposals'!$H$32^(BL$3-'Inputs-System'!$C$7)))*(VLOOKUP(BL$3,Energy!$A$51:$K$83,5,FALSE))), $C39= "0", 0), 0)</f>
        <v>0</v>
      </c>
      <c r="BM39" s="44">
        <f>IFERROR(_xlfn.IFS($C39="1",('Inputs-System'!$C$30*'Coincidence Factors'!$B$9*(1+'Inputs-System'!$C$18)*(1+'Inputs-System'!$C$41))*'Inputs-Proposals'!$H$17*'Inputs-Proposals'!$H$19*(1-'Inputs-Proposals'!$H$20^(BL$3-'Inputs-System'!$C$7))*(VLOOKUP(BL$3,'Embedded Emissions'!$A$47:$B$78,2,FALSE)+VLOOKUP(BL$3,'Embedded Emissions'!$A$129:$B$158,2,FALSE)), $C39 = "2",('Inputs-System'!$C$30*'Coincidence Factors'!$B$9*(1+'Inputs-System'!$C$18)*(1+'Inputs-System'!$C$41))*'Inputs-Proposals'!$H$23*'Inputs-Proposals'!$H$25*(1-'Inputs-Proposals'!$H$20^(BL$3-'Inputs-System'!$C$7))*(VLOOKUP(BL$3,'Embedded Emissions'!$A$47:$B$78,2,FALSE)+VLOOKUP(BL$3,'Embedded Emissions'!$A$129:$B$158,2,FALSE)), $C39 = "3", ('Inputs-System'!$C$30*'Coincidence Factors'!$B$9*(1+'Inputs-System'!$C$18)*(1+'Inputs-System'!$C$41))*'Inputs-Proposals'!$H$29*'Inputs-Proposals'!$H$31*(1-'Inputs-Proposals'!$H$20^(BL$3-'Inputs-System'!$C$7))*(VLOOKUP(BL$3,'Embedded Emissions'!$A$47:$B$78,2,FALSE)+VLOOKUP(BL$3,'Embedded Emissions'!$A$129:$B$158,2,FALSE)), $C39 = "0", 0), 0)</f>
        <v>0</v>
      </c>
      <c r="BN39" s="44">
        <f>IFERROR(_xlfn.IFS($C39="1",( 'Inputs-System'!$C$30*'Coincidence Factors'!$B$9*(1+'Inputs-System'!$C$18)*(1+'Inputs-System'!$C$41))*('Inputs-Proposals'!$H$17*'Inputs-Proposals'!$H$19*(1-'Inputs-Proposals'!$H$20)^(BL$3-'Inputs-System'!$C$7))*(VLOOKUP(BL$3,DRIPE!$A$54:$I$82,5,FALSE)+VLOOKUP(BL$3,DRIPE!$A$54:$I$82,9,FALSE))+ ('Inputs-System'!$C$26*'Coincidence Factors'!$B$6*(1+'Inputs-System'!$C$18)*(1+'Inputs-System'!$C$42))*'Inputs-Proposals'!$H$16*VLOOKUP(BL$3,DRIPE!$A$54:$I$82,8,FALSE), $C39 = "2",( 'Inputs-System'!$C$30*'Coincidence Factors'!$B$9*(1+'Inputs-System'!$C$18)*(1+'Inputs-System'!$C$41))*('Inputs-Proposals'!$H$23*'Inputs-Proposals'!$H$25*(1-'Inputs-Proposals'!$H$26)^(BL$3-'Inputs-System'!$C$7))*(VLOOKUP(BL$3,DRIPE!$A$54:$I$82,5,FALSE)+VLOOKUP(BL$3,DRIPE!$A$54:$I$82,9,FALSE))+ ('Inputs-System'!$C$26*'Coincidence Factors'!$B$6*(1+'Inputs-System'!$C$18)*(1+'Inputs-System'!$C$42))*'Inputs-Proposals'!$H$22*VLOOKUP(BL$3,DRIPE!$A$54:$I$82,8,FALSE), $C39= "3", ( 'Inputs-System'!$C$30*'Coincidence Factors'!$B$9*(1+'Inputs-System'!$C$18)*(1+'Inputs-System'!$C$41))*('Inputs-Proposals'!$H$29*'Inputs-Proposals'!$H$31*(1-'Inputs-Proposals'!$H$32)^(BL$3-'Inputs-System'!$C$7))*(VLOOKUP(BL$3,DRIPE!$A$54:$I$82,5,FALSE)+VLOOKUP(BL$3,DRIPE!$A$54:$I$82,9,FALSE))+ ('Inputs-System'!$C$26*'Coincidence Factors'!$B$6*(1+'Inputs-System'!$C$18)*(1+'Inputs-System'!$C$42))*'Inputs-Proposals'!$H$28*VLOOKUP(BL$3,DRIPE!$A$54:$I$82,8,FALSE), $C39 = "0", 0), 0)</f>
        <v>0</v>
      </c>
      <c r="BO39" s="45">
        <f>IFERROR(_xlfn.IFS($C39="1",('Inputs-System'!$C$26*'Coincidence Factors'!$B$9*(1+'Inputs-System'!$C$18)*(1+'Inputs-System'!$C$42))*'Inputs-Proposals'!$D$16*(VLOOKUP(BL$3,Capacity!$A$53:$E$85,4,FALSE)*(1+'Inputs-System'!$C$42)+VLOOKUP(BL$3,Capacity!$A$53:$E$85,5,FALSE)*(1+'Inputs-System'!$C$43)*'Inputs-System'!$C$29), $C39 = "2", ('Inputs-System'!$C$26*'Coincidence Factors'!$B$9*(1+'Inputs-System'!$C$18))*'Inputs-Proposals'!$D$22*(VLOOKUP(BL$3,Capacity!$A$53:$E$85,4,FALSE)*(1+'Inputs-System'!$C$42)+VLOOKUP(BL$3,Capacity!$A$53:$E$85,5,FALSE)*'Inputs-System'!$C$29*(1+'Inputs-System'!$C$43)), $C39 = "3", ('Inputs-System'!$C$26*'Coincidence Factors'!$B$9*(1+'Inputs-System'!$C$18))*'Inputs-Proposals'!$D$28*(VLOOKUP(BL$3,Capacity!$A$53:$E$85,4,FALSE)*(1+'Inputs-System'!$C$42)+VLOOKUP(BL$3,Capacity!$A$53:$E$85,5,FALSE)*'Inputs-System'!$C$29*(1+'Inputs-System'!$C$43)), $C39 = "0", 0), 0)</f>
        <v>0</v>
      </c>
      <c r="BP39" s="44">
        <v>0</v>
      </c>
      <c r="BQ39" s="342">
        <f>IFERROR(_xlfn.IFS($C39="1", 'Inputs-System'!$C$30*'Coincidence Factors'!$B$9*'Inputs-Proposals'!$H$17*'Inputs-Proposals'!$H$19*(VLOOKUP(BL$3,'Non-Embedded Emissions'!$A$56:$D$90,2,FALSE)-VLOOKUP(BL$3,'Non-Embedded Emissions'!$F$57:$H$88,2,FALSE)+VLOOKUP(BL$3,'Non-Embedded Emissions'!$A$143:$D$174,2,FALSE)-VLOOKUP(BL$3,'Non-Embedded Emissions'!$F$143:$H$174,2,FALSE)+VLOOKUP(BL$3,'Non-Embedded Emissions'!$A$230:$D$259,2,FALSE)), $C39 = "2", 'Inputs-System'!$C$30*'Coincidence Factors'!$B$9*'Inputs-Proposals'!$H$23*'Inputs-Proposals'!$H$25*(VLOOKUP(BL$3,'Non-Embedded Emissions'!$A$56:$D$90,2,FALSE)-VLOOKUP(BL$3,'Non-Embedded Emissions'!$F$57:$H$88,2,FALSE)+VLOOKUP(BL$3,'Non-Embedded Emissions'!$A$143:$D$174,2,FALSE)-VLOOKUP(BL$3,'Non-Embedded Emissions'!$F$143:$H$174,2,FALSE)+VLOOKUP(BL$3,'Non-Embedded Emissions'!$A$230:$D$259,2,FALSE)), $C39 = "3", 'Inputs-System'!$C$30*'Coincidence Factors'!$B$9*'Inputs-Proposals'!$H$29*'Inputs-Proposals'!$H$31*(VLOOKUP(BL$3,'Non-Embedded Emissions'!$A$56:$D$90,2,FALSE)-VLOOKUP(BL$3,'Non-Embedded Emissions'!$F$57:$H$88,2,FALSE)+VLOOKUP(BL$3,'Non-Embedded Emissions'!$A$143:$D$174,2,FALSE)-VLOOKUP(BL$3,'Non-Embedded Emissions'!$F$143:$H$174,2,FALSE)+VLOOKUP(BL$3,'Non-Embedded Emissions'!$A$230:$D$259,2,FALSE)), $C39 = "0", 0), 0)</f>
        <v>0</v>
      </c>
      <c r="BR39" s="45">
        <f>IFERROR(_xlfn.IFS($C39="1",('Inputs-System'!$C$30*'Coincidence Factors'!$B$9*(1+'Inputs-System'!$C$18)*(1+'Inputs-System'!$C$41)*('Inputs-Proposals'!$H$17*'Inputs-Proposals'!$H$19*(1-'Inputs-Proposals'!$H$20^(BR$3-'Inputs-System'!$C$7)))*(VLOOKUP(BR$3,Energy!$A$51:$K$83,5,FALSE))), $C39 = "2",('Inputs-System'!$C$30*'Coincidence Factors'!$B$9)*(1+'Inputs-System'!$C$18)*(1+'Inputs-System'!$C$41)*('Inputs-Proposals'!$H$23*'Inputs-Proposals'!$H$25*(1-'Inputs-Proposals'!$H$26^(BR$3-'Inputs-System'!$C$7)))*(VLOOKUP(BR$3,Energy!$A$51:$K$83,5,FALSE)), $C39= "3", ('Inputs-System'!$C$30*'Coincidence Factors'!$B$9*(1+'Inputs-System'!$C$18)*(1+'Inputs-System'!$C$41)*('Inputs-Proposals'!$H$29*'Inputs-Proposals'!$H$31*(1-'Inputs-Proposals'!$H$32^(BR$3-'Inputs-System'!$C$7)))*(VLOOKUP(BR$3,Energy!$A$51:$K$83,5,FALSE))), $C39= "0", 0), 0)</f>
        <v>0</v>
      </c>
      <c r="BS39" s="44">
        <f>IFERROR(_xlfn.IFS($C39="1",('Inputs-System'!$C$30*'Coincidence Factors'!$B$9*(1+'Inputs-System'!$C$18)*(1+'Inputs-System'!$C$41))*'Inputs-Proposals'!$H$17*'Inputs-Proposals'!$H$19*(1-'Inputs-Proposals'!$H$20^(BR$3-'Inputs-System'!$C$7))*(VLOOKUP(BR$3,'Embedded Emissions'!$A$47:$B$78,2,FALSE)+VLOOKUP(BR$3,'Embedded Emissions'!$A$129:$B$158,2,FALSE)), $C39 = "2",('Inputs-System'!$C$30*'Coincidence Factors'!$B$9*(1+'Inputs-System'!$C$18)*(1+'Inputs-System'!$C$41))*'Inputs-Proposals'!$H$23*'Inputs-Proposals'!$H$25*(1-'Inputs-Proposals'!$H$20^(BR$3-'Inputs-System'!$C$7))*(VLOOKUP(BR$3,'Embedded Emissions'!$A$47:$B$78,2,FALSE)+VLOOKUP(BR$3,'Embedded Emissions'!$A$129:$B$158,2,FALSE)), $C39 = "3", ('Inputs-System'!$C$30*'Coincidence Factors'!$B$9*(1+'Inputs-System'!$C$18)*(1+'Inputs-System'!$C$41))*'Inputs-Proposals'!$H$29*'Inputs-Proposals'!$H$31*(1-'Inputs-Proposals'!$H$20^(BR$3-'Inputs-System'!$C$7))*(VLOOKUP(BR$3,'Embedded Emissions'!$A$47:$B$78,2,FALSE)+VLOOKUP(BR$3,'Embedded Emissions'!$A$129:$B$158,2,FALSE)), $C39 = "0", 0), 0)</f>
        <v>0</v>
      </c>
      <c r="BT39" s="44">
        <f>IFERROR(_xlfn.IFS($C39="1",( 'Inputs-System'!$C$30*'Coincidence Factors'!$B$9*(1+'Inputs-System'!$C$18)*(1+'Inputs-System'!$C$41))*('Inputs-Proposals'!$H$17*'Inputs-Proposals'!$H$19*(1-'Inputs-Proposals'!$H$20)^(BR$3-'Inputs-System'!$C$7))*(VLOOKUP(BR$3,DRIPE!$A$54:$I$82,5,FALSE)+VLOOKUP(BR$3,DRIPE!$A$54:$I$82,9,FALSE))+ ('Inputs-System'!$C$26*'Coincidence Factors'!$B$6*(1+'Inputs-System'!$C$18)*(1+'Inputs-System'!$C$42))*'Inputs-Proposals'!$H$16*VLOOKUP(BR$3,DRIPE!$A$54:$I$82,8,FALSE), $C39 = "2",( 'Inputs-System'!$C$30*'Coincidence Factors'!$B$9*(1+'Inputs-System'!$C$18)*(1+'Inputs-System'!$C$41))*('Inputs-Proposals'!$H$23*'Inputs-Proposals'!$H$25*(1-'Inputs-Proposals'!$H$26)^(BR$3-'Inputs-System'!$C$7))*(VLOOKUP(BR$3,DRIPE!$A$54:$I$82,5,FALSE)+VLOOKUP(BR$3,DRIPE!$A$54:$I$82,9,FALSE))+ ('Inputs-System'!$C$26*'Coincidence Factors'!$B$6*(1+'Inputs-System'!$C$18)*(1+'Inputs-System'!$C$42))*'Inputs-Proposals'!$H$22*VLOOKUP(BR$3,DRIPE!$A$54:$I$82,8,FALSE), $C39= "3", ( 'Inputs-System'!$C$30*'Coincidence Factors'!$B$9*(1+'Inputs-System'!$C$18)*(1+'Inputs-System'!$C$41))*('Inputs-Proposals'!$H$29*'Inputs-Proposals'!$H$31*(1-'Inputs-Proposals'!$H$32)^(BR$3-'Inputs-System'!$C$7))*(VLOOKUP(BR$3,DRIPE!$A$54:$I$82,5,FALSE)+VLOOKUP(BR$3,DRIPE!$A$54:$I$82,9,FALSE))+ ('Inputs-System'!$C$26*'Coincidence Factors'!$B$6*(1+'Inputs-System'!$C$18)*(1+'Inputs-System'!$C$42))*'Inputs-Proposals'!$H$28*VLOOKUP(BR$3,DRIPE!$A$54:$I$82,8,FALSE), $C39 = "0", 0), 0)</f>
        <v>0</v>
      </c>
      <c r="BU39" s="45">
        <f>IFERROR(_xlfn.IFS($C39="1",('Inputs-System'!$C$26*'Coincidence Factors'!$B$9*(1+'Inputs-System'!$C$18)*(1+'Inputs-System'!$C$42))*'Inputs-Proposals'!$D$16*(VLOOKUP(BR$3,Capacity!$A$53:$E$85,4,FALSE)*(1+'Inputs-System'!$C$42)+VLOOKUP(BR$3,Capacity!$A$53:$E$85,5,FALSE)*(1+'Inputs-System'!$C$43)*'Inputs-System'!$C$29), $C39 = "2", ('Inputs-System'!$C$26*'Coincidence Factors'!$B$9*(1+'Inputs-System'!$C$18))*'Inputs-Proposals'!$D$22*(VLOOKUP(BR$3,Capacity!$A$53:$E$85,4,FALSE)*(1+'Inputs-System'!$C$42)+VLOOKUP(BR$3,Capacity!$A$53:$E$85,5,FALSE)*'Inputs-System'!$C$29*(1+'Inputs-System'!$C$43)), $C39 = "3", ('Inputs-System'!$C$26*'Coincidence Factors'!$B$9*(1+'Inputs-System'!$C$18))*'Inputs-Proposals'!$D$28*(VLOOKUP(BR$3,Capacity!$A$53:$E$85,4,FALSE)*(1+'Inputs-System'!$C$42)+VLOOKUP(BR$3,Capacity!$A$53:$E$85,5,FALSE)*'Inputs-System'!$C$29*(1+'Inputs-System'!$C$43)), $C39 = "0", 0), 0)</f>
        <v>0</v>
      </c>
      <c r="BV39" s="44">
        <v>0</v>
      </c>
      <c r="BW39" s="342">
        <f>IFERROR(_xlfn.IFS($C39="1", 'Inputs-System'!$C$30*'Coincidence Factors'!$B$9*'Inputs-Proposals'!$H$17*'Inputs-Proposals'!$H$19*(VLOOKUP(BR$3,'Non-Embedded Emissions'!$A$56:$D$90,2,FALSE)-VLOOKUP(BR$3,'Non-Embedded Emissions'!$F$57:$H$88,2,FALSE)+VLOOKUP(BR$3,'Non-Embedded Emissions'!$A$143:$D$174,2,FALSE)-VLOOKUP(BR$3,'Non-Embedded Emissions'!$F$143:$H$174,2,FALSE)+VLOOKUP(BR$3,'Non-Embedded Emissions'!$A$230:$D$259,2,FALSE)), $C39 = "2", 'Inputs-System'!$C$30*'Coincidence Factors'!$B$9*'Inputs-Proposals'!$H$23*'Inputs-Proposals'!$H$25*(VLOOKUP(BR$3,'Non-Embedded Emissions'!$A$56:$D$90,2,FALSE)-VLOOKUP(BR$3,'Non-Embedded Emissions'!$F$57:$H$88,2,FALSE)+VLOOKUP(BR$3,'Non-Embedded Emissions'!$A$143:$D$174,2,FALSE)-VLOOKUP(BR$3,'Non-Embedded Emissions'!$F$143:$H$174,2,FALSE)+VLOOKUP(BR$3,'Non-Embedded Emissions'!$A$230:$D$259,2,FALSE)), $C39 = "3", 'Inputs-System'!$C$30*'Coincidence Factors'!$B$9*'Inputs-Proposals'!$H$29*'Inputs-Proposals'!$H$31*(VLOOKUP(BR$3,'Non-Embedded Emissions'!$A$56:$D$90,2,FALSE)-VLOOKUP(BR$3,'Non-Embedded Emissions'!$F$57:$H$88,2,FALSE)+VLOOKUP(BR$3,'Non-Embedded Emissions'!$A$143:$D$174,2,FALSE)-VLOOKUP(BR$3,'Non-Embedded Emissions'!$F$143:$H$174,2,FALSE)+VLOOKUP(BR$3,'Non-Embedded Emissions'!$A$230:$D$259,2,FALSE)), $C39 = "0", 0), 0)</f>
        <v>0</v>
      </c>
      <c r="BX39" s="45">
        <f>IFERROR(_xlfn.IFS($C39="1",('Inputs-System'!$C$30*'Coincidence Factors'!$B$9*(1+'Inputs-System'!$C$18)*(1+'Inputs-System'!$C$41)*('Inputs-Proposals'!$H$17*'Inputs-Proposals'!$H$19*(1-'Inputs-Proposals'!$H$20^(BX$3-'Inputs-System'!$C$7)))*(VLOOKUP(BX$3,Energy!$A$51:$K$83,5,FALSE))), $C39 = "2",('Inputs-System'!$C$30*'Coincidence Factors'!$B$9)*(1+'Inputs-System'!$C$18)*(1+'Inputs-System'!$C$41)*('Inputs-Proposals'!$H$23*'Inputs-Proposals'!$H$25*(1-'Inputs-Proposals'!$H$26^(BX$3-'Inputs-System'!$C$7)))*(VLOOKUP(BX$3,Energy!$A$51:$K$83,5,FALSE)), $C39= "3", ('Inputs-System'!$C$30*'Coincidence Factors'!$B$9*(1+'Inputs-System'!$C$18)*(1+'Inputs-System'!$C$41)*('Inputs-Proposals'!$H$29*'Inputs-Proposals'!$H$31*(1-'Inputs-Proposals'!$H$32^(BX$3-'Inputs-System'!$C$7)))*(VLOOKUP(BX$3,Energy!$A$51:$K$83,5,FALSE))), $C39= "0", 0), 0)</f>
        <v>0</v>
      </c>
      <c r="BY39" s="44">
        <f>IFERROR(_xlfn.IFS($C39="1",('Inputs-System'!$C$30*'Coincidence Factors'!$B$9*(1+'Inputs-System'!$C$18)*(1+'Inputs-System'!$C$41))*'Inputs-Proposals'!$H$17*'Inputs-Proposals'!$H$19*(1-'Inputs-Proposals'!$H$20^(BX$3-'Inputs-System'!$C$7))*(VLOOKUP(BX$3,'Embedded Emissions'!$A$47:$B$78,2,FALSE)+VLOOKUP(BX$3,'Embedded Emissions'!$A$129:$B$158,2,FALSE)), $C39 = "2",('Inputs-System'!$C$30*'Coincidence Factors'!$B$9*(1+'Inputs-System'!$C$18)*(1+'Inputs-System'!$C$41))*'Inputs-Proposals'!$H$23*'Inputs-Proposals'!$H$25*(1-'Inputs-Proposals'!$H$20^(BX$3-'Inputs-System'!$C$7))*(VLOOKUP(BX$3,'Embedded Emissions'!$A$47:$B$78,2,FALSE)+VLOOKUP(BX$3,'Embedded Emissions'!$A$129:$B$158,2,FALSE)), $C39 = "3", ('Inputs-System'!$C$30*'Coincidence Factors'!$B$9*(1+'Inputs-System'!$C$18)*(1+'Inputs-System'!$C$41))*'Inputs-Proposals'!$H$29*'Inputs-Proposals'!$H$31*(1-'Inputs-Proposals'!$H$20^(BX$3-'Inputs-System'!$C$7))*(VLOOKUP(BX$3,'Embedded Emissions'!$A$47:$B$78,2,FALSE)+VLOOKUP(BX$3,'Embedded Emissions'!$A$129:$B$158,2,FALSE)), $C39 = "0", 0), 0)</f>
        <v>0</v>
      </c>
      <c r="BZ39" s="44">
        <f>IFERROR(_xlfn.IFS($C39="1",( 'Inputs-System'!$C$30*'Coincidence Factors'!$B$9*(1+'Inputs-System'!$C$18)*(1+'Inputs-System'!$C$41))*('Inputs-Proposals'!$H$17*'Inputs-Proposals'!$H$19*(1-'Inputs-Proposals'!$H$20)^(BX$3-'Inputs-System'!$C$7))*(VLOOKUP(BX$3,DRIPE!$A$54:$I$82,5,FALSE)+VLOOKUP(BX$3,DRIPE!$A$54:$I$82,9,FALSE))+ ('Inputs-System'!$C$26*'Coincidence Factors'!$B$6*(1+'Inputs-System'!$C$18)*(1+'Inputs-System'!$C$42))*'Inputs-Proposals'!$H$16*VLOOKUP(BX$3,DRIPE!$A$54:$I$82,8,FALSE), $C39 = "2",( 'Inputs-System'!$C$30*'Coincidence Factors'!$B$9*(1+'Inputs-System'!$C$18)*(1+'Inputs-System'!$C$41))*('Inputs-Proposals'!$H$23*'Inputs-Proposals'!$H$25*(1-'Inputs-Proposals'!$H$26)^(BX$3-'Inputs-System'!$C$7))*(VLOOKUP(BX$3,DRIPE!$A$54:$I$82,5,FALSE)+VLOOKUP(BX$3,DRIPE!$A$54:$I$82,9,FALSE))+ ('Inputs-System'!$C$26*'Coincidence Factors'!$B$6*(1+'Inputs-System'!$C$18)*(1+'Inputs-System'!$C$42))*'Inputs-Proposals'!$H$22*VLOOKUP(BX$3,DRIPE!$A$54:$I$82,8,FALSE), $C39= "3", ( 'Inputs-System'!$C$30*'Coincidence Factors'!$B$9*(1+'Inputs-System'!$C$18)*(1+'Inputs-System'!$C$41))*('Inputs-Proposals'!$H$29*'Inputs-Proposals'!$H$31*(1-'Inputs-Proposals'!$H$32)^(BX$3-'Inputs-System'!$C$7))*(VLOOKUP(BX$3,DRIPE!$A$54:$I$82,5,FALSE)+VLOOKUP(BX$3,DRIPE!$A$54:$I$82,9,FALSE))+ ('Inputs-System'!$C$26*'Coincidence Factors'!$B$6*(1+'Inputs-System'!$C$18)*(1+'Inputs-System'!$C$42))*'Inputs-Proposals'!$H$28*VLOOKUP(BX$3,DRIPE!$A$54:$I$82,8,FALSE), $C39 = "0", 0), 0)</f>
        <v>0</v>
      </c>
      <c r="CA39" s="45">
        <f>IFERROR(_xlfn.IFS($C39="1",('Inputs-System'!$C$26*'Coincidence Factors'!$B$9*(1+'Inputs-System'!$C$18)*(1+'Inputs-System'!$C$42))*'Inputs-Proposals'!$D$16*(VLOOKUP(BX$3,Capacity!$A$53:$E$85,4,FALSE)*(1+'Inputs-System'!$C$42)+VLOOKUP(BX$3,Capacity!$A$53:$E$85,5,FALSE)*(1+'Inputs-System'!$C$43)*'Inputs-System'!$C$29), $C39 = "2", ('Inputs-System'!$C$26*'Coincidence Factors'!$B$9*(1+'Inputs-System'!$C$18))*'Inputs-Proposals'!$D$22*(VLOOKUP(BX$3,Capacity!$A$53:$E$85,4,FALSE)*(1+'Inputs-System'!$C$42)+VLOOKUP(BX$3,Capacity!$A$53:$E$85,5,FALSE)*'Inputs-System'!$C$29*(1+'Inputs-System'!$C$43)), $C39 = "3", ('Inputs-System'!$C$26*'Coincidence Factors'!$B$9*(1+'Inputs-System'!$C$18))*'Inputs-Proposals'!$D$28*(VLOOKUP(BX$3,Capacity!$A$53:$E$85,4,FALSE)*(1+'Inputs-System'!$C$42)+VLOOKUP(BX$3,Capacity!$A$53:$E$85,5,FALSE)*'Inputs-System'!$C$29*(1+'Inputs-System'!$C$43)), $C39 = "0", 0), 0)</f>
        <v>0</v>
      </c>
      <c r="CB39" s="44">
        <v>0</v>
      </c>
      <c r="CC39" s="342">
        <f>IFERROR(_xlfn.IFS($C39="1", 'Inputs-System'!$C$30*'Coincidence Factors'!$B$9*'Inputs-Proposals'!$H$17*'Inputs-Proposals'!$H$19*(VLOOKUP(BX$3,'Non-Embedded Emissions'!$A$56:$D$90,2,FALSE)-VLOOKUP(BX$3,'Non-Embedded Emissions'!$F$57:$H$88,2,FALSE)+VLOOKUP(BX$3,'Non-Embedded Emissions'!$A$143:$D$174,2,FALSE)-VLOOKUP(BX$3,'Non-Embedded Emissions'!$F$143:$H$174,2,FALSE)+VLOOKUP(BX$3,'Non-Embedded Emissions'!$A$230:$D$259,2,FALSE)), $C39 = "2", 'Inputs-System'!$C$30*'Coincidence Factors'!$B$9*'Inputs-Proposals'!$H$23*'Inputs-Proposals'!$H$25*(VLOOKUP(BX$3,'Non-Embedded Emissions'!$A$56:$D$90,2,FALSE)-VLOOKUP(BX$3,'Non-Embedded Emissions'!$F$57:$H$88,2,FALSE)+VLOOKUP(BX$3,'Non-Embedded Emissions'!$A$143:$D$174,2,FALSE)-VLOOKUP(BX$3,'Non-Embedded Emissions'!$F$143:$H$174,2,FALSE)+VLOOKUP(BX$3,'Non-Embedded Emissions'!$A$230:$D$259,2,FALSE)), $C39 = "3", 'Inputs-System'!$C$30*'Coincidence Factors'!$B$9*'Inputs-Proposals'!$H$29*'Inputs-Proposals'!$H$31*(VLOOKUP(BX$3,'Non-Embedded Emissions'!$A$56:$D$90,2,FALSE)-VLOOKUP(BX$3,'Non-Embedded Emissions'!$F$57:$H$88,2,FALSE)+VLOOKUP(BX$3,'Non-Embedded Emissions'!$A$143:$D$174,2,FALSE)-VLOOKUP(BX$3,'Non-Embedded Emissions'!$F$143:$H$174,2,FALSE)+VLOOKUP(BX$3,'Non-Embedded Emissions'!$A$230:$D$259,2,FALSE)), $C39 = "0", 0), 0)</f>
        <v>0</v>
      </c>
      <c r="CD39" s="45">
        <f>IFERROR(_xlfn.IFS($C39="1",('Inputs-System'!$C$30*'Coincidence Factors'!$B$9*(1+'Inputs-System'!$C$18)*(1+'Inputs-System'!$C$41)*('Inputs-Proposals'!$H$17*'Inputs-Proposals'!$H$19*(1-'Inputs-Proposals'!$H$20^(CD$3-'Inputs-System'!$C$7)))*(VLOOKUP(CD$3,Energy!$A$51:$K$83,5,FALSE))), $C39 = "2",('Inputs-System'!$C$30*'Coincidence Factors'!$B$9)*(1+'Inputs-System'!$C$18)*(1+'Inputs-System'!$C$41)*('Inputs-Proposals'!$H$23*'Inputs-Proposals'!$H$25*(1-'Inputs-Proposals'!$H$26^(CD$3-'Inputs-System'!$C$7)))*(VLOOKUP(CD$3,Energy!$A$51:$K$83,5,FALSE)), $C39= "3", ('Inputs-System'!$C$30*'Coincidence Factors'!$B$9*(1+'Inputs-System'!$C$18)*(1+'Inputs-System'!$C$41)*('Inputs-Proposals'!$H$29*'Inputs-Proposals'!$H$31*(1-'Inputs-Proposals'!$H$32^(CD$3-'Inputs-System'!$C$7)))*(VLOOKUP(CD$3,Energy!$A$51:$K$83,5,FALSE))), $C39= "0", 0), 0)</f>
        <v>0</v>
      </c>
      <c r="CE39" s="44">
        <f>IFERROR(_xlfn.IFS($C39="1",('Inputs-System'!$C$30*'Coincidence Factors'!$B$9*(1+'Inputs-System'!$C$18)*(1+'Inputs-System'!$C$41))*'Inputs-Proposals'!$H$17*'Inputs-Proposals'!$H$19*(1-'Inputs-Proposals'!$H$20^(CD$3-'Inputs-System'!$C$7))*(VLOOKUP(CD$3,'Embedded Emissions'!$A$47:$B$78,2,FALSE)+VLOOKUP(CD$3,'Embedded Emissions'!$A$129:$B$158,2,FALSE)), $C39 = "2",('Inputs-System'!$C$30*'Coincidence Factors'!$B$9*(1+'Inputs-System'!$C$18)*(1+'Inputs-System'!$C$41))*'Inputs-Proposals'!$H$23*'Inputs-Proposals'!$H$25*(1-'Inputs-Proposals'!$H$20^(CD$3-'Inputs-System'!$C$7))*(VLOOKUP(CD$3,'Embedded Emissions'!$A$47:$B$78,2,FALSE)+VLOOKUP(CD$3,'Embedded Emissions'!$A$129:$B$158,2,FALSE)), $C39 = "3", ('Inputs-System'!$C$30*'Coincidence Factors'!$B$9*(1+'Inputs-System'!$C$18)*(1+'Inputs-System'!$C$41))*'Inputs-Proposals'!$H$29*'Inputs-Proposals'!$H$31*(1-'Inputs-Proposals'!$H$20^(CD$3-'Inputs-System'!$C$7))*(VLOOKUP(CD$3,'Embedded Emissions'!$A$47:$B$78,2,FALSE)+VLOOKUP(CD$3,'Embedded Emissions'!$A$129:$B$158,2,FALSE)), $C39 = "0", 0), 0)</f>
        <v>0</v>
      </c>
      <c r="CF39" s="44">
        <f>IFERROR(_xlfn.IFS($C39="1",( 'Inputs-System'!$C$30*'Coincidence Factors'!$B$9*(1+'Inputs-System'!$C$18)*(1+'Inputs-System'!$C$41))*('Inputs-Proposals'!$H$17*'Inputs-Proposals'!$H$19*(1-'Inputs-Proposals'!$H$20)^(CD$3-'Inputs-System'!$C$7))*(VLOOKUP(CD$3,DRIPE!$A$54:$I$82,5,FALSE)+VLOOKUP(CD$3,DRIPE!$A$54:$I$82,9,FALSE))+ ('Inputs-System'!$C$26*'Coincidence Factors'!$B$6*(1+'Inputs-System'!$C$18)*(1+'Inputs-System'!$C$42))*'Inputs-Proposals'!$H$16*VLOOKUP(CD$3,DRIPE!$A$54:$I$82,8,FALSE), $C39 = "2",( 'Inputs-System'!$C$30*'Coincidence Factors'!$B$9*(1+'Inputs-System'!$C$18)*(1+'Inputs-System'!$C$41))*('Inputs-Proposals'!$H$23*'Inputs-Proposals'!$H$25*(1-'Inputs-Proposals'!$H$26)^(CD$3-'Inputs-System'!$C$7))*(VLOOKUP(CD$3,DRIPE!$A$54:$I$82,5,FALSE)+VLOOKUP(CD$3,DRIPE!$A$54:$I$82,9,FALSE))+ ('Inputs-System'!$C$26*'Coincidence Factors'!$B$6*(1+'Inputs-System'!$C$18)*(1+'Inputs-System'!$C$42))*'Inputs-Proposals'!$H$22*VLOOKUP(CD$3,DRIPE!$A$54:$I$82,8,FALSE), $C39= "3", ( 'Inputs-System'!$C$30*'Coincidence Factors'!$B$9*(1+'Inputs-System'!$C$18)*(1+'Inputs-System'!$C$41))*('Inputs-Proposals'!$H$29*'Inputs-Proposals'!$H$31*(1-'Inputs-Proposals'!$H$32)^(CD$3-'Inputs-System'!$C$7))*(VLOOKUP(CD$3,DRIPE!$A$54:$I$82,5,FALSE)+VLOOKUP(CD$3,DRIPE!$A$54:$I$82,9,FALSE))+ ('Inputs-System'!$C$26*'Coincidence Factors'!$B$6*(1+'Inputs-System'!$C$18)*(1+'Inputs-System'!$C$42))*'Inputs-Proposals'!$H$28*VLOOKUP(CD$3,DRIPE!$A$54:$I$82,8,FALSE), $C39 = "0", 0), 0)</f>
        <v>0</v>
      </c>
      <c r="CG39" s="45">
        <f>IFERROR(_xlfn.IFS($C39="1",('Inputs-System'!$C$26*'Coincidence Factors'!$B$9*(1+'Inputs-System'!$C$18)*(1+'Inputs-System'!$C$42))*'Inputs-Proposals'!$D$16*(VLOOKUP(CD$3,Capacity!$A$53:$E$85,4,FALSE)*(1+'Inputs-System'!$C$42)+VLOOKUP(CD$3,Capacity!$A$53:$E$85,5,FALSE)*(1+'Inputs-System'!$C$43)*'Inputs-System'!$C$29), $C39 = "2", ('Inputs-System'!$C$26*'Coincidence Factors'!$B$9*(1+'Inputs-System'!$C$18))*'Inputs-Proposals'!$D$22*(VLOOKUP(CD$3,Capacity!$A$53:$E$85,4,FALSE)*(1+'Inputs-System'!$C$42)+VLOOKUP(CD$3,Capacity!$A$53:$E$85,5,FALSE)*'Inputs-System'!$C$29*(1+'Inputs-System'!$C$43)), $C39 = "3", ('Inputs-System'!$C$26*'Coincidence Factors'!$B$9*(1+'Inputs-System'!$C$18))*'Inputs-Proposals'!$D$28*(VLOOKUP(CD$3,Capacity!$A$53:$E$85,4,FALSE)*(1+'Inputs-System'!$C$42)+VLOOKUP(CD$3,Capacity!$A$53:$E$85,5,FALSE)*'Inputs-System'!$C$29*(1+'Inputs-System'!$C$43)), $C39 = "0", 0), 0)</f>
        <v>0</v>
      </c>
      <c r="CH39" s="44">
        <v>0</v>
      </c>
      <c r="CI39" s="342">
        <f>IFERROR(_xlfn.IFS($C39="1", 'Inputs-System'!$C$30*'Coincidence Factors'!$B$9*'Inputs-Proposals'!$H$17*'Inputs-Proposals'!$H$19*(VLOOKUP(CD$3,'Non-Embedded Emissions'!$A$56:$D$90,2,FALSE)-VLOOKUP(CD$3,'Non-Embedded Emissions'!$F$57:$H$88,2,FALSE)+VLOOKUP(CD$3,'Non-Embedded Emissions'!$A$143:$D$174,2,FALSE)-VLOOKUP(CD$3,'Non-Embedded Emissions'!$F$143:$H$174,2,FALSE)+VLOOKUP(CD$3,'Non-Embedded Emissions'!$A$230:$D$259,2,FALSE)), $C39 = "2", 'Inputs-System'!$C$30*'Coincidence Factors'!$B$9*'Inputs-Proposals'!$H$23*'Inputs-Proposals'!$H$25*(VLOOKUP(CD$3,'Non-Embedded Emissions'!$A$56:$D$90,2,FALSE)-VLOOKUP(CD$3,'Non-Embedded Emissions'!$F$57:$H$88,2,FALSE)+VLOOKUP(CD$3,'Non-Embedded Emissions'!$A$143:$D$174,2,FALSE)-VLOOKUP(CD$3,'Non-Embedded Emissions'!$F$143:$H$174,2,FALSE)+VLOOKUP(CD$3,'Non-Embedded Emissions'!$A$230:$D$259,2,FALSE)), $C39 = "3", 'Inputs-System'!$C$30*'Coincidence Factors'!$B$9*'Inputs-Proposals'!$H$29*'Inputs-Proposals'!$H$31*(VLOOKUP(CD$3,'Non-Embedded Emissions'!$A$56:$D$90,2,FALSE)-VLOOKUP(CD$3,'Non-Embedded Emissions'!$F$57:$H$88,2,FALSE)+VLOOKUP(CD$3,'Non-Embedded Emissions'!$A$143:$D$174,2,FALSE)-VLOOKUP(CD$3,'Non-Embedded Emissions'!$F$143:$H$174,2,FALSE)+VLOOKUP(CD$3,'Non-Embedded Emissions'!$A$230:$D$259,2,FALSE)), $C39 = "0", 0), 0)</f>
        <v>0</v>
      </c>
      <c r="CJ39" s="45">
        <f>IFERROR(_xlfn.IFS($C39="1",('Inputs-System'!$C$30*'Coincidence Factors'!$B$9*(1+'Inputs-System'!$C$18)*(1+'Inputs-System'!$C$41)*('Inputs-Proposals'!$H$17*'Inputs-Proposals'!$H$19*(1-'Inputs-Proposals'!$H$20^(CJ$3-'Inputs-System'!$C$7)))*(VLOOKUP(CJ$3,Energy!$A$51:$K$83,5,FALSE))), $C39 = "2",('Inputs-System'!$C$30*'Coincidence Factors'!$B$9)*(1+'Inputs-System'!$C$18)*(1+'Inputs-System'!$C$41)*('Inputs-Proposals'!$H$23*'Inputs-Proposals'!$H$25*(1-'Inputs-Proposals'!$H$26^(CJ$3-'Inputs-System'!$C$7)))*(VLOOKUP(CJ$3,Energy!$A$51:$K$83,5,FALSE)), $C39= "3", ('Inputs-System'!$C$30*'Coincidence Factors'!$B$9*(1+'Inputs-System'!$C$18)*(1+'Inputs-System'!$C$41)*('Inputs-Proposals'!$H$29*'Inputs-Proposals'!$H$31*(1-'Inputs-Proposals'!$H$32^(CJ$3-'Inputs-System'!$C$7)))*(VLOOKUP(CJ$3,Energy!$A$51:$K$83,5,FALSE))), $C39= "0", 0), 0)</f>
        <v>0</v>
      </c>
      <c r="CK39" s="44">
        <f>IFERROR(_xlfn.IFS($C39="1",('Inputs-System'!$C$30*'Coincidence Factors'!$B$9*(1+'Inputs-System'!$C$18)*(1+'Inputs-System'!$C$41))*'Inputs-Proposals'!$H$17*'Inputs-Proposals'!$H$19*(1-'Inputs-Proposals'!$H$20^(CJ$3-'Inputs-System'!$C$7))*(VLOOKUP(CJ$3,'Embedded Emissions'!$A$47:$B$78,2,FALSE)+VLOOKUP(CJ$3,'Embedded Emissions'!$A$129:$B$158,2,FALSE)), $C39 = "2",('Inputs-System'!$C$30*'Coincidence Factors'!$B$9*(1+'Inputs-System'!$C$18)*(1+'Inputs-System'!$C$41))*'Inputs-Proposals'!$H$23*'Inputs-Proposals'!$H$25*(1-'Inputs-Proposals'!$H$20^(CJ$3-'Inputs-System'!$C$7))*(VLOOKUP(CJ$3,'Embedded Emissions'!$A$47:$B$78,2,FALSE)+VLOOKUP(CJ$3,'Embedded Emissions'!$A$129:$B$158,2,FALSE)), $C39 = "3", ('Inputs-System'!$C$30*'Coincidence Factors'!$B$9*(1+'Inputs-System'!$C$18)*(1+'Inputs-System'!$C$41))*'Inputs-Proposals'!$H$29*'Inputs-Proposals'!$H$31*(1-'Inputs-Proposals'!$H$20^(CJ$3-'Inputs-System'!$C$7))*(VLOOKUP(CJ$3,'Embedded Emissions'!$A$47:$B$78,2,FALSE)+VLOOKUP(CJ$3,'Embedded Emissions'!$A$129:$B$158,2,FALSE)), $C39 = "0", 0), 0)</f>
        <v>0</v>
      </c>
      <c r="CL39" s="44">
        <f>IFERROR(_xlfn.IFS($C39="1",( 'Inputs-System'!$C$30*'Coincidence Factors'!$B$9*(1+'Inputs-System'!$C$18)*(1+'Inputs-System'!$C$41))*('Inputs-Proposals'!$H$17*'Inputs-Proposals'!$H$19*(1-'Inputs-Proposals'!$H$20)^(CJ$3-'Inputs-System'!$C$7))*(VLOOKUP(CJ$3,DRIPE!$A$54:$I$82,5,FALSE)+VLOOKUP(CJ$3,DRIPE!$A$54:$I$82,9,FALSE))+ ('Inputs-System'!$C$26*'Coincidence Factors'!$B$6*(1+'Inputs-System'!$C$18)*(1+'Inputs-System'!$C$42))*'Inputs-Proposals'!$H$16*VLOOKUP(CJ$3,DRIPE!$A$54:$I$82,8,FALSE), $C39 = "2",( 'Inputs-System'!$C$30*'Coincidence Factors'!$B$9*(1+'Inputs-System'!$C$18)*(1+'Inputs-System'!$C$41))*('Inputs-Proposals'!$H$23*'Inputs-Proposals'!$H$25*(1-'Inputs-Proposals'!$H$26)^(CJ$3-'Inputs-System'!$C$7))*(VLOOKUP(CJ$3,DRIPE!$A$54:$I$82,5,FALSE)+VLOOKUP(CJ$3,DRIPE!$A$54:$I$82,9,FALSE))+ ('Inputs-System'!$C$26*'Coincidence Factors'!$B$6*(1+'Inputs-System'!$C$18)*(1+'Inputs-System'!$C$42))*'Inputs-Proposals'!$H$22*VLOOKUP(CJ$3,DRIPE!$A$54:$I$82,8,FALSE), $C39= "3", ( 'Inputs-System'!$C$30*'Coincidence Factors'!$B$9*(1+'Inputs-System'!$C$18)*(1+'Inputs-System'!$C$41))*('Inputs-Proposals'!$H$29*'Inputs-Proposals'!$H$31*(1-'Inputs-Proposals'!$H$32)^(CJ$3-'Inputs-System'!$C$7))*(VLOOKUP(CJ$3,DRIPE!$A$54:$I$82,5,FALSE)+VLOOKUP(CJ$3,DRIPE!$A$54:$I$82,9,FALSE))+ ('Inputs-System'!$C$26*'Coincidence Factors'!$B$6*(1+'Inputs-System'!$C$18)*(1+'Inputs-System'!$C$42))*'Inputs-Proposals'!$H$28*VLOOKUP(CJ$3,DRIPE!$A$54:$I$82,8,FALSE), $C39 = "0", 0), 0)</f>
        <v>0</v>
      </c>
      <c r="CM39" s="45">
        <f>IFERROR(_xlfn.IFS($C39="1",('Inputs-System'!$C$26*'Coincidence Factors'!$B$9*(1+'Inputs-System'!$C$18)*(1+'Inputs-System'!$C$42))*'Inputs-Proposals'!$D$16*(VLOOKUP(CJ$3,Capacity!$A$53:$E$85,4,FALSE)*(1+'Inputs-System'!$C$42)+VLOOKUP(CJ$3,Capacity!$A$53:$E$85,5,FALSE)*(1+'Inputs-System'!$C$43)*'Inputs-System'!$C$29), $C39 = "2", ('Inputs-System'!$C$26*'Coincidence Factors'!$B$9*(1+'Inputs-System'!$C$18))*'Inputs-Proposals'!$D$22*(VLOOKUP(CJ$3,Capacity!$A$53:$E$85,4,FALSE)*(1+'Inputs-System'!$C$42)+VLOOKUP(CJ$3,Capacity!$A$53:$E$85,5,FALSE)*'Inputs-System'!$C$29*(1+'Inputs-System'!$C$43)), $C39 = "3", ('Inputs-System'!$C$26*'Coincidence Factors'!$B$9*(1+'Inputs-System'!$C$18))*'Inputs-Proposals'!$D$28*(VLOOKUP(CJ$3,Capacity!$A$53:$E$85,4,FALSE)*(1+'Inputs-System'!$C$42)+VLOOKUP(CJ$3,Capacity!$A$53:$E$85,5,FALSE)*'Inputs-System'!$C$29*(1+'Inputs-System'!$C$43)), $C39 = "0", 0), 0)</f>
        <v>0</v>
      </c>
      <c r="CN39" s="44">
        <v>0</v>
      </c>
      <c r="CO39" s="342">
        <f>IFERROR(_xlfn.IFS($C39="1", 'Inputs-System'!$C$30*'Coincidence Factors'!$B$9*'Inputs-Proposals'!$H$17*'Inputs-Proposals'!$H$19*(VLOOKUP(CJ$3,'Non-Embedded Emissions'!$A$56:$D$90,2,FALSE)-VLOOKUP(CJ$3,'Non-Embedded Emissions'!$F$57:$H$88,2,FALSE)+VLOOKUP(CJ$3,'Non-Embedded Emissions'!$A$143:$D$174,2,FALSE)-VLOOKUP(CJ$3,'Non-Embedded Emissions'!$F$143:$H$174,2,FALSE)+VLOOKUP(CJ$3,'Non-Embedded Emissions'!$A$230:$D$259,2,FALSE)), $C39 = "2", 'Inputs-System'!$C$30*'Coincidence Factors'!$B$9*'Inputs-Proposals'!$H$23*'Inputs-Proposals'!$H$25*(VLOOKUP(CJ$3,'Non-Embedded Emissions'!$A$56:$D$90,2,FALSE)-VLOOKUP(CJ$3,'Non-Embedded Emissions'!$F$57:$H$88,2,FALSE)+VLOOKUP(CJ$3,'Non-Embedded Emissions'!$A$143:$D$174,2,FALSE)-VLOOKUP(CJ$3,'Non-Embedded Emissions'!$F$143:$H$174,2,FALSE)+VLOOKUP(CJ$3,'Non-Embedded Emissions'!$A$230:$D$259,2,FALSE)), $C39 = "3", 'Inputs-System'!$C$30*'Coincidence Factors'!$B$9*'Inputs-Proposals'!$H$29*'Inputs-Proposals'!$H$31*(VLOOKUP(CJ$3,'Non-Embedded Emissions'!$A$56:$D$90,2,FALSE)-VLOOKUP(CJ$3,'Non-Embedded Emissions'!$F$57:$H$88,2,FALSE)+VLOOKUP(CJ$3,'Non-Embedded Emissions'!$A$143:$D$174,2,FALSE)-VLOOKUP(CJ$3,'Non-Embedded Emissions'!$F$143:$H$174,2,FALSE)+VLOOKUP(CJ$3,'Non-Embedded Emissions'!$A$230:$D$259,2,FALSE)), $C39 = "0", 0), 0)</f>
        <v>0</v>
      </c>
      <c r="CP39" s="45">
        <f>IFERROR(_xlfn.IFS($C39="1",('Inputs-System'!$C$30*'Coincidence Factors'!$B$9*(1+'Inputs-System'!$C$18)*(1+'Inputs-System'!$C$41)*('Inputs-Proposals'!$H$17*'Inputs-Proposals'!$H$19*(1-'Inputs-Proposals'!$H$20^(CP$3-'Inputs-System'!$C$7)))*(VLOOKUP(CP$3,Energy!$A$51:$K$83,5,FALSE))), $C39 = "2",('Inputs-System'!$C$30*'Coincidence Factors'!$B$9)*(1+'Inputs-System'!$C$18)*(1+'Inputs-System'!$C$41)*('Inputs-Proposals'!$H$23*'Inputs-Proposals'!$H$25*(1-'Inputs-Proposals'!$H$26^(CP$3-'Inputs-System'!$C$7)))*(VLOOKUP(CP$3,Energy!$A$51:$K$83,5,FALSE)), $C39= "3", ('Inputs-System'!$C$30*'Coincidence Factors'!$B$9*(1+'Inputs-System'!$C$18)*(1+'Inputs-System'!$C$41)*('Inputs-Proposals'!$H$29*'Inputs-Proposals'!$H$31*(1-'Inputs-Proposals'!$H$32^(CP$3-'Inputs-System'!$C$7)))*(VLOOKUP(CP$3,Energy!$A$51:$K$83,5,FALSE))), $C39= "0", 0), 0)</f>
        <v>0</v>
      </c>
      <c r="CQ39" s="44">
        <f>IFERROR(_xlfn.IFS($C39="1",('Inputs-System'!$C$30*'Coincidence Factors'!$B$9*(1+'Inputs-System'!$C$18)*(1+'Inputs-System'!$C$41))*'Inputs-Proposals'!$H$17*'Inputs-Proposals'!$H$19*(1-'Inputs-Proposals'!$H$20^(CP$3-'Inputs-System'!$C$7))*(VLOOKUP(CP$3,'Embedded Emissions'!$A$47:$B$78,2,FALSE)+VLOOKUP(CP$3,'Embedded Emissions'!$A$129:$B$158,2,FALSE)), $C39 = "2",('Inputs-System'!$C$30*'Coincidence Factors'!$B$9*(1+'Inputs-System'!$C$18)*(1+'Inputs-System'!$C$41))*'Inputs-Proposals'!$H$23*'Inputs-Proposals'!$H$25*(1-'Inputs-Proposals'!$H$20^(CP$3-'Inputs-System'!$C$7))*(VLOOKUP(CP$3,'Embedded Emissions'!$A$47:$B$78,2,FALSE)+VLOOKUP(CP$3,'Embedded Emissions'!$A$129:$B$158,2,FALSE)), $C39 = "3", ('Inputs-System'!$C$30*'Coincidence Factors'!$B$9*(1+'Inputs-System'!$C$18)*(1+'Inputs-System'!$C$41))*'Inputs-Proposals'!$H$29*'Inputs-Proposals'!$H$31*(1-'Inputs-Proposals'!$H$20^(CP$3-'Inputs-System'!$C$7))*(VLOOKUP(CP$3,'Embedded Emissions'!$A$47:$B$78,2,FALSE)+VLOOKUP(CP$3,'Embedded Emissions'!$A$129:$B$158,2,FALSE)), $C39 = "0", 0), 0)</f>
        <v>0</v>
      </c>
      <c r="CR39" s="44">
        <f>IFERROR(_xlfn.IFS($C39="1",( 'Inputs-System'!$C$30*'Coincidence Factors'!$B$9*(1+'Inputs-System'!$C$18)*(1+'Inputs-System'!$C$41))*('Inputs-Proposals'!$H$17*'Inputs-Proposals'!$H$19*(1-'Inputs-Proposals'!$H$20)^(CP$3-'Inputs-System'!$C$7))*(VLOOKUP(CP$3,DRIPE!$A$54:$I$82,5,FALSE)+VLOOKUP(CP$3,DRIPE!$A$54:$I$82,9,FALSE))+ ('Inputs-System'!$C$26*'Coincidence Factors'!$B$6*(1+'Inputs-System'!$C$18)*(1+'Inputs-System'!$C$42))*'Inputs-Proposals'!$H$16*VLOOKUP(CP$3,DRIPE!$A$54:$I$82,8,FALSE), $C39 = "2",( 'Inputs-System'!$C$30*'Coincidence Factors'!$B$9*(1+'Inputs-System'!$C$18)*(1+'Inputs-System'!$C$41))*('Inputs-Proposals'!$H$23*'Inputs-Proposals'!$H$25*(1-'Inputs-Proposals'!$H$26)^(CP$3-'Inputs-System'!$C$7))*(VLOOKUP(CP$3,DRIPE!$A$54:$I$82,5,FALSE)+VLOOKUP(CP$3,DRIPE!$A$54:$I$82,9,FALSE))+ ('Inputs-System'!$C$26*'Coincidence Factors'!$B$6*(1+'Inputs-System'!$C$18)*(1+'Inputs-System'!$C$42))*'Inputs-Proposals'!$H$22*VLOOKUP(CP$3,DRIPE!$A$54:$I$82,8,FALSE), $C39= "3", ( 'Inputs-System'!$C$30*'Coincidence Factors'!$B$9*(1+'Inputs-System'!$C$18)*(1+'Inputs-System'!$C$41))*('Inputs-Proposals'!$H$29*'Inputs-Proposals'!$H$31*(1-'Inputs-Proposals'!$H$32)^(CP$3-'Inputs-System'!$C$7))*(VLOOKUP(CP$3,DRIPE!$A$54:$I$82,5,FALSE)+VLOOKUP(CP$3,DRIPE!$A$54:$I$82,9,FALSE))+ ('Inputs-System'!$C$26*'Coincidence Factors'!$B$6*(1+'Inputs-System'!$C$18)*(1+'Inputs-System'!$C$42))*'Inputs-Proposals'!$H$28*VLOOKUP(CP$3,DRIPE!$A$54:$I$82,8,FALSE), $C39 = "0", 0), 0)</f>
        <v>0</v>
      </c>
      <c r="CS39" s="45">
        <f>IFERROR(_xlfn.IFS($C39="1",('Inputs-System'!$C$26*'Coincidence Factors'!$B$9*(1+'Inputs-System'!$C$18)*(1+'Inputs-System'!$C$42))*'Inputs-Proposals'!$D$16*(VLOOKUP(CP$3,Capacity!$A$53:$E$85,4,FALSE)*(1+'Inputs-System'!$C$42)+VLOOKUP(CP$3,Capacity!$A$53:$E$85,5,FALSE)*(1+'Inputs-System'!$C$43)*'Inputs-System'!$C$29), $C39 = "2", ('Inputs-System'!$C$26*'Coincidence Factors'!$B$9*(1+'Inputs-System'!$C$18))*'Inputs-Proposals'!$D$22*(VLOOKUP(CP$3,Capacity!$A$53:$E$85,4,FALSE)*(1+'Inputs-System'!$C$42)+VLOOKUP(CP$3,Capacity!$A$53:$E$85,5,FALSE)*'Inputs-System'!$C$29*(1+'Inputs-System'!$C$43)), $C39 = "3", ('Inputs-System'!$C$26*'Coincidence Factors'!$B$9*(1+'Inputs-System'!$C$18))*'Inputs-Proposals'!$D$28*(VLOOKUP(CP$3,Capacity!$A$53:$E$85,4,FALSE)*(1+'Inputs-System'!$C$42)+VLOOKUP(CP$3,Capacity!$A$53:$E$85,5,FALSE)*'Inputs-System'!$C$29*(1+'Inputs-System'!$C$43)), $C39 = "0", 0), 0)</f>
        <v>0</v>
      </c>
      <c r="CT39" s="44">
        <v>0</v>
      </c>
      <c r="CU39" s="342">
        <f>IFERROR(_xlfn.IFS($C39="1", 'Inputs-System'!$C$30*'Coincidence Factors'!$B$9*'Inputs-Proposals'!$H$17*'Inputs-Proposals'!$H$19*(VLOOKUP(CP$3,'Non-Embedded Emissions'!$A$56:$D$90,2,FALSE)-VLOOKUP(CP$3,'Non-Embedded Emissions'!$F$57:$H$88,2,FALSE)+VLOOKUP(CP$3,'Non-Embedded Emissions'!$A$143:$D$174,2,FALSE)-VLOOKUP(CP$3,'Non-Embedded Emissions'!$F$143:$H$174,2,FALSE)+VLOOKUP(CP$3,'Non-Embedded Emissions'!$A$230:$D$259,2,FALSE)), $C39 = "2", 'Inputs-System'!$C$30*'Coincidence Factors'!$B$9*'Inputs-Proposals'!$H$23*'Inputs-Proposals'!$H$25*(VLOOKUP(CP$3,'Non-Embedded Emissions'!$A$56:$D$90,2,FALSE)-VLOOKUP(CP$3,'Non-Embedded Emissions'!$F$57:$H$88,2,FALSE)+VLOOKUP(CP$3,'Non-Embedded Emissions'!$A$143:$D$174,2,FALSE)-VLOOKUP(CP$3,'Non-Embedded Emissions'!$F$143:$H$174,2,FALSE)+VLOOKUP(CP$3,'Non-Embedded Emissions'!$A$230:$D$259,2,FALSE)), $C39 = "3", 'Inputs-System'!$C$30*'Coincidence Factors'!$B$9*'Inputs-Proposals'!$H$29*'Inputs-Proposals'!$H$31*(VLOOKUP(CP$3,'Non-Embedded Emissions'!$A$56:$D$90,2,FALSE)-VLOOKUP(CP$3,'Non-Embedded Emissions'!$F$57:$H$88,2,FALSE)+VLOOKUP(CP$3,'Non-Embedded Emissions'!$A$143:$D$174,2,FALSE)-VLOOKUP(CP$3,'Non-Embedded Emissions'!$F$143:$H$174,2,FALSE)+VLOOKUP(CP$3,'Non-Embedded Emissions'!$A$230:$D$259,2,FALSE)), $C39 = "0", 0), 0)</f>
        <v>0</v>
      </c>
      <c r="CV39" s="45">
        <f>IFERROR(_xlfn.IFS($C39="1",('Inputs-System'!$C$30*'Coincidence Factors'!$B$9*(1+'Inputs-System'!$C$18)*(1+'Inputs-System'!$C$41)*('Inputs-Proposals'!$H$17*'Inputs-Proposals'!$H$19*(1-'Inputs-Proposals'!$H$20^(CV$3-'Inputs-System'!$C$7)))*(VLOOKUP(CV$3,Energy!$A$51:$K$83,5,FALSE))), $C39 = "2",('Inputs-System'!$C$30*'Coincidence Factors'!$B$9)*(1+'Inputs-System'!$C$18)*(1+'Inputs-System'!$C$41)*('Inputs-Proposals'!$H$23*'Inputs-Proposals'!$H$25*(1-'Inputs-Proposals'!$H$26^(CV$3-'Inputs-System'!$C$7)))*(VLOOKUP(CV$3,Energy!$A$51:$K$83,5,FALSE)), $C39= "3", ('Inputs-System'!$C$30*'Coincidence Factors'!$B$9*(1+'Inputs-System'!$C$18)*(1+'Inputs-System'!$C$41)*('Inputs-Proposals'!$H$29*'Inputs-Proposals'!$H$31*(1-'Inputs-Proposals'!$H$32^(CV$3-'Inputs-System'!$C$7)))*(VLOOKUP(CV$3,Energy!$A$51:$K$83,5,FALSE))), $C39= "0", 0), 0)</f>
        <v>0</v>
      </c>
      <c r="CW39" s="44">
        <f>IFERROR(_xlfn.IFS($C39="1",('Inputs-System'!$C$30*'Coincidence Factors'!$B$9*(1+'Inputs-System'!$C$18)*(1+'Inputs-System'!$C$41))*'Inputs-Proposals'!$H$17*'Inputs-Proposals'!$H$19*(1-'Inputs-Proposals'!$H$20^(CV$3-'Inputs-System'!$C$7))*(VLOOKUP(CV$3,'Embedded Emissions'!$A$47:$B$78,2,FALSE)+VLOOKUP(CV$3,'Embedded Emissions'!$A$129:$B$158,2,FALSE)), $C39 = "2",('Inputs-System'!$C$30*'Coincidence Factors'!$B$9*(1+'Inputs-System'!$C$18)*(1+'Inputs-System'!$C$41))*'Inputs-Proposals'!$H$23*'Inputs-Proposals'!$H$25*(1-'Inputs-Proposals'!$H$20^(CV$3-'Inputs-System'!$C$7))*(VLOOKUP(CV$3,'Embedded Emissions'!$A$47:$B$78,2,FALSE)+VLOOKUP(CV$3,'Embedded Emissions'!$A$129:$B$158,2,FALSE)), $C39 = "3", ('Inputs-System'!$C$30*'Coincidence Factors'!$B$9*(1+'Inputs-System'!$C$18)*(1+'Inputs-System'!$C$41))*'Inputs-Proposals'!$H$29*'Inputs-Proposals'!$H$31*(1-'Inputs-Proposals'!$H$20^(CV$3-'Inputs-System'!$C$7))*(VLOOKUP(CV$3,'Embedded Emissions'!$A$47:$B$78,2,FALSE)+VLOOKUP(CV$3,'Embedded Emissions'!$A$129:$B$158,2,FALSE)), $C39 = "0", 0), 0)</f>
        <v>0</v>
      </c>
      <c r="CX39" s="44">
        <f>IFERROR(_xlfn.IFS($C39="1",( 'Inputs-System'!$C$30*'Coincidence Factors'!$B$9*(1+'Inputs-System'!$C$18)*(1+'Inputs-System'!$C$41))*('Inputs-Proposals'!$H$17*'Inputs-Proposals'!$H$19*(1-'Inputs-Proposals'!$H$20)^(CV$3-'Inputs-System'!$C$7))*(VLOOKUP(CV$3,DRIPE!$A$54:$I$82,5,FALSE)+VLOOKUP(CV$3,DRIPE!$A$54:$I$82,9,FALSE))+ ('Inputs-System'!$C$26*'Coincidence Factors'!$B$6*(1+'Inputs-System'!$C$18)*(1+'Inputs-System'!$C$42))*'Inputs-Proposals'!$H$16*VLOOKUP(CV$3,DRIPE!$A$54:$I$82,8,FALSE), $C39 = "2",( 'Inputs-System'!$C$30*'Coincidence Factors'!$B$9*(1+'Inputs-System'!$C$18)*(1+'Inputs-System'!$C$41))*('Inputs-Proposals'!$H$23*'Inputs-Proposals'!$H$25*(1-'Inputs-Proposals'!$H$26)^(CV$3-'Inputs-System'!$C$7))*(VLOOKUP(CV$3,DRIPE!$A$54:$I$82,5,FALSE)+VLOOKUP(CV$3,DRIPE!$A$54:$I$82,9,FALSE))+ ('Inputs-System'!$C$26*'Coincidence Factors'!$B$6*(1+'Inputs-System'!$C$18)*(1+'Inputs-System'!$C$42))*'Inputs-Proposals'!$H$22*VLOOKUP(CV$3,DRIPE!$A$54:$I$82,8,FALSE), $C39= "3", ( 'Inputs-System'!$C$30*'Coincidence Factors'!$B$9*(1+'Inputs-System'!$C$18)*(1+'Inputs-System'!$C$41))*('Inputs-Proposals'!$H$29*'Inputs-Proposals'!$H$31*(1-'Inputs-Proposals'!$H$32)^(CV$3-'Inputs-System'!$C$7))*(VLOOKUP(CV$3,DRIPE!$A$54:$I$82,5,FALSE)+VLOOKUP(CV$3,DRIPE!$A$54:$I$82,9,FALSE))+ ('Inputs-System'!$C$26*'Coincidence Factors'!$B$6*(1+'Inputs-System'!$C$18)*(1+'Inputs-System'!$C$42))*'Inputs-Proposals'!$H$28*VLOOKUP(CV$3,DRIPE!$A$54:$I$82,8,FALSE), $C39 = "0", 0), 0)</f>
        <v>0</v>
      </c>
      <c r="CY39" s="45">
        <f>IFERROR(_xlfn.IFS($C39="1",('Inputs-System'!$C$26*'Coincidence Factors'!$B$9*(1+'Inputs-System'!$C$18)*(1+'Inputs-System'!$C$42))*'Inputs-Proposals'!$D$16*(VLOOKUP(CV$3,Capacity!$A$53:$E$85,4,FALSE)*(1+'Inputs-System'!$C$42)+VLOOKUP(CV$3,Capacity!$A$53:$E$85,5,FALSE)*(1+'Inputs-System'!$C$43)*'Inputs-System'!$C$29), $C39 = "2", ('Inputs-System'!$C$26*'Coincidence Factors'!$B$9*(1+'Inputs-System'!$C$18))*'Inputs-Proposals'!$D$22*(VLOOKUP(CV$3,Capacity!$A$53:$E$85,4,FALSE)*(1+'Inputs-System'!$C$42)+VLOOKUP(CV$3,Capacity!$A$53:$E$85,5,FALSE)*'Inputs-System'!$C$29*(1+'Inputs-System'!$C$43)), $C39 = "3", ('Inputs-System'!$C$26*'Coincidence Factors'!$B$9*(1+'Inputs-System'!$C$18))*'Inputs-Proposals'!$D$28*(VLOOKUP(CV$3,Capacity!$A$53:$E$85,4,FALSE)*(1+'Inputs-System'!$C$42)+VLOOKUP(CV$3,Capacity!$A$53:$E$85,5,FALSE)*'Inputs-System'!$C$29*(1+'Inputs-System'!$C$43)), $C39 = "0", 0), 0)</f>
        <v>0</v>
      </c>
      <c r="CZ39" s="44">
        <v>0</v>
      </c>
      <c r="DA39" s="342">
        <f>IFERROR(_xlfn.IFS($C39="1", 'Inputs-System'!$C$30*'Coincidence Factors'!$B$9*'Inputs-Proposals'!$H$17*'Inputs-Proposals'!$H$19*(VLOOKUP(CV$3,'Non-Embedded Emissions'!$A$56:$D$90,2,FALSE)-VLOOKUP(CV$3,'Non-Embedded Emissions'!$F$57:$H$88,2,FALSE)+VLOOKUP(CV$3,'Non-Embedded Emissions'!$A$143:$D$174,2,FALSE)-VLOOKUP(CV$3,'Non-Embedded Emissions'!$F$143:$H$174,2,FALSE)+VLOOKUP(CV$3,'Non-Embedded Emissions'!$A$230:$D$259,2,FALSE)), $C39 = "2", 'Inputs-System'!$C$30*'Coincidence Factors'!$B$9*'Inputs-Proposals'!$H$23*'Inputs-Proposals'!$H$25*(VLOOKUP(CV$3,'Non-Embedded Emissions'!$A$56:$D$90,2,FALSE)-VLOOKUP(CV$3,'Non-Embedded Emissions'!$F$57:$H$88,2,FALSE)+VLOOKUP(CV$3,'Non-Embedded Emissions'!$A$143:$D$174,2,FALSE)-VLOOKUP(CV$3,'Non-Embedded Emissions'!$F$143:$H$174,2,FALSE)+VLOOKUP(CV$3,'Non-Embedded Emissions'!$A$230:$D$259,2,FALSE)), $C39 = "3", 'Inputs-System'!$C$30*'Coincidence Factors'!$B$9*'Inputs-Proposals'!$H$29*'Inputs-Proposals'!$H$31*(VLOOKUP(CV$3,'Non-Embedded Emissions'!$A$56:$D$90,2,FALSE)-VLOOKUP(CV$3,'Non-Embedded Emissions'!$F$57:$H$88,2,FALSE)+VLOOKUP(CV$3,'Non-Embedded Emissions'!$A$143:$D$174,2,FALSE)-VLOOKUP(CV$3,'Non-Embedded Emissions'!$F$143:$H$174,2,FALSE)+VLOOKUP(CV$3,'Non-Embedded Emissions'!$A$230:$D$259,2,FALSE)), $C39 = "0", 0), 0)</f>
        <v>0</v>
      </c>
      <c r="DB39" s="45">
        <f>IFERROR(_xlfn.IFS($C39="1",('Inputs-System'!$C$30*'Coincidence Factors'!$B$9*(1+'Inputs-System'!$C$18)*(1+'Inputs-System'!$C$41)*('Inputs-Proposals'!$H$17*'Inputs-Proposals'!$H$19*(1-'Inputs-Proposals'!$H$20^(DB$3-'Inputs-System'!$C$7)))*(VLOOKUP(DB$3,Energy!$A$51:$K$83,5,FALSE))), $C39 = "2",('Inputs-System'!$C$30*'Coincidence Factors'!$B$9)*(1+'Inputs-System'!$C$18)*(1+'Inputs-System'!$C$41)*('Inputs-Proposals'!$H$23*'Inputs-Proposals'!$H$25*(1-'Inputs-Proposals'!$H$26^(DB$3-'Inputs-System'!$C$7)))*(VLOOKUP(DB$3,Energy!$A$51:$K$83,5,FALSE)), $C39= "3", ('Inputs-System'!$C$30*'Coincidence Factors'!$B$9*(1+'Inputs-System'!$C$18)*(1+'Inputs-System'!$C$41)*('Inputs-Proposals'!$H$29*'Inputs-Proposals'!$H$31*(1-'Inputs-Proposals'!$H$32^(DB$3-'Inputs-System'!$C$7)))*(VLOOKUP(DB$3,Energy!$A$51:$K$83,5,FALSE))), $C39= "0", 0), 0)</f>
        <v>0</v>
      </c>
      <c r="DC39" s="44">
        <f>IFERROR(_xlfn.IFS($C39="1",('Inputs-System'!$C$30*'Coincidence Factors'!$B$9*(1+'Inputs-System'!$C$18)*(1+'Inputs-System'!$C$41))*'Inputs-Proposals'!$H$17*'Inputs-Proposals'!$H$19*(1-'Inputs-Proposals'!$H$20^(DB$3-'Inputs-System'!$C$7))*(VLOOKUP(DB$3,'Embedded Emissions'!$A$47:$B$78,2,FALSE)+VLOOKUP(DB$3,'Embedded Emissions'!$A$129:$B$158,2,FALSE)), $C39 = "2",('Inputs-System'!$C$30*'Coincidence Factors'!$B$9*(1+'Inputs-System'!$C$18)*(1+'Inputs-System'!$C$41))*'Inputs-Proposals'!$H$23*'Inputs-Proposals'!$H$25*(1-'Inputs-Proposals'!$H$20^(DB$3-'Inputs-System'!$C$7))*(VLOOKUP(DB$3,'Embedded Emissions'!$A$47:$B$78,2,FALSE)+VLOOKUP(DB$3,'Embedded Emissions'!$A$129:$B$158,2,FALSE)), $C39 = "3", ('Inputs-System'!$C$30*'Coincidence Factors'!$B$9*(1+'Inputs-System'!$C$18)*(1+'Inputs-System'!$C$41))*'Inputs-Proposals'!$H$29*'Inputs-Proposals'!$H$31*(1-'Inputs-Proposals'!$H$20^(DB$3-'Inputs-System'!$C$7))*(VLOOKUP(DB$3,'Embedded Emissions'!$A$47:$B$78,2,FALSE)+VLOOKUP(DB$3,'Embedded Emissions'!$A$129:$B$158,2,FALSE)), $C39 = "0", 0), 0)</f>
        <v>0</v>
      </c>
      <c r="DD39" s="44">
        <f>IFERROR(_xlfn.IFS($C39="1",( 'Inputs-System'!$C$30*'Coincidence Factors'!$B$9*(1+'Inputs-System'!$C$18)*(1+'Inputs-System'!$C$41))*('Inputs-Proposals'!$H$17*'Inputs-Proposals'!$H$19*(1-'Inputs-Proposals'!$H$20)^(DB$3-'Inputs-System'!$C$7))*(VLOOKUP(DB$3,DRIPE!$A$54:$I$82,5,FALSE)+VLOOKUP(DB$3,DRIPE!$A$54:$I$82,9,FALSE))+ ('Inputs-System'!$C$26*'Coincidence Factors'!$B$6*(1+'Inputs-System'!$C$18)*(1+'Inputs-System'!$C$42))*'Inputs-Proposals'!$H$16*VLOOKUP(DB$3,DRIPE!$A$54:$I$82,8,FALSE), $C39 = "2",( 'Inputs-System'!$C$30*'Coincidence Factors'!$B$9*(1+'Inputs-System'!$C$18)*(1+'Inputs-System'!$C$41))*('Inputs-Proposals'!$H$23*'Inputs-Proposals'!$H$25*(1-'Inputs-Proposals'!$H$26)^(DB$3-'Inputs-System'!$C$7))*(VLOOKUP(DB$3,DRIPE!$A$54:$I$82,5,FALSE)+VLOOKUP(DB$3,DRIPE!$A$54:$I$82,9,FALSE))+ ('Inputs-System'!$C$26*'Coincidence Factors'!$B$6*(1+'Inputs-System'!$C$18)*(1+'Inputs-System'!$C$42))*'Inputs-Proposals'!$H$22*VLOOKUP(DB$3,DRIPE!$A$54:$I$82,8,FALSE), $C39= "3", ( 'Inputs-System'!$C$30*'Coincidence Factors'!$B$9*(1+'Inputs-System'!$C$18)*(1+'Inputs-System'!$C$41))*('Inputs-Proposals'!$H$29*'Inputs-Proposals'!$H$31*(1-'Inputs-Proposals'!$H$32)^(DB$3-'Inputs-System'!$C$7))*(VLOOKUP(DB$3,DRIPE!$A$54:$I$82,5,FALSE)+VLOOKUP(DB$3,DRIPE!$A$54:$I$82,9,FALSE))+ ('Inputs-System'!$C$26*'Coincidence Factors'!$B$6*(1+'Inputs-System'!$C$18)*(1+'Inputs-System'!$C$42))*'Inputs-Proposals'!$H$28*VLOOKUP(DB$3,DRIPE!$A$54:$I$82,8,FALSE), $C39 = "0", 0), 0)</f>
        <v>0</v>
      </c>
      <c r="DE39" s="45">
        <f>IFERROR(_xlfn.IFS($C39="1",('Inputs-System'!$C$26*'Coincidence Factors'!$B$9*(1+'Inputs-System'!$C$18)*(1+'Inputs-System'!$C$42))*'Inputs-Proposals'!$D$16*(VLOOKUP(DB$3,Capacity!$A$53:$E$85,4,FALSE)*(1+'Inputs-System'!$C$42)+VLOOKUP(DB$3,Capacity!$A$53:$E$85,5,FALSE)*(1+'Inputs-System'!$C$43)*'Inputs-System'!$C$29), $C39 = "2", ('Inputs-System'!$C$26*'Coincidence Factors'!$B$9*(1+'Inputs-System'!$C$18))*'Inputs-Proposals'!$D$22*(VLOOKUP(DB$3,Capacity!$A$53:$E$85,4,FALSE)*(1+'Inputs-System'!$C$42)+VLOOKUP(DB$3,Capacity!$A$53:$E$85,5,FALSE)*'Inputs-System'!$C$29*(1+'Inputs-System'!$C$43)), $C39 = "3", ('Inputs-System'!$C$26*'Coincidence Factors'!$B$9*(1+'Inputs-System'!$C$18))*'Inputs-Proposals'!$D$28*(VLOOKUP(DB$3,Capacity!$A$53:$E$85,4,FALSE)*(1+'Inputs-System'!$C$42)+VLOOKUP(DB$3,Capacity!$A$53:$E$85,5,FALSE)*'Inputs-System'!$C$29*(1+'Inputs-System'!$C$43)), $C39 = "0", 0), 0)</f>
        <v>0</v>
      </c>
      <c r="DF39" s="44">
        <v>0</v>
      </c>
      <c r="DG39" s="342">
        <f>IFERROR(_xlfn.IFS($C39="1", 'Inputs-System'!$C$30*'Coincidence Factors'!$B$9*'Inputs-Proposals'!$H$17*'Inputs-Proposals'!$H$19*(VLOOKUP(DB$3,'Non-Embedded Emissions'!$A$56:$D$90,2,FALSE)-VLOOKUP(DB$3,'Non-Embedded Emissions'!$F$57:$H$88,2,FALSE)+VLOOKUP(DB$3,'Non-Embedded Emissions'!$A$143:$D$174,2,FALSE)-VLOOKUP(DB$3,'Non-Embedded Emissions'!$F$143:$H$174,2,FALSE)+VLOOKUP(DB$3,'Non-Embedded Emissions'!$A$230:$D$259,2,FALSE)), $C39 = "2", 'Inputs-System'!$C$30*'Coincidence Factors'!$B$9*'Inputs-Proposals'!$H$23*'Inputs-Proposals'!$H$25*(VLOOKUP(DB$3,'Non-Embedded Emissions'!$A$56:$D$90,2,FALSE)-VLOOKUP(DB$3,'Non-Embedded Emissions'!$F$57:$H$88,2,FALSE)+VLOOKUP(DB$3,'Non-Embedded Emissions'!$A$143:$D$174,2,FALSE)-VLOOKUP(DB$3,'Non-Embedded Emissions'!$F$143:$H$174,2,FALSE)+VLOOKUP(DB$3,'Non-Embedded Emissions'!$A$230:$D$259,2,FALSE)), $C39 = "3", 'Inputs-System'!$C$30*'Coincidence Factors'!$B$9*'Inputs-Proposals'!$H$29*'Inputs-Proposals'!$H$31*(VLOOKUP(DB$3,'Non-Embedded Emissions'!$A$56:$D$90,2,FALSE)-VLOOKUP(DB$3,'Non-Embedded Emissions'!$F$57:$H$88,2,FALSE)+VLOOKUP(DB$3,'Non-Embedded Emissions'!$A$143:$D$174,2,FALSE)-VLOOKUP(DB$3,'Non-Embedded Emissions'!$F$143:$H$174,2,FALSE)+VLOOKUP(DB$3,'Non-Embedded Emissions'!$A$230:$D$259,2,FALSE)), $C39 = "0", 0), 0)</f>
        <v>0</v>
      </c>
      <c r="DH39" s="45">
        <f>IFERROR(_xlfn.IFS($C39="1",('Inputs-System'!$C$30*'Coincidence Factors'!$B$9*(1+'Inputs-System'!$C$18)*(1+'Inputs-System'!$C$41)*('Inputs-Proposals'!$H$17*'Inputs-Proposals'!$H$19*(1-'Inputs-Proposals'!$H$20^(DH$3-'Inputs-System'!$C$7)))*(VLOOKUP(DH$3,Energy!$A$51:$K$83,5,FALSE))), $C39 = "2",('Inputs-System'!$C$30*'Coincidence Factors'!$B$9)*(1+'Inputs-System'!$C$18)*(1+'Inputs-System'!$C$41)*('Inputs-Proposals'!$H$23*'Inputs-Proposals'!$H$25*(1-'Inputs-Proposals'!$H$26^(DH$3-'Inputs-System'!$C$7)))*(VLOOKUP(DH$3,Energy!$A$51:$K$83,5,FALSE)), $C39= "3", ('Inputs-System'!$C$30*'Coincidence Factors'!$B$9*(1+'Inputs-System'!$C$18)*(1+'Inputs-System'!$C$41)*('Inputs-Proposals'!$H$29*'Inputs-Proposals'!$H$31*(1-'Inputs-Proposals'!$H$32^(DH$3-'Inputs-System'!$C$7)))*(VLOOKUP(DH$3,Energy!$A$51:$K$83,5,FALSE))), $C39= "0", 0), 0)</f>
        <v>0</v>
      </c>
      <c r="DI39" s="44">
        <f>IFERROR(_xlfn.IFS($C39="1",('Inputs-System'!$C$30*'Coincidence Factors'!$B$9*(1+'Inputs-System'!$C$18)*(1+'Inputs-System'!$C$41))*'Inputs-Proposals'!$H$17*'Inputs-Proposals'!$H$19*(1-'Inputs-Proposals'!$H$20^(DH$3-'Inputs-System'!$C$7))*(VLOOKUP(DH$3,'Embedded Emissions'!$A$47:$B$78,2,FALSE)+VLOOKUP(DH$3,'Embedded Emissions'!$A$129:$B$158,2,FALSE)), $C39 = "2",('Inputs-System'!$C$30*'Coincidence Factors'!$B$9*(1+'Inputs-System'!$C$18)*(1+'Inputs-System'!$C$41))*'Inputs-Proposals'!$H$23*'Inputs-Proposals'!$H$25*(1-'Inputs-Proposals'!$H$20^(DH$3-'Inputs-System'!$C$7))*(VLOOKUP(DH$3,'Embedded Emissions'!$A$47:$B$78,2,FALSE)+VLOOKUP(DH$3,'Embedded Emissions'!$A$129:$B$158,2,FALSE)), $C39 = "3", ('Inputs-System'!$C$30*'Coincidence Factors'!$B$9*(1+'Inputs-System'!$C$18)*(1+'Inputs-System'!$C$41))*'Inputs-Proposals'!$H$29*'Inputs-Proposals'!$H$31*(1-'Inputs-Proposals'!$H$20^(DH$3-'Inputs-System'!$C$7))*(VLOOKUP(DH$3,'Embedded Emissions'!$A$47:$B$78,2,FALSE)+VLOOKUP(DH$3,'Embedded Emissions'!$A$129:$B$158,2,FALSE)), $C39 = "0", 0), 0)</f>
        <v>0</v>
      </c>
      <c r="DJ39" s="44">
        <f>IFERROR(_xlfn.IFS($C39="1",( 'Inputs-System'!$C$30*'Coincidence Factors'!$B$9*(1+'Inputs-System'!$C$18)*(1+'Inputs-System'!$C$41))*('Inputs-Proposals'!$H$17*'Inputs-Proposals'!$H$19*(1-'Inputs-Proposals'!$H$20)^(DH$3-'Inputs-System'!$C$7))*(VLOOKUP(DH$3,DRIPE!$A$54:$I$82,5,FALSE)+VLOOKUP(DH$3,DRIPE!$A$54:$I$82,9,FALSE))+ ('Inputs-System'!$C$26*'Coincidence Factors'!$B$6*(1+'Inputs-System'!$C$18)*(1+'Inputs-System'!$C$42))*'Inputs-Proposals'!$H$16*VLOOKUP(DH$3,DRIPE!$A$54:$I$82,8,FALSE), $C39 = "2",( 'Inputs-System'!$C$30*'Coincidence Factors'!$B$9*(1+'Inputs-System'!$C$18)*(1+'Inputs-System'!$C$41))*('Inputs-Proposals'!$H$23*'Inputs-Proposals'!$H$25*(1-'Inputs-Proposals'!$H$26)^(DH$3-'Inputs-System'!$C$7))*(VLOOKUP(DH$3,DRIPE!$A$54:$I$82,5,FALSE)+VLOOKUP(DH$3,DRIPE!$A$54:$I$82,9,FALSE))+ ('Inputs-System'!$C$26*'Coincidence Factors'!$B$6*(1+'Inputs-System'!$C$18)*(1+'Inputs-System'!$C$42))*'Inputs-Proposals'!$H$22*VLOOKUP(DH$3,DRIPE!$A$54:$I$82,8,FALSE), $C39= "3", ( 'Inputs-System'!$C$30*'Coincidence Factors'!$B$9*(1+'Inputs-System'!$C$18)*(1+'Inputs-System'!$C$41))*('Inputs-Proposals'!$H$29*'Inputs-Proposals'!$H$31*(1-'Inputs-Proposals'!$H$32)^(DH$3-'Inputs-System'!$C$7))*(VLOOKUP(DH$3,DRIPE!$A$54:$I$82,5,FALSE)+VLOOKUP(DH$3,DRIPE!$A$54:$I$82,9,FALSE))+ ('Inputs-System'!$C$26*'Coincidence Factors'!$B$6*(1+'Inputs-System'!$C$18)*(1+'Inputs-System'!$C$42))*'Inputs-Proposals'!$H$28*VLOOKUP(DH$3,DRIPE!$A$54:$I$82,8,FALSE), $C39 = "0", 0), 0)</f>
        <v>0</v>
      </c>
      <c r="DK39" s="45">
        <f>IFERROR(_xlfn.IFS($C39="1",('Inputs-System'!$C$26*'Coincidence Factors'!$B$9*(1+'Inputs-System'!$C$18)*(1+'Inputs-System'!$C$42))*'Inputs-Proposals'!$D$16*(VLOOKUP(DH$3,Capacity!$A$53:$E$85,4,FALSE)*(1+'Inputs-System'!$C$42)+VLOOKUP(DH$3,Capacity!$A$53:$E$85,5,FALSE)*(1+'Inputs-System'!$C$43)*'Inputs-System'!$C$29), $C39 = "2", ('Inputs-System'!$C$26*'Coincidence Factors'!$B$9*(1+'Inputs-System'!$C$18))*'Inputs-Proposals'!$D$22*(VLOOKUP(DH$3,Capacity!$A$53:$E$85,4,FALSE)*(1+'Inputs-System'!$C$42)+VLOOKUP(DH$3,Capacity!$A$53:$E$85,5,FALSE)*'Inputs-System'!$C$29*(1+'Inputs-System'!$C$43)), $C39 = "3", ('Inputs-System'!$C$26*'Coincidence Factors'!$B$9*(1+'Inputs-System'!$C$18))*'Inputs-Proposals'!$D$28*(VLOOKUP(DH$3,Capacity!$A$53:$E$85,4,FALSE)*(1+'Inputs-System'!$C$42)+VLOOKUP(DH$3,Capacity!$A$53:$E$85,5,FALSE)*'Inputs-System'!$C$29*(1+'Inputs-System'!$C$43)), $C39 = "0", 0), 0)</f>
        <v>0</v>
      </c>
      <c r="DL39" s="44">
        <v>0</v>
      </c>
      <c r="DM39" s="342">
        <f>IFERROR(_xlfn.IFS($C39="1", 'Inputs-System'!$C$30*'Coincidence Factors'!$B$9*'Inputs-Proposals'!$H$17*'Inputs-Proposals'!$H$19*(VLOOKUP(DH$3,'Non-Embedded Emissions'!$A$56:$D$90,2,FALSE)-VLOOKUP(DH$3,'Non-Embedded Emissions'!$F$57:$H$88,2,FALSE)+VLOOKUP(DH$3,'Non-Embedded Emissions'!$A$143:$D$174,2,FALSE)-VLOOKUP(DH$3,'Non-Embedded Emissions'!$F$143:$H$174,2,FALSE)+VLOOKUP(DH$3,'Non-Embedded Emissions'!$A$230:$D$259,2,FALSE)), $C39 = "2", 'Inputs-System'!$C$30*'Coincidence Factors'!$B$9*'Inputs-Proposals'!$H$23*'Inputs-Proposals'!$H$25*(VLOOKUP(DH$3,'Non-Embedded Emissions'!$A$56:$D$90,2,FALSE)-VLOOKUP(DH$3,'Non-Embedded Emissions'!$F$57:$H$88,2,FALSE)+VLOOKUP(DH$3,'Non-Embedded Emissions'!$A$143:$D$174,2,FALSE)-VLOOKUP(DH$3,'Non-Embedded Emissions'!$F$143:$H$174,2,FALSE)+VLOOKUP(DH$3,'Non-Embedded Emissions'!$A$230:$D$259,2,FALSE)), $C39 = "3", 'Inputs-System'!$C$30*'Coincidence Factors'!$B$9*'Inputs-Proposals'!$H$29*'Inputs-Proposals'!$H$31*(VLOOKUP(DH$3,'Non-Embedded Emissions'!$A$56:$D$90,2,FALSE)-VLOOKUP(DH$3,'Non-Embedded Emissions'!$F$57:$H$88,2,FALSE)+VLOOKUP(DH$3,'Non-Embedded Emissions'!$A$143:$D$174,2,FALSE)-VLOOKUP(DH$3,'Non-Embedded Emissions'!$F$143:$H$174,2,FALSE)+VLOOKUP(DH$3,'Non-Embedded Emissions'!$A$230:$D$259,2,FALSE)), $C39 = "0", 0), 0)</f>
        <v>0</v>
      </c>
      <c r="DN39" s="45">
        <f>IFERROR(_xlfn.IFS($C39="1",('Inputs-System'!$C$30*'Coincidence Factors'!$B$9*(1+'Inputs-System'!$C$18)*(1+'Inputs-System'!$C$41)*('Inputs-Proposals'!$H$17*'Inputs-Proposals'!$H$19*(1-'Inputs-Proposals'!$H$20^(DN$3-'Inputs-System'!$C$7)))*(VLOOKUP(DN$3,Energy!$A$51:$K$83,5,FALSE))), $C39 = "2",('Inputs-System'!$C$30*'Coincidence Factors'!$B$9)*(1+'Inputs-System'!$C$18)*(1+'Inputs-System'!$C$41)*('Inputs-Proposals'!$H$23*'Inputs-Proposals'!$H$25*(1-'Inputs-Proposals'!$H$26^(DN$3-'Inputs-System'!$C$7)))*(VLOOKUP(DN$3,Energy!$A$51:$K$83,5,FALSE)), $C39= "3", ('Inputs-System'!$C$30*'Coincidence Factors'!$B$9*(1+'Inputs-System'!$C$18)*(1+'Inputs-System'!$C$41)*('Inputs-Proposals'!$H$29*'Inputs-Proposals'!$H$31*(1-'Inputs-Proposals'!$H$32^(DN$3-'Inputs-System'!$C$7)))*(VLOOKUP(DN$3,Energy!$A$51:$K$83,5,FALSE))), $C39= "0", 0), 0)</f>
        <v>0</v>
      </c>
      <c r="DO39" s="44">
        <f>IFERROR(_xlfn.IFS($C39="1",('Inputs-System'!$C$30*'Coincidence Factors'!$B$9*(1+'Inputs-System'!$C$18)*(1+'Inputs-System'!$C$41))*'Inputs-Proposals'!$H$17*'Inputs-Proposals'!$H$19*(1-'Inputs-Proposals'!$H$20^(DN$3-'Inputs-System'!$C$7))*(VLOOKUP(DN$3,'Embedded Emissions'!$A$47:$B$78,2,FALSE)+VLOOKUP(DN$3,'Embedded Emissions'!$A$129:$B$158,2,FALSE)), $C39 = "2",('Inputs-System'!$C$30*'Coincidence Factors'!$B$9*(1+'Inputs-System'!$C$18)*(1+'Inputs-System'!$C$41))*'Inputs-Proposals'!$H$23*'Inputs-Proposals'!$H$25*(1-'Inputs-Proposals'!$H$20^(DN$3-'Inputs-System'!$C$7))*(VLOOKUP(DN$3,'Embedded Emissions'!$A$47:$B$78,2,FALSE)+VLOOKUP(DN$3,'Embedded Emissions'!$A$129:$B$158,2,FALSE)), $C39 = "3", ('Inputs-System'!$C$30*'Coincidence Factors'!$B$9*(1+'Inputs-System'!$C$18)*(1+'Inputs-System'!$C$41))*'Inputs-Proposals'!$H$29*'Inputs-Proposals'!$H$31*(1-'Inputs-Proposals'!$H$20^(DN$3-'Inputs-System'!$C$7))*(VLOOKUP(DN$3,'Embedded Emissions'!$A$47:$B$78,2,FALSE)+VLOOKUP(DN$3,'Embedded Emissions'!$A$129:$B$158,2,FALSE)), $C39 = "0", 0), 0)</f>
        <v>0</v>
      </c>
      <c r="DP39" s="44">
        <f>IFERROR(_xlfn.IFS($C39="1",( 'Inputs-System'!$C$30*'Coincidence Factors'!$B$9*(1+'Inputs-System'!$C$18)*(1+'Inputs-System'!$C$41))*('Inputs-Proposals'!$H$17*'Inputs-Proposals'!$H$19*(1-'Inputs-Proposals'!$H$20)^(DN$3-'Inputs-System'!$C$7))*(VLOOKUP(DN$3,DRIPE!$A$54:$I$82,5,FALSE)+VLOOKUP(DN$3,DRIPE!$A$54:$I$82,9,FALSE))+ ('Inputs-System'!$C$26*'Coincidence Factors'!$B$6*(1+'Inputs-System'!$C$18)*(1+'Inputs-System'!$C$42))*'Inputs-Proposals'!$H$16*VLOOKUP(DN$3,DRIPE!$A$54:$I$82,8,FALSE), $C39 = "2",( 'Inputs-System'!$C$30*'Coincidence Factors'!$B$9*(1+'Inputs-System'!$C$18)*(1+'Inputs-System'!$C$41))*('Inputs-Proposals'!$H$23*'Inputs-Proposals'!$H$25*(1-'Inputs-Proposals'!$H$26)^(DN$3-'Inputs-System'!$C$7))*(VLOOKUP(DN$3,DRIPE!$A$54:$I$82,5,FALSE)+VLOOKUP(DN$3,DRIPE!$A$54:$I$82,9,FALSE))+ ('Inputs-System'!$C$26*'Coincidence Factors'!$B$6*(1+'Inputs-System'!$C$18)*(1+'Inputs-System'!$C$42))*'Inputs-Proposals'!$H$22*VLOOKUP(DN$3,DRIPE!$A$54:$I$82,8,FALSE), $C39= "3", ( 'Inputs-System'!$C$30*'Coincidence Factors'!$B$9*(1+'Inputs-System'!$C$18)*(1+'Inputs-System'!$C$41))*('Inputs-Proposals'!$H$29*'Inputs-Proposals'!$H$31*(1-'Inputs-Proposals'!$H$32)^(DN$3-'Inputs-System'!$C$7))*(VLOOKUP(DN$3,DRIPE!$A$54:$I$82,5,FALSE)+VLOOKUP(DN$3,DRIPE!$A$54:$I$82,9,FALSE))+ ('Inputs-System'!$C$26*'Coincidence Factors'!$B$6*(1+'Inputs-System'!$C$18)*(1+'Inputs-System'!$C$42))*'Inputs-Proposals'!$H$28*VLOOKUP(DN$3,DRIPE!$A$54:$I$82,8,FALSE), $C39 = "0", 0), 0)</f>
        <v>0</v>
      </c>
      <c r="DQ39" s="45">
        <f>IFERROR(_xlfn.IFS($C39="1",('Inputs-System'!$C$26*'Coincidence Factors'!$B$9*(1+'Inputs-System'!$C$18)*(1+'Inputs-System'!$C$42))*'Inputs-Proposals'!$D$16*(VLOOKUP(DN$3,Capacity!$A$53:$E$85,4,FALSE)*(1+'Inputs-System'!$C$42)+VLOOKUP(DN$3,Capacity!$A$53:$E$85,5,FALSE)*(1+'Inputs-System'!$C$43)*'Inputs-System'!$C$29), $C39 = "2", ('Inputs-System'!$C$26*'Coincidence Factors'!$B$9*(1+'Inputs-System'!$C$18))*'Inputs-Proposals'!$D$22*(VLOOKUP(DN$3,Capacity!$A$53:$E$85,4,FALSE)*(1+'Inputs-System'!$C$42)+VLOOKUP(DN$3,Capacity!$A$53:$E$85,5,FALSE)*'Inputs-System'!$C$29*(1+'Inputs-System'!$C$43)), $C39 = "3", ('Inputs-System'!$C$26*'Coincidence Factors'!$B$9*(1+'Inputs-System'!$C$18))*'Inputs-Proposals'!$D$28*(VLOOKUP(DN$3,Capacity!$A$53:$E$85,4,FALSE)*(1+'Inputs-System'!$C$42)+VLOOKUP(DN$3,Capacity!$A$53:$E$85,5,FALSE)*'Inputs-System'!$C$29*(1+'Inputs-System'!$C$43)), $C39 = "0", 0), 0)</f>
        <v>0</v>
      </c>
      <c r="DR39" s="44">
        <v>0</v>
      </c>
      <c r="DS39" s="342">
        <f>IFERROR(_xlfn.IFS($C39="1", 'Inputs-System'!$C$30*'Coincidence Factors'!$B$9*'Inputs-Proposals'!$H$17*'Inputs-Proposals'!$H$19*(VLOOKUP(DN$3,'Non-Embedded Emissions'!$A$56:$D$90,2,FALSE)-VLOOKUP(DN$3,'Non-Embedded Emissions'!$F$57:$H$88,2,FALSE)+VLOOKUP(DN$3,'Non-Embedded Emissions'!$A$143:$D$174,2,FALSE)-VLOOKUP(DN$3,'Non-Embedded Emissions'!$F$143:$H$174,2,FALSE)+VLOOKUP(DN$3,'Non-Embedded Emissions'!$A$230:$D$259,2,FALSE)), $C39 = "2", 'Inputs-System'!$C$30*'Coincidence Factors'!$B$9*'Inputs-Proposals'!$H$23*'Inputs-Proposals'!$H$25*(VLOOKUP(DN$3,'Non-Embedded Emissions'!$A$56:$D$90,2,FALSE)-VLOOKUP(DN$3,'Non-Embedded Emissions'!$F$57:$H$88,2,FALSE)+VLOOKUP(DN$3,'Non-Embedded Emissions'!$A$143:$D$174,2,FALSE)-VLOOKUP(DN$3,'Non-Embedded Emissions'!$F$143:$H$174,2,FALSE)+VLOOKUP(DN$3,'Non-Embedded Emissions'!$A$230:$D$259,2,FALSE)), $C39 = "3", 'Inputs-System'!$C$30*'Coincidence Factors'!$B$9*'Inputs-Proposals'!$H$29*'Inputs-Proposals'!$H$31*(VLOOKUP(DN$3,'Non-Embedded Emissions'!$A$56:$D$90,2,FALSE)-VLOOKUP(DN$3,'Non-Embedded Emissions'!$F$57:$H$88,2,FALSE)+VLOOKUP(DN$3,'Non-Embedded Emissions'!$A$143:$D$174,2,FALSE)-VLOOKUP(DN$3,'Non-Embedded Emissions'!$F$143:$H$174,2,FALSE)+VLOOKUP(DN$3,'Non-Embedded Emissions'!$A$230:$D$259,2,FALSE)), $C39 = "0", 0), 0)</f>
        <v>0</v>
      </c>
      <c r="DT39" s="45">
        <f>IFERROR(_xlfn.IFS($C39="1",('Inputs-System'!$C$30*'Coincidence Factors'!$B$9*(1+'Inputs-System'!$C$18)*(1+'Inputs-System'!$C$41)*('Inputs-Proposals'!$H$17*'Inputs-Proposals'!$H$19*(1-'Inputs-Proposals'!$H$20^(DT$3-'Inputs-System'!$C$7)))*(VLOOKUP(DT$3,Energy!$A$51:$K$83,5,FALSE))), $C39 = "2",('Inputs-System'!$C$30*'Coincidence Factors'!$B$9)*(1+'Inputs-System'!$C$18)*(1+'Inputs-System'!$C$41)*('Inputs-Proposals'!$H$23*'Inputs-Proposals'!$H$25*(1-'Inputs-Proposals'!$H$26^(DT$3-'Inputs-System'!$C$7)))*(VLOOKUP(DT$3,Energy!$A$51:$K$83,5,FALSE)), $C39= "3", ('Inputs-System'!$C$30*'Coincidence Factors'!$B$9*(1+'Inputs-System'!$C$18)*(1+'Inputs-System'!$C$41)*('Inputs-Proposals'!$H$29*'Inputs-Proposals'!$H$31*(1-'Inputs-Proposals'!$H$32^(DT$3-'Inputs-System'!$C$7)))*(VLOOKUP(DT$3,Energy!$A$51:$K$83,5,FALSE))), $C39= "0", 0), 0)</f>
        <v>0</v>
      </c>
      <c r="DU39" s="44">
        <f>IFERROR(_xlfn.IFS($C39="1",('Inputs-System'!$C$30*'Coincidence Factors'!$B$9*(1+'Inputs-System'!$C$18)*(1+'Inputs-System'!$C$41))*'Inputs-Proposals'!$H$17*'Inputs-Proposals'!$H$19*(1-'Inputs-Proposals'!$H$20^(DT$3-'Inputs-System'!$C$7))*(VLOOKUP(DT$3,'Embedded Emissions'!$A$47:$B$78,2,FALSE)+VLOOKUP(DT$3,'Embedded Emissions'!$A$129:$B$158,2,FALSE)), $C39 = "2",('Inputs-System'!$C$30*'Coincidence Factors'!$B$9*(1+'Inputs-System'!$C$18)*(1+'Inputs-System'!$C$41))*'Inputs-Proposals'!$H$23*'Inputs-Proposals'!$H$25*(1-'Inputs-Proposals'!$H$20^(DT$3-'Inputs-System'!$C$7))*(VLOOKUP(DT$3,'Embedded Emissions'!$A$47:$B$78,2,FALSE)+VLOOKUP(DT$3,'Embedded Emissions'!$A$129:$B$158,2,FALSE)), $C39 = "3", ('Inputs-System'!$C$30*'Coincidence Factors'!$B$9*(1+'Inputs-System'!$C$18)*(1+'Inputs-System'!$C$41))*'Inputs-Proposals'!$H$29*'Inputs-Proposals'!$H$31*(1-'Inputs-Proposals'!$H$20^(DT$3-'Inputs-System'!$C$7))*(VLOOKUP(DT$3,'Embedded Emissions'!$A$47:$B$78,2,FALSE)+VLOOKUP(DT$3,'Embedded Emissions'!$A$129:$B$158,2,FALSE)), $C39 = "0", 0), 0)</f>
        <v>0</v>
      </c>
      <c r="DV39" s="44">
        <f>IFERROR(_xlfn.IFS($C39="1",( 'Inputs-System'!$C$30*'Coincidence Factors'!$B$9*(1+'Inputs-System'!$C$18)*(1+'Inputs-System'!$C$41))*('Inputs-Proposals'!$H$17*'Inputs-Proposals'!$H$19*(1-'Inputs-Proposals'!$H$20)^(DT$3-'Inputs-System'!$C$7))*(VLOOKUP(DT$3,DRIPE!$A$54:$I$82,5,FALSE)+VLOOKUP(DT$3,DRIPE!$A$54:$I$82,9,FALSE))+ ('Inputs-System'!$C$26*'Coincidence Factors'!$B$6*(1+'Inputs-System'!$C$18)*(1+'Inputs-System'!$C$42))*'Inputs-Proposals'!$H$16*VLOOKUP(DT$3,DRIPE!$A$54:$I$82,8,FALSE), $C39 = "2",( 'Inputs-System'!$C$30*'Coincidence Factors'!$B$9*(1+'Inputs-System'!$C$18)*(1+'Inputs-System'!$C$41))*('Inputs-Proposals'!$H$23*'Inputs-Proposals'!$H$25*(1-'Inputs-Proposals'!$H$26)^(DT$3-'Inputs-System'!$C$7))*(VLOOKUP(DT$3,DRIPE!$A$54:$I$82,5,FALSE)+VLOOKUP(DT$3,DRIPE!$A$54:$I$82,9,FALSE))+ ('Inputs-System'!$C$26*'Coincidence Factors'!$B$6*(1+'Inputs-System'!$C$18)*(1+'Inputs-System'!$C$42))*'Inputs-Proposals'!$H$22*VLOOKUP(DT$3,DRIPE!$A$54:$I$82,8,FALSE), $C39= "3", ( 'Inputs-System'!$C$30*'Coincidence Factors'!$B$9*(1+'Inputs-System'!$C$18)*(1+'Inputs-System'!$C$41))*('Inputs-Proposals'!$H$29*'Inputs-Proposals'!$H$31*(1-'Inputs-Proposals'!$H$32)^(DT$3-'Inputs-System'!$C$7))*(VLOOKUP(DT$3,DRIPE!$A$54:$I$82,5,FALSE)+VLOOKUP(DT$3,DRIPE!$A$54:$I$82,9,FALSE))+ ('Inputs-System'!$C$26*'Coincidence Factors'!$B$6*(1+'Inputs-System'!$C$18)*(1+'Inputs-System'!$C$42))*'Inputs-Proposals'!$H$28*VLOOKUP(DT$3,DRIPE!$A$54:$I$82,8,FALSE), $C39 = "0", 0), 0)</f>
        <v>0</v>
      </c>
      <c r="DW39" s="45">
        <f>IFERROR(_xlfn.IFS($C39="1",('Inputs-System'!$C$26*'Coincidence Factors'!$B$9*(1+'Inputs-System'!$C$18)*(1+'Inputs-System'!$C$42))*'Inputs-Proposals'!$D$16*(VLOOKUP(DT$3,Capacity!$A$53:$E$85,4,FALSE)*(1+'Inputs-System'!$C$42)+VLOOKUP(DT$3,Capacity!$A$53:$E$85,5,FALSE)*(1+'Inputs-System'!$C$43)*'Inputs-System'!$C$29), $C39 = "2", ('Inputs-System'!$C$26*'Coincidence Factors'!$B$9*(1+'Inputs-System'!$C$18))*'Inputs-Proposals'!$D$22*(VLOOKUP(DT$3,Capacity!$A$53:$E$85,4,FALSE)*(1+'Inputs-System'!$C$42)+VLOOKUP(DT$3,Capacity!$A$53:$E$85,5,FALSE)*'Inputs-System'!$C$29*(1+'Inputs-System'!$C$43)), $C39 = "3", ('Inputs-System'!$C$26*'Coincidence Factors'!$B$9*(1+'Inputs-System'!$C$18))*'Inputs-Proposals'!$D$28*(VLOOKUP(DT$3,Capacity!$A$53:$E$85,4,FALSE)*(1+'Inputs-System'!$C$42)+VLOOKUP(DT$3,Capacity!$A$53:$E$85,5,FALSE)*'Inputs-System'!$C$29*(1+'Inputs-System'!$C$43)), $C39 = "0", 0), 0)</f>
        <v>0</v>
      </c>
      <c r="DX39" s="44">
        <v>0</v>
      </c>
      <c r="DY39" s="342">
        <f>IFERROR(_xlfn.IFS($C39="1", 'Inputs-System'!$C$30*'Coincidence Factors'!$B$9*'Inputs-Proposals'!$H$17*'Inputs-Proposals'!$H$19*(VLOOKUP(DT$3,'Non-Embedded Emissions'!$A$56:$D$90,2,FALSE)-VLOOKUP(DT$3,'Non-Embedded Emissions'!$F$57:$H$88,2,FALSE)+VLOOKUP(DT$3,'Non-Embedded Emissions'!$A$143:$D$174,2,FALSE)-VLOOKUP(DT$3,'Non-Embedded Emissions'!$F$143:$H$174,2,FALSE)+VLOOKUP(DT$3,'Non-Embedded Emissions'!$A$230:$D$259,2,FALSE)), $C39 = "2", 'Inputs-System'!$C$30*'Coincidence Factors'!$B$9*'Inputs-Proposals'!$H$23*'Inputs-Proposals'!$H$25*(VLOOKUP(DT$3,'Non-Embedded Emissions'!$A$56:$D$90,2,FALSE)-VLOOKUP(DT$3,'Non-Embedded Emissions'!$F$57:$H$88,2,FALSE)+VLOOKUP(DT$3,'Non-Embedded Emissions'!$A$143:$D$174,2,FALSE)-VLOOKUP(DT$3,'Non-Embedded Emissions'!$F$143:$H$174,2,FALSE)+VLOOKUP(DT$3,'Non-Embedded Emissions'!$A$230:$D$259,2,FALSE)), $C39 = "3", 'Inputs-System'!$C$30*'Coincidence Factors'!$B$9*'Inputs-Proposals'!$H$29*'Inputs-Proposals'!$H$31*(VLOOKUP(DT$3,'Non-Embedded Emissions'!$A$56:$D$90,2,FALSE)-VLOOKUP(DT$3,'Non-Embedded Emissions'!$F$57:$H$88,2,FALSE)+VLOOKUP(DT$3,'Non-Embedded Emissions'!$A$143:$D$174,2,FALSE)-VLOOKUP(DT$3,'Non-Embedded Emissions'!$F$143:$H$174,2,FALSE)+VLOOKUP(DT$3,'Non-Embedded Emissions'!$A$230:$D$259,2,FALSE)), $C39 = "0", 0), 0)</f>
        <v>0</v>
      </c>
      <c r="DZ39" s="45">
        <f>IFERROR(_xlfn.IFS($C39="1",('Inputs-System'!$C$30*'Coincidence Factors'!$B$9*(1+'Inputs-System'!$C$18)*(1+'Inputs-System'!$C$41)*('Inputs-Proposals'!$H$17*'Inputs-Proposals'!$H$19*(1-'Inputs-Proposals'!$H$20^(DZ$3-'Inputs-System'!$C$7)))*(VLOOKUP(DZ$3,Energy!$A$51:$K$83,5,FALSE))), $C39 = "2",('Inputs-System'!$C$30*'Coincidence Factors'!$B$9)*(1+'Inputs-System'!$C$18)*(1+'Inputs-System'!$C$41)*('Inputs-Proposals'!$H$23*'Inputs-Proposals'!$H$25*(1-'Inputs-Proposals'!$H$26^(DZ$3-'Inputs-System'!$C$7)))*(VLOOKUP(DZ$3,Energy!$A$51:$K$83,5,FALSE)), $C39= "3", ('Inputs-System'!$C$30*'Coincidence Factors'!$B$9*(1+'Inputs-System'!$C$18)*(1+'Inputs-System'!$C$41)*('Inputs-Proposals'!$H$29*'Inputs-Proposals'!$H$31*(1-'Inputs-Proposals'!$H$32^(DZ$3-'Inputs-System'!$C$7)))*(VLOOKUP(DZ$3,Energy!$A$51:$K$83,5,FALSE))), $C39= "0", 0), 0)</f>
        <v>0</v>
      </c>
      <c r="EA39" s="44">
        <f>IFERROR(_xlfn.IFS($C39="1",('Inputs-System'!$C$30*'Coincidence Factors'!$B$9*(1+'Inputs-System'!$C$18)*(1+'Inputs-System'!$C$41))*'Inputs-Proposals'!$H$17*'Inputs-Proposals'!$H$19*(1-'Inputs-Proposals'!$H$20^(DZ$3-'Inputs-System'!$C$7))*(VLOOKUP(DZ$3,'Embedded Emissions'!$A$47:$B$78,2,FALSE)+VLOOKUP(DZ$3,'Embedded Emissions'!$A$129:$B$158,2,FALSE)), $C39 = "2",('Inputs-System'!$C$30*'Coincidence Factors'!$B$9*(1+'Inputs-System'!$C$18)*(1+'Inputs-System'!$C$41))*'Inputs-Proposals'!$H$23*'Inputs-Proposals'!$H$25*(1-'Inputs-Proposals'!$H$20^(DZ$3-'Inputs-System'!$C$7))*(VLOOKUP(DZ$3,'Embedded Emissions'!$A$47:$B$78,2,FALSE)+VLOOKUP(DZ$3,'Embedded Emissions'!$A$129:$B$158,2,FALSE)), $C39 = "3", ('Inputs-System'!$C$30*'Coincidence Factors'!$B$9*(1+'Inputs-System'!$C$18)*(1+'Inputs-System'!$C$41))*'Inputs-Proposals'!$H$29*'Inputs-Proposals'!$H$31*(1-'Inputs-Proposals'!$H$20^(DZ$3-'Inputs-System'!$C$7))*(VLOOKUP(DZ$3,'Embedded Emissions'!$A$47:$B$78,2,FALSE)+VLOOKUP(DZ$3,'Embedded Emissions'!$A$129:$B$158,2,FALSE)), $C39 = "0", 0), 0)</f>
        <v>0</v>
      </c>
      <c r="EB39" s="44">
        <f>IFERROR(_xlfn.IFS($C39="1",( 'Inputs-System'!$C$30*'Coincidence Factors'!$B$9*(1+'Inputs-System'!$C$18)*(1+'Inputs-System'!$C$41))*('Inputs-Proposals'!$H$17*'Inputs-Proposals'!$H$19*(1-'Inputs-Proposals'!$H$20)^(DZ$3-'Inputs-System'!$C$7))*(VLOOKUP(DZ$3,DRIPE!$A$54:$I$82,5,FALSE)+VLOOKUP(DZ$3,DRIPE!$A$54:$I$82,9,FALSE))+ ('Inputs-System'!$C$26*'Coincidence Factors'!$B$6*(1+'Inputs-System'!$C$18)*(1+'Inputs-System'!$C$42))*'Inputs-Proposals'!$H$16*VLOOKUP(DZ$3,DRIPE!$A$54:$I$82,8,FALSE), $C39 = "2",( 'Inputs-System'!$C$30*'Coincidence Factors'!$B$9*(1+'Inputs-System'!$C$18)*(1+'Inputs-System'!$C$41))*('Inputs-Proposals'!$H$23*'Inputs-Proposals'!$H$25*(1-'Inputs-Proposals'!$H$26)^(DZ$3-'Inputs-System'!$C$7))*(VLOOKUP(DZ$3,DRIPE!$A$54:$I$82,5,FALSE)+VLOOKUP(DZ$3,DRIPE!$A$54:$I$82,9,FALSE))+ ('Inputs-System'!$C$26*'Coincidence Factors'!$B$6*(1+'Inputs-System'!$C$18)*(1+'Inputs-System'!$C$42))*'Inputs-Proposals'!$H$22*VLOOKUP(DZ$3,DRIPE!$A$54:$I$82,8,FALSE), $C39= "3", ( 'Inputs-System'!$C$30*'Coincidence Factors'!$B$9*(1+'Inputs-System'!$C$18)*(1+'Inputs-System'!$C$41))*('Inputs-Proposals'!$H$29*'Inputs-Proposals'!$H$31*(1-'Inputs-Proposals'!$H$32)^(DZ$3-'Inputs-System'!$C$7))*(VLOOKUP(DZ$3,DRIPE!$A$54:$I$82,5,FALSE)+VLOOKUP(DZ$3,DRIPE!$A$54:$I$82,9,FALSE))+ ('Inputs-System'!$C$26*'Coincidence Factors'!$B$6*(1+'Inputs-System'!$C$18)*(1+'Inputs-System'!$C$42))*'Inputs-Proposals'!$H$28*VLOOKUP(DZ$3,DRIPE!$A$54:$I$82,8,FALSE), $C39 = "0", 0), 0)</f>
        <v>0</v>
      </c>
      <c r="EC39" s="45">
        <f>IFERROR(_xlfn.IFS($C39="1",('Inputs-System'!$C$26*'Coincidence Factors'!$B$9*(1+'Inputs-System'!$C$18)*(1+'Inputs-System'!$C$42))*'Inputs-Proposals'!$D$16*(VLOOKUP(DZ$3,Capacity!$A$53:$E$85,4,FALSE)*(1+'Inputs-System'!$C$42)+VLOOKUP(DZ$3,Capacity!$A$53:$E$85,5,FALSE)*(1+'Inputs-System'!$C$43)*'Inputs-System'!$C$29), $C39 = "2", ('Inputs-System'!$C$26*'Coincidence Factors'!$B$9*(1+'Inputs-System'!$C$18))*'Inputs-Proposals'!$D$22*(VLOOKUP(DZ$3,Capacity!$A$53:$E$85,4,FALSE)*(1+'Inputs-System'!$C$42)+VLOOKUP(DZ$3,Capacity!$A$53:$E$85,5,FALSE)*'Inputs-System'!$C$29*(1+'Inputs-System'!$C$43)), $C39 = "3", ('Inputs-System'!$C$26*'Coincidence Factors'!$B$9*(1+'Inputs-System'!$C$18))*'Inputs-Proposals'!$D$28*(VLOOKUP(DZ$3,Capacity!$A$53:$E$85,4,FALSE)*(1+'Inputs-System'!$C$42)+VLOOKUP(DZ$3,Capacity!$A$53:$E$85,5,FALSE)*'Inputs-System'!$C$29*(1+'Inputs-System'!$C$43)), $C39 = "0", 0), 0)</f>
        <v>0</v>
      </c>
      <c r="ED39" s="44">
        <v>0</v>
      </c>
      <c r="EE39" s="342">
        <f>IFERROR(_xlfn.IFS($C39="1", 'Inputs-System'!$C$30*'Coincidence Factors'!$B$9*'Inputs-Proposals'!$H$17*'Inputs-Proposals'!$H$19*(VLOOKUP(DZ$3,'Non-Embedded Emissions'!$A$56:$D$90,2,FALSE)-VLOOKUP(DZ$3,'Non-Embedded Emissions'!$F$57:$H$88,2,FALSE)+VLOOKUP(DZ$3,'Non-Embedded Emissions'!$A$143:$D$174,2,FALSE)-VLOOKUP(DZ$3,'Non-Embedded Emissions'!$F$143:$H$174,2,FALSE)+VLOOKUP(DZ$3,'Non-Embedded Emissions'!$A$230:$D$259,2,FALSE)), $C39 = "2", 'Inputs-System'!$C$30*'Coincidence Factors'!$B$9*'Inputs-Proposals'!$H$23*'Inputs-Proposals'!$H$25*(VLOOKUP(DZ$3,'Non-Embedded Emissions'!$A$56:$D$90,2,FALSE)-VLOOKUP(DZ$3,'Non-Embedded Emissions'!$F$57:$H$88,2,FALSE)+VLOOKUP(DZ$3,'Non-Embedded Emissions'!$A$143:$D$174,2,FALSE)-VLOOKUP(DZ$3,'Non-Embedded Emissions'!$F$143:$H$174,2,FALSE)+VLOOKUP(DZ$3,'Non-Embedded Emissions'!$A$230:$D$259,2,FALSE)), $C39 = "3", 'Inputs-System'!$C$30*'Coincidence Factors'!$B$9*'Inputs-Proposals'!$H$29*'Inputs-Proposals'!$H$31*(VLOOKUP(DZ$3,'Non-Embedded Emissions'!$A$56:$D$90,2,FALSE)-VLOOKUP(DZ$3,'Non-Embedded Emissions'!$F$57:$H$88,2,FALSE)+VLOOKUP(DZ$3,'Non-Embedded Emissions'!$A$143:$D$174,2,FALSE)-VLOOKUP(DZ$3,'Non-Embedded Emissions'!$F$143:$H$174,2,FALSE)+VLOOKUP(DZ$3,'Non-Embedded Emissions'!$A$230:$D$259,2,FALSE)), $C39 = "0", 0), 0)</f>
        <v>0</v>
      </c>
    </row>
    <row r="40" spans="1:135" x14ac:dyDescent="0.35">
      <c r="A40" s="708"/>
      <c r="B40" s="3" t="str">
        <f>B34</f>
        <v>LNG GenSet</v>
      </c>
      <c r="C40" s="3" t="str">
        <f>IFERROR(_xlfn.IFS('Benefits Calc'!B40='Inputs-Proposals'!$H$15, "1", 'Benefits Calc'!B40='Inputs-Proposals'!$H$21, "2", 'Benefits Calc'!B40='Inputs-Proposals'!$H$27, "3"), "0")</f>
        <v>0</v>
      </c>
      <c r="D40" s="324">
        <f t="shared" si="36"/>
        <v>0</v>
      </c>
      <c r="E40" s="320">
        <f t="shared" si="37"/>
        <v>0</v>
      </c>
      <c r="F40" s="320">
        <f t="shared" si="38"/>
        <v>0</v>
      </c>
      <c r="G40" s="320">
        <f t="shared" si="39"/>
        <v>0</v>
      </c>
      <c r="H40" s="320">
        <f t="shared" si="40"/>
        <v>0</v>
      </c>
      <c r="I40" s="320">
        <f t="shared" si="41"/>
        <v>0</v>
      </c>
      <c r="J40" s="323">
        <f>NPV('Inputs-System'!$C$20,P40+V40+AB40+AH40+AN40+AT40+AZ40+BF40+BL40+BR40+BX40+CD40+CJ40+CP40+CV40+DB40+DH40+DN40+DT40+DZ40)</f>
        <v>0</v>
      </c>
      <c r="K40" s="44">
        <f>NPV('Inputs-System'!$C$20,Q40+W40+AC40+AI40+AO40+AU40+BA40+BG40+BM40+BS40+BY40+CE40+CK40+CQ40+CW40+DC40+DI40+DO40+DU40+EA40)</f>
        <v>0</v>
      </c>
      <c r="L40" s="44">
        <f>NPV('Inputs-System'!$C$20,R40+X40+AD40+AJ40+AP40+AV40+BB40+BH40+BN40+BT40+BZ40+CF40+CL40+CR40+CX40+DD40+DJ40+DP40+DV40+EB40)</f>
        <v>0</v>
      </c>
      <c r="M40" s="44">
        <f>NPV('Inputs-System'!$C$20,S40+Y40+AE40+AK40+AQ40+AW40+BC40+BI40+BO40+BU40+CA40+CG40+CM40+CS40+CY40+DE40+DK40+DQ40+DW40+EC40)</f>
        <v>0</v>
      </c>
      <c r="N40" s="44">
        <f>NPV('Inputs-System'!$C$20,T40+Z40+AF40+AL40+AR40+AX40+BD40+BJ40+BP40+BV40+CB40+CH40+CN40+CT40+CZ40+DF40+DL40+DR40+DX40+ED40)</f>
        <v>0</v>
      </c>
      <c r="O40" s="119">
        <f>NPV('Inputs-System'!$C$20,U40+AA40+AG40+AM40+AS40+AY40+BE40+BK40+BQ40+BW40+CC40+CI40+CO40+CU40+DA40+DG40+DM40+DS40+DY40+EE40)</f>
        <v>0</v>
      </c>
      <c r="P40" s="366">
        <f>IFERROR(_xlfn.IFS($C40="1",('Inputs-System'!$C$30*'Coincidence Factors'!$B$10*(1+'Inputs-System'!$C$18)*(1+'Inputs-System'!$C$41)*('Inputs-Proposals'!$H$17*'Inputs-Proposals'!$H$19*(1-'Inputs-Proposals'!$H$20^(P$3-'Inputs-System'!$C$7+1)))*(VLOOKUP(P$3,Energy!$A$51:$K$83,5,FALSE))), $C40 = "2",('Inputs-System'!$C$30*'Coincidence Factors'!$B$10)*(1+'Inputs-System'!$C$18)*(1+'Inputs-System'!$C$41)*('Inputs-Proposals'!$H$23*'Inputs-Proposals'!$H$25*(1-'Inputs-Proposals'!$H$26^(P$3-'Inputs-System'!$C$7+1)))*(VLOOKUP(P$3,Energy!$A$51:$K$83,5,FALSE)), $C40= "3", ('Inputs-System'!$C$30*'Coincidence Factors'!$B$10*(1+'Inputs-System'!$C$18)*(1+'Inputs-System'!$C$41)*('Inputs-Proposals'!$H$29*'Inputs-Proposals'!$H$31*(1-'Inputs-Proposals'!$H$32^(P$3-'Inputs-System'!$C$7+1)))*(VLOOKUP(P$3,Energy!$A$51:$K$83,5,FALSE))), $C40= "0", 0), 0)</f>
        <v>0</v>
      </c>
      <c r="Q40" s="44">
        <f>IFERROR(_xlfn.IFS($C40="1",('Inputs-System'!$C$30*'Coincidence Factors'!$B$10*(1+'Inputs-System'!$C$18)*(1+'Inputs-System'!$C$41))*'Inputs-Proposals'!$H$17*'Inputs-Proposals'!$H$19*(1-'Inputs-Proposals'!$H$20^(P$3-'Inputs-System'!$C$7+1))*(VLOOKUP(P$3,'Embedded Emissions'!$A$47:$B$78,2,FALSE)+VLOOKUP(P$3,'Embedded Emissions'!$A$129:$B$158,2,FALSE)), $C40 = "2",('Inputs-System'!$C$30*'Coincidence Factors'!$B$10*(1+'Inputs-System'!$C$18)*(1+'Inputs-System'!$C$41))*'Inputs-Proposals'!$H$23*'Inputs-Proposals'!$H$25*(1-'Inputs-Proposals'!$H$20^(P$3-'Inputs-System'!$C$7+1))*(VLOOKUP(P$3,'Embedded Emissions'!$A$47:$B$78,2,FALSE)+VLOOKUP(P$3,'Embedded Emissions'!$A$129:$B$158,2,FALSE)), $C40 = "3", ('Inputs-System'!$C$30*'Coincidence Factors'!$B$10*(1+'Inputs-System'!$C$18)*(1+'Inputs-System'!$C$41))*'Inputs-Proposals'!$H$29*'Inputs-Proposals'!$H$31*(1-'Inputs-Proposals'!$H$20^(P$3-'Inputs-System'!$C$7+1))*(VLOOKUP(P$3,'Embedded Emissions'!$A$47:$B$78,2,FALSE)+VLOOKUP(P$3,'Embedded Emissions'!$A$129:$B$158,2,FALSE)), $C40 = "0", 0), 0)</f>
        <v>0</v>
      </c>
      <c r="R40" s="44">
        <f>IFERROR(_xlfn.IFS($C40="1",( 'Inputs-System'!$C$30*'Coincidence Factors'!$B$10*(1+'Inputs-System'!$C$18)*(1+'Inputs-System'!$C$41))*('Inputs-Proposals'!$H$17*'Inputs-Proposals'!$H$19*(1-'Inputs-Proposals'!$H$20)^(P$3-'Inputs-System'!$C$7))*(VLOOKUP(P$3,DRIPE!$A$54:$I$82,5,FALSE)+VLOOKUP(P$3,DRIPE!$A$54:$I$82,9,FALSE))+ ('Inputs-System'!$C$26*'Coincidence Factors'!$B$6*(1+'Inputs-System'!$C$18)*(1+'Inputs-System'!$C$42))*'Inputs-Proposals'!$H$16*VLOOKUP(P$3,DRIPE!$A$54:$I$82,8,FALSE), $C40 = "2",( 'Inputs-System'!$C$30*'Coincidence Factors'!$B$10*(1+'Inputs-System'!$C$18)*(1+'Inputs-System'!$C$41))*('Inputs-Proposals'!$H$23*'Inputs-Proposals'!$H$25*(1-'Inputs-Proposals'!$H$26)^(P$3-'Inputs-System'!$C$7))*(VLOOKUP(P$3,DRIPE!$A$54:$I$82,5,FALSE)+VLOOKUP(P$3,DRIPE!$A$54:$I$82,9,FALSE))+ ('Inputs-System'!$C$26*'Coincidence Factors'!$B$6*(1+'Inputs-System'!$C$18)*(1+'Inputs-System'!$C$42))*'Inputs-Proposals'!$H$22*VLOOKUP(P$3,DRIPE!$A$54:$I$82,8,FALSE), $C40= "3", ( 'Inputs-System'!$C$30*'Coincidence Factors'!$B$10*(1+'Inputs-System'!$C$18)*(1+'Inputs-System'!$C$41))*('Inputs-Proposals'!$H$29*'Inputs-Proposals'!$H$31*(1-'Inputs-Proposals'!$H$32)^(P$3-'Inputs-System'!$C$7))*(VLOOKUP(P$3,DRIPE!$A$54:$I$82,5,FALSE)+VLOOKUP(P$3,DRIPE!$A$54:$I$82,9,FALSE))+ ('Inputs-System'!$C$26*'Coincidence Factors'!$B$6*(1+'Inputs-System'!$C$18)*(1+'Inputs-System'!$C$42))*'Inputs-Proposals'!$H$28*VLOOKUP(P$3,DRIPE!$A$54:$I$82,8,FALSE), $C40 = "0", 0), 0)</f>
        <v>0</v>
      </c>
      <c r="S40" s="45">
        <f>IFERROR(_xlfn.IFS($C40="1",('Inputs-System'!$C$26*'Coincidence Factors'!$B$10*(1+'Inputs-System'!$C$18)*(1+'Inputs-System'!$C$42))*'Inputs-Proposals'!$D$16*(VLOOKUP(P$3,Capacity!$A$53:$E$85,4,FALSE)*(1+'Inputs-System'!$C$42)+VLOOKUP(P$3,Capacity!$A$53:$E$85,5,FALSE)*(1+'Inputs-System'!$C$43)*'Inputs-System'!$C$29), $C40 = "2", ('Inputs-System'!$C$26*'Coincidence Factors'!$B$10*(1+'Inputs-System'!$C$18))*'Inputs-Proposals'!$D$22*(VLOOKUP(P$3,Capacity!$A$53:$E$85,4,FALSE)*(1+'Inputs-System'!$C$42)+VLOOKUP(P$3,Capacity!$A$53:$E$85,5,FALSE)*'Inputs-System'!$C$29*(1+'Inputs-System'!$C$43)), $C40 = "3", ('Inputs-System'!$C$26*'Coincidence Factors'!$B$10*(1+'Inputs-System'!$C$18))*'Inputs-Proposals'!$D$28*(VLOOKUP(P$3,Capacity!$A$53:$E$85,4,FALSE)*(1+'Inputs-System'!$C$42)+VLOOKUP(P$3,Capacity!$A$53:$E$85,5,FALSE)*'Inputs-System'!$C$29*(1+'Inputs-System'!$C$43)), $C40 = "0", 0), 0)</f>
        <v>0</v>
      </c>
      <c r="T40" s="44">
        <v>0</v>
      </c>
      <c r="U40" s="342">
        <f>IFERROR(_xlfn.IFS($C40="1", 'Inputs-System'!$C$30*'Coincidence Factors'!$B$10*'Inputs-Proposals'!$H$17*'Inputs-Proposals'!$H$19*(VLOOKUP(P$3,'Non-Embedded Emissions'!$A$56:$D$90,2,FALSE)-VLOOKUP(P$3,'Non-Embedded Emissions'!$F$57:$H$88,3,FALSE)+VLOOKUP(P$3,'Non-Embedded Emissions'!$A$143:$D$174,2,FALSE)-VLOOKUP(P$3,'Non-Embedded Emissions'!$F$143:$H$174,3,FALSE)+VLOOKUP(P$3,'Non-Embedded Emissions'!$A$230:$D$259,2,FALSE)), $C40 = "2", 'Inputs-System'!$C$30*'Coincidence Factors'!$B$10*'Inputs-Proposals'!$H$23*'Inputs-Proposals'!$H$25*(VLOOKUP(P$3,'Non-Embedded Emissions'!$A$56:$D$90,2,FALSE)-VLOOKUP(P$3,'Non-Embedded Emissions'!$F$57:$H$88,3,FALSE)+VLOOKUP(P$3,'Non-Embedded Emissions'!$A$143:$D$174,2,FALSE)-VLOOKUP(P$3,'Non-Embedded Emissions'!$F$143:$H$174,3,FALSE)+VLOOKUP(P$3,'Non-Embedded Emissions'!$A$230:$D$259,2,FALSE)), $C40 = "3", 'Inputs-System'!$C$30*'Coincidence Factors'!$B$10*'Inputs-Proposals'!$H$29*'Inputs-Proposals'!$H$31*(VLOOKUP(P$3,'Non-Embedded Emissions'!$A$56:$D$90,2,FALSE)-VLOOKUP(P$3,'Non-Embedded Emissions'!$F$57:$H$88,3,FALSE)+VLOOKUP(P$3,'Non-Embedded Emissions'!$A$143:$D$174,2,FALSE)-VLOOKUP(P$3,'Non-Embedded Emissions'!$F$143:$H$174,3,FALSE)+VLOOKUP(P$3,'Non-Embedded Emissions'!$A$230:$D$259,2,FALSE)), $C40 = "0", 0), 0)</f>
        <v>0</v>
      </c>
      <c r="V40" s="45">
        <f>IFERROR(_xlfn.IFS($C40="1",('Inputs-System'!$C$30*'Coincidence Factors'!$B$10*(1+'Inputs-System'!$C$18)*(1+'Inputs-System'!$C$41)*('Inputs-Proposals'!$H$17*'Inputs-Proposals'!$H$19*(1-'Inputs-Proposals'!$H$20^(V$3-'Inputs-System'!$C$7)))*(VLOOKUP(V$3,Energy!$A$51:$K$83,5,FALSE))), $C40 = "2",('Inputs-System'!$C$30*'Coincidence Factors'!$B$10)*(1+'Inputs-System'!$C$18)*(1+'Inputs-System'!$C$41)*('Inputs-Proposals'!$H$23*'Inputs-Proposals'!$H$25*(1-'Inputs-Proposals'!$H$26^(V$3-'Inputs-System'!$C$7)))*(VLOOKUP(V$3,Energy!$A$51:$K$83,5,FALSE)), $C40= "3", ('Inputs-System'!$C$30*'Coincidence Factors'!$B$10*(1+'Inputs-System'!$C$18)*(1+'Inputs-System'!$C$41)*('Inputs-Proposals'!$H$29*'Inputs-Proposals'!$H$31*(1-'Inputs-Proposals'!$H$32^(V$3-'Inputs-System'!$C$7)))*(VLOOKUP(V$3,Energy!$A$51:$K$83,5,FALSE))), $C40= "0", 0), 0)</f>
        <v>0</v>
      </c>
      <c r="W40" s="44">
        <f>IFERROR(_xlfn.IFS($C40="1",('Inputs-System'!$C$30*'Coincidence Factors'!$B$10*(1+'Inputs-System'!$C$18)*(1+'Inputs-System'!$C$41))*'Inputs-Proposals'!$H$17*'Inputs-Proposals'!$H$19*(1-'Inputs-Proposals'!$H$20^(V$3-'Inputs-System'!$C$7))*(VLOOKUP(V$3,'Embedded Emissions'!$A$47:$B$78,2,FALSE)+VLOOKUP(V$3,'Embedded Emissions'!$A$129:$B$158,2,FALSE)), $C40 = "2",('Inputs-System'!$C$30*'Coincidence Factors'!$B$10*(1+'Inputs-System'!$C$18)*(1+'Inputs-System'!$C$41))*'Inputs-Proposals'!$H$23*'Inputs-Proposals'!$H$25*(1-'Inputs-Proposals'!$H$20^(V$3-'Inputs-System'!$C$7))*(VLOOKUP(V$3,'Embedded Emissions'!$A$47:$B$78,2,FALSE)+VLOOKUP(V$3,'Embedded Emissions'!$A$129:$B$158,2,FALSE)), $C40 = "3", ('Inputs-System'!$C$30*'Coincidence Factors'!$B$10*(1+'Inputs-System'!$C$18)*(1+'Inputs-System'!$C$41))*'Inputs-Proposals'!$H$29*'Inputs-Proposals'!$H$31*(1-'Inputs-Proposals'!$H$20^(V$3-'Inputs-System'!$C$7))*(VLOOKUP(V$3,'Embedded Emissions'!$A$47:$B$78,2,FALSE)+VLOOKUP(V$3,'Embedded Emissions'!$A$129:$B$158,2,FALSE)), $C40 = "0", 0), 0)</f>
        <v>0</v>
      </c>
      <c r="X40" s="44">
        <f>IFERROR(_xlfn.IFS($C40="1",( 'Inputs-System'!$C$30*'Coincidence Factors'!$B$10*(1+'Inputs-System'!$C$18)*(1+'Inputs-System'!$C$41))*('Inputs-Proposals'!$H$17*'Inputs-Proposals'!$H$19*(1-'Inputs-Proposals'!$H$20)^(V$3-'Inputs-System'!$C$7))*(VLOOKUP(V$3,DRIPE!$A$54:$I$82,5,FALSE)+VLOOKUP(V$3,DRIPE!$A$54:$I$82,9,FALSE))+ ('Inputs-System'!$C$26*'Coincidence Factors'!$B$6*(1+'Inputs-System'!$C$18)*(1+'Inputs-System'!$C$42))*'Inputs-Proposals'!$H$16*VLOOKUP(V$3,DRIPE!$A$54:$I$82,8,FALSE), $C40 = "2",( 'Inputs-System'!$C$30*'Coincidence Factors'!$B$10*(1+'Inputs-System'!$C$18)*(1+'Inputs-System'!$C$41))*('Inputs-Proposals'!$H$23*'Inputs-Proposals'!$H$25*(1-'Inputs-Proposals'!$H$26)^(V$3-'Inputs-System'!$C$7))*(VLOOKUP(V$3,DRIPE!$A$54:$I$82,5,FALSE)+VLOOKUP(V$3,DRIPE!$A$54:$I$82,9,FALSE))+ ('Inputs-System'!$C$26*'Coincidence Factors'!$B$6*(1+'Inputs-System'!$C$18)*(1+'Inputs-System'!$C$42))*'Inputs-Proposals'!$H$22*VLOOKUP(V$3,DRIPE!$A$54:$I$82,8,FALSE), $C40= "3", ( 'Inputs-System'!$C$30*'Coincidence Factors'!$B$10*(1+'Inputs-System'!$C$18)*(1+'Inputs-System'!$C$41))*('Inputs-Proposals'!$H$29*'Inputs-Proposals'!$H$31*(1-'Inputs-Proposals'!$H$32)^(V$3-'Inputs-System'!$C$7))*(VLOOKUP(V$3,DRIPE!$A$54:$I$82,5,FALSE)+VLOOKUP(V$3,DRIPE!$A$54:$I$82,9,FALSE))+ ('Inputs-System'!$C$26*'Coincidence Factors'!$B$6*(1+'Inputs-System'!$C$18)*(1+'Inputs-System'!$C$42))*'Inputs-Proposals'!$H$28*VLOOKUP(V$3,DRIPE!$A$54:$I$82,8,FALSE), $C40 = "0", 0), 0)</f>
        <v>0</v>
      </c>
      <c r="Y40" s="45">
        <f>IFERROR(_xlfn.IFS($C40="1",('Inputs-System'!$C$26*'Coincidence Factors'!$B$10*(1+'Inputs-System'!$C$18)*(1+'Inputs-System'!$C$42))*'Inputs-Proposals'!$D$16*(VLOOKUP(V$3,Capacity!$A$53:$E$85,4,FALSE)*(1+'Inputs-System'!$C$42)+VLOOKUP(V$3,Capacity!$A$53:$E$85,5,FALSE)*(1+'Inputs-System'!$C$43)*'Inputs-System'!$C$29), $C40 = "2", ('Inputs-System'!$C$26*'Coincidence Factors'!$B$10*(1+'Inputs-System'!$C$18))*'Inputs-Proposals'!$D$22*(VLOOKUP(V$3,Capacity!$A$53:$E$85,4,FALSE)*(1+'Inputs-System'!$C$42)+VLOOKUP(V$3,Capacity!$A$53:$E$85,5,FALSE)*'Inputs-System'!$C$29*(1+'Inputs-System'!$C$43)), $C40 = "3", ('Inputs-System'!$C$26*'Coincidence Factors'!$B$10*(1+'Inputs-System'!$C$18))*'Inputs-Proposals'!$D$28*(VLOOKUP(V$3,Capacity!$A$53:$E$85,4,FALSE)*(1+'Inputs-System'!$C$42)+VLOOKUP(V$3,Capacity!$A$53:$E$85,5,FALSE)*'Inputs-System'!$C$29*(1+'Inputs-System'!$C$43)), $C40 = "0", 0), 0)</f>
        <v>0</v>
      </c>
      <c r="Z40" s="44">
        <v>0</v>
      </c>
      <c r="AA40" s="342">
        <f>IFERROR(_xlfn.IFS($C40="1", 'Inputs-System'!$C$30*'Coincidence Factors'!$B$10*'Inputs-Proposals'!$H$17*'Inputs-Proposals'!$H$19*(VLOOKUP(V$3,'Non-Embedded Emissions'!$A$56:$D$90,2,FALSE)-VLOOKUP(V$3,'Non-Embedded Emissions'!$F$57:$H$88,3,FALSE)+VLOOKUP(V$3,'Non-Embedded Emissions'!$A$143:$D$174,2,FALSE)-VLOOKUP(V$3,'Non-Embedded Emissions'!$F$143:$H$174,3,FALSE)+VLOOKUP(V$3,'Non-Embedded Emissions'!$A$230:$D$259,2,FALSE)), $C40 = "2", 'Inputs-System'!$C$30*'Coincidence Factors'!$B$10*'Inputs-Proposals'!$H$23*'Inputs-Proposals'!$H$25*(VLOOKUP(V$3,'Non-Embedded Emissions'!$A$56:$D$90,2,FALSE)-VLOOKUP(V$3,'Non-Embedded Emissions'!$F$57:$H$88,3,FALSE)+VLOOKUP(V$3,'Non-Embedded Emissions'!$A$143:$D$174,2,FALSE)-VLOOKUP(V$3,'Non-Embedded Emissions'!$F$143:$H$174,3,FALSE)+VLOOKUP(V$3,'Non-Embedded Emissions'!$A$230:$D$259,2,FALSE)), $C40 = "3", 'Inputs-System'!$C$30*'Coincidence Factors'!$B$10*'Inputs-Proposals'!$H$29*'Inputs-Proposals'!$H$31*(VLOOKUP(V$3,'Non-Embedded Emissions'!$A$56:$D$90,2,FALSE)-VLOOKUP(V$3,'Non-Embedded Emissions'!$F$57:$H$88,3,FALSE)+VLOOKUP(V$3,'Non-Embedded Emissions'!$A$143:$D$174,2,FALSE)-VLOOKUP(V$3,'Non-Embedded Emissions'!$F$143:$H$174,3,FALSE)+VLOOKUP(V$3,'Non-Embedded Emissions'!$A$230:$D$259,2,FALSE)), $C40 = "0", 0), 0)</f>
        <v>0</v>
      </c>
      <c r="AB40" s="45">
        <f>IFERROR(_xlfn.IFS($C40="1",('Inputs-System'!$C$30*'Coincidence Factors'!$B$10*(1+'Inputs-System'!$C$18)*(1+'Inputs-System'!$C$41)*('Inputs-Proposals'!$H$17*'Inputs-Proposals'!$H$19*(1-'Inputs-Proposals'!$H$20^(AB$3-'Inputs-System'!$C$7)))*(VLOOKUP(AB$3,Energy!$A$51:$K$83,5,FALSE))), $C40 = "2",('Inputs-System'!$C$30*'Coincidence Factors'!$B$10)*(1+'Inputs-System'!$C$18)*(1+'Inputs-System'!$C$41)*('Inputs-Proposals'!$H$23*'Inputs-Proposals'!$H$25*(1-'Inputs-Proposals'!$H$26^(AB$3-'Inputs-System'!$C$7)))*(VLOOKUP(AB$3,Energy!$A$51:$K$83,5,FALSE)), $C40= "3", ('Inputs-System'!$C$30*'Coincidence Factors'!$B$10*(1+'Inputs-System'!$C$18)*(1+'Inputs-System'!$C$41)*('Inputs-Proposals'!$H$29*'Inputs-Proposals'!$H$31*(1-'Inputs-Proposals'!$H$32^(AB$3-'Inputs-System'!$C$7)))*(VLOOKUP(AB$3,Energy!$A$51:$K$83,5,FALSE))), $C40= "0", 0), 0)</f>
        <v>0</v>
      </c>
      <c r="AC40" s="44">
        <f>IFERROR(_xlfn.IFS($C40="1",('Inputs-System'!$C$30*'Coincidence Factors'!$B$10*(1+'Inputs-System'!$C$18)*(1+'Inputs-System'!$C$41))*'Inputs-Proposals'!$H$17*'Inputs-Proposals'!$H$19*(1-'Inputs-Proposals'!$H$20^(AB$3-'Inputs-System'!$C$7))*(VLOOKUP(AB$3,'Embedded Emissions'!$A$47:$B$78,2,FALSE)+VLOOKUP(AB$3,'Embedded Emissions'!$A$129:$B$158,2,FALSE)), $C40 = "2",('Inputs-System'!$C$30*'Coincidence Factors'!$B$10*(1+'Inputs-System'!$C$18)*(1+'Inputs-System'!$C$41))*'Inputs-Proposals'!$H$23*'Inputs-Proposals'!$H$25*(1-'Inputs-Proposals'!$H$20^(AB$3-'Inputs-System'!$C$7))*(VLOOKUP(AB$3,'Embedded Emissions'!$A$47:$B$78,2,FALSE)+VLOOKUP(AB$3,'Embedded Emissions'!$A$129:$B$158,2,FALSE)), $C40 = "3", ('Inputs-System'!$C$30*'Coincidence Factors'!$B$10*(1+'Inputs-System'!$C$18)*(1+'Inputs-System'!$C$41))*'Inputs-Proposals'!$H$29*'Inputs-Proposals'!$H$31*(1-'Inputs-Proposals'!$H$20^(AB$3-'Inputs-System'!$C$7))*(VLOOKUP(AB$3,'Embedded Emissions'!$A$47:$B$78,2,FALSE)+VLOOKUP(AB$3,'Embedded Emissions'!$A$129:$B$158,2,FALSE)), $C40 = "0", 0), 0)</f>
        <v>0</v>
      </c>
      <c r="AD40" s="44">
        <f>IFERROR(_xlfn.IFS($C40="1",( 'Inputs-System'!$C$30*'Coincidence Factors'!$B$10*(1+'Inputs-System'!$C$18)*(1+'Inputs-System'!$C$41))*('Inputs-Proposals'!$H$17*'Inputs-Proposals'!$H$19*(1-'Inputs-Proposals'!$H$20)^(AB$3-'Inputs-System'!$C$7))*(VLOOKUP(AB$3,DRIPE!$A$54:$I$82,5,FALSE)+VLOOKUP(AB$3,DRIPE!$A$54:$I$82,9,FALSE))+ ('Inputs-System'!$C$26*'Coincidence Factors'!$B$6*(1+'Inputs-System'!$C$18)*(1+'Inputs-System'!$C$42))*'Inputs-Proposals'!$H$16*VLOOKUP(AB$3,DRIPE!$A$54:$I$82,8,FALSE), $C40 = "2",( 'Inputs-System'!$C$30*'Coincidence Factors'!$B$10*(1+'Inputs-System'!$C$18)*(1+'Inputs-System'!$C$41))*('Inputs-Proposals'!$H$23*'Inputs-Proposals'!$H$25*(1-'Inputs-Proposals'!$H$26)^(AB$3-'Inputs-System'!$C$7))*(VLOOKUP(AB$3,DRIPE!$A$54:$I$82,5,FALSE)+VLOOKUP(AB$3,DRIPE!$A$54:$I$82,9,FALSE))+ ('Inputs-System'!$C$26*'Coincidence Factors'!$B$6*(1+'Inputs-System'!$C$18)*(1+'Inputs-System'!$C$42))*'Inputs-Proposals'!$H$22*VLOOKUP(AB$3,DRIPE!$A$54:$I$82,8,FALSE), $C40= "3", ( 'Inputs-System'!$C$30*'Coincidence Factors'!$B$10*(1+'Inputs-System'!$C$18)*(1+'Inputs-System'!$C$41))*('Inputs-Proposals'!$H$29*'Inputs-Proposals'!$H$31*(1-'Inputs-Proposals'!$H$32)^(AB$3-'Inputs-System'!$C$7))*(VLOOKUP(AB$3,DRIPE!$A$54:$I$82,5,FALSE)+VLOOKUP(AB$3,DRIPE!$A$54:$I$82,9,FALSE))+ ('Inputs-System'!$C$26*'Coincidence Factors'!$B$6*(1+'Inputs-System'!$C$18)*(1+'Inputs-System'!$C$42))*'Inputs-Proposals'!$H$28*VLOOKUP(AB$3,DRIPE!$A$54:$I$82,8,FALSE), $C40 = "0", 0), 0)</f>
        <v>0</v>
      </c>
      <c r="AE40" s="45">
        <f>IFERROR(_xlfn.IFS($C40="1",('Inputs-System'!$C$26*'Coincidence Factors'!$B$10*(1+'Inputs-System'!$C$18)*(1+'Inputs-System'!$C$42))*'Inputs-Proposals'!$D$16*(VLOOKUP(AB$3,Capacity!$A$53:$E$85,4,FALSE)*(1+'Inputs-System'!$C$42)+VLOOKUP(AB$3,Capacity!$A$53:$E$85,5,FALSE)*(1+'Inputs-System'!$C$43)*'Inputs-System'!$C$29), $C40 = "2", ('Inputs-System'!$C$26*'Coincidence Factors'!$B$10*(1+'Inputs-System'!$C$18))*'Inputs-Proposals'!$D$22*(VLOOKUP(AB$3,Capacity!$A$53:$E$85,4,FALSE)*(1+'Inputs-System'!$C$42)+VLOOKUP(AB$3,Capacity!$A$53:$E$85,5,FALSE)*'Inputs-System'!$C$29*(1+'Inputs-System'!$C$43)), $C40 = "3", ('Inputs-System'!$C$26*'Coincidence Factors'!$B$10*(1+'Inputs-System'!$C$18))*'Inputs-Proposals'!$D$28*(VLOOKUP(AB$3,Capacity!$A$53:$E$85,4,FALSE)*(1+'Inputs-System'!$C$42)+VLOOKUP(AB$3,Capacity!$A$53:$E$85,5,FALSE)*'Inputs-System'!$C$29*(1+'Inputs-System'!$C$43)), $C40 = "0", 0), 0)</f>
        <v>0</v>
      </c>
      <c r="AF40" s="44">
        <v>0</v>
      </c>
      <c r="AG40" s="342">
        <f>IFERROR(_xlfn.IFS($C40="1", 'Inputs-System'!$C$30*'Coincidence Factors'!$B$10*'Inputs-Proposals'!$H$17*'Inputs-Proposals'!$H$19*(VLOOKUP(AB$3,'Non-Embedded Emissions'!$A$56:$D$90,2,FALSE)-VLOOKUP(AB$3,'Non-Embedded Emissions'!$F$57:$H$88,3,FALSE)+VLOOKUP(AB$3,'Non-Embedded Emissions'!$A$143:$D$174,2,FALSE)-VLOOKUP(AB$3,'Non-Embedded Emissions'!$F$143:$H$174,3,FALSE)+VLOOKUP(AB$3,'Non-Embedded Emissions'!$A$230:$D$259,2,FALSE)), $C40 = "2", 'Inputs-System'!$C$30*'Coincidence Factors'!$B$10*'Inputs-Proposals'!$H$23*'Inputs-Proposals'!$H$25*(VLOOKUP(AB$3,'Non-Embedded Emissions'!$A$56:$D$90,2,FALSE)-VLOOKUP(AB$3,'Non-Embedded Emissions'!$F$57:$H$88,3,FALSE)+VLOOKUP(AB$3,'Non-Embedded Emissions'!$A$143:$D$174,2,FALSE)-VLOOKUP(AB$3,'Non-Embedded Emissions'!$F$143:$H$174,3,FALSE)+VLOOKUP(AB$3,'Non-Embedded Emissions'!$A$230:$D$259,2,FALSE)), $C40 = "3", 'Inputs-System'!$C$30*'Coincidence Factors'!$B$10*'Inputs-Proposals'!$H$29*'Inputs-Proposals'!$H$31*(VLOOKUP(AB$3,'Non-Embedded Emissions'!$A$56:$D$90,2,FALSE)-VLOOKUP(AB$3,'Non-Embedded Emissions'!$F$57:$H$88,3,FALSE)+VLOOKUP(AB$3,'Non-Embedded Emissions'!$A$143:$D$174,2,FALSE)-VLOOKUP(AB$3,'Non-Embedded Emissions'!$F$143:$H$174,3,FALSE)+VLOOKUP(AB$3,'Non-Embedded Emissions'!$A$230:$D$259,2,FALSE)), $C40 = "0", 0), 0)</f>
        <v>0</v>
      </c>
      <c r="AH40" s="45">
        <f>IFERROR(_xlfn.IFS($C40="1",('Inputs-System'!$C$30*'Coincidence Factors'!$B$10*(1+'Inputs-System'!$C$18)*(1+'Inputs-System'!$C$41)*('Inputs-Proposals'!$H$17*'Inputs-Proposals'!$H$19*(1-'Inputs-Proposals'!$H$20^(AH$3-'Inputs-System'!$C$7)))*(VLOOKUP(AH$3,Energy!$A$51:$K$83,5,FALSE))), $C40 = "2",('Inputs-System'!$C$30*'Coincidence Factors'!$B$10)*(1+'Inputs-System'!$C$18)*(1+'Inputs-System'!$C$41)*('Inputs-Proposals'!$H$23*'Inputs-Proposals'!$H$25*(1-'Inputs-Proposals'!$H$26^(AH$3-'Inputs-System'!$C$7)))*(VLOOKUP(AH$3,Energy!$A$51:$K$83,5,FALSE)), $C40= "3", ('Inputs-System'!$C$30*'Coincidence Factors'!$B$10*(1+'Inputs-System'!$C$18)*(1+'Inputs-System'!$C$41)*('Inputs-Proposals'!$H$29*'Inputs-Proposals'!$H$31*(1-'Inputs-Proposals'!$H$32^(AH$3-'Inputs-System'!$C$7)))*(VLOOKUP(AH$3,Energy!$A$51:$K$83,5,FALSE))), $C40= "0", 0), 0)</f>
        <v>0</v>
      </c>
      <c r="AI40" s="44">
        <f>IFERROR(_xlfn.IFS($C40="1",('Inputs-System'!$C$30*'Coincidence Factors'!$B$10*(1+'Inputs-System'!$C$18)*(1+'Inputs-System'!$C$41))*'Inputs-Proposals'!$H$17*'Inputs-Proposals'!$H$19*(1-'Inputs-Proposals'!$H$20^(AH$3-'Inputs-System'!$C$7))*(VLOOKUP(AH$3,'Embedded Emissions'!$A$47:$B$78,2,FALSE)+VLOOKUP(AH$3,'Embedded Emissions'!$A$129:$B$158,2,FALSE)), $C40 = "2",('Inputs-System'!$C$30*'Coincidence Factors'!$B$10*(1+'Inputs-System'!$C$18)*(1+'Inputs-System'!$C$41))*'Inputs-Proposals'!$H$23*'Inputs-Proposals'!$H$25*(1-'Inputs-Proposals'!$H$20^(AH$3-'Inputs-System'!$C$7))*(VLOOKUP(AH$3,'Embedded Emissions'!$A$47:$B$78,2,FALSE)+VLOOKUP(AH$3,'Embedded Emissions'!$A$129:$B$158,2,FALSE)), $C40 = "3", ('Inputs-System'!$C$30*'Coincidence Factors'!$B$10*(1+'Inputs-System'!$C$18)*(1+'Inputs-System'!$C$41))*'Inputs-Proposals'!$H$29*'Inputs-Proposals'!$H$31*(1-'Inputs-Proposals'!$H$20^(AH$3-'Inputs-System'!$C$7))*(VLOOKUP(AH$3,'Embedded Emissions'!$A$47:$B$78,2,FALSE)+VLOOKUP(AH$3,'Embedded Emissions'!$A$129:$B$158,2,FALSE)), $C40 = "0", 0), 0)</f>
        <v>0</v>
      </c>
      <c r="AJ40" s="44">
        <f>IFERROR(_xlfn.IFS($C40="1",( 'Inputs-System'!$C$30*'Coincidence Factors'!$B$10*(1+'Inputs-System'!$C$18)*(1+'Inputs-System'!$C$41))*('Inputs-Proposals'!$H$17*'Inputs-Proposals'!$H$19*(1-'Inputs-Proposals'!$H$20)^(AH$3-'Inputs-System'!$C$7))*(VLOOKUP(AH$3,DRIPE!$A$54:$I$82,5,FALSE)+VLOOKUP(AH$3,DRIPE!$A$54:$I$82,9,FALSE))+ ('Inputs-System'!$C$26*'Coincidence Factors'!$B$6*(1+'Inputs-System'!$C$18)*(1+'Inputs-System'!$C$42))*'Inputs-Proposals'!$H$16*VLOOKUP(AH$3,DRIPE!$A$54:$I$82,8,FALSE), $C40 = "2",( 'Inputs-System'!$C$30*'Coincidence Factors'!$B$10*(1+'Inputs-System'!$C$18)*(1+'Inputs-System'!$C$41))*('Inputs-Proposals'!$H$23*'Inputs-Proposals'!$H$25*(1-'Inputs-Proposals'!$H$26)^(AH$3-'Inputs-System'!$C$7))*(VLOOKUP(AH$3,DRIPE!$A$54:$I$82,5,FALSE)+VLOOKUP(AH$3,DRIPE!$A$54:$I$82,9,FALSE))+ ('Inputs-System'!$C$26*'Coincidence Factors'!$B$6*(1+'Inputs-System'!$C$18)*(1+'Inputs-System'!$C$42))*'Inputs-Proposals'!$H$22*VLOOKUP(AH$3,DRIPE!$A$54:$I$82,8,FALSE), $C40= "3", ( 'Inputs-System'!$C$30*'Coincidence Factors'!$B$10*(1+'Inputs-System'!$C$18)*(1+'Inputs-System'!$C$41))*('Inputs-Proposals'!$H$29*'Inputs-Proposals'!$H$31*(1-'Inputs-Proposals'!$H$32)^(AH$3-'Inputs-System'!$C$7))*(VLOOKUP(AH$3,DRIPE!$A$54:$I$82,5,FALSE)+VLOOKUP(AH$3,DRIPE!$A$54:$I$82,9,FALSE))+ ('Inputs-System'!$C$26*'Coincidence Factors'!$B$6*(1+'Inputs-System'!$C$18)*(1+'Inputs-System'!$C$42))*'Inputs-Proposals'!$H$28*VLOOKUP(AH$3,DRIPE!$A$54:$I$82,8,FALSE), $C40 = "0", 0), 0)</f>
        <v>0</v>
      </c>
      <c r="AK40" s="45">
        <f>IFERROR(_xlfn.IFS($C40="1",('Inputs-System'!$C$26*'Coincidence Factors'!$B$10*(1+'Inputs-System'!$C$18)*(1+'Inputs-System'!$C$42))*'Inputs-Proposals'!$D$16*(VLOOKUP(AH$3,Capacity!$A$53:$E$85,4,FALSE)*(1+'Inputs-System'!$C$42)+VLOOKUP(AH$3,Capacity!$A$53:$E$85,5,FALSE)*(1+'Inputs-System'!$C$43)*'Inputs-System'!$C$29), $C40 = "2", ('Inputs-System'!$C$26*'Coincidence Factors'!$B$10*(1+'Inputs-System'!$C$18))*'Inputs-Proposals'!$D$22*(VLOOKUP(AH$3,Capacity!$A$53:$E$85,4,FALSE)*(1+'Inputs-System'!$C$42)+VLOOKUP(AH$3,Capacity!$A$53:$E$85,5,FALSE)*'Inputs-System'!$C$29*(1+'Inputs-System'!$C$43)), $C40 = "3", ('Inputs-System'!$C$26*'Coincidence Factors'!$B$10*(1+'Inputs-System'!$C$18))*'Inputs-Proposals'!$D$28*(VLOOKUP(AH$3,Capacity!$A$53:$E$85,4,FALSE)*(1+'Inputs-System'!$C$42)+VLOOKUP(AH$3,Capacity!$A$53:$E$85,5,FALSE)*'Inputs-System'!$C$29*(1+'Inputs-System'!$C$43)), $C40 = "0", 0), 0)</f>
        <v>0</v>
      </c>
      <c r="AL40" s="44">
        <v>0</v>
      </c>
      <c r="AM40" s="342">
        <f>IFERROR(_xlfn.IFS($C40="1", 'Inputs-System'!$C$30*'Coincidence Factors'!$B$10*'Inputs-Proposals'!$H$17*'Inputs-Proposals'!$H$19*(VLOOKUP(AH$3,'Non-Embedded Emissions'!$A$56:$D$90,2,FALSE)-VLOOKUP(AH$3,'Non-Embedded Emissions'!$F$57:$H$88,3,FALSE)+VLOOKUP(AH$3,'Non-Embedded Emissions'!$A$143:$D$174,2,FALSE)-VLOOKUP(AH$3,'Non-Embedded Emissions'!$F$143:$H$174,3,FALSE)+VLOOKUP(AH$3,'Non-Embedded Emissions'!$A$230:$D$259,2,FALSE)), $C40 = "2", 'Inputs-System'!$C$30*'Coincidence Factors'!$B$10*'Inputs-Proposals'!$H$23*'Inputs-Proposals'!$H$25*(VLOOKUP(AH$3,'Non-Embedded Emissions'!$A$56:$D$90,2,FALSE)-VLOOKUP(AH$3,'Non-Embedded Emissions'!$F$57:$H$88,3,FALSE)+VLOOKUP(AH$3,'Non-Embedded Emissions'!$A$143:$D$174,2,FALSE)-VLOOKUP(AH$3,'Non-Embedded Emissions'!$F$143:$H$174,3,FALSE)+VLOOKUP(AH$3,'Non-Embedded Emissions'!$A$230:$D$259,2,FALSE)), $C40 = "3", 'Inputs-System'!$C$30*'Coincidence Factors'!$B$10*'Inputs-Proposals'!$H$29*'Inputs-Proposals'!$H$31*(VLOOKUP(AH$3,'Non-Embedded Emissions'!$A$56:$D$90,2,FALSE)-VLOOKUP(AH$3,'Non-Embedded Emissions'!$F$57:$H$88,3,FALSE)+VLOOKUP(AH$3,'Non-Embedded Emissions'!$A$143:$D$174,2,FALSE)-VLOOKUP(AH$3,'Non-Embedded Emissions'!$F$143:$H$174,3,FALSE)+VLOOKUP(AH$3,'Non-Embedded Emissions'!$A$230:$D$259,2,FALSE)), $C40 = "0", 0), 0)</f>
        <v>0</v>
      </c>
      <c r="AN40" s="45">
        <f>IFERROR(_xlfn.IFS($C40="1",('Inputs-System'!$C$30*'Coincidence Factors'!$B$10*(1+'Inputs-System'!$C$18)*(1+'Inputs-System'!$C$41)*('Inputs-Proposals'!$H$17*'Inputs-Proposals'!$H$19*(1-'Inputs-Proposals'!$H$20^(AN$3-'Inputs-System'!$C$7)))*(VLOOKUP(AN$3,Energy!$A$51:$K$83,5,FALSE))), $C40 = "2",('Inputs-System'!$C$30*'Coincidence Factors'!$B$10)*(1+'Inputs-System'!$C$18)*(1+'Inputs-System'!$C$41)*('Inputs-Proposals'!$H$23*'Inputs-Proposals'!$H$25*(1-'Inputs-Proposals'!$H$26^(AN$3-'Inputs-System'!$C$7)))*(VLOOKUP(AN$3,Energy!$A$51:$K$83,5,FALSE)), $C40= "3", ('Inputs-System'!$C$30*'Coincidence Factors'!$B$10*(1+'Inputs-System'!$C$18)*(1+'Inputs-System'!$C$41)*('Inputs-Proposals'!$H$29*'Inputs-Proposals'!$H$31*(1-'Inputs-Proposals'!$H$32^(AN$3-'Inputs-System'!$C$7)))*(VLOOKUP(AN$3,Energy!$A$51:$K$83,5,FALSE))), $C40= "0", 0), 0)</f>
        <v>0</v>
      </c>
      <c r="AO40" s="44">
        <f>IFERROR(_xlfn.IFS($C40="1",('Inputs-System'!$C$30*'Coincidence Factors'!$B$10*(1+'Inputs-System'!$C$18)*(1+'Inputs-System'!$C$41))*'Inputs-Proposals'!$H$17*'Inputs-Proposals'!$H$19*(1-'Inputs-Proposals'!$H$20^(AN$3-'Inputs-System'!$C$7))*(VLOOKUP(AN$3,'Embedded Emissions'!$A$47:$B$78,2,FALSE)+VLOOKUP(AN$3,'Embedded Emissions'!$A$129:$B$158,2,FALSE)), $C40 = "2",('Inputs-System'!$C$30*'Coincidence Factors'!$B$10*(1+'Inputs-System'!$C$18)*(1+'Inputs-System'!$C$41))*'Inputs-Proposals'!$H$23*'Inputs-Proposals'!$H$25*(1-'Inputs-Proposals'!$H$20^(AN$3-'Inputs-System'!$C$7))*(VLOOKUP(AN$3,'Embedded Emissions'!$A$47:$B$78,2,FALSE)+VLOOKUP(AN$3,'Embedded Emissions'!$A$129:$B$158,2,FALSE)), $C40 = "3", ('Inputs-System'!$C$30*'Coincidence Factors'!$B$10*(1+'Inputs-System'!$C$18)*(1+'Inputs-System'!$C$41))*'Inputs-Proposals'!$H$29*'Inputs-Proposals'!$H$31*(1-'Inputs-Proposals'!$H$20^(AN$3-'Inputs-System'!$C$7))*(VLOOKUP(AN$3,'Embedded Emissions'!$A$47:$B$78,2,FALSE)+VLOOKUP(AN$3,'Embedded Emissions'!$A$129:$B$158,2,FALSE)), $C40 = "0", 0), 0)</f>
        <v>0</v>
      </c>
      <c r="AP40" s="44">
        <f>IFERROR(_xlfn.IFS($C40="1",( 'Inputs-System'!$C$30*'Coincidence Factors'!$B$10*(1+'Inputs-System'!$C$18)*(1+'Inputs-System'!$C$41))*('Inputs-Proposals'!$H$17*'Inputs-Proposals'!$H$19*(1-'Inputs-Proposals'!$H$20)^(AN$3-'Inputs-System'!$C$7))*(VLOOKUP(AN$3,DRIPE!$A$54:$I$82,5,FALSE)+VLOOKUP(AN$3,DRIPE!$A$54:$I$82,9,FALSE))+ ('Inputs-System'!$C$26*'Coincidence Factors'!$B$6*(1+'Inputs-System'!$C$18)*(1+'Inputs-System'!$C$42))*'Inputs-Proposals'!$H$16*VLOOKUP(AN$3,DRIPE!$A$54:$I$82,8,FALSE), $C40 = "2",( 'Inputs-System'!$C$30*'Coincidence Factors'!$B$10*(1+'Inputs-System'!$C$18)*(1+'Inputs-System'!$C$41))*('Inputs-Proposals'!$H$23*'Inputs-Proposals'!$H$25*(1-'Inputs-Proposals'!$H$26)^(AN$3-'Inputs-System'!$C$7))*(VLOOKUP(AN$3,DRIPE!$A$54:$I$82,5,FALSE)+VLOOKUP(AN$3,DRIPE!$A$54:$I$82,9,FALSE))+ ('Inputs-System'!$C$26*'Coincidence Factors'!$B$6*(1+'Inputs-System'!$C$18)*(1+'Inputs-System'!$C$42))*'Inputs-Proposals'!$H$22*VLOOKUP(AN$3,DRIPE!$A$54:$I$82,8,FALSE), $C40= "3", ( 'Inputs-System'!$C$30*'Coincidence Factors'!$B$10*(1+'Inputs-System'!$C$18)*(1+'Inputs-System'!$C$41))*('Inputs-Proposals'!$H$29*'Inputs-Proposals'!$H$31*(1-'Inputs-Proposals'!$H$32)^(AN$3-'Inputs-System'!$C$7))*(VLOOKUP(AN$3,DRIPE!$A$54:$I$82,5,FALSE)+VLOOKUP(AN$3,DRIPE!$A$54:$I$82,9,FALSE))+ ('Inputs-System'!$C$26*'Coincidence Factors'!$B$6*(1+'Inputs-System'!$C$18)*(1+'Inputs-System'!$C$42))*'Inputs-Proposals'!$H$28*VLOOKUP(AN$3,DRIPE!$A$54:$I$82,8,FALSE), $C40 = "0", 0), 0)</f>
        <v>0</v>
      </c>
      <c r="AQ40" s="45">
        <f>IFERROR(_xlfn.IFS($C40="1",('Inputs-System'!$C$26*'Coincidence Factors'!$B$10*(1+'Inputs-System'!$C$18)*(1+'Inputs-System'!$C$42))*'Inputs-Proposals'!$D$16*(VLOOKUP(AN$3,Capacity!$A$53:$E$85,4,FALSE)*(1+'Inputs-System'!$C$42)+VLOOKUP(AN$3,Capacity!$A$53:$E$85,5,FALSE)*(1+'Inputs-System'!$C$43)*'Inputs-System'!$C$29), $C40 = "2", ('Inputs-System'!$C$26*'Coincidence Factors'!$B$10*(1+'Inputs-System'!$C$18))*'Inputs-Proposals'!$D$22*(VLOOKUP(AN$3,Capacity!$A$53:$E$85,4,FALSE)*(1+'Inputs-System'!$C$42)+VLOOKUP(AN$3,Capacity!$A$53:$E$85,5,FALSE)*'Inputs-System'!$C$29*(1+'Inputs-System'!$C$43)), $C40 = "3", ('Inputs-System'!$C$26*'Coincidence Factors'!$B$10*(1+'Inputs-System'!$C$18))*'Inputs-Proposals'!$D$28*(VLOOKUP(AN$3,Capacity!$A$53:$E$85,4,FALSE)*(1+'Inputs-System'!$C$42)+VLOOKUP(AN$3,Capacity!$A$53:$E$85,5,FALSE)*'Inputs-System'!$C$29*(1+'Inputs-System'!$C$43)), $C40 = "0", 0), 0)</f>
        <v>0</v>
      </c>
      <c r="AR40" s="44">
        <v>0</v>
      </c>
      <c r="AS40" s="342">
        <f>IFERROR(_xlfn.IFS($C40="1", 'Inputs-System'!$C$30*'Coincidence Factors'!$B$10*'Inputs-Proposals'!$H$17*'Inputs-Proposals'!$H$19*(VLOOKUP(AN$3,'Non-Embedded Emissions'!$A$56:$D$90,2,FALSE)-VLOOKUP(AN$3,'Non-Embedded Emissions'!$F$57:$H$88,3,FALSE)+VLOOKUP(AN$3,'Non-Embedded Emissions'!$A$143:$D$174,2,FALSE)-VLOOKUP(AN$3,'Non-Embedded Emissions'!$F$143:$H$174,3,FALSE)+VLOOKUP(AN$3,'Non-Embedded Emissions'!$A$230:$D$259,2,FALSE)), $C40 = "2", 'Inputs-System'!$C$30*'Coincidence Factors'!$B$10*'Inputs-Proposals'!$H$23*'Inputs-Proposals'!$H$25*(VLOOKUP(AN$3,'Non-Embedded Emissions'!$A$56:$D$90,2,FALSE)-VLOOKUP(AN$3,'Non-Embedded Emissions'!$F$57:$H$88,3,FALSE)+VLOOKUP(AN$3,'Non-Embedded Emissions'!$A$143:$D$174,2,FALSE)-VLOOKUP(AN$3,'Non-Embedded Emissions'!$F$143:$H$174,3,FALSE)+VLOOKUP(AN$3,'Non-Embedded Emissions'!$A$230:$D$259,2,FALSE)), $C40 = "3", 'Inputs-System'!$C$30*'Coincidence Factors'!$B$10*'Inputs-Proposals'!$H$29*'Inputs-Proposals'!$H$31*(VLOOKUP(AN$3,'Non-Embedded Emissions'!$A$56:$D$90,2,FALSE)-VLOOKUP(AN$3,'Non-Embedded Emissions'!$F$57:$H$88,3,FALSE)+VLOOKUP(AN$3,'Non-Embedded Emissions'!$A$143:$D$174,2,FALSE)-VLOOKUP(AN$3,'Non-Embedded Emissions'!$F$143:$H$174,3,FALSE)+VLOOKUP(AN$3,'Non-Embedded Emissions'!$A$230:$D$259,2,FALSE)), $C40 = "0", 0), 0)</f>
        <v>0</v>
      </c>
      <c r="AT40" s="45">
        <f>IFERROR(_xlfn.IFS($C40="1",('Inputs-System'!$C$30*'Coincidence Factors'!$B$10*(1+'Inputs-System'!$C$18)*(1+'Inputs-System'!$C$41)*('Inputs-Proposals'!$H$17*'Inputs-Proposals'!$H$19*(1-'Inputs-Proposals'!$H$20^(AT$3-'Inputs-System'!$C$7)))*(VLOOKUP(AT$3,Energy!$A$51:$K$83,5,FALSE))), $C40 = "2",('Inputs-System'!$C$30*'Coincidence Factors'!$B$10)*(1+'Inputs-System'!$C$18)*(1+'Inputs-System'!$C$41)*('Inputs-Proposals'!$H$23*'Inputs-Proposals'!$H$25*(1-'Inputs-Proposals'!$H$26^(AT$3-'Inputs-System'!$C$7)))*(VLOOKUP(AT$3,Energy!$A$51:$K$83,5,FALSE)), $C40= "3", ('Inputs-System'!$C$30*'Coincidence Factors'!$B$10*(1+'Inputs-System'!$C$18)*(1+'Inputs-System'!$C$41)*('Inputs-Proposals'!$H$29*'Inputs-Proposals'!$H$31*(1-'Inputs-Proposals'!$H$32^(AT$3-'Inputs-System'!$C$7)))*(VLOOKUP(AT$3,Energy!$A$51:$K$83,5,FALSE))), $C40= "0", 0), 0)</f>
        <v>0</v>
      </c>
      <c r="AU40" s="44">
        <f>IFERROR(_xlfn.IFS($C40="1",('Inputs-System'!$C$30*'Coincidence Factors'!$B$10*(1+'Inputs-System'!$C$18)*(1+'Inputs-System'!$C$41))*'Inputs-Proposals'!$H$17*'Inputs-Proposals'!$H$19*(1-'Inputs-Proposals'!$H$20^(AT$3-'Inputs-System'!$C$7))*(VLOOKUP(AT$3,'Embedded Emissions'!$A$47:$B$78,2,FALSE)+VLOOKUP(AT$3,'Embedded Emissions'!$A$129:$B$158,2,FALSE)), $C40 = "2",('Inputs-System'!$C$30*'Coincidence Factors'!$B$10*(1+'Inputs-System'!$C$18)*(1+'Inputs-System'!$C$41))*'Inputs-Proposals'!$H$23*'Inputs-Proposals'!$H$25*(1-'Inputs-Proposals'!$H$20^(AT$3-'Inputs-System'!$C$7))*(VLOOKUP(AT$3,'Embedded Emissions'!$A$47:$B$78,2,FALSE)+VLOOKUP(AT$3,'Embedded Emissions'!$A$129:$B$158,2,FALSE)), $C40 = "3", ('Inputs-System'!$C$30*'Coincidence Factors'!$B$10*(1+'Inputs-System'!$C$18)*(1+'Inputs-System'!$C$41))*'Inputs-Proposals'!$H$29*'Inputs-Proposals'!$H$31*(1-'Inputs-Proposals'!$H$20^(AT$3-'Inputs-System'!$C$7))*(VLOOKUP(AT$3,'Embedded Emissions'!$A$47:$B$78,2,FALSE)+VLOOKUP(AT$3,'Embedded Emissions'!$A$129:$B$158,2,FALSE)), $C40 = "0", 0), 0)</f>
        <v>0</v>
      </c>
      <c r="AV40" s="44">
        <f>IFERROR(_xlfn.IFS($C40="1",( 'Inputs-System'!$C$30*'Coincidence Factors'!$B$10*(1+'Inputs-System'!$C$18)*(1+'Inputs-System'!$C$41))*('Inputs-Proposals'!$H$17*'Inputs-Proposals'!$H$19*(1-'Inputs-Proposals'!$H$20)^(AT$3-'Inputs-System'!$C$7))*(VLOOKUP(AT$3,DRIPE!$A$54:$I$82,5,FALSE)+VLOOKUP(AT$3,DRIPE!$A$54:$I$82,9,FALSE))+ ('Inputs-System'!$C$26*'Coincidence Factors'!$B$6*(1+'Inputs-System'!$C$18)*(1+'Inputs-System'!$C$42))*'Inputs-Proposals'!$H$16*VLOOKUP(AT$3,DRIPE!$A$54:$I$82,8,FALSE), $C40 = "2",( 'Inputs-System'!$C$30*'Coincidence Factors'!$B$10*(1+'Inputs-System'!$C$18)*(1+'Inputs-System'!$C$41))*('Inputs-Proposals'!$H$23*'Inputs-Proposals'!$H$25*(1-'Inputs-Proposals'!$H$26)^(AT$3-'Inputs-System'!$C$7))*(VLOOKUP(AT$3,DRIPE!$A$54:$I$82,5,FALSE)+VLOOKUP(AT$3,DRIPE!$A$54:$I$82,9,FALSE))+ ('Inputs-System'!$C$26*'Coincidence Factors'!$B$6*(1+'Inputs-System'!$C$18)*(1+'Inputs-System'!$C$42))*'Inputs-Proposals'!$H$22*VLOOKUP(AT$3,DRIPE!$A$54:$I$82,8,FALSE), $C40= "3", ( 'Inputs-System'!$C$30*'Coincidence Factors'!$B$10*(1+'Inputs-System'!$C$18)*(1+'Inputs-System'!$C$41))*('Inputs-Proposals'!$H$29*'Inputs-Proposals'!$H$31*(1-'Inputs-Proposals'!$H$32)^(AT$3-'Inputs-System'!$C$7))*(VLOOKUP(AT$3,DRIPE!$A$54:$I$82,5,FALSE)+VLOOKUP(AT$3,DRIPE!$A$54:$I$82,9,FALSE))+ ('Inputs-System'!$C$26*'Coincidence Factors'!$B$6*(1+'Inputs-System'!$C$18)*(1+'Inputs-System'!$C$42))*'Inputs-Proposals'!$H$28*VLOOKUP(AT$3,DRIPE!$A$54:$I$82,8,FALSE), $C40 = "0", 0), 0)</f>
        <v>0</v>
      </c>
      <c r="AW40" s="45">
        <f>IFERROR(_xlfn.IFS($C40="1",('Inputs-System'!$C$26*'Coincidence Factors'!$B$10*(1+'Inputs-System'!$C$18)*(1+'Inputs-System'!$C$42))*'Inputs-Proposals'!$D$16*(VLOOKUP(AT$3,Capacity!$A$53:$E$85,4,FALSE)*(1+'Inputs-System'!$C$42)+VLOOKUP(AT$3,Capacity!$A$53:$E$85,5,FALSE)*(1+'Inputs-System'!$C$43)*'Inputs-System'!$C$29), $C40 = "2", ('Inputs-System'!$C$26*'Coincidence Factors'!$B$10*(1+'Inputs-System'!$C$18))*'Inputs-Proposals'!$D$22*(VLOOKUP(AT$3,Capacity!$A$53:$E$85,4,FALSE)*(1+'Inputs-System'!$C$42)+VLOOKUP(AT$3,Capacity!$A$53:$E$85,5,FALSE)*'Inputs-System'!$C$29*(1+'Inputs-System'!$C$43)), $C40 = "3", ('Inputs-System'!$C$26*'Coincidence Factors'!$B$10*(1+'Inputs-System'!$C$18))*'Inputs-Proposals'!$D$28*(VLOOKUP(AT$3,Capacity!$A$53:$E$85,4,FALSE)*(1+'Inputs-System'!$C$42)+VLOOKUP(AT$3,Capacity!$A$53:$E$85,5,FALSE)*'Inputs-System'!$C$29*(1+'Inputs-System'!$C$43)), $C40 = "0", 0), 0)</f>
        <v>0</v>
      </c>
      <c r="AX40" s="44">
        <v>0</v>
      </c>
      <c r="AY40" s="342">
        <f>IFERROR(_xlfn.IFS($C40="1", 'Inputs-System'!$C$30*'Coincidence Factors'!$B$10*'Inputs-Proposals'!$H$17*'Inputs-Proposals'!$H$19*(VLOOKUP(AT$3,'Non-Embedded Emissions'!$A$56:$D$90,2,FALSE)-VLOOKUP(AT$3,'Non-Embedded Emissions'!$F$57:$H$88,3,FALSE)+VLOOKUP(AT$3,'Non-Embedded Emissions'!$A$143:$D$174,2,FALSE)-VLOOKUP(AT$3,'Non-Embedded Emissions'!$F$143:$H$174,3,FALSE)+VLOOKUP(AT$3,'Non-Embedded Emissions'!$A$230:$D$259,2,FALSE)), $C40 = "2", 'Inputs-System'!$C$30*'Coincidence Factors'!$B$10*'Inputs-Proposals'!$H$23*'Inputs-Proposals'!$H$25*(VLOOKUP(AT$3,'Non-Embedded Emissions'!$A$56:$D$90,2,FALSE)-VLOOKUP(AT$3,'Non-Embedded Emissions'!$F$57:$H$88,3,FALSE)+VLOOKUP(AT$3,'Non-Embedded Emissions'!$A$143:$D$174,2,FALSE)-VLOOKUP(AT$3,'Non-Embedded Emissions'!$F$143:$H$174,3,FALSE)+VLOOKUP(AT$3,'Non-Embedded Emissions'!$A$230:$D$259,2,FALSE)), $C40 = "3", 'Inputs-System'!$C$30*'Coincidence Factors'!$B$10*'Inputs-Proposals'!$H$29*'Inputs-Proposals'!$H$31*(VLOOKUP(AT$3,'Non-Embedded Emissions'!$A$56:$D$90,2,FALSE)-VLOOKUP(AT$3,'Non-Embedded Emissions'!$F$57:$H$88,3,FALSE)+VLOOKUP(AT$3,'Non-Embedded Emissions'!$A$143:$D$174,2,FALSE)-VLOOKUP(AT$3,'Non-Embedded Emissions'!$F$143:$H$174,3,FALSE)+VLOOKUP(AT$3,'Non-Embedded Emissions'!$A$230:$D$259,2,FALSE)), $C40 = "0", 0), 0)</f>
        <v>0</v>
      </c>
      <c r="AZ40" s="45">
        <f>IFERROR(_xlfn.IFS($C40="1",('Inputs-System'!$C$30*'Coincidence Factors'!$B$10*(1+'Inputs-System'!$C$18)*(1+'Inputs-System'!$C$41)*('Inputs-Proposals'!$H$17*'Inputs-Proposals'!$H$19*(1-'Inputs-Proposals'!$H$20^(AZ$3-'Inputs-System'!$C$7)))*(VLOOKUP(AZ$3,Energy!$A$51:$K$83,5,FALSE))), $C40 = "2",('Inputs-System'!$C$30*'Coincidence Factors'!$B$10)*(1+'Inputs-System'!$C$18)*(1+'Inputs-System'!$C$41)*('Inputs-Proposals'!$H$23*'Inputs-Proposals'!$H$25*(1-'Inputs-Proposals'!$H$26^(AZ$3-'Inputs-System'!$C$7)))*(VLOOKUP(AZ$3,Energy!$A$51:$K$83,5,FALSE)), $C40= "3", ('Inputs-System'!$C$30*'Coincidence Factors'!$B$10*(1+'Inputs-System'!$C$18)*(1+'Inputs-System'!$C$41)*('Inputs-Proposals'!$H$29*'Inputs-Proposals'!$H$31*(1-'Inputs-Proposals'!$H$32^(AZ$3-'Inputs-System'!$C$7)))*(VLOOKUP(AZ$3,Energy!$A$51:$K$83,5,FALSE))), $C40= "0", 0), 0)</f>
        <v>0</v>
      </c>
      <c r="BA40" s="44">
        <f>IFERROR(_xlfn.IFS($C40="1",('Inputs-System'!$C$30*'Coincidence Factors'!$B$10*(1+'Inputs-System'!$C$18)*(1+'Inputs-System'!$C$41))*'Inputs-Proposals'!$H$17*'Inputs-Proposals'!$H$19*(1-'Inputs-Proposals'!$H$20^(AZ$3-'Inputs-System'!$C$7))*(VLOOKUP(AZ$3,'Embedded Emissions'!$A$47:$B$78,2,FALSE)+VLOOKUP(AZ$3,'Embedded Emissions'!$A$129:$B$158,2,FALSE)), $C40 = "2",('Inputs-System'!$C$30*'Coincidence Factors'!$B$10*(1+'Inputs-System'!$C$18)*(1+'Inputs-System'!$C$41))*'Inputs-Proposals'!$H$23*'Inputs-Proposals'!$H$25*(1-'Inputs-Proposals'!$H$20^(AZ$3-'Inputs-System'!$C$7))*(VLOOKUP(AZ$3,'Embedded Emissions'!$A$47:$B$78,2,FALSE)+VLOOKUP(AZ$3,'Embedded Emissions'!$A$129:$B$158,2,FALSE)), $C40 = "3", ('Inputs-System'!$C$30*'Coincidence Factors'!$B$10*(1+'Inputs-System'!$C$18)*(1+'Inputs-System'!$C$41))*'Inputs-Proposals'!$H$29*'Inputs-Proposals'!$H$31*(1-'Inputs-Proposals'!$H$20^(AZ$3-'Inputs-System'!$C$7))*(VLOOKUP(AZ$3,'Embedded Emissions'!$A$47:$B$78,2,FALSE)+VLOOKUP(AZ$3,'Embedded Emissions'!$A$129:$B$158,2,FALSE)), $C40 = "0", 0), 0)</f>
        <v>0</v>
      </c>
      <c r="BB40" s="44">
        <f>IFERROR(_xlfn.IFS($C40="1",( 'Inputs-System'!$C$30*'Coincidence Factors'!$B$10*(1+'Inputs-System'!$C$18)*(1+'Inputs-System'!$C$41))*('Inputs-Proposals'!$H$17*'Inputs-Proposals'!$H$19*(1-'Inputs-Proposals'!$H$20)^(AZ$3-'Inputs-System'!$C$7))*(VLOOKUP(AZ$3,DRIPE!$A$54:$I$82,5,FALSE)+VLOOKUP(AZ$3,DRIPE!$A$54:$I$82,9,FALSE))+ ('Inputs-System'!$C$26*'Coincidence Factors'!$B$6*(1+'Inputs-System'!$C$18)*(1+'Inputs-System'!$C$42))*'Inputs-Proposals'!$H$16*VLOOKUP(AZ$3,DRIPE!$A$54:$I$82,8,FALSE), $C40 = "2",( 'Inputs-System'!$C$30*'Coincidence Factors'!$B$10*(1+'Inputs-System'!$C$18)*(1+'Inputs-System'!$C$41))*('Inputs-Proposals'!$H$23*'Inputs-Proposals'!$H$25*(1-'Inputs-Proposals'!$H$26)^(AZ$3-'Inputs-System'!$C$7))*(VLOOKUP(AZ$3,DRIPE!$A$54:$I$82,5,FALSE)+VLOOKUP(AZ$3,DRIPE!$A$54:$I$82,9,FALSE))+ ('Inputs-System'!$C$26*'Coincidence Factors'!$B$6*(1+'Inputs-System'!$C$18)*(1+'Inputs-System'!$C$42))*'Inputs-Proposals'!$H$22*VLOOKUP(AZ$3,DRIPE!$A$54:$I$82,8,FALSE), $C40= "3", ( 'Inputs-System'!$C$30*'Coincidence Factors'!$B$10*(1+'Inputs-System'!$C$18)*(1+'Inputs-System'!$C$41))*('Inputs-Proposals'!$H$29*'Inputs-Proposals'!$H$31*(1-'Inputs-Proposals'!$H$32)^(AZ$3-'Inputs-System'!$C$7))*(VLOOKUP(AZ$3,DRIPE!$A$54:$I$82,5,FALSE)+VLOOKUP(AZ$3,DRIPE!$A$54:$I$82,9,FALSE))+ ('Inputs-System'!$C$26*'Coincidence Factors'!$B$6*(1+'Inputs-System'!$C$18)*(1+'Inputs-System'!$C$42))*'Inputs-Proposals'!$H$28*VLOOKUP(AZ$3,DRIPE!$A$54:$I$82,8,FALSE), $C40 = "0", 0), 0)</f>
        <v>0</v>
      </c>
      <c r="BC40" s="45">
        <f>IFERROR(_xlfn.IFS($C40="1",('Inputs-System'!$C$26*'Coincidence Factors'!$B$10*(1+'Inputs-System'!$C$18)*(1+'Inputs-System'!$C$42))*'Inputs-Proposals'!$D$16*(VLOOKUP(AZ$3,Capacity!$A$53:$E$85,4,FALSE)*(1+'Inputs-System'!$C$42)+VLOOKUP(AZ$3,Capacity!$A$53:$E$85,5,FALSE)*(1+'Inputs-System'!$C$43)*'Inputs-System'!$C$29), $C40 = "2", ('Inputs-System'!$C$26*'Coincidence Factors'!$B$10*(1+'Inputs-System'!$C$18))*'Inputs-Proposals'!$D$22*(VLOOKUP(AZ$3,Capacity!$A$53:$E$85,4,FALSE)*(1+'Inputs-System'!$C$42)+VLOOKUP(AZ$3,Capacity!$A$53:$E$85,5,FALSE)*'Inputs-System'!$C$29*(1+'Inputs-System'!$C$43)), $C40 = "3", ('Inputs-System'!$C$26*'Coincidence Factors'!$B$10*(1+'Inputs-System'!$C$18))*'Inputs-Proposals'!$D$28*(VLOOKUP(AZ$3,Capacity!$A$53:$E$85,4,FALSE)*(1+'Inputs-System'!$C$42)+VLOOKUP(AZ$3,Capacity!$A$53:$E$85,5,FALSE)*'Inputs-System'!$C$29*(1+'Inputs-System'!$C$43)), $C40 = "0", 0), 0)</f>
        <v>0</v>
      </c>
      <c r="BD40" s="44">
        <v>0</v>
      </c>
      <c r="BE40" s="342">
        <f>IFERROR(_xlfn.IFS($C40="1", 'Inputs-System'!$C$30*'Coincidence Factors'!$B$10*'Inputs-Proposals'!$H$17*'Inputs-Proposals'!$H$19*(VLOOKUP(AZ$3,'Non-Embedded Emissions'!$A$56:$D$90,2,FALSE)-VLOOKUP(AZ$3,'Non-Embedded Emissions'!$F$57:$H$88,3,FALSE)+VLOOKUP(AZ$3,'Non-Embedded Emissions'!$A$143:$D$174,2,FALSE)-VLOOKUP(AZ$3,'Non-Embedded Emissions'!$F$143:$H$174,3,FALSE)+VLOOKUP(AZ$3,'Non-Embedded Emissions'!$A$230:$D$259,2,FALSE)), $C40 = "2", 'Inputs-System'!$C$30*'Coincidence Factors'!$B$10*'Inputs-Proposals'!$H$23*'Inputs-Proposals'!$H$25*(VLOOKUP(AZ$3,'Non-Embedded Emissions'!$A$56:$D$90,2,FALSE)-VLOOKUP(AZ$3,'Non-Embedded Emissions'!$F$57:$H$88,3,FALSE)+VLOOKUP(AZ$3,'Non-Embedded Emissions'!$A$143:$D$174,2,FALSE)-VLOOKUP(AZ$3,'Non-Embedded Emissions'!$F$143:$H$174,3,FALSE)+VLOOKUP(AZ$3,'Non-Embedded Emissions'!$A$230:$D$259,2,FALSE)), $C40 = "3", 'Inputs-System'!$C$30*'Coincidence Factors'!$B$10*'Inputs-Proposals'!$H$29*'Inputs-Proposals'!$H$31*(VLOOKUP(AZ$3,'Non-Embedded Emissions'!$A$56:$D$90,2,FALSE)-VLOOKUP(AZ$3,'Non-Embedded Emissions'!$F$57:$H$88,3,FALSE)+VLOOKUP(AZ$3,'Non-Embedded Emissions'!$A$143:$D$174,2,FALSE)-VLOOKUP(AZ$3,'Non-Embedded Emissions'!$F$143:$H$174,3,FALSE)+VLOOKUP(AZ$3,'Non-Embedded Emissions'!$A$230:$D$259,2,FALSE)), $C40 = "0", 0), 0)</f>
        <v>0</v>
      </c>
      <c r="BF40" s="45">
        <f>IFERROR(_xlfn.IFS($C40="1",('Inputs-System'!$C$30*'Coincidence Factors'!$B$10*(1+'Inputs-System'!$C$18)*(1+'Inputs-System'!$C$41)*('Inputs-Proposals'!$H$17*'Inputs-Proposals'!$H$19*(1-'Inputs-Proposals'!$H$20^(BF$3-'Inputs-System'!$C$7)))*(VLOOKUP(BF$3,Energy!$A$51:$K$83,5,FALSE))), $C40 = "2",('Inputs-System'!$C$30*'Coincidence Factors'!$B$10)*(1+'Inputs-System'!$C$18)*(1+'Inputs-System'!$C$41)*('Inputs-Proposals'!$H$23*'Inputs-Proposals'!$H$25*(1-'Inputs-Proposals'!$H$26^(BF$3-'Inputs-System'!$C$7)))*(VLOOKUP(BF$3,Energy!$A$51:$K$83,5,FALSE)), $C40= "3", ('Inputs-System'!$C$30*'Coincidence Factors'!$B$10*(1+'Inputs-System'!$C$18)*(1+'Inputs-System'!$C$41)*('Inputs-Proposals'!$H$29*'Inputs-Proposals'!$H$31*(1-'Inputs-Proposals'!$H$32^(BF$3-'Inputs-System'!$C$7)))*(VLOOKUP(BF$3,Energy!$A$51:$K$83,5,FALSE))), $C40= "0", 0), 0)</f>
        <v>0</v>
      </c>
      <c r="BG40" s="44">
        <f>IFERROR(_xlfn.IFS($C40="1",('Inputs-System'!$C$30*'Coincidence Factors'!$B$10*(1+'Inputs-System'!$C$18)*(1+'Inputs-System'!$C$41))*'Inputs-Proposals'!$H$17*'Inputs-Proposals'!$H$19*(1-'Inputs-Proposals'!$H$20^(BF$3-'Inputs-System'!$C$7))*(VLOOKUP(BF$3,'Embedded Emissions'!$A$47:$B$78,2,FALSE)+VLOOKUP(BF$3,'Embedded Emissions'!$A$129:$B$158,2,FALSE)), $C40 = "2",('Inputs-System'!$C$30*'Coincidence Factors'!$B$10*(1+'Inputs-System'!$C$18)*(1+'Inputs-System'!$C$41))*'Inputs-Proposals'!$H$23*'Inputs-Proposals'!$H$25*(1-'Inputs-Proposals'!$H$20^(BF$3-'Inputs-System'!$C$7))*(VLOOKUP(BF$3,'Embedded Emissions'!$A$47:$B$78,2,FALSE)+VLOOKUP(BF$3,'Embedded Emissions'!$A$129:$B$158,2,FALSE)), $C40 = "3", ('Inputs-System'!$C$30*'Coincidence Factors'!$B$10*(1+'Inputs-System'!$C$18)*(1+'Inputs-System'!$C$41))*'Inputs-Proposals'!$H$29*'Inputs-Proposals'!$H$31*(1-'Inputs-Proposals'!$H$20^(BF$3-'Inputs-System'!$C$7))*(VLOOKUP(BF$3,'Embedded Emissions'!$A$47:$B$78,2,FALSE)+VLOOKUP(BF$3,'Embedded Emissions'!$A$129:$B$158,2,FALSE)), $C40 = "0", 0), 0)</f>
        <v>0</v>
      </c>
      <c r="BH40" s="44">
        <f>IFERROR(_xlfn.IFS($C40="1",( 'Inputs-System'!$C$30*'Coincidence Factors'!$B$10*(1+'Inputs-System'!$C$18)*(1+'Inputs-System'!$C$41))*('Inputs-Proposals'!$H$17*'Inputs-Proposals'!$H$19*(1-'Inputs-Proposals'!$H$20)^(BF$3-'Inputs-System'!$C$7))*(VLOOKUP(BF$3,DRIPE!$A$54:$I$82,5,FALSE)+VLOOKUP(BF$3,DRIPE!$A$54:$I$82,9,FALSE))+ ('Inputs-System'!$C$26*'Coincidence Factors'!$B$6*(1+'Inputs-System'!$C$18)*(1+'Inputs-System'!$C$42))*'Inputs-Proposals'!$H$16*VLOOKUP(BF$3,DRIPE!$A$54:$I$82,8,FALSE), $C40 = "2",( 'Inputs-System'!$C$30*'Coincidence Factors'!$B$10*(1+'Inputs-System'!$C$18)*(1+'Inputs-System'!$C$41))*('Inputs-Proposals'!$H$23*'Inputs-Proposals'!$H$25*(1-'Inputs-Proposals'!$H$26)^(BF$3-'Inputs-System'!$C$7))*(VLOOKUP(BF$3,DRIPE!$A$54:$I$82,5,FALSE)+VLOOKUP(BF$3,DRIPE!$A$54:$I$82,9,FALSE))+ ('Inputs-System'!$C$26*'Coincidence Factors'!$B$6*(1+'Inputs-System'!$C$18)*(1+'Inputs-System'!$C$42))*'Inputs-Proposals'!$H$22*VLOOKUP(BF$3,DRIPE!$A$54:$I$82,8,FALSE), $C40= "3", ( 'Inputs-System'!$C$30*'Coincidence Factors'!$B$10*(1+'Inputs-System'!$C$18)*(1+'Inputs-System'!$C$41))*('Inputs-Proposals'!$H$29*'Inputs-Proposals'!$H$31*(1-'Inputs-Proposals'!$H$32)^(BF$3-'Inputs-System'!$C$7))*(VLOOKUP(BF$3,DRIPE!$A$54:$I$82,5,FALSE)+VLOOKUP(BF$3,DRIPE!$A$54:$I$82,9,FALSE))+ ('Inputs-System'!$C$26*'Coincidence Factors'!$B$6*(1+'Inputs-System'!$C$18)*(1+'Inputs-System'!$C$42))*'Inputs-Proposals'!$H$28*VLOOKUP(BF$3,DRIPE!$A$54:$I$82,8,FALSE), $C40 = "0", 0), 0)</f>
        <v>0</v>
      </c>
      <c r="BI40" s="45">
        <f>IFERROR(_xlfn.IFS($C40="1",('Inputs-System'!$C$26*'Coincidence Factors'!$B$10*(1+'Inputs-System'!$C$18)*(1+'Inputs-System'!$C$42))*'Inputs-Proposals'!$D$16*(VLOOKUP(BF$3,Capacity!$A$53:$E$85,4,FALSE)*(1+'Inputs-System'!$C$42)+VLOOKUP(BF$3,Capacity!$A$53:$E$85,5,FALSE)*(1+'Inputs-System'!$C$43)*'Inputs-System'!$C$29), $C40 = "2", ('Inputs-System'!$C$26*'Coincidence Factors'!$B$10*(1+'Inputs-System'!$C$18))*'Inputs-Proposals'!$D$22*(VLOOKUP(BF$3,Capacity!$A$53:$E$85,4,FALSE)*(1+'Inputs-System'!$C$42)+VLOOKUP(BF$3,Capacity!$A$53:$E$85,5,FALSE)*'Inputs-System'!$C$29*(1+'Inputs-System'!$C$43)), $C40 = "3", ('Inputs-System'!$C$26*'Coincidence Factors'!$B$10*(1+'Inputs-System'!$C$18))*'Inputs-Proposals'!$D$28*(VLOOKUP(BF$3,Capacity!$A$53:$E$85,4,FALSE)*(1+'Inputs-System'!$C$42)+VLOOKUP(BF$3,Capacity!$A$53:$E$85,5,FALSE)*'Inputs-System'!$C$29*(1+'Inputs-System'!$C$43)), $C40 = "0", 0), 0)</f>
        <v>0</v>
      </c>
      <c r="BJ40" s="44">
        <v>0</v>
      </c>
      <c r="BK40" s="342">
        <f>IFERROR(_xlfn.IFS($C40="1", 'Inputs-System'!$C$30*'Coincidence Factors'!$B$10*'Inputs-Proposals'!$H$17*'Inputs-Proposals'!$H$19*(VLOOKUP(BF$3,'Non-Embedded Emissions'!$A$56:$D$90,2,FALSE)-VLOOKUP(BF$3,'Non-Embedded Emissions'!$F$57:$H$88,3,FALSE)+VLOOKUP(BF$3,'Non-Embedded Emissions'!$A$143:$D$174,2,FALSE)-VLOOKUP(BF$3,'Non-Embedded Emissions'!$F$143:$H$174,3,FALSE)+VLOOKUP(BF$3,'Non-Embedded Emissions'!$A$230:$D$259,2,FALSE)), $C40 = "2", 'Inputs-System'!$C$30*'Coincidence Factors'!$B$10*'Inputs-Proposals'!$H$23*'Inputs-Proposals'!$H$25*(VLOOKUP(BF$3,'Non-Embedded Emissions'!$A$56:$D$90,2,FALSE)-VLOOKUP(BF$3,'Non-Embedded Emissions'!$F$57:$H$88,3,FALSE)+VLOOKUP(BF$3,'Non-Embedded Emissions'!$A$143:$D$174,2,FALSE)-VLOOKUP(BF$3,'Non-Embedded Emissions'!$F$143:$H$174,3,FALSE)+VLOOKUP(BF$3,'Non-Embedded Emissions'!$A$230:$D$259,2,FALSE)), $C40 = "3", 'Inputs-System'!$C$30*'Coincidence Factors'!$B$10*'Inputs-Proposals'!$H$29*'Inputs-Proposals'!$H$31*(VLOOKUP(BF$3,'Non-Embedded Emissions'!$A$56:$D$90,2,FALSE)-VLOOKUP(BF$3,'Non-Embedded Emissions'!$F$57:$H$88,3,FALSE)+VLOOKUP(BF$3,'Non-Embedded Emissions'!$A$143:$D$174,2,FALSE)-VLOOKUP(BF$3,'Non-Embedded Emissions'!$F$143:$H$174,3,FALSE)+VLOOKUP(BF$3,'Non-Embedded Emissions'!$A$230:$D$259,2,FALSE)), $C40 = "0", 0), 0)</f>
        <v>0</v>
      </c>
      <c r="BL40" s="45">
        <f>IFERROR(_xlfn.IFS($C40="1",('Inputs-System'!$C$30*'Coincidence Factors'!$B$10*(1+'Inputs-System'!$C$18)*(1+'Inputs-System'!$C$41)*('Inputs-Proposals'!$H$17*'Inputs-Proposals'!$H$19*(1-'Inputs-Proposals'!$H$20^(BL$3-'Inputs-System'!$C$7)))*(VLOOKUP(BL$3,Energy!$A$51:$K$83,5,FALSE))), $C40 = "2",('Inputs-System'!$C$30*'Coincidence Factors'!$B$10)*(1+'Inputs-System'!$C$18)*(1+'Inputs-System'!$C$41)*('Inputs-Proposals'!$H$23*'Inputs-Proposals'!$H$25*(1-'Inputs-Proposals'!$H$26^(BL$3-'Inputs-System'!$C$7)))*(VLOOKUP(BL$3,Energy!$A$51:$K$83,5,FALSE)), $C40= "3", ('Inputs-System'!$C$30*'Coincidence Factors'!$B$10*(1+'Inputs-System'!$C$18)*(1+'Inputs-System'!$C$41)*('Inputs-Proposals'!$H$29*'Inputs-Proposals'!$H$31*(1-'Inputs-Proposals'!$H$32^(BL$3-'Inputs-System'!$C$7)))*(VLOOKUP(BL$3,Energy!$A$51:$K$83,5,FALSE))), $C40= "0", 0), 0)</f>
        <v>0</v>
      </c>
      <c r="BM40" s="44">
        <f>IFERROR(_xlfn.IFS($C40="1",('Inputs-System'!$C$30*'Coincidence Factors'!$B$10*(1+'Inputs-System'!$C$18)*(1+'Inputs-System'!$C$41))*'Inputs-Proposals'!$H$17*'Inputs-Proposals'!$H$19*(1-'Inputs-Proposals'!$H$20^(BL$3-'Inputs-System'!$C$7))*(VLOOKUP(BL$3,'Embedded Emissions'!$A$47:$B$78,2,FALSE)+VLOOKUP(BL$3,'Embedded Emissions'!$A$129:$B$158,2,FALSE)), $C40 = "2",('Inputs-System'!$C$30*'Coincidence Factors'!$B$10*(1+'Inputs-System'!$C$18)*(1+'Inputs-System'!$C$41))*'Inputs-Proposals'!$H$23*'Inputs-Proposals'!$H$25*(1-'Inputs-Proposals'!$H$20^(BL$3-'Inputs-System'!$C$7))*(VLOOKUP(BL$3,'Embedded Emissions'!$A$47:$B$78,2,FALSE)+VLOOKUP(BL$3,'Embedded Emissions'!$A$129:$B$158,2,FALSE)), $C40 = "3", ('Inputs-System'!$C$30*'Coincidence Factors'!$B$10*(1+'Inputs-System'!$C$18)*(1+'Inputs-System'!$C$41))*'Inputs-Proposals'!$H$29*'Inputs-Proposals'!$H$31*(1-'Inputs-Proposals'!$H$20^(BL$3-'Inputs-System'!$C$7))*(VLOOKUP(BL$3,'Embedded Emissions'!$A$47:$B$78,2,FALSE)+VLOOKUP(BL$3,'Embedded Emissions'!$A$129:$B$158,2,FALSE)), $C40 = "0", 0), 0)</f>
        <v>0</v>
      </c>
      <c r="BN40" s="44">
        <f>IFERROR(_xlfn.IFS($C40="1",( 'Inputs-System'!$C$30*'Coincidence Factors'!$B$10*(1+'Inputs-System'!$C$18)*(1+'Inputs-System'!$C$41))*('Inputs-Proposals'!$H$17*'Inputs-Proposals'!$H$19*(1-'Inputs-Proposals'!$H$20)^(BL$3-'Inputs-System'!$C$7))*(VLOOKUP(BL$3,DRIPE!$A$54:$I$82,5,FALSE)+VLOOKUP(BL$3,DRIPE!$A$54:$I$82,9,FALSE))+ ('Inputs-System'!$C$26*'Coincidence Factors'!$B$6*(1+'Inputs-System'!$C$18)*(1+'Inputs-System'!$C$42))*'Inputs-Proposals'!$H$16*VLOOKUP(BL$3,DRIPE!$A$54:$I$82,8,FALSE), $C40 = "2",( 'Inputs-System'!$C$30*'Coincidence Factors'!$B$10*(1+'Inputs-System'!$C$18)*(1+'Inputs-System'!$C$41))*('Inputs-Proposals'!$H$23*'Inputs-Proposals'!$H$25*(1-'Inputs-Proposals'!$H$26)^(BL$3-'Inputs-System'!$C$7))*(VLOOKUP(BL$3,DRIPE!$A$54:$I$82,5,FALSE)+VLOOKUP(BL$3,DRIPE!$A$54:$I$82,9,FALSE))+ ('Inputs-System'!$C$26*'Coincidence Factors'!$B$6*(1+'Inputs-System'!$C$18)*(1+'Inputs-System'!$C$42))*'Inputs-Proposals'!$H$22*VLOOKUP(BL$3,DRIPE!$A$54:$I$82,8,FALSE), $C40= "3", ( 'Inputs-System'!$C$30*'Coincidence Factors'!$B$10*(1+'Inputs-System'!$C$18)*(1+'Inputs-System'!$C$41))*('Inputs-Proposals'!$H$29*'Inputs-Proposals'!$H$31*(1-'Inputs-Proposals'!$H$32)^(BL$3-'Inputs-System'!$C$7))*(VLOOKUP(BL$3,DRIPE!$A$54:$I$82,5,FALSE)+VLOOKUP(BL$3,DRIPE!$A$54:$I$82,9,FALSE))+ ('Inputs-System'!$C$26*'Coincidence Factors'!$B$6*(1+'Inputs-System'!$C$18)*(1+'Inputs-System'!$C$42))*'Inputs-Proposals'!$H$28*VLOOKUP(BL$3,DRIPE!$A$54:$I$82,8,FALSE), $C40 = "0", 0), 0)</f>
        <v>0</v>
      </c>
      <c r="BO40" s="45">
        <f>IFERROR(_xlfn.IFS($C40="1",('Inputs-System'!$C$26*'Coincidence Factors'!$B$10*(1+'Inputs-System'!$C$18)*(1+'Inputs-System'!$C$42))*'Inputs-Proposals'!$D$16*(VLOOKUP(BL$3,Capacity!$A$53:$E$85,4,FALSE)*(1+'Inputs-System'!$C$42)+VLOOKUP(BL$3,Capacity!$A$53:$E$85,5,FALSE)*(1+'Inputs-System'!$C$43)*'Inputs-System'!$C$29), $C40 = "2", ('Inputs-System'!$C$26*'Coincidence Factors'!$B$10*(1+'Inputs-System'!$C$18))*'Inputs-Proposals'!$D$22*(VLOOKUP(BL$3,Capacity!$A$53:$E$85,4,FALSE)*(1+'Inputs-System'!$C$42)+VLOOKUP(BL$3,Capacity!$A$53:$E$85,5,FALSE)*'Inputs-System'!$C$29*(1+'Inputs-System'!$C$43)), $C40 = "3", ('Inputs-System'!$C$26*'Coincidence Factors'!$B$10*(1+'Inputs-System'!$C$18))*'Inputs-Proposals'!$D$28*(VLOOKUP(BL$3,Capacity!$A$53:$E$85,4,FALSE)*(1+'Inputs-System'!$C$42)+VLOOKUP(BL$3,Capacity!$A$53:$E$85,5,FALSE)*'Inputs-System'!$C$29*(1+'Inputs-System'!$C$43)), $C40 = "0", 0), 0)</f>
        <v>0</v>
      </c>
      <c r="BP40" s="44">
        <v>0</v>
      </c>
      <c r="BQ40" s="342">
        <f>IFERROR(_xlfn.IFS($C40="1", 'Inputs-System'!$C$30*'Coincidence Factors'!$B$10*'Inputs-Proposals'!$H$17*'Inputs-Proposals'!$H$19*(VLOOKUP(BL$3,'Non-Embedded Emissions'!$A$56:$D$90,2,FALSE)-VLOOKUP(BL$3,'Non-Embedded Emissions'!$F$57:$H$88,3,FALSE)+VLOOKUP(BL$3,'Non-Embedded Emissions'!$A$143:$D$174,2,FALSE)-VLOOKUP(BL$3,'Non-Embedded Emissions'!$F$143:$H$174,3,FALSE)+VLOOKUP(BL$3,'Non-Embedded Emissions'!$A$230:$D$259,2,FALSE)), $C40 = "2", 'Inputs-System'!$C$30*'Coincidence Factors'!$B$10*'Inputs-Proposals'!$H$23*'Inputs-Proposals'!$H$25*(VLOOKUP(BL$3,'Non-Embedded Emissions'!$A$56:$D$90,2,FALSE)-VLOOKUP(BL$3,'Non-Embedded Emissions'!$F$57:$H$88,3,FALSE)+VLOOKUP(BL$3,'Non-Embedded Emissions'!$A$143:$D$174,2,FALSE)-VLOOKUP(BL$3,'Non-Embedded Emissions'!$F$143:$H$174,3,FALSE)+VLOOKUP(BL$3,'Non-Embedded Emissions'!$A$230:$D$259,2,FALSE)), $C40 = "3", 'Inputs-System'!$C$30*'Coincidence Factors'!$B$10*'Inputs-Proposals'!$H$29*'Inputs-Proposals'!$H$31*(VLOOKUP(BL$3,'Non-Embedded Emissions'!$A$56:$D$90,2,FALSE)-VLOOKUP(BL$3,'Non-Embedded Emissions'!$F$57:$H$88,3,FALSE)+VLOOKUP(BL$3,'Non-Embedded Emissions'!$A$143:$D$174,2,FALSE)-VLOOKUP(BL$3,'Non-Embedded Emissions'!$F$143:$H$174,3,FALSE)+VLOOKUP(BL$3,'Non-Embedded Emissions'!$A$230:$D$259,2,FALSE)), $C40 = "0", 0), 0)</f>
        <v>0</v>
      </c>
      <c r="BR40" s="45">
        <f>IFERROR(_xlfn.IFS($C40="1",('Inputs-System'!$C$30*'Coincidence Factors'!$B$10*(1+'Inputs-System'!$C$18)*(1+'Inputs-System'!$C$41)*('Inputs-Proposals'!$H$17*'Inputs-Proposals'!$H$19*(1-'Inputs-Proposals'!$H$20^(BR$3-'Inputs-System'!$C$7)))*(VLOOKUP(BR$3,Energy!$A$51:$K$83,5,FALSE))), $C40 = "2",('Inputs-System'!$C$30*'Coincidence Factors'!$B$10)*(1+'Inputs-System'!$C$18)*(1+'Inputs-System'!$C$41)*('Inputs-Proposals'!$H$23*'Inputs-Proposals'!$H$25*(1-'Inputs-Proposals'!$H$26^(BR$3-'Inputs-System'!$C$7)))*(VLOOKUP(BR$3,Energy!$A$51:$K$83,5,FALSE)), $C40= "3", ('Inputs-System'!$C$30*'Coincidence Factors'!$B$10*(1+'Inputs-System'!$C$18)*(1+'Inputs-System'!$C$41)*('Inputs-Proposals'!$H$29*'Inputs-Proposals'!$H$31*(1-'Inputs-Proposals'!$H$32^(BR$3-'Inputs-System'!$C$7)))*(VLOOKUP(BR$3,Energy!$A$51:$K$83,5,FALSE))), $C40= "0", 0), 0)</f>
        <v>0</v>
      </c>
      <c r="BS40" s="44">
        <f>IFERROR(_xlfn.IFS($C40="1",('Inputs-System'!$C$30*'Coincidence Factors'!$B$10*(1+'Inputs-System'!$C$18)*(1+'Inputs-System'!$C$41))*'Inputs-Proposals'!$H$17*'Inputs-Proposals'!$H$19*(1-'Inputs-Proposals'!$H$20^(BR$3-'Inputs-System'!$C$7))*(VLOOKUP(BR$3,'Embedded Emissions'!$A$47:$B$78,2,FALSE)+VLOOKUP(BR$3,'Embedded Emissions'!$A$129:$B$158,2,FALSE)), $C40 = "2",('Inputs-System'!$C$30*'Coincidence Factors'!$B$10*(1+'Inputs-System'!$C$18)*(1+'Inputs-System'!$C$41))*'Inputs-Proposals'!$H$23*'Inputs-Proposals'!$H$25*(1-'Inputs-Proposals'!$H$20^(BR$3-'Inputs-System'!$C$7))*(VLOOKUP(BR$3,'Embedded Emissions'!$A$47:$B$78,2,FALSE)+VLOOKUP(BR$3,'Embedded Emissions'!$A$129:$B$158,2,FALSE)), $C40 = "3", ('Inputs-System'!$C$30*'Coincidence Factors'!$B$10*(1+'Inputs-System'!$C$18)*(1+'Inputs-System'!$C$41))*'Inputs-Proposals'!$H$29*'Inputs-Proposals'!$H$31*(1-'Inputs-Proposals'!$H$20^(BR$3-'Inputs-System'!$C$7))*(VLOOKUP(BR$3,'Embedded Emissions'!$A$47:$B$78,2,FALSE)+VLOOKUP(BR$3,'Embedded Emissions'!$A$129:$B$158,2,FALSE)), $C40 = "0", 0), 0)</f>
        <v>0</v>
      </c>
      <c r="BT40" s="44">
        <f>IFERROR(_xlfn.IFS($C40="1",( 'Inputs-System'!$C$30*'Coincidence Factors'!$B$10*(1+'Inputs-System'!$C$18)*(1+'Inputs-System'!$C$41))*('Inputs-Proposals'!$H$17*'Inputs-Proposals'!$H$19*(1-'Inputs-Proposals'!$H$20)^(BR$3-'Inputs-System'!$C$7))*(VLOOKUP(BR$3,DRIPE!$A$54:$I$82,5,FALSE)+VLOOKUP(BR$3,DRIPE!$A$54:$I$82,9,FALSE))+ ('Inputs-System'!$C$26*'Coincidence Factors'!$B$6*(1+'Inputs-System'!$C$18)*(1+'Inputs-System'!$C$42))*'Inputs-Proposals'!$H$16*VLOOKUP(BR$3,DRIPE!$A$54:$I$82,8,FALSE), $C40 = "2",( 'Inputs-System'!$C$30*'Coincidence Factors'!$B$10*(1+'Inputs-System'!$C$18)*(1+'Inputs-System'!$C$41))*('Inputs-Proposals'!$H$23*'Inputs-Proposals'!$H$25*(1-'Inputs-Proposals'!$H$26)^(BR$3-'Inputs-System'!$C$7))*(VLOOKUP(BR$3,DRIPE!$A$54:$I$82,5,FALSE)+VLOOKUP(BR$3,DRIPE!$A$54:$I$82,9,FALSE))+ ('Inputs-System'!$C$26*'Coincidence Factors'!$B$6*(1+'Inputs-System'!$C$18)*(1+'Inputs-System'!$C$42))*'Inputs-Proposals'!$H$22*VLOOKUP(BR$3,DRIPE!$A$54:$I$82,8,FALSE), $C40= "3", ( 'Inputs-System'!$C$30*'Coincidence Factors'!$B$10*(1+'Inputs-System'!$C$18)*(1+'Inputs-System'!$C$41))*('Inputs-Proposals'!$H$29*'Inputs-Proposals'!$H$31*(1-'Inputs-Proposals'!$H$32)^(BR$3-'Inputs-System'!$C$7))*(VLOOKUP(BR$3,DRIPE!$A$54:$I$82,5,FALSE)+VLOOKUP(BR$3,DRIPE!$A$54:$I$82,9,FALSE))+ ('Inputs-System'!$C$26*'Coincidence Factors'!$B$6*(1+'Inputs-System'!$C$18)*(1+'Inputs-System'!$C$42))*'Inputs-Proposals'!$H$28*VLOOKUP(BR$3,DRIPE!$A$54:$I$82,8,FALSE), $C40 = "0", 0), 0)</f>
        <v>0</v>
      </c>
      <c r="BU40" s="45">
        <f>IFERROR(_xlfn.IFS($C40="1",('Inputs-System'!$C$26*'Coincidence Factors'!$B$10*(1+'Inputs-System'!$C$18)*(1+'Inputs-System'!$C$42))*'Inputs-Proposals'!$D$16*(VLOOKUP(BR$3,Capacity!$A$53:$E$85,4,FALSE)*(1+'Inputs-System'!$C$42)+VLOOKUP(BR$3,Capacity!$A$53:$E$85,5,FALSE)*(1+'Inputs-System'!$C$43)*'Inputs-System'!$C$29), $C40 = "2", ('Inputs-System'!$C$26*'Coincidence Factors'!$B$10*(1+'Inputs-System'!$C$18))*'Inputs-Proposals'!$D$22*(VLOOKUP(BR$3,Capacity!$A$53:$E$85,4,FALSE)*(1+'Inputs-System'!$C$42)+VLOOKUP(BR$3,Capacity!$A$53:$E$85,5,FALSE)*'Inputs-System'!$C$29*(1+'Inputs-System'!$C$43)), $C40 = "3", ('Inputs-System'!$C$26*'Coincidence Factors'!$B$10*(1+'Inputs-System'!$C$18))*'Inputs-Proposals'!$D$28*(VLOOKUP(BR$3,Capacity!$A$53:$E$85,4,FALSE)*(1+'Inputs-System'!$C$42)+VLOOKUP(BR$3,Capacity!$A$53:$E$85,5,FALSE)*'Inputs-System'!$C$29*(1+'Inputs-System'!$C$43)), $C40 = "0", 0), 0)</f>
        <v>0</v>
      </c>
      <c r="BV40" s="44">
        <v>0</v>
      </c>
      <c r="BW40" s="342">
        <f>IFERROR(_xlfn.IFS($C40="1", 'Inputs-System'!$C$30*'Coincidence Factors'!$B$10*'Inputs-Proposals'!$H$17*'Inputs-Proposals'!$H$19*(VLOOKUP(BR$3,'Non-Embedded Emissions'!$A$56:$D$90,2,FALSE)-VLOOKUP(BR$3,'Non-Embedded Emissions'!$F$57:$H$88,3,FALSE)+VLOOKUP(BR$3,'Non-Embedded Emissions'!$A$143:$D$174,2,FALSE)-VLOOKUP(BR$3,'Non-Embedded Emissions'!$F$143:$H$174,3,FALSE)+VLOOKUP(BR$3,'Non-Embedded Emissions'!$A$230:$D$259,2,FALSE)), $C40 = "2", 'Inputs-System'!$C$30*'Coincidence Factors'!$B$10*'Inputs-Proposals'!$H$23*'Inputs-Proposals'!$H$25*(VLOOKUP(BR$3,'Non-Embedded Emissions'!$A$56:$D$90,2,FALSE)-VLOOKUP(BR$3,'Non-Embedded Emissions'!$F$57:$H$88,3,FALSE)+VLOOKUP(BR$3,'Non-Embedded Emissions'!$A$143:$D$174,2,FALSE)-VLOOKUP(BR$3,'Non-Embedded Emissions'!$F$143:$H$174,3,FALSE)+VLOOKUP(BR$3,'Non-Embedded Emissions'!$A$230:$D$259,2,FALSE)), $C40 = "3", 'Inputs-System'!$C$30*'Coincidence Factors'!$B$10*'Inputs-Proposals'!$H$29*'Inputs-Proposals'!$H$31*(VLOOKUP(BR$3,'Non-Embedded Emissions'!$A$56:$D$90,2,FALSE)-VLOOKUP(BR$3,'Non-Embedded Emissions'!$F$57:$H$88,3,FALSE)+VLOOKUP(BR$3,'Non-Embedded Emissions'!$A$143:$D$174,2,FALSE)-VLOOKUP(BR$3,'Non-Embedded Emissions'!$F$143:$H$174,3,FALSE)+VLOOKUP(BR$3,'Non-Embedded Emissions'!$A$230:$D$259,2,FALSE)), $C40 = "0", 0), 0)</f>
        <v>0</v>
      </c>
      <c r="BX40" s="45">
        <f>IFERROR(_xlfn.IFS($C40="1",('Inputs-System'!$C$30*'Coincidence Factors'!$B$10*(1+'Inputs-System'!$C$18)*(1+'Inputs-System'!$C$41)*('Inputs-Proposals'!$H$17*'Inputs-Proposals'!$H$19*(1-'Inputs-Proposals'!$H$20^(BX$3-'Inputs-System'!$C$7)))*(VLOOKUP(BX$3,Energy!$A$51:$K$83,5,FALSE))), $C40 = "2",('Inputs-System'!$C$30*'Coincidence Factors'!$B$10)*(1+'Inputs-System'!$C$18)*(1+'Inputs-System'!$C$41)*('Inputs-Proposals'!$H$23*'Inputs-Proposals'!$H$25*(1-'Inputs-Proposals'!$H$26^(BX$3-'Inputs-System'!$C$7)))*(VLOOKUP(BX$3,Energy!$A$51:$K$83,5,FALSE)), $C40= "3", ('Inputs-System'!$C$30*'Coincidence Factors'!$B$10*(1+'Inputs-System'!$C$18)*(1+'Inputs-System'!$C$41)*('Inputs-Proposals'!$H$29*'Inputs-Proposals'!$H$31*(1-'Inputs-Proposals'!$H$32^(BX$3-'Inputs-System'!$C$7)))*(VLOOKUP(BX$3,Energy!$A$51:$K$83,5,FALSE))), $C40= "0", 0), 0)</f>
        <v>0</v>
      </c>
      <c r="BY40" s="44">
        <f>IFERROR(_xlfn.IFS($C40="1",('Inputs-System'!$C$30*'Coincidence Factors'!$B$10*(1+'Inputs-System'!$C$18)*(1+'Inputs-System'!$C$41))*'Inputs-Proposals'!$H$17*'Inputs-Proposals'!$H$19*(1-'Inputs-Proposals'!$H$20^(BX$3-'Inputs-System'!$C$7))*(VLOOKUP(BX$3,'Embedded Emissions'!$A$47:$B$78,2,FALSE)+VLOOKUP(BX$3,'Embedded Emissions'!$A$129:$B$158,2,FALSE)), $C40 = "2",('Inputs-System'!$C$30*'Coincidence Factors'!$B$10*(1+'Inputs-System'!$C$18)*(1+'Inputs-System'!$C$41))*'Inputs-Proposals'!$H$23*'Inputs-Proposals'!$H$25*(1-'Inputs-Proposals'!$H$20^(BX$3-'Inputs-System'!$C$7))*(VLOOKUP(BX$3,'Embedded Emissions'!$A$47:$B$78,2,FALSE)+VLOOKUP(BX$3,'Embedded Emissions'!$A$129:$B$158,2,FALSE)), $C40 = "3", ('Inputs-System'!$C$30*'Coincidence Factors'!$B$10*(1+'Inputs-System'!$C$18)*(1+'Inputs-System'!$C$41))*'Inputs-Proposals'!$H$29*'Inputs-Proposals'!$H$31*(1-'Inputs-Proposals'!$H$20^(BX$3-'Inputs-System'!$C$7))*(VLOOKUP(BX$3,'Embedded Emissions'!$A$47:$B$78,2,FALSE)+VLOOKUP(BX$3,'Embedded Emissions'!$A$129:$B$158,2,FALSE)), $C40 = "0", 0), 0)</f>
        <v>0</v>
      </c>
      <c r="BZ40" s="44">
        <f>IFERROR(_xlfn.IFS($C40="1",( 'Inputs-System'!$C$30*'Coincidence Factors'!$B$10*(1+'Inputs-System'!$C$18)*(1+'Inputs-System'!$C$41))*('Inputs-Proposals'!$H$17*'Inputs-Proposals'!$H$19*(1-'Inputs-Proposals'!$H$20)^(BX$3-'Inputs-System'!$C$7))*(VLOOKUP(BX$3,DRIPE!$A$54:$I$82,5,FALSE)+VLOOKUP(BX$3,DRIPE!$A$54:$I$82,9,FALSE))+ ('Inputs-System'!$C$26*'Coincidence Factors'!$B$6*(1+'Inputs-System'!$C$18)*(1+'Inputs-System'!$C$42))*'Inputs-Proposals'!$H$16*VLOOKUP(BX$3,DRIPE!$A$54:$I$82,8,FALSE), $C40 = "2",( 'Inputs-System'!$C$30*'Coincidence Factors'!$B$10*(1+'Inputs-System'!$C$18)*(1+'Inputs-System'!$C$41))*('Inputs-Proposals'!$H$23*'Inputs-Proposals'!$H$25*(1-'Inputs-Proposals'!$H$26)^(BX$3-'Inputs-System'!$C$7))*(VLOOKUP(BX$3,DRIPE!$A$54:$I$82,5,FALSE)+VLOOKUP(BX$3,DRIPE!$A$54:$I$82,9,FALSE))+ ('Inputs-System'!$C$26*'Coincidence Factors'!$B$6*(1+'Inputs-System'!$C$18)*(1+'Inputs-System'!$C$42))*'Inputs-Proposals'!$H$22*VLOOKUP(BX$3,DRIPE!$A$54:$I$82,8,FALSE), $C40= "3", ( 'Inputs-System'!$C$30*'Coincidence Factors'!$B$10*(1+'Inputs-System'!$C$18)*(1+'Inputs-System'!$C$41))*('Inputs-Proposals'!$H$29*'Inputs-Proposals'!$H$31*(1-'Inputs-Proposals'!$H$32)^(BX$3-'Inputs-System'!$C$7))*(VLOOKUP(BX$3,DRIPE!$A$54:$I$82,5,FALSE)+VLOOKUP(BX$3,DRIPE!$A$54:$I$82,9,FALSE))+ ('Inputs-System'!$C$26*'Coincidence Factors'!$B$6*(1+'Inputs-System'!$C$18)*(1+'Inputs-System'!$C$42))*'Inputs-Proposals'!$H$28*VLOOKUP(BX$3,DRIPE!$A$54:$I$82,8,FALSE), $C40 = "0", 0), 0)</f>
        <v>0</v>
      </c>
      <c r="CA40" s="45">
        <f>IFERROR(_xlfn.IFS($C40="1",('Inputs-System'!$C$26*'Coincidence Factors'!$B$10*(1+'Inputs-System'!$C$18)*(1+'Inputs-System'!$C$42))*'Inputs-Proposals'!$D$16*(VLOOKUP(BX$3,Capacity!$A$53:$E$85,4,FALSE)*(1+'Inputs-System'!$C$42)+VLOOKUP(BX$3,Capacity!$A$53:$E$85,5,FALSE)*(1+'Inputs-System'!$C$43)*'Inputs-System'!$C$29), $C40 = "2", ('Inputs-System'!$C$26*'Coincidence Factors'!$B$10*(1+'Inputs-System'!$C$18))*'Inputs-Proposals'!$D$22*(VLOOKUP(BX$3,Capacity!$A$53:$E$85,4,FALSE)*(1+'Inputs-System'!$C$42)+VLOOKUP(BX$3,Capacity!$A$53:$E$85,5,FALSE)*'Inputs-System'!$C$29*(1+'Inputs-System'!$C$43)), $C40 = "3", ('Inputs-System'!$C$26*'Coincidence Factors'!$B$10*(1+'Inputs-System'!$C$18))*'Inputs-Proposals'!$D$28*(VLOOKUP(BX$3,Capacity!$A$53:$E$85,4,FALSE)*(1+'Inputs-System'!$C$42)+VLOOKUP(BX$3,Capacity!$A$53:$E$85,5,FALSE)*'Inputs-System'!$C$29*(1+'Inputs-System'!$C$43)), $C40 = "0", 0), 0)</f>
        <v>0</v>
      </c>
      <c r="CB40" s="44">
        <v>0</v>
      </c>
      <c r="CC40" s="342">
        <f>IFERROR(_xlfn.IFS($C40="1", 'Inputs-System'!$C$30*'Coincidence Factors'!$B$10*'Inputs-Proposals'!$H$17*'Inputs-Proposals'!$H$19*(VLOOKUP(BX$3,'Non-Embedded Emissions'!$A$56:$D$90,2,FALSE)-VLOOKUP(BX$3,'Non-Embedded Emissions'!$F$57:$H$88,3,FALSE)+VLOOKUP(BX$3,'Non-Embedded Emissions'!$A$143:$D$174,2,FALSE)-VLOOKUP(BX$3,'Non-Embedded Emissions'!$F$143:$H$174,3,FALSE)+VLOOKUP(BX$3,'Non-Embedded Emissions'!$A$230:$D$259,2,FALSE)), $C40 = "2", 'Inputs-System'!$C$30*'Coincidence Factors'!$B$10*'Inputs-Proposals'!$H$23*'Inputs-Proposals'!$H$25*(VLOOKUP(BX$3,'Non-Embedded Emissions'!$A$56:$D$90,2,FALSE)-VLOOKUP(BX$3,'Non-Embedded Emissions'!$F$57:$H$88,3,FALSE)+VLOOKUP(BX$3,'Non-Embedded Emissions'!$A$143:$D$174,2,FALSE)-VLOOKUP(BX$3,'Non-Embedded Emissions'!$F$143:$H$174,3,FALSE)+VLOOKUP(BX$3,'Non-Embedded Emissions'!$A$230:$D$259,2,FALSE)), $C40 = "3", 'Inputs-System'!$C$30*'Coincidence Factors'!$B$10*'Inputs-Proposals'!$H$29*'Inputs-Proposals'!$H$31*(VLOOKUP(BX$3,'Non-Embedded Emissions'!$A$56:$D$90,2,FALSE)-VLOOKUP(BX$3,'Non-Embedded Emissions'!$F$57:$H$88,3,FALSE)+VLOOKUP(BX$3,'Non-Embedded Emissions'!$A$143:$D$174,2,FALSE)-VLOOKUP(BX$3,'Non-Embedded Emissions'!$F$143:$H$174,3,FALSE)+VLOOKUP(BX$3,'Non-Embedded Emissions'!$A$230:$D$259,2,FALSE)), $C40 = "0", 0), 0)</f>
        <v>0</v>
      </c>
      <c r="CD40" s="45">
        <f>IFERROR(_xlfn.IFS($C40="1",('Inputs-System'!$C$30*'Coincidence Factors'!$B$10*(1+'Inputs-System'!$C$18)*(1+'Inputs-System'!$C$41)*('Inputs-Proposals'!$H$17*'Inputs-Proposals'!$H$19*(1-'Inputs-Proposals'!$H$20^(CD$3-'Inputs-System'!$C$7)))*(VLOOKUP(CD$3,Energy!$A$51:$K$83,5,FALSE))), $C40 = "2",('Inputs-System'!$C$30*'Coincidence Factors'!$B$10)*(1+'Inputs-System'!$C$18)*(1+'Inputs-System'!$C$41)*('Inputs-Proposals'!$H$23*'Inputs-Proposals'!$H$25*(1-'Inputs-Proposals'!$H$26^(CD$3-'Inputs-System'!$C$7)))*(VLOOKUP(CD$3,Energy!$A$51:$K$83,5,FALSE)), $C40= "3", ('Inputs-System'!$C$30*'Coincidence Factors'!$B$10*(1+'Inputs-System'!$C$18)*(1+'Inputs-System'!$C$41)*('Inputs-Proposals'!$H$29*'Inputs-Proposals'!$H$31*(1-'Inputs-Proposals'!$H$32^(CD$3-'Inputs-System'!$C$7)))*(VLOOKUP(CD$3,Energy!$A$51:$K$83,5,FALSE))), $C40= "0", 0), 0)</f>
        <v>0</v>
      </c>
      <c r="CE40" s="44">
        <f>IFERROR(_xlfn.IFS($C40="1",('Inputs-System'!$C$30*'Coincidence Factors'!$B$10*(1+'Inputs-System'!$C$18)*(1+'Inputs-System'!$C$41))*'Inputs-Proposals'!$H$17*'Inputs-Proposals'!$H$19*(1-'Inputs-Proposals'!$H$20^(CD$3-'Inputs-System'!$C$7))*(VLOOKUP(CD$3,'Embedded Emissions'!$A$47:$B$78,2,FALSE)+VLOOKUP(CD$3,'Embedded Emissions'!$A$129:$B$158,2,FALSE)), $C40 = "2",('Inputs-System'!$C$30*'Coincidence Factors'!$B$10*(1+'Inputs-System'!$C$18)*(1+'Inputs-System'!$C$41))*'Inputs-Proposals'!$H$23*'Inputs-Proposals'!$H$25*(1-'Inputs-Proposals'!$H$20^(CD$3-'Inputs-System'!$C$7))*(VLOOKUP(CD$3,'Embedded Emissions'!$A$47:$B$78,2,FALSE)+VLOOKUP(CD$3,'Embedded Emissions'!$A$129:$B$158,2,FALSE)), $C40 = "3", ('Inputs-System'!$C$30*'Coincidence Factors'!$B$10*(1+'Inputs-System'!$C$18)*(1+'Inputs-System'!$C$41))*'Inputs-Proposals'!$H$29*'Inputs-Proposals'!$H$31*(1-'Inputs-Proposals'!$H$20^(CD$3-'Inputs-System'!$C$7))*(VLOOKUP(CD$3,'Embedded Emissions'!$A$47:$B$78,2,FALSE)+VLOOKUP(CD$3,'Embedded Emissions'!$A$129:$B$158,2,FALSE)), $C40 = "0", 0), 0)</f>
        <v>0</v>
      </c>
      <c r="CF40" s="44">
        <f>IFERROR(_xlfn.IFS($C40="1",( 'Inputs-System'!$C$30*'Coincidence Factors'!$B$10*(1+'Inputs-System'!$C$18)*(1+'Inputs-System'!$C$41))*('Inputs-Proposals'!$H$17*'Inputs-Proposals'!$H$19*(1-'Inputs-Proposals'!$H$20)^(CD$3-'Inputs-System'!$C$7))*(VLOOKUP(CD$3,DRIPE!$A$54:$I$82,5,FALSE)+VLOOKUP(CD$3,DRIPE!$A$54:$I$82,9,FALSE))+ ('Inputs-System'!$C$26*'Coincidence Factors'!$B$6*(1+'Inputs-System'!$C$18)*(1+'Inputs-System'!$C$42))*'Inputs-Proposals'!$H$16*VLOOKUP(CD$3,DRIPE!$A$54:$I$82,8,FALSE), $C40 = "2",( 'Inputs-System'!$C$30*'Coincidence Factors'!$B$10*(1+'Inputs-System'!$C$18)*(1+'Inputs-System'!$C$41))*('Inputs-Proposals'!$H$23*'Inputs-Proposals'!$H$25*(1-'Inputs-Proposals'!$H$26)^(CD$3-'Inputs-System'!$C$7))*(VLOOKUP(CD$3,DRIPE!$A$54:$I$82,5,FALSE)+VLOOKUP(CD$3,DRIPE!$A$54:$I$82,9,FALSE))+ ('Inputs-System'!$C$26*'Coincidence Factors'!$B$6*(1+'Inputs-System'!$C$18)*(1+'Inputs-System'!$C$42))*'Inputs-Proposals'!$H$22*VLOOKUP(CD$3,DRIPE!$A$54:$I$82,8,FALSE), $C40= "3", ( 'Inputs-System'!$C$30*'Coincidence Factors'!$B$10*(1+'Inputs-System'!$C$18)*(1+'Inputs-System'!$C$41))*('Inputs-Proposals'!$H$29*'Inputs-Proposals'!$H$31*(1-'Inputs-Proposals'!$H$32)^(CD$3-'Inputs-System'!$C$7))*(VLOOKUP(CD$3,DRIPE!$A$54:$I$82,5,FALSE)+VLOOKUP(CD$3,DRIPE!$A$54:$I$82,9,FALSE))+ ('Inputs-System'!$C$26*'Coincidence Factors'!$B$6*(1+'Inputs-System'!$C$18)*(1+'Inputs-System'!$C$42))*'Inputs-Proposals'!$H$28*VLOOKUP(CD$3,DRIPE!$A$54:$I$82,8,FALSE), $C40 = "0", 0), 0)</f>
        <v>0</v>
      </c>
      <c r="CG40" s="45">
        <f>IFERROR(_xlfn.IFS($C40="1",('Inputs-System'!$C$26*'Coincidence Factors'!$B$10*(1+'Inputs-System'!$C$18)*(1+'Inputs-System'!$C$42))*'Inputs-Proposals'!$D$16*(VLOOKUP(CD$3,Capacity!$A$53:$E$85,4,FALSE)*(1+'Inputs-System'!$C$42)+VLOOKUP(CD$3,Capacity!$A$53:$E$85,5,FALSE)*(1+'Inputs-System'!$C$43)*'Inputs-System'!$C$29), $C40 = "2", ('Inputs-System'!$C$26*'Coincidence Factors'!$B$10*(1+'Inputs-System'!$C$18))*'Inputs-Proposals'!$D$22*(VLOOKUP(CD$3,Capacity!$A$53:$E$85,4,FALSE)*(1+'Inputs-System'!$C$42)+VLOOKUP(CD$3,Capacity!$A$53:$E$85,5,FALSE)*'Inputs-System'!$C$29*(1+'Inputs-System'!$C$43)), $C40 = "3", ('Inputs-System'!$C$26*'Coincidence Factors'!$B$10*(1+'Inputs-System'!$C$18))*'Inputs-Proposals'!$D$28*(VLOOKUP(CD$3,Capacity!$A$53:$E$85,4,FALSE)*(1+'Inputs-System'!$C$42)+VLOOKUP(CD$3,Capacity!$A$53:$E$85,5,FALSE)*'Inputs-System'!$C$29*(1+'Inputs-System'!$C$43)), $C40 = "0", 0), 0)</f>
        <v>0</v>
      </c>
      <c r="CH40" s="44">
        <v>0</v>
      </c>
      <c r="CI40" s="342">
        <f>IFERROR(_xlfn.IFS($C40="1", 'Inputs-System'!$C$30*'Coincidence Factors'!$B$10*'Inputs-Proposals'!$H$17*'Inputs-Proposals'!$H$19*(VLOOKUP(CD$3,'Non-Embedded Emissions'!$A$56:$D$90,2,FALSE)-VLOOKUP(CD$3,'Non-Embedded Emissions'!$F$57:$H$88,3,FALSE)+VLOOKUP(CD$3,'Non-Embedded Emissions'!$A$143:$D$174,2,FALSE)-VLOOKUP(CD$3,'Non-Embedded Emissions'!$F$143:$H$174,3,FALSE)+VLOOKUP(CD$3,'Non-Embedded Emissions'!$A$230:$D$259,2,FALSE)), $C40 = "2", 'Inputs-System'!$C$30*'Coincidence Factors'!$B$10*'Inputs-Proposals'!$H$23*'Inputs-Proposals'!$H$25*(VLOOKUP(CD$3,'Non-Embedded Emissions'!$A$56:$D$90,2,FALSE)-VLOOKUP(CD$3,'Non-Embedded Emissions'!$F$57:$H$88,3,FALSE)+VLOOKUP(CD$3,'Non-Embedded Emissions'!$A$143:$D$174,2,FALSE)-VLOOKUP(CD$3,'Non-Embedded Emissions'!$F$143:$H$174,3,FALSE)+VLOOKUP(CD$3,'Non-Embedded Emissions'!$A$230:$D$259,2,FALSE)), $C40 = "3", 'Inputs-System'!$C$30*'Coincidence Factors'!$B$10*'Inputs-Proposals'!$H$29*'Inputs-Proposals'!$H$31*(VLOOKUP(CD$3,'Non-Embedded Emissions'!$A$56:$D$90,2,FALSE)-VLOOKUP(CD$3,'Non-Embedded Emissions'!$F$57:$H$88,3,FALSE)+VLOOKUP(CD$3,'Non-Embedded Emissions'!$A$143:$D$174,2,FALSE)-VLOOKUP(CD$3,'Non-Embedded Emissions'!$F$143:$H$174,3,FALSE)+VLOOKUP(CD$3,'Non-Embedded Emissions'!$A$230:$D$259,2,FALSE)), $C40 = "0", 0), 0)</f>
        <v>0</v>
      </c>
      <c r="CJ40" s="45">
        <f>IFERROR(_xlfn.IFS($C40="1",('Inputs-System'!$C$30*'Coincidence Factors'!$B$10*(1+'Inputs-System'!$C$18)*(1+'Inputs-System'!$C$41)*('Inputs-Proposals'!$H$17*'Inputs-Proposals'!$H$19*(1-'Inputs-Proposals'!$H$20^(CJ$3-'Inputs-System'!$C$7)))*(VLOOKUP(CJ$3,Energy!$A$51:$K$83,5,FALSE))), $C40 = "2",('Inputs-System'!$C$30*'Coincidence Factors'!$B$10)*(1+'Inputs-System'!$C$18)*(1+'Inputs-System'!$C$41)*('Inputs-Proposals'!$H$23*'Inputs-Proposals'!$H$25*(1-'Inputs-Proposals'!$H$26^(CJ$3-'Inputs-System'!$C$7)))*(VLOOKUP(CJ$3,Energy!$A$51:$K$83,5,FALSE)), $C40= "3", ('Inputs-System'!$C$30*'Coincidence Factors'!$B$10*(1+'Inputs-System'!$C$18)*(1+'Inputs-System'!$C$41)*('Inputs-Proposals'!$H$29*'Inputs-Proposals'!$H$31*(1-'Inputs-Proposals'!$H$32^(CJ$3-'Inputs-System'!$C$7)))*(VLOOKUP(CJ$3,Energy!$A$51:$K$83,5,FALSE))), $C40= "0", 0), 0)</f>
        <v>0</v>
      </c>
      <c r="CK40" s="44">
        <f>IFERROR(_xlfn.IFS($C40="1",('Inputs-System'!$C$30*'Coincidence Factors'!$B$10*(1+'Inputs-System'!$C$18)*(1+'Inputs-System'!$C$41))*'Inputs-Proposals'!$H$17*'Inputs-Proposals'!$H$19*(1-'Inputs-Proposals'!$H$20^(CJ$3-'Inputs-System'!$C$7))*(VLOOKUP(CJ$3,'Embedded Emissions'!$A$47:$B$78,2,FALSE)+VLOOKUP(CJ$3,'Embedded Emissions'!$A$129:$B$158,2,FALSE)), $C40 = "2",('Inputs-System'!$C$30*'Coincidence Factors'!$B$10*(1+'Inputs-System'!$C$18)*(1+'Inputs-System'!$C$41))*'Inputs-Proposals'!$H$23*'Inputs-Proposals'!$H$25*(1-'Inputs-Proposals'!$H$20^(CJ$3-'Inputs-System'!$C$7))*(VLOOKUP(CJ$3,'Embedded Emissions'!$A$47:$B$78,2,FALSE)+VLOOKUP(CJ$3,'Embedded Emissions'!$A$129:$B$158,2,FALSE)), $C40 = "3", ('Inputs-System'!$C$30*'Coincidence Factors'!$B$10*(1+'Inputs-System'!$C$18)*(1+'Inputs-System'!$C$41))*'Inputs-Proposals'!$H$29*'Inputs-Proposals'!$H$31*(1-'Inputs-Proposals'!$H$20^(CJ$3-'Inputs-System'!$C$7))*(VLOOKUP(CJ$3,'Embedded Emissions'!$A$47:$B$78,2,FALSE)+VLOOKUP(CJ$3,'Embedded Emissions'!$A$129:$B$158,2,FALSE)), $C40 = "0", 0), 0)</f>
        <v>0</v>
      </c>
      <c r="CL40" s="44">
        <f>IFERROR(_xlfn.IFS($C40="1",( 'Inputs-System'!$C$30*'Coincidence Factors'!$B$10*(1+'Inputs-System'!$C$18)*(1+'Inputs-System'!$C$41))*('Inputs-Proposals'!$H$17*'Inputs-Proposals'!$H$19*(1-'Inputs-Proposals'!$H$20)^(CJ$3-'Inputs-System'!$C$7))*(VLOOKUP(CJ$3,DRIPE!$A$54:$I$82,5,FALSE)+VLOOKUP(CJ$3,DRIPE!$A$54:$I$82,9,FALSE))+ ('Inputs-System'!$C$26*'Coincidence Factors'!$B$6*(1+'Inputs-System'!$C$18)*(1+'Inputs-System'!$C$42))*'Inputs-Proposals'!$H$16*VLOOKUP(CJ$3,DRIPE!$A$54:$I$82,8,FALSE), $C40 = "2",( 'Inputs-System'!$C$30*'Coincidence Factors'!$B$10*(1+'Inputs-System'!$C$18)*(1+'Inputs-System'!$C$41))*('Inputs-Proposals'!$H$23*'Inputs-Proposals'!$H$25*(1-'Inputs-Proposals'!$H$26)^(CJ$3-'Inputs-System'!$C$7))*(VLOOKUP(CJ$3,DRIPE!$A$54:$I$82,5,FALSE)+VLOOKUP(CJ$3,DRIPE!$A$54:$I$82,9,FALSE))+ ('Inputs-System'!$C$26*'Coincidence Factors'!$B$6*(1+'Inputs-System'!$C$18)*(1+'Inputs-System'!$C$42))*'Inputs-Proposals'!$H$22*VLOOKUP(CJ$3,DRIPE!$A$54:$I$82,8,FALSE), $C40= "3", ( 'Inputs-System'!$C$30*'Coincidence Factors'!$B$10*(1+'Inputs-System'!$C$18)*(1+'Inputs-System'!$C$41))*('Inputs-Proposals'!$H$29*'Inputs-Proposals'!$H$31*(1-'Inputs-Proposals'!$H$32)^(CJ$3-'Inputs-System'!$C$7))*(VLOOKUP(CJ$3,DRIPE!$A$54:$I$82,5,FALSE)+VLOOKUP(CJ$3,DRIPE!$A$54:$I$82,9,FALSE))+ ('Inputs-System'!$C$26*'Coincidence Factors'!$B$6*(1+'Inputs-System'!$C$18)*(1+'Inputs-System'!$C$42))*'Inputs-Proposals'!$H$28*VLOOKUP(CJ$3,DRIPE!$A$54:$I$82,8,FALSE), $C40 = "0", 0), 0)</f>
        <v>0</v>
      </c>
      <c r="CM40" s="45">
        <f>IFERROR(_xlfn.IFS($C40="1",('Inputs-System'!$C$26*'Coincidence Factors'!$B$10*(1+'Inputs-System'!$C$18)*(1+'Inputs-System'!$C$42))*'Inputs-Proposals'!$D$16*(VLOOKUP(CJ$3,Capacity!$A$53:$E$85,4,FALSE)*(1+'Inputs-System'!$C$42)+VLOOKUP(CJ$3,Capacity!$A$53:$E$85,5,FALSE)*(1+'Inputs-System'!$C$43)*'Inputs-System'!$C$29), $C40 = "2", ('Inputs-System'!$C$26*'Coincidence Factors'!$B$10*(1+'Inputs-System'!$C$18))*'Inputs-Proposals'!$D$22*(VLOOKUP(CJ$3,Capacity!$A$53:$E$85,4,FALSE)*(1+'Inputs-System'!$C$42)+VLOOKUP(CJ$3,Capacity!$A$53:$E$85,5,FALSE)*'Inputs-System'!$C$29*(1+'Inputs-System'!$C$43)), $C40 = "3", ('Inputs-System'!$C$26*'Coincidence Factors'!$B$10*(1+'Inputs-System'!$C$18))*'Inputs-Proposals'!$D$28*(VLOOKUP(CJ$3,Capacity!$A$53:$E$85,4,FALSE)*(1+'Inputs-System'!$C$42)+VLOOKUP(CJ$3,Capacity!$A$53:$E$85,5,FALSE)*'Inputs-System'!$C$29*(1+'Inputs-System'!$C$43)), $C40 = "0", 0), 0)</f>
        <v>0</v>
      </c>
      <c r="CN40" s="44">
        <v>0</v>
      </c>
      <c r="CO40" s="342">
        <f>IFERROR(_xlfn.IFS($C40="1", 'Inputs-System'!$C$30*'Coincidence Factors'!$B$10*'Inputs-Proposals'!$H$17*'Inputs-Proposals'!$H$19*(VLOOKUP(CJ$3,'Non-Embedded Emissions'!$A$56:$D$90,2,FALSE)-VLOOKUP(CJ$3,'Non-Embedded Emissions'!$F$57:$H$88,3,FALSE)+VLOOKUP(CJ$3,'Non-Embedded Emissions'!$A$143:$D$174,2,FALSE)-VLOOKUP(CJ$3,'Non-Embedded Emissions'!$F$143:$H$174,3,FALSE)+VLOOKUP(CJ$3,'Non-Embedded Emissions'!$A$230:$D$259,2,FALSE)), $C40 = "2", 'Inputs-System'!$C$30*'Coincidence Factors'!$B$10*'Inputs-Proposals'!$H$23*'Inputs-Proposals'!$H$25*(VLOOKUP(CJ$3,'Non-Embedded Emissions'!$A$56:$D$90,2,FALSE)-VLOOKUP(CJ$3,'Non-Embedded Emissions'!$F$57:$H$88,3,FALSE)+VLOOKUP(CJ$3,'Non-Embedded Emissions'!$A$143:$D$174,2,FALSE)-VLOOKUP(CJ$3,'Non-Embedded Emissions'!$F$143:$H$174,3,FALSE)+VLOOKUP(CJ$3,'Non-Embedded Emissions'!$A$230:$D$259,2,FALSE)), $C40 = "3", 'Inputs-System'!$C$30*'Coincidence Factors'!$B$10*'Inputs-Proposals'!$H$29*'Inputs-Proposals'!$H$31*(VLOOKUP(CJ$3,'Non-Embedded Emissions'!$A$56:$D$90,2,FALSE)-VLOOKUP(CJ$3,'Non-Embedded Emissions'!$F$57:$H$88,3,FALSE)+VLOOKUP(CJ$3,'Non-Embedded Emissions'!$A$143:$D$174,2,FALSE)-VLOOKUP(CJ$3,'Non-Embedded Emissions'!$F$143:$H$174,3,FALSE)+VLOOKUP(CJ$3,'Non-Embedded Emissions'!$A$230:$D$259,2,FALSE)), $C40 = "0", 0), 0)</f>
        <v>0</v>
      </c>
      <c r="CP40" s="45">
        <f>IFERROR(_xlfn.IFS($C40="1",('Inputs-System'!$C$30*'Coincidence Factors'!$B$10*(1+'Inputs-System'!$C$18)*(1+'Inputs-System'!$C$41)*('Inputs-Proposals'!$H$17*'Inputs-Proposals'!$H$19*(1-'Inputs-Proposals'!$H$20^(CP$3-'Inputs-System'!$C$7)))*(VLOOKUP(CP$3,Energy!$A$51:$K$83,5,FALSE))), $C40 = "2",('Inputs-System'!$C$30*'Coincidence Factors'!$B$10)*(1+'Inputs-System'!$C$18)*(1+'Inputs-System'!$C$41)*('Inputs-Proposals'!$H$23*'Inputs-Proposals'!$H$25*(1-'Inputs-Proposals'!$H$26^(CP$3-'Inputs-System'!$C$7)))*(VLOOKUP(CP$3,Energy!$A$51:$K$83,5,FALSE)), $C40= "3", ('Inputs-System'!$C$30*'Coincidence Factors'!$B$10*(1+'Inputs-System'!$C$18)*(1+'Inputs-System'!$C$41)*('Inputs-Proposals'!$H$29*'Inputs-Proposals'!$H$31*(1-'Inputs-Proposals'!$H$32^(CP$3-'Inputs-System'!$C$7)))*(VLOOKUP(CP$3,Energy!$A$51:$K$83,5,FALSE))), $C40= "0", 0), 0)</f>
        <v>0</v>
      </c>
      <c r="CQ40" s="44">
        <f>IFERROR(_xlfn.IFS($C40="1",('Inputs-System'!$C$30*'Coincidence Factors'!$B$10*(1+'Inputs-System'!$C$18)*(1+'Inputs-System'!$C$41))*'Inputs-Proposals'!$H$17*'Inputs-Proposals'!$H$19*(1-'Inputs-Proposals'!$H$20^(CP$3-'Inputs-System'!$C$7))*(VLOOKUP(CP$3,'Embedded Emissions'!$A$47:$B$78,2,FALSE)+VLOOKUP(CP$3,'Embedded Emissions'!$A$129:$B$158,2,FALSE)), $C40 = "2",('Inputs-System'!$C$30*'Coincidence Factors'!$B$10*(1+'Inputs-System'!$C$18)*(1+'Inputs-System'!$C$41))*'Inputs-Proposals'!$H$23*'Inputs-Proposals'!$H$25*(1-'Inputs-Proposals'!$H$20^(CP$3-'Inputs-System'!$C$7))*(VLOOKUP(CP$3,'Embedded Emissions'!$A$47:$B$78,2,FALSE)+VLOOKUP(CP$3,'Embedded Emissions'!$A$129:$B$158,2,FALSE)), $C40 = "3", ('Inputs-System'!$C$30*'Coincidence Factors'!$B$10*(1+'Inputs-System'!$C$18)*(1+'Inputs-System'!$C$41))*'Inputs-Proposals'!$H$29*'Inputs-Proposals'!$H$31*(1-'Inputs-Proposals'!$H$20^(CP$3-'Inputs-System'!$C$7))*(VLOOKUP(CP$3,'Embedded Emissions'!$A$47:$B$78,2,FALSE)+VLOOKUP(CP$3,'Embedded Emissions'!$A$129:$B$158,2,FALSE)), $C40 = "0", 0), 0)</f>
        <v>0</v>
      </c>
      <c r="CR40" s="44">
        <f>IFERROR(_xlfn.IFS($C40="1",( 'Inputs-System'!$C$30*'Coincidence Factors'!$B$10*(1+'Inputs-System'!$C$18)*(1+'Inputs-System'!$C$41))*('Inputs-Proposals'!$H$17*'Inputs-Proposals'!$H$19*(1-'Inputs-Proposals'!$H$20)^(CP$3-'Inputs-System'!$C$7))*(VLOOKUP(CP$3,DRIPE!$A$54:$I$82,5,FALSE)+VLOOKUP(CP$3,DRIPE!$A$54:$I$82,9,FALSE))+ ('Inputs-System'!$C$26*'Coincidence Factors'!$B$6*(1+'Inputs-System'!$C$18)*(1+'Inputs-System'!$C$42))*'Inputs-Proposals'!$H$16*VLOOKUP(CP$3,DRIPE!$A$54:$I$82,8,FALSE), $C40 = "2",( 'Inputs-System'!$C$30*'Coincidence Factors'!$B$10*(1+'Inputs-System'!$C$18)*(1+'Inputs-System'!$C$41))*('Inputs-Proposals'!$H$23*'Inputs-Proposals'!$H$25*(1-'Inputs-Proposals'!$H$26)^(CP$3-'Inputs-System'!$C$7))*(VLOOKUP(CP$3,DRIPE!$A$54:$I$82,5,FALSE)+VLOOKUP(CP$3,DRIPE!$A$54:$I$82,9,FALSE))+ ('Inputs-System'!$C$26*'Coincidence Factors'!$B$6*(1+'Inputs-System'!$C$18)*(1+'Inputs-System'!$C$42))*'Inputs-Proposals'!$H$22*VLOOKUP(CP$3,DRIPE!$A$54:$I$82,8,FALSE), $C40= "3", ( 'Inputs-System'!$C$30*'Coincidence Factors'!$B$10*(1+'Inputs-System'!$C$18)*(1+'Inputs-System'!$C$41))*('Inputs-Proposals'!$H$29*'Inputs-Proposals'!$H$31*(1-'Inputs-Proposals'!$H$32)^(CP$3-'Inputs-System'!$C$7))*(VLOOKUP(CP$3,DRIPE!$A$54:$I$82,5,FALSE)+VLOOKUP(CP$3,DRIPE!$A$54:$I$82,9,FALSE))+ ('Inputs-System'!$C$26*'Coincidence Factors'!$B$6*(1+'Inputs-System'!$C$18)*(1+'Inputs-System'!$C$42))*'Inputs-Proposals'!$H$28*VLOOKUP(CP$3,DRIPE!$A$54:$I$82,8,FALSE), $C40 = "0", 0), 0)</f>
        <v>0</v>
      </c>
      <c r="CS40" s="45">
        <f>IFERROR(_xlfn.IFS($C40="1",('Inputs-System'!$C$26*'Coincidence Factors'!$B$10*(1+'Inputs-System'!$C$18)*(1+'Inputs-System'!$C$42))*'Inputs-Proposals'!$D$16*(VLOOKUP(CP$3,Capacity!$A$53:$E$85,4,FALSE)*(1+'Inputs-System'!$C$42)+VLOOKUP(CP$3,Capacity!$A$53:$E$85,5,FALSE)*(1+'Inputs-System'!$C$43)*'Inputs-System'!$C$29), $C40 = "2", ('Inputs-System'!$C$26*'Coincidence Factors'!$B$10*(1+'Inputs-System'!$C$18))*'Inputs-Proposals'!$D$22*(VLOOKUP(CP$3,Capacity!$A$53:$E$85,4,FALSE)*(1+'Inputs-System'!$C$42)+VLOOKUP(CP$3,Capacity!$A$53:$E$85,5,FALSE)*'Inputs-System'!$C$29*(1+'Inputs-System'!$C$43)), $C40 = "3", ('Inputs-System'!$C$26*'Coincidence Factors'!$B$10*(1+'Inputs-System'!$C$18))*'Inputs-Proposals'!$D$28*(VLOOKUP(CP$3,Capacity!$A$53:$E$85,4,FALSE)*(1+'Inputs-System'!$C$42)+VLOOKUP(CP$3,Capacity!$A$53:$E$85,5,FALSE)*'Inputs-System'!$C$29*(1+'Inputs-System'!$C$43)), $C40 = "0", 0), 0)</f>
        <v>0</v>
      </c>
      <c r="CT40" s="44">
        <v>0</v>
      </c>
      <c r="CU40" s="342">
        <f>IFERROR(_xlfn.IFS($C40="1", 'Inputs-System'!$C$30*'Coincidence Factors'!$B$10*'Inputs-Proposals'!$H$17*'Inputs-Proposals'!$H$19*(VLOOKUP(CP$3,'Non-Embedded Emissions'!$A$56:$D$90,2,FALSE)-VLOOKUP(CP$3,'Non-Embedded Emissions'!$F$57:$H$88,3,FALSE)+VLOOKUP(CP$3,'Non-Embedded Emissions'!$A$143:$D$174,2,FALSE)-VLOOKUP(CP$3,'Non-Embedded Emissions'!$F$143:$H$174,3,FALSE)+VLOOKUP(CP$3,'Non-Embedded Emissions'!$A$230:$D$259,2,FALSE)), $C40 = "2", 'Inputs-System'!$C$30*'Coincidence Factors'!$B$10*'Inputs-Proposals'!$H$23*'Inputs-Proposals'!$H$25*(VLOOKUP(CP$3,'Non-Embedded Emissions'!$A$56:$D$90,2,FALSE)-VLOOKUP(CP$3,'Non-Embedded Emissions'!$F$57:$H$88,3,FALSE)+VLOOKUP(CP$3,'Non-Embedded Emissions'!$A$143:$D$174,2,FALSE)-VLOOKUP(CP$3,'Non-Embedded Emissions'!$F$143:$H$174,3,FALSE)+VLOOKUP(CP$3,'Non-Embedded Emissions'!$A$230:$D$259,2,FALSE)), $C40 = "3", 'Inputs-System'!$C$30*'Coincidence Factors'!$B$10*'Inputs-Proposals'!$H$29*'Inputs-Proposals'!$H$31*(VLOOKUP(CP$3,'Non-Embedded Emissions'!$A$56:$D$90,2,FALSE)-VLOOKUP(CP$3,'Non-Embedded Emissions'!$F$57:$H$88,3,FALSE)+VLOOKUP(CP$3,'Non-Embedded Emissions'!$A$143:$D$174,2,FALSE)-VLOOKUP(CP$3,'Non-Embedded Emissions'!$F$143:$H$174,3,FALSE)+VLOOKUP(CP$3,'Non-Embedded Emissions'!$A$230:$D$259,2,FALSE)), $C40 = "0", 0), 0)</f>
        <v>0</v>
      </c>
      <c r="CV40" s="45">
        <f>IFERROR(_xlfn.IFS($C40="1",('Inputs-System'!$C$30*'Coincidence Factors'!$B$10*(1+'Inputs-System'!$C$18)*(1+'Inputs-System'!$C$41)*('Inputs-Proposals'!$H$17*'Inputs-Proposals'!$H$19*(1-'Inputs-Proposals'!$H$20^(CV$3-'Inputs-System'!$C$7)))*(VLOOKUP(CV$3,Energy!$A$51:$K$83,5,FALSE))), $C40 = "2",('Inputs-System'!$C$30*'Coincidence Factors'!$B$10)*(1+'Inputs-System'!$C$18)*(1+'Inputs-System'!$C$41)*('Inputs-Proposals'!$H$23*'Inputs-Proposals'!$H$25*(1-'Inputs-Proposals'!$H$26^(CV$3-'Inputs-System'!$C$7)))*(VLOOKUP(CV$3,Energy!$A$51:$K$83,5,FALSE)), $C40= "3", ('Inputs-System'!$C$30*'Coincidence Factors'!$B$10*(1+'Inputs-System'!$C$18)*(1+'Inputs-System'!$C$41)*('Inputs-Proposals'!$H$29*'Inputs-Proposals'!$H$31*(1-'Inputs-Proposals'!$H$32^(CV$3-'Inputs-System'!$C$7)))*(VLOOKUP(CV$3,Energy!$A$51:$K$83,5,FALSE))), $C40= "0", 0), 0)</f>
        <v>0</v>
      </c>
      <c r="CW40" s="44">
        <f>IFERROR(_xlfn.IFS($C40="1",('Inputs-System'!$C$30*'Coincidence Factors'!$B$10*(1+'Inputs-System'!$C$18)*(1+'Inputs-System'!$C$41))*'Inputs-Proposals'!$H$17*'Inputs-Proposals'!$H$19*(1-'Inputs-Proposals'!$H$20^(CV$3-'Inputs-System'!$C$7))*(VLOOKUP(CV$3,'Embedded Emissions'!$A$47:$B$78,2,FALSE)+VLOOKUP(CV$3,'Embedded Emissions'!$A$129:$B$158,2,FALSE)), $C40 = "2",('Inputs-System'!$C$30*'Coincidence Factors'!$B$10*(1+'Inputs-System'!$C$18)*(1+'Inputs-System'!$C$41))*'Inputs-Proposals'!$H$23*'Inputs-Proposals'!$H$25*(1-'Inputs-Proposals'!$H$20^(CV$3-'Inputs-System'!$C$7))*(VLOOKUP(CV$3,'Embedded Emissions'!$A$47:$B$78,2,FALSE)+VLOOKUP(CV$3,'Embedded Emissions'!$A$129:$B$158,2,FALSE)), $C40 = "3", ('Inputs-System'!$C$30*'Coincidence Factors'!$B$10*(1+'Inputs-System'!$C$18)*(1+'Inputs-System'!$C$41))*'Inputs-Proposals'!$H$29*'Inputs-Proposals'!$H$31*(1-'Inputs-Proposals'!$H$20^(CV$3-'Inputs-System'!$C$7))*(VLOOKUP(CV$3,'Embedded Emissions'!$A$47:$B$78,2,FALSE)+VLOOKUP(CV$3,'Embedded Emissions'!$A$129:$B$158,2,FALSE)), $C40 = "0", 0), 0)</f>
        <v>0</v>
      </c>
      <c r="CX40" s="44">
        <f>IFERROR(_xlfn.IFS($C40="1",( 'Inputs-System'!$C$30*'Coincidence Factors'!$B$10*(1+'Inputs-System'!$C$18)*(1+'Inputs-System'!$C$41))*('Inputs-Proposals'!$H$17*'Inputs-Proposals'!$H$19*(1-'Inputs-Proposals'!$H$20)^(CV$3-'Inputs-System'!$C$7))*(VLOOKUP(CV$3,DRIPE!$A$54:$I$82,5,FALSE)+VLOOKUP(CV$3,DRIPE!$A$54:$I$82,9,FALSE))+ ('Inputs-System'!$C$26*'Coincidence Factors'!$B$6*(1+'Inputs-System'!$C$18)*(1+'Inputs-System'!$C$42))*'Inputs-Proposals'!$H$16*VLOOKUP(CV$3,DRIPE!$A$54:$I$82,8,FALSE), $C40 = "2",( 'Inputs-System'!$C$30*'Coincidence Factors'!$B$10*(1+'Inputs-System'!$C$18)*(1+'Inputs-System'!$C$41))*('Inputs-Proposals'!$H$23*'Inputs-Proposals'!$H$25*(1-'Inputs-Proposals'!$H$26)^(CV$3-'Inputs-System'!$C$7))*(VLOOKUP(CV$3,DRIPE!$A$54:$I$82,5,FALSE)+VLOOKUP(CV$3,DRIPE!$A$54:$I$82,9,FALSE))+ ('Inputs-System'!$C$26*'Coincidence Factors'!$B$6*(1+'Inputs-System'!$C$18)*(1+'Inputs-System'!$C$42))*'Inputs-Proposals'!$H$22*VLOOKUP(CV$3,DRIPE!$A$54:$I$82,8,FALSE), $C40= "3", ( 'Inputs-System'!$C$30*'Coincidence Factors'!$B$10*(1+'Inputs-System'!$C$18)*(1+'Inputs-System'!$C$41))*('Inputs-Proposals'!$H$29*'Inputs-Proposals'!$H$31*(1-'Inputs-Proposals'!$H$32)^(CV$3-'Inputs-System'!$C$7))*(VLOOKUP(CV$3,DRIPE!$A$54:$I$82,5,FALSE)+VLOOKUP(CV$3,DRIPE!$A$54:$I$82,9,FALSE))+ ('Inputs-System'!$C$26*'Coincidence Factors'!$B$6*(1+'Inputs-System'!$C$18)*(1+'Inputs-System'!$C$42))*'Inputs-Proposals'!$H$28*VLOOKUP(CV$3,DRIPE!$A$54:$I$82,8,FALSE), $C40 = "0", 0), 0)</f>
        <v>0</v>
      </c>
      <c r="CY40" s="45">
        <f>IFERROR(_xlfn.IFS($C40="1",('Inputs-System'!$C$26*'Coincidence Factors'!$B$10*(1+'Inputs-System'!$C$18)*(1+'Inputs-System'!$C$42))*'Inputs-Proposals'!$D$16*(VLOOKUP(CV$3,Capacity!$A$53:$E$85,4,FALSE)*(1+'Inputs-System'!$C$42)+VLOOKUP(CV$3,Capacity!$A$53:$E$85,5,FALSE)*(1+'Inputs-System'!$C$43)*'Inputs-System'!$C$29), $C40 = "2", ('Inputs-System'!$C$26*'Coincidence Factors'!$B$10*(1+'Inputs-System'!$C$18))*'Inputs-Proposals'!$D$22*(VLOOKUP(CV$3,Capacity!$A$53:$E$85,4,FALSE)*(1+'Inputs-System'!$C$42)+VLOOKUP(CV$3,Capacity!$A$53:$E$85,5,FALSE)*'Inputs-System'!$C$29*(1+'Inputs-System'!$C$43)), $C40 = "3", ('Inputs-System'!$C$26*'Coincidence Factors'!$B$10*(1+'Inputs-System'!$C$18))*'Inputs-Proposals'!$D$28*(VLOOKUP(CV$3,Capacity!$A$53:$E$85,4,FALSE)*(1+'Inputs-System'!$C$42)+VLOOKUP(CV$3,Capacity!$A$53:$E$85,5,FALSE)*'Inputs-System'!$C$29*(1+'Inputs-System'!$C$43)), $C40 = "0", 0), 0)</f>
        <v>0</v>
      </c>
      <c r="CZ40" s="44">
        <v>0</v>
      </c>
      <c r="DA40" s="342">
        <f>IFERROR(_xlfn.IFS($C40="1", 'Inputs-System'!$C$30*'Coincidence Factors'!$B$10*'Inputs-Proposals'!$H$17*'Inputs-Proposals'!$H$19*(VLOOKUP(CV$3,'Non-Embedded Emissions'!$A$56:$D$90,2,FALSE)-VLOOKUP(CV$3,'Non-Embedded Emissions'!$F$57:$H$88,3,FALSE)+VLOOKUP(CV$3,'Non-Embedded Emissions'!$A$143:$D$174,2,FALSE)-VLOOKUP(CV$3,'Non-Embedded Emissions'!$F$143:$H$174,3,FALSE)+VLOOKUP(CV$3,'Non-Embedded Emissions'!$A$230:$D$259,2,FALSE)), $C40 = "2", 'Inputs-System'!$C$30*'Coincidence Factors'!$B$10*'Inputs-Proposals'!$H$23*'Inputs-Proposals'!$H$25*(VLOOKUP(CV$3,'Non-Embedded Emissions'!$A$56:$D$90,2,FALSE)-VLOOKUP(CV$3,'Non-Embedded Emissions'!$F$57:$H$88,3,FALSE)+VLOOKUP(CV$3,'Non-Embedded Emissions'!$A$143:$D$174,2,FALSE)-VLOOKUP(CV$3,'Non-Embedded Emissions'!$F$143:$H$174,3,FALSE)+VLOOKUP(CV$3,'Non-Embedded Emissions'!$A$230:$D$259,2,FALSE)), $C40 = "3", 'Inputs-System'!$C$30*'Coincidence Factors'!$B$10*'Inputs-Proposals'!$H$29*'Inputs-Proposals'!$H$31*(VLOOKUP(CV$3,'Non-Embedded Emissions'!$A$56:$D$90,2,FALSE)-VLOOKUP(CV$3,'Non-Embedded Emissions'!$F$57:$H$88,3,FALSE)+VLOOKUP(CV$3,'Non-Embedded Emissions'!$A$143:$D$174,2,FALSE)-VLOOKUP(CV$3,'Non-Embedded Emissions'!$F$143:$H$174,3,FALSE)+VLOOKUP(CV$3,'Non-Embedded Emissions'!$A$230:$D$259,2,FALSE)), $C40 = "0", 0), 0)</f>
        <v>0</v>
      </c>
      <c r="DB40" s="45">
        <f>IFERROR(_xlfn.IFS($C40="1",('Inputs-System'!$C$30*'Coincidence Factors'!$B$10*(1+'Inputs-System'!$C$18)*(1+'Inputs-System'!$C$41)*('Inputs-Proposals'!$H$17*'Inputs-Proposals'!$H$19*(1-'Inputs-Proposals'!$H$20^(DB$3-'Inputs-System'!$C$7)))*(VLOOKUP(DB$3,Energy!$A$51:$K$83,5,FALSE))), $C40 = "2",('Inputs-System'!$C$30*'Coincidence Factors'!$B$10)*(1+'Inputs-System'!$C$18)*(1+'Inputs-System'!$C$41)*('Inputs-Proposals'!$H$23*'Inputs-Proposals'!$H$25*(1-'Inputs-Proposals'!$H$26^(DB$3-'Inputs-System'!$C$7)))*(VLOOKUP(DB$3,Energy!$A$51:$K$83,5,FALSE)), $C40= "3", ('Inputs-System'!$C$30*'Coincidence Factors'!$B$10*(1+'Inputs-System'!$C$18)*(1+'Inputs-System'!$C$41)*('Inputs-Proposals'!$H$29*'Inputs-Proposals'!$H$31*(1-'Inputs-Proposals'!$H$32^(DB$3-'Inputs-System'!$C$7)))*(VLOOKUP(DB$3,Energy!$A$51:$K$83,5,FALSE))), $C40= "0", 0), 0)</f>
        <v>0</v>
      </c>
      <c r="DC40" s="44">
        <f>IFERROR(_xlfn.IFS($C40="1",('Inputs-System'!$C$30*'Coincidence Factors'!$B$10*(1+'Inputs-System'!$C$18)*(1+'Inputs-System'!$C$41))*'Inputs-Proposals'!$H$17*'Inputs-Proposals'!$H$19*(1-'Inputs-Proposals'!$H$20^(DB$3-'Inputs-System'!$C$7))*(VLOOKUP(DB$3,'Embedded Emissions'!$A$47:$B$78,2,FALSE)+VLOOKUP(DB$3,'Embedded Emissions'!$A$129:$B$158,2,FALSE)), $C40 = "2",('Inputs-System'!$C$30*'Coincidence Factors'!$B$10*(1+'Inputs-System'!$C$18)*(1+'Inputs-System'!$C$41))*'Inputs-Proposals'!$H$23*'Inputs-Proposals'!$H$25*(1-'Inputs-Proposals'!$H$20^(DB$3-'Inputs-System'!$C$7))*(VLOOKUP(DB$3,'Embedded Emissions'!$A$47:$B$78,2,FALSE)+VLOOKUP(DB$3,'Embedded Emissions'!$A$129:$B$158,2,FALSE)), $C40 = "3", ('Inputs-System'!$C$30*'Coincidence Factors'!$B$10*(1+'Inputs-System'!$C$18)*(1+'Inputs-System'!$C$41))*'Inputs-Proposals'!$H$29*'Inputs-Proposals'!$H$31*(1-'Inputs-Proposals'!$H$20^(DB$3-'Inputs-System'!$C$7))*(VLOOKUP(DB$3,'Embedded Emissions'!$A$47:$B$78,2,FALSE)+VLOOKUP(DB$3,'Embedded Emissions'!$A$129:$B$158,2,FALSE)), $C40 = "0", 0), 0)</f>
        <v>0</v>
      </c>
      <c r="DD40" s="44">
        <f>IFERROR(_xlfn.IFS($C40="1",( 'Inputs-System'!$C$30*'Coincidence Factors'!$B$10*(1+'Inputs-System'!$C$18)*(1+'Inputs-System'!$C$41))*('Inputs-Proposals'!$H$17*'Inputs-Proposals'!$H$19*(1-'Inputs-Proposals'!$H$20)^(DB$3-'Inputs-System'!$C$7))*(VLOOKUP(DB$3,DRIPE!$A$54:$I$82,5,FALSE)+VLOOKUP(DB$3,DRIPE!$A$54:$I$82,9,FALSE))+ ('Inputs-System'!$C$26*'Coincidence Factors'!$B$6*(1+'Inputs-System'!$C$18)*(1+'Inputs-System'!$C$42))*'Inputs-Proposals'!$H$16*VLOOKUP(DB$3,DRIPE!$A$54:$I$82,8,FALSE), $C40 = "2",( 'Inputs-System'!$C$30*'Coincidence Factors'!$B$10*(1+'Inputs-System'!$C$18)*(1+'Inputs-System'!$C$41))*('Inputs-Proposals'!$H$23*'Inputs-Proposals'!$H$25*(1-'Inputs-Proposals'!$H$26)^(DB$3-'Inputs-System'!$C$7))*(VLOOKUP(DB$3,DRIPE!$A$54:$I$82,5,FALSE)+VLOOKUP(DB$3,DRIPE!$A$54:$I$82,9,FALSE))+ ('Inputs-System'!$C$26*'Coincidence Factors'!$B$6*(1+'Inputs-System'!$C$18)*(1+'Inputs-System'!$C$42))*'Inputs-Proposals'!$H$22*VLOOKUP(DB$3,DRIPE!$A$54:$I$82,8,FALSE), $C40= "3", ( 'Inputs-System'!$C$30*'Coincidence Factors'!$B$10*(1+'Inputs-System'!$C$18)*(1+'Inputs-System'!$C$41))*('Inputs-Proposals'!$H$29*'Inputs-Proposals'!$H$31*(1-'Inputs-Proposals'!$H$32)^(DB$3-'Inputs-System'!$C$7))*(VLOOKUP(DB$3,DRIPE!$A$54:$I$82,5,FALSE)+VLOOKUP(DB$3,DRIPE!$A$54:$I$82,9,FALSE))+ ('Inputs-System'!$C$26*'Coincidence Factors'!$B$6*(1+'Inputs-System'!$C$18)*(1+'Inputs-System'!$C$42))*'Inputs-Proposals'!$H$28*VLOOKUP(DB$3,DRIPE!$A$54:$I$82,8,FALSE), $C40 = "0", 0), 0)</f>
        <v>0</v>
      </c>
      <c r="DE40" s="45">
        <f>IFERROR(_xlfn.IFS($C40="1",('Inputs-System'!$C$26*'Coincidence Factors'!$B$10*(1+'Inputs-System'!$C$18)*(1+'Inputs-System'!$C$42))*'Inputs-Proposals'!$D$16*(VLOOKUP(DB$3,Capacity!$A$53:$E$85,4,FALSE)*(1+'Inputs-System'!$C$42)+VLOOKUP(DB$3,Capacity!$A$53:$E$85,5,FALSE)*(1+'Inputs-System'!$C$43)*'Inputs-System'!$C$29), $C40 = "2", ('Inputs-System'!$C$26*'Coincidence Factors'!$B$10*(1+'Inputs-System'!$C$18))*'Inputs-Proposals'!$D$22*(VLOOKUP(DB$3,Capacity!$A$53:$E$85,4,FALSE)*(1+'Inputs-System'!$C$42)+VLOOKUP(DB$3,Capacity!$A$53:$E$85,5,FALSE)*'Inputs-System'!$C$29*(1+'Inputs-System'!$C$43)), $C40 = "3", ('Inputs-System'!$C$26*'Coincidence Factors'!$B$10*(1+'Inputs-System'!$C$18))*'Inputs-Proposals'!$D$28*(VLOOKUP(DB$3,Capacity!$A$53:$E$85,4,FALSE)*(1+'Inputs-System'!$C$42)+VLOOKUP(DB$3,Capacity!$A$53:$E$85,5,FALSE)*'Inputs-System'!$C$29*(1+'Inputs-System'!$C$43)), $C40 = "0", 0), 0)</f>
        <v>0</v>
      </c>
      <c r="DF40" s="44">
        <v>0</v>
      </c>
      <c r="DG40" s="342">
        <f>IFERROR(_xlfn.IFS($C40="1", 'Inputs-System'!$C$30*'Coincidence Factors'!$B$10*'Inputs-Proposals'!$H$17*'Inputs-Proposals'!$H$19*(VLOOKUP(DB$3,'Non-Embedded Emissions'!$A$56:$D$90,2,FALSE)-VLOOKUP(DB$3,'Non-Embedded Emissions'!$F$57:$H$88,3,FALSE)+VLOOKUP(DB$3,'Non-Embedded Emissions'!$A$143:$D$174,2,FALSE)-VLOOKUP(DB$3,'Non-Embedded Emissions'!$F$143:$H$174,3,FALSE)+VLOOKUP(DB$3,'Non-Embedded Emissions'!$A$230:$D$259,2,FALSE)), $C40 = "2", 'Inputs-System'!$C$30*'Coincidence Factors'!$B$10*'Inputs-Proposals'!$H$23*'Inputs-Proposals'!$H$25*(VLOOKUP(DB$3,'Non-Embedded Emissions'!$A$56:$D$90,2,FALSE)-VLOOKUP(DB$3,'Non-Embedded Emissions'!$F$57:$H$88,3,FALSE)+VLOOKUP(DB$3,'Non-Embedded Emissions'!$A$143:$D$174,2,FALSE)-VLOOKUP(DB$3,'Non-Embedded Emissions'!$F$143:$H$174,3,FALSE)+VLOOKUP(DB$3,'Non-Embedded Emissions'!$A$230:$D$259,2,FALSE)), $C40 = "3", 'Inputs-System'!$C$30*'Coincidence Factors'!$B$10*'Inputs-Proposals'!$H$29*'Inputs-Proposals'!$H$31*(VLOOKUP(DB$3,'Non-Embedded Emissions'!$A$56:$D$90,2,FALSE)-VLOOKUP(DB$3,'Non-Embedded Emissions'!$F$57:$H$88,3,FALSE)+VLOOKUP(DB$3,'Non-Embedded Emissions'!$A$143:$D$174,2,FALSE)-VLOOKUP(DB$3,'Non-Embedded Emissions'!$F$143:$H$174,3,FALSE)+VLOOKUP(DB$3,'Non-Embedded Emissions'!$A$230:$D$259,2,FALSE)), $C40 = "0", 0), 0)</f>
        <v>0</v>
      </c>
      <c r="DH40" s="45">
        <f>IFERROR(_xlfn.IFS($C40="1",('Inputs-System'!$C$30*'Coincidence Factors'!$B$10*(1+'Inputs-System'!$C$18)*(1+'Inputs-System'!$C$41)*('Inputs-Proposals'!$H$17*'Inputs-Proposals'!$H$19*(1-'Inputs-Proposals'!$H$20^(DH$3-'Inputs-System'!$C$7)))*(VLOOKUP(DH$3,Energy!$A$51:$K$83,5,FALSE))), $C40 = "2",('Inputs-System'!$C$30*'Coincidence Factors'!$B$10)*(1+'Inputs-System'!$C$18)*(1+'Inputs-System'!$C$41)*('Inputs-Proposals'!$H$23*'Inputs-Proposals'!$H$25*(1-'Inputs-Proposals'!$H$26^(DH$3-'Inputs-System'!$C$7)))*(VLOOKUP(DH$3,Energy!$A$51:$K$83,5,FALSE)), $C40= "3", ('Inputs-System'!$C$30*'Coincidence Factors'!$B$10*(1+'Inputs-System'!$C$18)*(1+'Inputs-System'!$C$41)*('Inputs-Proposals'!$H$29*'Inputs-Proposals'!$H$31*(1-'Inputs-Proposals'!$H$32^(DH$3-'Inputs-System'!$C$7)))*(VLOOKUP(DH$3,Energy!$A$51:$K$83,5,FALSE))), $C40= "0", 0), 0)</f>
        <v>0</v>
      </c>
      <c r="DI40" s="44">
        <f>IFERROR(_xlfn.IFS($C40="1",('Inputs-System'!$C$30*'Coincidence Factors'!$B$10*(1+'Inputs-System'!$C$18)*(1+'Inputs-System'!$C$41))*'Inputs-Proposals'!$H$17*'Inputs-Proposals'!$H$19*(1-'Inputs-Proposals'!$H$20^(DH$3-'Inputs-System'!$C$7))*(VLOOKUP(DH$3,'Embedded Emissions'!$A$47:$B$78,2,FALSE)+VLOOKUP(DH$3,'Embedded Emissions'!$A$129:$B$158,2,FALSE)), $C40 = "2",('Inputs-System'!$C$30*'Coincidence Factors'!$B$10*(1+'Inputs-System'!$C$18)*(1+'Inputs-System'!$C$41))*'Inputs-Proposals'!$H$23*'Inputs-Proposals'!$H$25*(1-'Inputs-Proposals'!$H$20^(DH$3-'Inputs-System'!$C$7))*(VLOOKUP(DH$3,'Embedded Emissions'!$A$47:$B$78,2,FALSE)+VLOOKUP(DH$3,'Embedded Emissions'!$A$129:$B$158,2,FALSE)), $C40 = "3", ('Inputs-System'!$C$30*'Coincidence Factors'!$B$10*(1+'Inputs-System'!$C$18)*(1+'Inputs-System'!$C$41))*'Inputs-Proposals'!$H$29*'Inputs-Proposals'!$H$31*(1-'Inputs-Proposals'!$H$20^(DH$3-'Inputs-System'!$C$7))*(VLOOKUP(DH$3,'Embedded Emissions'!$A$47:$B$78,2,FALSE)+VLOOKUP(DH$3,'Embedded Emissions'!$A$129:$B$158,2,FALSE)), $C40 = "0", 0), 0)</f>
        <v>0</v>
      </c>
      <c r="DJ40" s="44">
        <f>IFERROR(_xlfn.IFS($C40="1",( 'Inputs-System'!$C$30*'Coincidence Factors'!$B$10*(1+'Inputs-System'!$C$18)*(1+'Inputs-System'!$C$41))*('Inputs-Proposals'!$H$17*'Inputs-Proposals'!$H$19*(1-'Inputs-Proposals'!$H$20)^(DH$3-'Inputs-System'!$C$7))*(VLOOKUP(DH$3,DRIPE!$A$54:$I$82,5,FALSE)+VLOOKUP(DH$3,DRIPE!$A$54:$I$82,9,FALSE))+ ('Inputs-System'!$C$26*'Coincidence Factors'!$B$6*(1+'Inputs-System'!$C$18)*(1+'Inputs-System'!$C$42))*'Inputs-Proposals'!$H$16*VLOOKUP(DH$3,DRIPE!$A$54:$I$82,8,FALSE), $C40 = "2",( 'Inputs-System'!$C$30*'Coincidence Factors'!$B$10*(1+'Inputs-System'!$C$18)*(1+'Inputs-System'!$C$41))*('Inputs-Proposals'!$H$23*'Inputs-Proposals'!$H$25*(1-'Inputs-Proposals'!$H$26)^(DH$3-'Inputs-System'!$C$7))*(VLOOKUP(DH$3,DRIPE!$A$54:$I$82,5,FALSE)+VLOOKUP(DH$3,DRIPE!$A$54:$I$82,9,FALSE))+ ('Inputs-System'!$C$26*'Coincidence Factors'!$B$6*(1+'Inputs-System'!$C$18)*(1+'Inputs-System'!$C$42))*'Inputs-Proposals'!$H$22*VLOOKUP(DH$3,DRIPE!$A$54:$I$82,8,FALSE), $C40= "3", ( 'Inputs-System'!$C$30*'Coincidence Factors'!$B$10*(1+'Inputs-System'!$C$18)*(1+'Inputs-System'!$C$41))*('Inputs-Proposals'!$H$29*'Inputs-Proposals'!$H$31*(1-'Inputs-Proposals'!$H$32)^(DH$3-'Inputs-System'!$C$7))*(VLOOKUP(DH$3,DRIPE!$A$54:$I$82,5,FALSE)+VLOOKUP(DH$3,DRIPE!$A$54:$I$82,9,FALSE))+ ('Inputs-System'!$C$26*'Coincidence Factors'!$B$6*(1+'Inputs-System'!$C$18)*(1+'Inputs-System'!$C$42))*'Inputs-Proposals'!$H$28*VLOOKUP(DH$3,DRIPE!$A$54:$I$82,8,FALSE), $C40 = "0", 0), 0)</f>
        <v>0</v>
      </c>
      <c r="DK40" s="45">
        <f>IFERROR(_xlfn.IFS($C40="1",('Inputs-System'!$C$26*'Coincidence Factors'!$B$10*(1+'Inputs-System'!$C$18)*(1+'Inputs-System'!$C$42))*'Inputs-Proposals'!$D$16*(VLOOKUP(DH$3,Capacity!$A$53:$E$85,4,FALSE)*(1+'Inputs-System'!$C$42)+VLOOKUP(DH$3,Capacity!$A$53:$E$85,5,FALSE)*(1+'Inputs-System'!$C$43)*'Inputs-System'!$C$29), $C40 = "2", ('Inputs-System'!$C$26*'Coincidence Factors'!$B$10*(1+'Inputs-System'!$C$18))*'Inputs-Proposals'!$D$22*(VLOOKUP(DH$3,Capacity!$A$53:$E$85,4,FALSE)*(1+'Inputs-System'!$C$42)+VLOOKUP(DH$3,Capacity!$A$53:$E$85,5,FALSE)*'Inputs-System'!$C$29*(1+'Inputs-System'!$C$43)), $C40 = "3", ('Inputs-System'!$C$26*'Coincidence Factors'!$B$10*(1+'Inputs-System'!$C$18))*'Inputs-Proposals'!$D$28*(VLOOKUP(DH$3,Capacity!$A$53:$E$85,4,FALSE)*(1+'Inputs-System'!$C$42)+VLOOKUP(DH$3,Capacity!$A$53:$E$85,5,FALSE)*'Inputs-System'!$C$29*(1+'Inputs-System'!$C$43)), $C40 = "0", 0), 0)</f>
        <v>0</v>
      </c>
      <c r="DL40" s="44">
        <v>0</v>
      </c>
      <c r="DM40" s="342">
        <f>IFERROR(_xlfn.IFS($C40="1", 'Inputs-System'!$C$30*'Coincidence Factors'!$B$10*'Inputs-Proposals'!$H$17*'Inputs-Proposals'!$H$19*(VLOOKUP(DH$3,'Non-Embedded Emissions'!$A$56:$D$90,2,FALSE)-VLOOKUP(DH$3,'Non-Embedded Emissions'!$F$57:$H$88,3,FALSE)+VLOOKUP(DH$3,'Non-Embedded Emissions'!$A$143:$D$174,2,FALSE)-VLOOKUP(DH$3,'Non-Embedded Emissions'!$F$143:$H$174,3,FALSE)+VLOOKUP(DH$3,'Non-Embedded Emissions'!$A$230:$D$259,2,FALSE)), $C40 = "2", 'Inputs-System'!$C$30*'Coincidence Factors'!$B$10*'Inputs-Proposals'!$H$23*'Inputs-Proposals'!$H$25*(VLOOKUP(DH$3,'Non-Embedded Emissions'!$A$56:$D$90,2,FALSE)-VLOOKUP(DH$3,'Non-Embedded Emissions'!$F$57:$H$88,3,FALSE)+VLOOKUP(DH$3,'Non-Embedded Emissions'!$A$143:$D$174,2,FALSE)-VLOOKUP(DH$3,'Non-Embedded Emissions'!$F$143:$H$174,3,FALSE)+VLOOKUP(DH$3,'Non-Embedded Emissions'!$A$230:$D$259,2,FALSE)), $C40 = "3", 'Inputs-System'!$C$30*'Coincidence Factors'!$B$10*'Inputs-Proposals'!$H$29*'Inputs-Proposals'!$H$31*(VLOOKUP(DH$3,'Non-Embedded Emissions'!$A$56:$D$90,2,FALSE)-VLOOKUP(DH$3,'Non-Embedded Emissions'!$F$57:$H$88,3,FALSE)+VLOOKUP(DH$3,'Non-Embedded Emissions'!$A$143:$D$174,2,FALSE)-VLOOKUP(DH$3,'Non-Embedded Emissions'!$F$143:$H$174,3,FALSE)+VLOOKUP(DH$3,'Non-Embedded Emissions'!$A$230:$D$259,2,FALSE)), $C40 = "0", 0), 0)</f>
        <v>0</v>
      </c>
      <c r="DN40" s="45">
        <f>IFERROR(_xlfn.IFS($C40="1",('Inputs-System'!$C$30*'Coincidence Factors'!$B$10*(1+'Inputs-System'!$C$18)*(1+'Inputs-System'!$C$41)*('Inputs-Proposals'!$H$17*'Inputs-Proposals'!$H$19*(1-'Inputs-Proposals'!$H$20^(DN$3-'Inputs-System'!$C$7)))*(VLOOKUP(DN$3,Energy!$A$51:$K$83,5,FALSE))), $C40 = "2",('Inputs-System'!$C$30*'Coincidence Factors'!$B$10)*(1+'Inputs-System'!$C$18)*(1+'Inputs-System'!$C$41)*('Inputs-Proposals'!$H$23*'Inputs-Proposals'!$H$25*(1-'Inputs-Proposals'!$H$26^(DN$3-'Inputs-System'!$C$7)))*(VLOOKUP(DN$3,Energy!$A$51:$K$83,5,FALSE)), $C40= "3", ('Inputs-System'!$C$30*'Coincidence Factors'!$B$10*(1+'Inputs-System'!$C$18)*(1+'Inputs-System'!$C$41)*('Inputs-Proposals'!$H$29*'Inputs-Proposals'!$H$31*(1-'Inputs-Proposals'!$H$32^(DN$3-'Inputs-System'!$C$7)))*(VLOOKUP(DN$3,Energy!$A$51:$K$83,5,FALSE))), $C40= "0", 0), 0)</f>
        <v>0</v>
      </c>
      <c r="DO40" s="44">
        <f>IFERROR(_xlfn.IFS($C40="1",('Inputs-System'!$C$30*'Coincidence Factors'!$B$10*(1+'Inputs-System'!$C$18)*(1+'Inputs-System'!$C$41))*'Inputs-Proposals'!$H$17*'Inputs-Proposals'!$H$19*(1-'Inputs-Proposals'!$H$20^(DN$3-'Inputs-System'!$C$7))*(VLOOKUP(DN$3,'Embedded Emissions'!$A$47:$B$78,2,FALSE)+VLOOKUP(DN$3,'Embedded Emissions'!$A$129:$B$158,2,FALSE)), $C40 = "2",('Inputs-System'!$C$30*'Coincidence Factors'!$B$10*(1+'Inputs-System'!$C$18)*(1+'Inputs-System'!$C$41))*'Inputs-Proposals'!$H$23*'Inputs-Proposals'!$H$25*(1-'Inputs-Proposals'!$H$20^(DN$3-'Inputs-System'!$C$7))*(VLOOKUP(DN$3,'Embedded Emissions'!$A$47:$B$78,2,FALSE)+VLOOKUP(DN$3,'Embedded Emissions'!$A$129:$B$158,2,FALSE)), $C40 = "3", ('Inputs-System'!$C$30*'Coincidence Factors'!$B$10*(1+'Inputs-System'!$C$18)*(1+'Inputs-System'!$C$41))*'Inputs-Proposals'!$H$29*'Inputs-Proposals'!$H$31*(1-'Inputs-Proposals'!$H$20^(DN$3-'Inputs-System'!$C$7))*(VLOOKUP(DN$3,'Embedded Emissions'!$A$47:$B$78,2,FALSE)+VLOOKUP(DN$3,'Embedded Emissions'!$A$129:$B$158,2,FALSE)), $C40 = "0", 0), 0)</f>
        <v>0</v>
      </c>
      <c r="DP40" s="44">
        <f>IFERROR(_xlfn.IFS($C40="1",( 'Inputs-System'!$C$30*'Coincidence Factors'!$B$10*(1+'Inputs-System'!$C$18)*(1+'Inputs-System'!$C$41))*('Inputs-Proposals'!$H$17*'Inputs-Proposals'!$H$19*(1-'Inputs-Proposals'!$H$20)^(DN$3-'Inputs-System'!$C$7))*(VLOOKUP(DN$3,DRIPE!$A$54:$I$82,5,FALSE)+VLOOKUP(DN$3,DRIPE!$A$54:$I$82,9,FALSE))+ ('Inputs-System'!$C$26*'Coincidence Factors'!$B$6*(1+'Inputs-System'!$C$18)*(1+'Inputs-System'!$C$42))*'Inputs-Proposals'!$H$16*VLOOKUP(DN$3,DRIPE!$A$54:$I$82,8,FALSE), $C40 = "2",( 'Inputs-System'!$C$30*'Coincidence Factors'!$B$10*(1+'Inputs-System'!$C$18)*(1+'Inputs-System'!$C$41))*('Inputs-Proposals'!$H$23*'Inputs-Proposals'!$H$25*(1-'Inputs-Proposals'!$H$26)^(DN$3-'Inputs-System'!$C$7))*(VLOOKUP(DN$3,DRIPE!$A$54:$I$82,5,FALSE)+VLOOKUP(DN$3,DRIPE!$A$54:$I$82,9,FALSE))+ ('Inputs-System'!$C$26*'Coincidence Factors'!$B$6*(1+'Inputs-System'!$C$18)*(1+'Inputs-System'!$C$42))*'Inputs-Proposals'!$H$22*VLOOKUP(DN$3,DRIPE!$A$54:$I$82,8,FALSE), $C40= "3", ( 'Inputs-System'!$C$30*'Coincidence Factors'!$B$10*(1+'Inputs-System'!$C$18)*(1+'Inputs-System'!$C$41))*('Inputs-Proposals'!$H$29*'Inputs-Proposals'!$H$31*(1-'Inputs-Proposals'!$H$32)^(DN$3-'Inputs-System'!$C$7))*(VLOOKUP(DN$3,DRIPE!$A$54:$I$82,5,FALSE)+VLOOKUP(DN$3,DRIPE!$A$54:$I$82,9,FALSE))+ ('Inputs-System'!$C$26*'Coincidence Factors'!$B$6*(1+'Inputs-System'!$C$18)*(1+'Inputs-System'!$C$42))*'Inputs-Proposals'!$H$28*VLOOKUP(DN$3,DRIPE!$A$54:$I$82,8,FALSE), $C40 = "0", 0), 0)</f>
        <v>0</v>
      </c>
      <c r="DQ40" s="45">
        <f>IFERROR(_xlfn.IFS($C40="1",('Inputs-System'!$C$26*'Coincidence Factors'!$B$10*(1+'Inputs-System'!$C$18)*(1+'Inputs-System'!$C$42))*'Inputs-Proposals'!$D$16*(VLOOKUP(DN$3,Capacity!$A$53:$E$85,4,FALSE)*(1+'Inputs-System'!$C$42)+VLOOKUP(DN$3,Capacity!$A$53:$E$85,5,FALSE)*(1+'Inputs-System'!$C$43)*'Inputs-System'!$C$29), $C40 = "2", ('Inputs-System'!$C$26*'Coincidence Factors'!$B$10*(1+'Inputs-System'!$C$18))*'Inputs-Proposals'!$D$22*(VLOOKUP(DN$3,Capacity!$A$53:$E$85,4,FALSE)*(1+'Inputs-System'!$C$42)+VLOOKUP(DN$3,Capacity!$A$53:$E$85,5,FALSE)*'Inputs-System'!$C$29*(1+'Inputs-System'!$C$43)), $C40 = "3", ('Inputs-System'!$C$26*'Coincidence Factors'!$B$10*(1+'Inputs-System'!$C$18))*'Inputs-Proposals'!$D$28*(VLOOKUP(DN$3,Capacity!$A$53:$E$85,4,FALSE)*(1+'Inputs-System'!$C$42)+VLOOKUP(DN$3,Capacity!$A$53:$E$85,5,FALSE)*'Inputs-System'!$C$29*(1+'Inputs-System'!$C$43)), $C40 = "0", 0), 0)</f>
        <v>0</v>
      </c>
      <c r="DR40" s="44">
        <v>0</v>
      </c>
      <c r="DS40" s="342">
        <f>IFERROR(_xlfn.IFS($C40="1", 'Inputs-System'!$C$30*'Coincidence Factors'!$B$10*'Inputs-Proposals'!$H$17*'Inputs-Proposals'!$H$19*(VLOOKUP(DN$3,'Non-Embedded Emissions'!$A$56:$D$90,2,FALSE)-VLOOKUP(DN$3,'Non-Embedded Emissions'!$F$57:$H$88,3,FALSE)+VLOOKUP(DN$3,'Non-Embedded Emissions'!$A$143:$D$174,2,FALSE)-VLOOKUP(DN$3,'Non-Embedded Emissions'!$F$143:$H$174,3,FALSE)+VLOOKUP(DN$3,'Non-Embedded Emissions'!$A$230:$D$259,2,FALSE)), $C40 = "2", 'Inputs-System'!$C$30*'Coincidence Factors'!$B$10*'Inputs-Proposals'!$H$23*'Inputs-Proposals'!$H$25*(VLOOKUP(DN$3,'Non-Embedded Emissions'!$A$56:$D$90,2,FALSE)-VLOOKUP(DN$3,'Non-Embedded Emissions'!$F$57:$H$88,3,FALSE)+VLOOKUP(DN$3,'Non-Embedded Emissions'!$A$143:$D$174,2,FALSE)-VLOOKUP(DN$3,'Non-Embedded Emissions'!$F$143:$H$174,3,FALSE)+VLOOKUP(DN$3,'Non-Embedded Emissions'!$A$230:$D$259,2,FALSE)), $C40 = "3", 'Inputs-System'!$C$30*'Coincidence Factors'!$B$10*'Inputs-Proposals'!$H$29*'Inputs-Proposals'!$H$31*(VLOOKUP(DN$3,'Non-Embedded Emissions'!$A$56:$D$90,2,FALSE)-VLOOKUP(DN$3,'Non-Embedded Emissions'!$F$57:$H$88,3,FALSE)+VLOOKUP(DN$3,'Non-Embedded Emissions'!$A$143:$D$174,2,FALSE)-VLOOKUP(DN$3,'Non-Embedded Emissions'!$F$143:$H$174,3,FALSE)+VLOOKUP(DN$3,'Non-Embedded Emissions'!$A$230:$D$259,2,FALSE)), $C40 = "0", 0), 0)</f>
        <v>0</v>
      </c>
      <c r="DT40" s="45">
        <f>IFERROR(_xlfn.IFS($C40="1",('Inputs-System'!$C$30*'Coincidence Factors'!$B$10*(1+'Inputs-System'!$C$18)*(1+'Inputs-System'!$C$41)*('Inputs-Proposals'!$H$17*'Inputs-Proposals'!$H$19*(1-'Inputs-Proposals'!$H$20^(DT$3-'Inputs-System'!$C$7)))*(VLOOKUP(DT$3,Energy!$A$51:$K$83,5,FALSE))), $C40 = "2",('Inputs-System'!$C$30*'Coincidence Factors'!$B$10)*(1+'Inputs-System'!$C$18)*(1+'Inputs-System'!$C$41)*('Inputs-Proposals'!$H$23*'Inputs-Proposals'!$H$25*(1-'Inputs-Proposals'!$H$26^(DT$3-'Inputs-System'!$C$7)))*(VLOOKUP(DT$3,Energy!$A$51:$K$83,5,FALSE)), $C40= "3", ('Inputs-System'!$C$30*'Coincidence Factors'!$B$10*(1+'Inputs-System'!$C$18)*(1+'Inputs-System'!$C$41)*('Inputs-Proposals'!$H$29*'Inputs-Proposals'!$H$31*(1-'Inputs-Proposals'!$H$32^(DT$3-'Inputs-System'!$C$7)))*(VLOOKUP(DT$3,Energy!$A$51:$K$83,5,FALSE))), $C40= "0", 0), 0)</f>
        <v>0</v>
      </c>
      <c r="DU40" s="44">
        <f>IFERROR(_xlfn.IFS($C40="1",('Inputs-System'!$C$30*'Coincidence Factors'!$B$10*(1+'Inputs-System'!$C$18)*(1+'Inputs-System'!$C$41))*'Inputs-Proposals'!$H$17*'Inputs-Proposals'!$H$19*(1-'Inputs-Proposals'!$H$20^(DT$3-'Inputs-System'!$C$7))*(VLOOKUP(DT$3,'Embedded Emissions'!$A$47:$B$78,2,FALSE)+VLOOKUP(DT$3,'Embedded Emissions'!$A$129:$B$158,2,FALSE)), $C40 = "2",('Inputs-System'!$C$30*'Coincidence Factors'!$B$10*(1+'Inputs-System'!$C$18)*(1+'Inputs-System'!$C$41))*'Inputs-Proposals'!$H$23*'Inputs-Proposals'!$H$25*(1-'Inputs-Proposals'!$H$20^(DT$3-'Inputs-System'!$C$7))*(VLOOKUP(DT$3,'Embedded Emissions'!$A$47:$B$78,2,FALSE)+VLOOKUP(DT$3,'Embedded Emissions'!$A$129:$B$158,2,FALSE)), $C40 = "3", ('Inputs-System'!$C$30*'Coincidence Factors'!$B$10*(1+'Inputs-System'!$C$18)*(1+'Inputs-System'!$C$41))*'Inputs-Proposals'!$H$29*'Inputs-Proposals'!$H$31*(1-'Inputs-Proposals'!$H$20^(DT$3-'Inputs-System'!$C$7))*(VLOOKUP(DT$3,'Embedded Emissions'!$A$47:$B$78,2,FALSE)+VLOOKUP(DT$3,'Embedded Emissions'!$A$129:$B$158,2,FALSE)), $C40 = "0", 0), 0)</f>
        <v>0</v>
      </c>
      <c r="DV40" s="44">
        <f>IFERROR(_xlfn.IFS($C40="1",( 'Inputs-System'!$C$30*'Coincidence Factors'!$B$10*(1+'Inputs-System'!$C$18)*(1+'Inputs-System'!$C$41))*('Inputs-Proposals'!$H$17*'Inputs-Proposals'!$H$19*(1-'Inputs-Proposals'!$H$20)^(DT$3-'Inputs-System'!$C$7))*(VLOOKUP(DT$3,DRIPE!$A$54:$I$82,5,FALSE)+VLOOKUP(DT$3,DRIPE!$A$54:$I$82,9,FALSE))+ ('Inputs-System'!$C$26*'Coincidence Factors'!$B$6*(1+'Inputs-System'!$C$18)*(1+'Inputs-System'!$C$42))*'Inputs-Proposals'!$H$16*VLOOKUP(DT$3,DRIPE!$A$54:$I$82,8,FALSE), $C40 = "2",( 'Inputs-System'!$C$30*'Coincidence Factors'!$B$10*(1+'Inputs-System'!$C$18)*(1+'Inputs-System'!$C$41))*('Inputs-Proposals'!$H$23*'Inputs-Proposals'!$H$25*(1-'Inputs-Proposals'!$H$26)^(DT$3-'Inputs-System'!$C$7))*(VLOOKUP(DT$3,DRIPE!$A$54:$I$82,5,FALSE)+VLOOKUP(DT$3,DRIPE!$A$54:$I$82,9,FALSE))+ ('Inputs-System'!$C$26*'Coincidence Factors'!$B$6*(1+'Inputs-System'!$C$18)*(1+'Inputs-System'!$C$42))*'Inputs-Proposals'!$H$22*VLOOKUP(DT$3,DRIPE!$A$54:$I$82,8,FALSE), $C40= "3", ( 'Inputs-System'!$C$30*'Coincidence Factors'!$B$10*(1+'Inputs-System'!$C$18)*(1+'Inputs-System'!$C$41))*('Inputs-Proposals'!$H$29*'Inputs-Proposals'!$H$31*(1-'Inputs-Proposals'!$H$32)^(DT$3-'Inputs-System'!$C$7))*(VLOOKUP(DT$3,DRIPE!$A$54:$I$82,5,FALSE)+VLOOKUP(DT$3,DRIPE!$A$54:$I$82,9,FALSE))+ ('Inputs-System'!$C$26*'Coincidence Factors'!$B$6*(1+'Inputs-System'!$C$18)*(1+'Inputs-System'!$C$42))*'Inputs-Proposals'!$H$28*VLOOKUP(DT$3,DRIPE!$A$54:$I$82,8,FALSE), $C40 = "0", 0), 0)</f>
        <v>0</v>
      </c>
      <c r="DW40" s="45">
        <f>IFERROR(_xlfn.IFS($C40="1",('Inputs-System'!$C$26*'Coincidence Factors'!$B$10*(1+'Inputs-System'!$C$18)*(1+'Inputs-System'!$C$42))*'Inputs-Proposals'!$D$16*(VLOOKUP(DT$3,Capacity!$A$53:$E$85,4,FALSE)*(1+'Inputs-System'!$C$42)+VLOOKUP(DT$3,Capacity!$A$53:$E$85,5,FALSE)*(1+'Inputs-System'!$C$43)*'Inputs-System'!$C$29), $C40 = "2", ('Inputs-System'!$C$26*'Coincidence Factors'!$B$10*(1+'Inputs-System'!$C$18))*'Inputs-Proposals'!$D$22*(VLOOKUP(DT$3,Capacity!$A$53:$E$85,4,FALSE)*(1+'Inputs-System'!$C$42)+VLOOKUP(DT$3,Capacity!$A$53:$E$85,5,FALSE)*'Inputs-System'!$C$29*(1+'Inputs-System'!$C$43)), $C40 = "3", ('Inputs-System'!$C$26*'Coincidence Factors'!$B$10*(1+'Inputs-System'!$C$18))*'Inputs-Proposals'!$D$28*(VLOOKUP(DT$3,Capacity!$A$53:$E$85,4,FALSE)*(1+'Inputs-System'!$C$42)+VLOOKUP(DT$3,Capacity!$A$53:$E$85,5,FALSE)*'Inputs-System'!$C$29*(1+'Inputs-System'!$C$43)), $C40 = "0", 0), 0)</f>
        <v>0</v>
      </c>
      <c r="DX40" s="44">
        <v>0</v>
      </c>
      <c r="DY40" s="342">
        <f>IFERROR(_xlfn.IFS($C40="1", 'Inputs-System'!$C$30*'Coincidence Factors'!$B$10*'Inputs-Proposals'!$H$17*'Inputs-Proposals'!$H$19*(VLOOKUP(DT$3,'Non-Embedded Emissions'!$A$56:$D$90,2,FALSE)-VLOOKUP(DT$3,'Non-Embedded Emissions'!$F$57:$H$88,3,FALSE)+VLOOKUP(DT$3,'Non-Embedded Emissions'!$A$143:$D$174,2,FALSE)-VLOOKUP(DT$3,'Non-Embedded Emissions'!$F$143:$H$174,3,FALSE)+VLOOKUP(DT$3,'Non-Embedded Emissions'!$A$230:$D$259,2,FALSE)), $C40 = "2", 'Inputs-System'!$C$30*'Coincidence Factors'!$B$10*'Inputs-Proposals'!$H$23*'Inputs-Proposals'!$H$25*(VLOOKUP(DT$3,'Non-Embedded Emissions'!$A$56:$D$90,2,FALSE)-VLOOKUP(DT$3,'Non-Embedded Emissions'!$F$57:$H$88,3,FALSE)+VLOOKUP(DT$3,'Non-Embedded Emissions'!$A$143:$D$174,2,FALSE)-VLOOKUP(DT$3,'Non-Embedded Emissions'!$F$143:$H$174,3,FALSE)+VLOOKUP(DT$3,'Non-Embedded Emissions'!$A$230:$D$259,2,FALSE)), $C40 = "3", 'Inputs-System'!$C$30*'Coincidence Factors'!$B$10*'Inputs-Proposals'!$H$29*'Inputs-Proposals'!$H$31*(VLOOKUP(DT$3,'Non-Embedded Emissions'!$A$56:$D$90,2,FALSE)-VLOOKUP(DT$3,'Non-Embedded Emissions'!$F$57:$H$88,3,FALSE)+VLOOKUP(DT$3,'Non-Embedded Emissions'!$A$143:$D$174,2,FALSE)-VLOOKUP(DT$3,'Non-Embedded Emissions'!$F$143:$H$174,3,FALSE)+VLOOKUP(DT$3,'Non-Embedded Emissions'!$A$230:$D$259,2,FALSE)), $C40 = "0", 0), 0)</f>
        <v>0</v>
      </c>
      <c r="DZ40" s="45">
        <f>IFERROR(_xlfn.IFS($C40="1",('Inputs-System'!$C$30*'Coincidence Factors'!$B$10*(1+'Inputs-System'!$C$18)*(1+'Inputs-System'!$C$41)*('Inputs-Proposals'!$H$17*'Inputs-Proposals'!$H$19*(1-'Inputs-Proposals'!$H$20^(DZ$3-'Inputs-System'!$C$7)))*(VLOOKUP(DZ$3,Energy!$A$51:$K$83,5,FALSE))), $C40 = "2",('Inputs-System'!$C$30*'Coincidence Factors'!$B$10)*(1+'Inputs-System'!$C$18)*(1+'Inputs-System'!$C$41)*('Inputs-Proposals'!$H$23*'Inputs-Proposals'!$H$25*(1-'Inputs-Proposals'!$H$26^(DZ$3-'Inputs-System'!$C$7)))*(VLOOKUP(DZ$3,Energy!$A$51:$K$83,5,FALSE)), $C40= "3", ('Inputs-System'!$C$30*'Coincidence Factors'!$B$10*(1+'Inputs-System'!$C$18)*(1+'Inputs-System'!$C$41)*('Inputs-Proposals'!$H$29*'Inputs-Proposals'!$H$31*(1-'Inputs-Proposals'!$H$32^(DZ$3-'Inputs-System'!$C$7)))*(VLOOKUP(DZ$3,Energy!$A$51:$K$83,5,FALSE))), $C40= "0", 0), 0)</f>
        <v>0</v>
      </c>
      <c r="EA40" s="44">
        <f>IFERROR(_xlfn.IFS($C40="1",('Inputs-System'!$C$30*'Coincidence Factors'!$B$10*(1+'Inputs-System'!$C$18)*(1+'Inputs-System'!$C$41))*'Inputs-Proposals'!$H$17*'Inputs-Proposals'!$H$19*(1-'Inputs-Proposals'!$H$20^(DZ$3-'Inputs-System'!$C$7))*(VLOOKUP(DZ$3,'Embedded Emissions'!$A$47:$B$78,2,FALSE)+VLOOKUP(DZ$3,'Embedded Emissions'!$A$129:$B$158,2,FALSE)), $C40 = "2",('Inputs-System'!$C$30*'Coincidence Factors'!$B$10*(1+'Inputs-System'!$C$18)*(1+'Inputs-System'!$C$41))*'Inputs-Proposals'!$H$23*'Inputs-Proposals'!$H$25*(1-'Inputs-Proposals'!$H$20^(DZ$3-'Inputs-System'!$C$7))*(VLOOKUP(DZ$3,'Embedded Emissions'!$A$47:$B$78,2,FALSE)+VLOOKUP(DZ$3,'Embedded Emissions'!$A$129:$B$158,2,FALSE)), $C40 = "3", ('Inputs-System'!$C$30*'Coincidence Factors'!$B$10*(1+'Inputs-System'!$C$18)*(1+'Inputs-System'!$C$41))*'Inputs-Proposals'!$H$29*'Inputs-Proposals'!$H$31*(1-'Inputs-Proposals'!$H$20^(DZ$3-'Inputs-System'!$C$7))*(VLOOKUP(DZ$3,'Embedded Emissions'!$A$47:$B$78,2,FALSE)+VLOOKUP(DZ$3,'Embedded Emissions'!$A$129:$B$158,2,FALSE)), $C40 = "0", 0), 0)</f>
        <v>0</v>
      </c>
      <c r="EB40" s="44">
        <f>IFERROR(_xlfn.IFS($C40="1",( 'Inputs-System'!$C$30*'Coincidence Factors'!$B$10*(1+'Inputs-System'!$C$18)*(1+'Inputs-System'!$C$41))*('Inputs-Proposals'!$H$17*'Inputs-Proposals'!$H$19*(1-'Inputs-Proposals'!$H$20)^(DZ$3-'Inputs-System'!$C$7))*(VLOOKUP(DZ$3,DRIPE!$A$54:$I$82,5,FALSE)+VLOOKUP(DZ$3,DRIPE!$A$54:$I$82,9,FALSE))+ ('Inputs-System'!$C$26*'Coincidence Factors'!$B$6*(1+'Inputs-System'!$C$18)*(1+'Inputs-System'!$C$42))*'Inputs-Proposals'!$H$16*VLOOKUP(DZ$3,DRIPE!$A$54:$I$82,8,FALSE), $C40 = "2",( 'Inputs-System'!$C$30*'Coincidence Factors'!$B$10*(1+'Inputs-System'!$C$18)*(1+'Inputs-System'!$C$41))*('Inputs-Proposals'!$H$23*'Inputs-Proposals'!$H$25*(1-'Inputs-Proposals'!$H$26)^(DZ$3-'Inputs-System'!$C$7))*(VLOOKUP(DZ$3,DRIPE!$A$54:$I$82,5,FALSE)+VLOOKUP(DZ$3,DRIPE!$A$54:$I$82,9,FALSE))+ ('Inputs-System'!$C$26*'Coincidence Factors'!$B$6*(1+'Inputs-System'!$C$18)*(1+'Inputs-System'!$C$42))*'Inputs-Proposals'!$H$22*VLOOKUP(DZ$3,DRIPE!$A$54:$I$82,8,FALSE), $C40= "3", ( 'Inputs-System'!$C$30*'Coincidence Factors'!$B$10*(1+'Inputs-System'!$C$18)*(1+'Inputs-System'!$C$41))*('Inputs-Proposals'!$H$29*'Inputs-Proposals'!$H$31*(1-'Inputs-Proposals'!$H$32)^(DZ$3-'Inputs-System'!$C$7))*(VLOOKUP(DZ$3,DRIPE!$A$54:$I$82,5,FALSE)+VLOOKUP(DZ$3,DRIPE!$A$54:$I$82,9,FALSE))+ ('Inputs-System'!$C$26*'Coincidence Factors'!$B$6*(1+'Inputs-System'!$C$18)*(1+'Inputs-System'!$C$42))*'Inputs-Proposals'!$H$28*VLOOKUP(DZ$3,DRIPE!$A$54:$I$82,8,FALSE), $C40 = "0", 0), 0)</f>
        <v>0</v>
      </c>
      <c r="EC40" s="45">
        <f>IFERROR(_xlfn.IFS($C40="1",('Inputs-System'!$C$26*'Coincidence Factors'!$B$10*(1+'Inputs-System'!$C$18)*(1+'Inputs-System'!$C$42))*'Inputs-Proposals'!$D$16*(VLOOKUP(DZ$3,Capacity!$A$53:$E$85,4,FALSE)*(1+'Inputs-System'!$C$42)+VLOOKUP(DZ$3,Capacity!$A$53:$E$85,5,FALSE)*(1+'Inputs-System'!$C$43)*'Inputs-System'!$C$29), $C40 = "2", ('Inputs-System'!$C$26*'Coincidence Factors'!$B$10*(1+'Inputs-System'!$C$18))*'Inputs-Proposals'!$D$22*(VLOOKUP(DZ$3,Capacity!$A$53:$E$85,4,FALSE)*(1+'Inputs-System'!$C$42)+VLOOKUP(DZ$3,Capacity!$A$53:$E$85,5,FALSE)*'Inputs-System'!$C$29*(1+'Inputs-System'!$C$43)), $C40 = "3", ('Inputs-System'!$C$26*'Coincidence Factors'!$B$10*(1+'Inputs-System'!$C$18))*'Inputs-Proposals'!$D$28*(VLOOKUP(DZ$3,Capacity!$A$53:$E$85,4,FALSE)*(1+'Inputs-System'!$C$42)+VLOOKUP(DZ$3,Capacity!$A$53:$E$85,5,FALSE)*'Inputs-System'!$C$29*(1+'Inputs-System'!$C$43)), $C40 = "0", 0), 0)</f>
        <v>0</v>
      </c>
      <c r="ED40" s="44">
        <v>0</v>
      </c>
      <c r="EE40" s="342">
        <f>IFERROR(_xlfn.IFS($C40="1", 'Inputs-System'!$C$30*'Coincidence Factors'!$B$10*'Inputs-Proposals'!$H$17*'Inputs-Proposals'!$H$19*(VLOOKUP(DZ$3,'Non-Embedded Emissions'!$A$56:$D$90,2,FALSE)-VLOOKUP(DZ$3,'Non-Embedded Emissions'!$F$57:$H$88,3,FALSE)+VLOOKUP(DZ$3,'Non-Embedded Emissions'!$A$143:$D$174,2,FALSE)-VLOOKUP(DZ$3,'Non-Embedded Emissions'!$F$143:$H$174,3,FALSE)+VLOOKUP(DZ$3,'Non-Embedded Emissions'!$A$230:$D$259,2,FALSE)), $C40 = "2", 'Inputs-System'!$C$30*'Coincidence Factors'!$B$10*'Inputs-Proposals'!$H$23*'Inputs-Proposals'!$H$25*(VLOOKUP(DZ$3,'Non-Embedded Emissions'!$A$56:$D$90,2,FALSE)-VLOOKUP(DZ$3,'Non-Embedded Emissions'!$F$57:$H$88,3,FALSE)+VLOOKUP(DZ$3,'Non-Embedded Emissions'!$A$143:$D$174,2,FALSE)-VLOOKUP(DZ$3,'Non-Embedded Emissions'!$F$143:$H$174,3,FALSE)+VLOOKUP(DZ$3,'Non-Embedded Emissions'!$A$230:$D$259,2,FALSE)), $C40 = "3", 'Inputs-System'!$C$30*'Coincidence Factors'!$B$10*'Inputs-Proposals'!$H$29*'Inputs-Proposals'!$H$31*(VLOOKUP(DZ$3,'Non-Embedded Emissions'!$A$56:$D$90,2,FALSE)-VLOOKUP(DZ$3,'Non-Embedded Emissions'!$F$57:$H$88,3,FALSE)+VLOOKUP(DZ$3,'Non-Embedded Emissions'!$A$143:$D$174,2,FALSE)-VLOOKUP(DZ$3,'Non-Embedded Emissions'!$F$143:$H$174,3,FALSE)+VLOOKUP(DZ$3,'Non-Embedded Emissions'!$A$230:$D$259,2,FALSE)), $C40 = "0", 0), 0)</f>
        <v>0</v>
      </c>
    </row>
    <row r="41" spans="1:135" x14ac:dyDescent="0.35">
      <c r="A41" s="707">
        <f>'Inputs-Proposals'!I2</f>
        <v>0</v>
      </c>
      <c r="B41" s="52" t="s">
        <v>90</v>
      </c>
      <c r="C41" s="52" t="str">
        <f>IFERROR(_xlfn.IFS('Benefits Calc'!B41='Inputs-Proposals'!$I$15, "1", 'Benefits Calc'!B41='Inputs-Proposals'!$I$21, "2", 'Benefits Calc'!B41='Inputs-Proposals'!$I$27, "3"), "0")</f>
        <v>0</v>
      </c>
      <c r="D41" s="323">
        <f t="shared" si="0"/>
        <v>0</v>
      </c>
      <c r="E41" s="44">
        <f t="shared" si="1"/>
        <v>0</v>
      </c>
      <c r="F41" s="44">
        <f t="shared" si="2"/>
        <v>0</v>
      </c>
      <c r="G41" s="44">
        <f t="shared" si="3"/>
        <v>0</v>
      </c>
      <c r="H41" s="44">
        <f t="shared" si="4"/>
        <v>0</v>
      </c>
      <c r="I41" s="44">
        <f t="shared" si="5"/>
        <v>0</v>
      </c>
      <c r="J41" s="322">
        <f>NPV('Inputs-System'!$C$20,P41+V41+AB41+AH41+AN41+AT41+AZ41+BF41+BL41+BR41+BX41+CD41+CJ41+CP41+CV41+DB41+DH41+DN41+DT41+DZ41)</f>
        <v>0</v>
      </c>
      <c r="K41" s="318">
        <f>NPV('Inputs-System'!$C$20,Q41+W41+AC41+AI41+AO41+AU41+BA41+BG41+BM41+BS41+BY41+CE41+CK41+CQ41+CW41+DC41+DI41+DO41+DU41+EA41)</f>
        <v>0</v>
      </c>
      <c r="L41" s="318">
        <f>NPV('Inputs-System'!$C$20,R41+X41+AD41+AJ41+AP41+AV41+BB41+BH41+BN41+BT41+BZ41+CF41+CL41+CR41+CX41+DD41+DJ41+DP41+DV41+EB41)</f>
        <v>0</v>
      </c>
      <c r="M41" s="318">
        <f>NPV('Inputs-System'!$C$20,S41+Y41+AE41+AK41+AQ41+AW41+BC41+BI41+BO41+BU41+CA41+CG41+CM41+CS41+CY41+DE41+DK41+DQ41+DW41+EC41)</f>
        <v>0</v>
      </c>
      <c r="N41" s="318">
        <f>NPV('Inputs-System'!$C$20,T41+Z41+AF41+AL41+AR41+AX41+BD41+BJ41+BP41+BV41+CB41+CH41+CN41+CT41+CZ41+DF41+DL41+DR41+DX41+ED41)</f>
        <v>0</v>
      </c>
      <c r="O41" s="319">
        <f>NPV('Inputs-System'!$C$20,U41+AA41+AG41+AM41+AS41+AY41+BE41+BK41+BQ41+BW41+CC41+CI41+CO41+CU41+DA41+DG41+DM41+DS41+DY41+EE41)</f>
        <v>0</v>
      </c>
      <c r="P41" s="326">
        <f>IFERROR(_xlfn.IFS($C41="1",('Inputs-System'!$C$30*'Coincidence Factors'!$B$5*(1+'Inputs-System'!$C$18)*(1+'Inputs-System'!$C$41)*('Inputs-Proposals'!$I$17*'Inputs-Proposals'!$I$19*(1-'Inputs-Proposals'!$I$20))*(VLOOKUP(P$3,Energy!$A$51:$K$83,5,FALSE)-VLOOKUP(P$3,Energy!$A$51:$K$83,6,FALSE))), $C41 = "2",('Inputs-System'!$C$30*'Coincidence Factors'!$B$5)*(1+'Inputs-System'!$C$18)*(1+'Inputs-System'!$C$41)*('Inputs-Proposals'!$I$23*'Inputs-Proposals'!$I$25*(1-'Inputs-Proposals'!$I$26))*(VLOOKUP(P$3,Energy!$A$51:$K$83,5,FALSE)-VLOOKUP(P$3,Energy!$A$51:$K$83,6,FALSE)), $C41= "3", ('Inputs-System'!$C$30*'Coincidence Factors'!$B$5*(1+'Inputs-System'!$C$18)*(1+'Inputs-System'!$C$41)*('Inputs-Proposals'!$I$29*'Inputs-Proposals'!$I$31*(1-'Inputs-Proposals'!$I$32))*(VLOOKUP(P$3,Energy!$A$51:$K$83,5,FALSE)-VLOOKUP(P$3,Energy!$A$51:$K$83,6,FALSE))), $C41= "0", 0), 0)</f>
        <v>0</v>
      </c>
      <c r="Q41" s="318">
        <f>IFERROR(_xlfn.IFS($C41="1", 'Inputs-System'!$C$30*'Coincidence Factors'!$B$5*(1+'Inputs-System'!$C$18)*(1+'Inputs-System'!$C$41)*'Inputs-Proposals'!$I$17*'Inputs-Proposals'!$I$19*(1-'Inputs-Proposals'!$I$20)*(VLOOKUP(P$3,'Embedded Emissions'!$A$47:$B$78,2,FALSE)+VLOOKUP(P$3,'Embedded Emissions'!$A$129:$B$158,2,FALSE)), $C41 = "2",'Inputs-System'!$C$30*'Coincidence Factors'!$B$5*(1+'Inputs-System'!$C$18)*(1+'Inputs-System'!$C$41)*'Inputs-Proposals'!$I$23*'Inputs-Proposals'!$I$25*(1-'Inputs-Proposals'!$I$20)*(VLOOKUP(P$3,'Embedded Emissions'!$A$47:$B$78,2,FALSE)+VLOOKUP(P$3,'Embedded Emissions'!$A$129:$B$158,2,FALSE)), $C41 = "3", 'Inputs-System'!$C$30*'Coincidence Factors'!$B$5*(1+'Inputs-System'!$C$18)*(1+'Inputs-System'!$C$41)*'Inputs-Proposals'!$I$29*'Inputs-Proposals'!$I$31*(1-'Inputs-Proposals'!$I$20)*(VLOOKUP(P$3,'Embedded Emissions'!$A$47:$B$78,2,FALSE)+VLOOKUP(P$3,'Embedded Emissions'!$A$129:$B$158,2,FALSE)), $C41 = "0", 0), 0)</f>
        <v>0</v>
      </c>
      <c r="R41" s="318">
        <f>IFERROR(_xlfn.IFS($C41="1",( 'Inputs-System'!$C$30*'Coincidence Factors'!$B$5*(1+'Inputs-System'!$C$18)*(1+'Inputs-System'!$C$41))*('Inputs-Proposals'!$I$17*'Inputs-Proposals'!$I$19*(1-'Inputs-Proposals'!$I$20))*(VLOOKUP(P$3,DRIPE!$A$54:$I$82,5,FALSE)-VLOOKUP(P$3,DRIPE!$A$54:$I$82,6,FALSE)+VLOOKUP(P$3,DRIPE!$A$54:$I$82,9,FALSE))+ ('Inputs-System'!$C$26*'Coincidence Factors'!$B$5*(1+'Inputs-System'!$C$18)*(1+'Inputs-System'!$C$42))*'Inputs-Proposals'!$I$16*VLOOKUP(P$3,DRIPE!$A$54:$I$80,8,FALSE), $C41 = "2",( 'Inputs-System'!$C$30*'Coincidence Factors'!$B$5*(1+'Inputs-System'!$C$18)*(1+'Inputs-System'!$C$41))*('Inputs-Proposals'!$I$23*'Inputs-Proposals'!$I$25*(1-'Inputs-Proposals'!$I$26))*(VLOOKUP(P$3,DRIPE!$A$54:$I$82,5,FALSE)-VLOOKUP(P$3,DRIPE!$A$54:$I$82,6,FALSE)+VLOOKUP(P$3,DRIPE!$A$54:$I$82,9,FALSE))+ ('Inputs-System'!$C$26*'Coincidence Factors'!$B$5*(1+'Inputs-System'!$C$18)*(1+'Inputs-System'!$C$41))+ ('Inputs-System'!$C$26*'Coincidence Factors'!$B$5)*'Inputs-Proposals'!$I$22*VLOOKUP(P$3,DRIPE!$A$54:$I$80,8,FALSE), $C41= "3", ('Inputs-System'!$C$30*'Coincidence Factors'!$B$5)*('Inputs-Proposals'!$I$29*'Inputs-Proposals'!$I$31*(1-'Inputs-Proposals'!$I$32))*(VLOOKUP(P$3,DRIPE!$A$54:$I$80,5,FALSE)-VLOOKUP(P$3,DRIPE!$A$54:$I$80,6,FALSE)+VLOOKUP(P$3,DRIPE!$A$54:$I$80,9,FALSE))+ ('Inputs-System'!$C$26*'Coincidence Factors'!$B$5*(1+'Inputs-System'!$C$18)*(1+'Inputs-System'!$C$42))*'Inputs-Proposals'!$I$28*VLOOKUP(P$3,DRIPE!$A$54:$I$80,8,FALSE), $C41 = "0", 0), 0)</f>
        <v>0</v>
      </c>
      <c r="S41" s="326">
        <f>IFERROR(_xlfn.IFS($C41="1",('Inputs-System'!$C$26*'Coincidence Factors'!$B$5*(1+'Inputs-System'!$C$18)*(1+'Inputs-System'!$C$42))*'Inputs-Proposals'!$I$16*(VLOOKUP(P$3,Capacity!$A$53:$E$85,4,FALSE)*(1+'Inputs-System'!$C$42)+VLOOKUP(P$3,Capacity!$A$53:$E$85,5,FALSE)*(1+'Inputs-System'!$C$43)*'Inputs-System'!$C$29), $C41 = "2", ('Inputs-System'!$C$26*'Coincidence Factors'!$B$5*(1+'Inputs-System'!$C$18))*'Inputs-Proposals'!$I$22*(VLOOKUP(P$3,Capacity!$A$53:$E$85,4,FALSE)*(1+'Inputs-System'!$C$42)+VLOOKUP(P$3,Capacity!$A$53:$E$85,5,FALSE)*'Inputs-System'!$C$29*(1+'Inputs-System'!$C$43)), $C41 = "3", ('Inputs-System'!$C$26*'Coincidence Factors'!$B$5*(1+'Inputs-System'!$C$18))*'Inputs-Proposals'!$I$28*(VLOOKUP(P$3,Capacity!$A$53:$E$85,4,FALSE)*(1+'Inputs-System'!$C$42)+VLOOKUP(P$3,Capacity!$A$53:$E$85,5,FALSE)*'Inputs-System'!$C$29*(1+'Inputs-System'!$C$43)), $C41 = "0", 0), 0)</f>
        <v>0</v>
      </c>
      <c r="T41" s="318">
        <v>0</v>
      </c>
      <c r="U41" s="318">
        <f>IFERROR(_xlfn.IFS($C41="1", 'Inputs-System'!$C$30*'Coincidence Factors'!$B$5*'Inputs-Proposals'!$I$17*'Inputs-Proposals'!$I$19*(VLOOKUP(P$3,'Non-Embedded Emissions'!$A$56:$D$90,2,FALSE)+VLOOKUP(P$3,'Non-Embedded Emissions'!$A$143:$D$174,2,FALSE)+VLOOKUP(P$3,'Non-Embedded Emissions'!$A$230:$D$259,2,FALSE)-VLOOKUP(P$3,'Non-Embedded Emissions'!$A$56:$D$90,3,FALSE)-VLOOKUP(P$3,'Non-Embedded Emissions'!$A$143:$D$174,3,FALSE)-VLOOKUP(P$3,'Non-Embedded Emissions'!$A$230:$D$259,3,FALSE)), $C41 = "2", 'Inputs-System'!$C$30*'Coincidence Factors'!$B$5*'Inputs-Proposals'!$I$23*'Inputs-Proposals'!$I$25*(VLOOKUP(P$3,'Non-Embedded Emissions'!$A$56:$D$90,2,FALSE)+VLOOKUP(P$3,'Non-Embedded Emissions'!$A$143:$D$174,2,FALSE)+VLOOKUP(P$3,'Non-Embedded Emissions'!$A$230:$D$259,2,FALSE)-VLOOKUP(P$3,'Non-Embedded Emissions'!$A$56:$D$90,3,FALSE)-VLOOKUP(P$3,'Non-Embedded Emissions'!$A$143:$D$174,3,FALSE)-VLOOKUP(P$3,'Non-Embedded Emissions'!$A$230:$D$259,3,FALSE)), $C41 = "3", 'Inputs-System'!$C$30*'Coincidence Factors'!$B$5*'Inputs-Proposals'!$I$29*'Inputs-Proposals'!$I$31*(VLOOKUP(P$3,'Non-Embedded Emissions'!$A$56:$D$90,2,FALSE)+VLOOKUP(P$3,'Non-Embedded Emissions'!$A$143:$D$174,2,FALSE)+VLOOKUP(P$3,'Non-Embedded Emissions'!$A$230:$D$259,2,FALSE)-VLOOKUP(P$3,'Non-Embedded Emissions'!$A$56:$D$90,3,FALSE)-VLOOKUP(P$3,'Non-Embedded Emissions'!$A$143:$D$174,3,FALSE)-VLOOKUP(P$3,'Non-Embedded Emissions'!$A$230:$D$259,3,FALSE)), $C41 = "0", 0), 0)</f>
        <v>0</v>
      </c>
      <c r="V41" s="344">
        <f>IFERROR(_xlfn.IFS($C41="1",('Inputs-System'!$C$30*'Coincidence Factors'!$B$5*(1+'Inputs-System'!$C$18)*(1+'Inputs-System'!$C$41)*('Inputs-Proposals'!$I$17*'Inputs-Proposals'!$I$19*(1-'Inputs-Proposals'!$I$20))*(VLOOKUP(V$3,Energy!$A$51:$K$83,5,FALSE)-VLOOKUP(V$3,Energy!$A$51:$K$83,6,FALSE))), $C41 = "2",('Inputs-System'!$C$30*'Coincidence Factors'!$B$5)*(1+'Inputs-System'!$C$18)*(1+'Inputs-System'!$C$41)*('Inputs-Proposals'!$I$23*'Inputs-Proposals'!$I$25*(1-'Inputs-Proposals'!$I$26))*(VLOOKUP(V$3,Energy!$A$51:$K$83,5,FALSE)-VLOOKUP(V$3,Energy!$A$51:$K$83,6,FALSE)), $C41= "3", ('Inputs-System'!$C$30*'Coincidence Factors'!$B$5*(1+'Inputs-System'!$C$18)*(1+'Inputs-System'!$C$41)*('Inputs-Proposals'!$I$29*'Inputs-Proposals'!$I$31*(1-'Inputs-Proposals'!$I$32))*(VLOOKUP(V$3,Energy!$A$51:$K$83,5,FALSE)-VLOOKUP(V$3,Energy!$A$51:$K$83,6,FALSE))), $C41= "0", 0), 0)</f>
        <v>0</v>
      </c>
      <c r="W41" s="100">
        <f>IFERROR(_xlfn.IFS($C41="1", 'Inputs-System'!$C$30*'Coincidence Factors'!$B$5*(1+'Inputs-System'!$C$18)*(1+'Inputs-System'!$C$41)*'Inputs-Proposals'!$I$17*'Inputs-Proposals'!$I$19*(1-'Inputs-Proposals'!$I$20)*(VLOOKUP(V$3,'Embedded Emissions'!$A$47:$B$78,2,FALSE)+VLOOKUP(V$3,'Embedded Emissions'!$A$129:$B$158,2,FALSE)), $C41 = "2",'Inputs-System'!$C$30*'Coincidence Factors'!$B$5*(1+'Inputs-System'!$C$18)*(1+'Inputs-System'!$C$41)*'Inputs-Proposals'!$I$23*'Inputs-Proposals'!$I$25*(1-'Inputs-Proposals'!$I$20)*(VLOOKUP(V$3,'Embedded Emissions'!$A$47:$B$78,2,FALSE)+VLOOKUP(V$3,'Embedded Emissions'!$A$129:$B$158,2,FALSE)), $C41 = "3", 'Inputs-System'!$C$30*'Coincidence Factors'!$B$5*(1+'Inputs-System'!$C$18)*(1+'Inputs-System'!$C$41)*'Inputs-Proposals'!$I$29*'Inputs-Proposals'!$I$31*(1-'Inputs-Proposals'!$I$20)*(VLOOKUP(V$3,'Embedded Emissions'!$A$47:$B$78,2,FALSE)+VLOOKUP(V$3,'Embedded Emissions'!$A$129:$B$158,2,FALSE)), $C41 = "0", 0), 0)</f>
        <v>0</v>
      </c>
      <c r="X41" s="318">
        <f>IFERROR(_xlfn.IFS($C41="1",( 'Inputs-System'!$C$30*'Coincidence Factors'!$B$5*(1+'Inputs-System'!$C$18)*(1+'Inputs-System'!$C$41))*('Inputs-Proposals'!$I$17*'Inputs-Proposals'!$I$19*(1-'Inputs-Proposals'!$I$20))*(VLOOKUP(V$3,DRIPE!$A$54:$I$82,5,FALSE)-VLOOKUP(V$3,DRIPE!$A$54:$I$82,6,FALSE)+VLOOKUP(V$3,DRIPE!$A$54:$I$82,9,FALSE))+ ('Inputs-System'!$C$26*'Coincidence Factors'!$B$5*(1+'Inputs-System'!$C$18)*(1+'Inputs-System'!$C$42))*'Inputs-Proposals'!$I$16*VLOOKUP(V$3,DRIPE!$A$54:$I$80,8,FALSE), $C41 = "2",( 'Inputs-System'!$C$30*'Coincidence Factors'!$B$5*(1+'Inputs-System'!$C$18)*(1+'Inputs-System'!$C$41))*('Inputs-Proposals'!$I$23*'Inputs-Proposals'!$I$25*(1-'Inputs-Proposals'!$I$26))*(VLOOKUP(V$3,DRIPE!$A$54:$I$82,5,FALSE)-VLOOKUP(V$3,DRIPE!$A$54:$I$82,6,FALSE)+VLOOKUP(V$3,DRIPE!$A$54:$I$82,9,FALSE))+ ('Inputs-System'!$C$26*'Coincidence Factors'!$B$5*(1+'Inputs-System'!$C$18)*(1+'Inputs-System'!$C$41))+ ('Inputs-System'!$C$26*'Coincidence Factors'!$B$5)*'Inputs-Proposals'!$I$22*VLOOKUP(V$3,DRIPE!$A$54:$I$80,8,FALSE), $C41= "3", ('Inputs-System'!$C$30*'Coincidence Factors'!$B$5)*('Inputs-Proposals'!$I$29*'Inputs-Proposals'!$I$31*(1-'Inputs-Proposals'!$I$32))*(VLOOKUP(V$3,DRIPE!$A$54:$I$80,5,FALSE)-VLOOKUP(V$3,DRIPE!$A$54:$I$80,6,FALSE)+VLOOKUP(V$3,DRIPE!$A$54:$I$80,9,FALSE))+ ('Inputs-System'!$C$26*'Coincidence Factors'!$B$5*(1+'Inputs-System'!$C$18)*(1+'Inputs-System'!$C$42))*'Inputs-Proposals'!$I$28*VLOOKUP(V$3,DRIPE!$A$54:$I$80,8,FALSE), $C41 = "0", 0), 0)</f>
        <v>0</v>
      </c>
      <c r="Y41" s="326">
        <f>IFERROR(_xlfn.IFS($C41="1",('Inputs-System'!$C$26*'Coincidence Factors'!$B$5*(1+'Inputs-System'!$C$18)*(1+'Inputs-System'!$C$42))*'Inputs-Proposals'!$I$16*(VLOOKUP(V$3,Capacity!$A$53:$E$85,4,FALSE)*(1+'Inputs-System'!$C$42)+VLOOKUP(V$3,Capacity!$A$53:$E$85,5,FALSE)*(1+'Inputs-System'!$C$43)*'Inputs-System'!$C$29), $C41 = "2", ('Inputs-System'!$C$26*'Coincidence Factors'!$B$5*(1+'Inputs-System'!$C$18))*'Inputs-Proposals'!$I$22*(VLOOKUP(V$3,Capacity!$A$53:$E$85,4,FALSE)*(1+'Inputs-System'!$C$42)+VLOOKUP(V$3,Capacity!$A$53:$E$85,5,FALSE)*'Inputs-System'!$C$29*(1+'Inputs-System'!$C$43)), $C41 = "3", ('Inputs-System'!$C$26*'Coincidence Factors'!$B$5*(1+'Inputs-System'!$C$18))*'Inputs-Proposals'!$I$28*(VLOOKUP(V$3,Capacity!$A$53:$E$85,4,FALSE)*(1+'Inputs-System'!$C$42)+VLOOKUP(V$3,Capacity!$A$53:$E$85,5,FALSE)*'Inputs-System'!$C$29*(1+'Inputs-System'!$C$43)), $C41 = "0", 0), 0)</f>
        <v>0</v>
      </c>
      <c r="Z41" s="100">
        <v>0</v>
      </c>
      <c r="AA41" s="346">
        <f>IFERROR(_xlfn.IFS($C41="1", 'Inputs-System'!$C$30*'Coincidence Factors'!$B$5*'Inputs-Proposals'!$I$17*'Inputs-Proposals'!$I$19*(VLOOKUP(V$3,'Non-Embedded Emissions'!$A$56:$D$90,2,FALSE)+VLOOKUP(V$3,'Non-Embedded Emissions'!$A$143:$D$174,2,FALSE)+VLOOKUP(V$3,'Non-Embedded Emissions'!$A$230:$D$259,2,FALSE)-VLOOKUP(V$3,'Non-Embedded Emissions'!$A$56:$D$90,3,FALSE)-VLOOKUP(V$3,'Non-Embedded Emissions'!$A$143:$D$174,3,FALSE)-VLOOKUP(V$3,'Non-Embedded Emissions'!$A$230:$D$259,3,FALSE)), $C41 = "2", 'Inputs-System'!$C$30*'Coincidence Factors'!$B$5*'Inputs-Proposals'!$I$23*'Inputs-Proposals'!$I$25*(VLOOKUP(V$3,'Non-Embedded Emissions'!$A$56:$D$90,2,FALSE)+VLOOKUP(V$3,'Non-Embedded Emissions'!$A$143:$D$174,2,FALSE)+VLOOKUP(V$3,'Non-Embedded Emissions'!$A$230:$D$259,2,FALSE)-VLOOKUP(V$3,'Non-Embedded Emissions'!$A$56:$D$90,3,FALSE)-VLOOKUP(V$3,'Non-Embedded Emissions'!$A$143:$D$174,3,FALSE)-VLOOKUP(V$3,'Non-Embedded Emissions'!$A$230:$D$259,3,FALSE)), $C41 = "3", 'Inputs-System'!$C$30*'Coincidence Factors'!$B$5*'Inputs-Proposals'!$I$29*'Inputs-Proposals'!$I$31*(VLOOKUP(V$3,'Non-Embedded Emissions'!$A$56:$D$90,2,FALSE)+VLOOKUP(V$3,'Non-Embedded Emissions'!$A$143:$D$174,2,FALSE)+VLOOKUP(V$3,'Non-Embedded Emissions'!$A$230:$D$259,2,FALSE)-VLOOKUP(V$3,'Non-Embedded Emissions'!$A$56:$D$90,3,FALSE)-VLOOKUP(V$3,'Non-Embedded Emissions'!$A$143:$D$174,3,FALSE)-VLOOKUP(V$3,'Non-Embedded Emissions'!$A$230:$D$259,3,FALSE)), $C41 = "0", 0), 0)</f>
        <v>0</v>
      </c>
      <c r="AB41" s="344">
        <f>IFERROR(_xlfn.IFS($C41="1",('Inputs-System'!$C$30*'Coincidence Factors'!$B$5*(1+'Inputs-System'!$C$18)*(1+'Inputs-System'!$C$41)*('Inputs-Proposals'!$I$17*'Inputs-Proposals'!$I$19*(1-'Inputs-Proposals'!$I$20))*(VLOOKUP(AB$3,Energy!$A$51:$K$83,5,FALSE)-VLOOKUP(AB$3,Energy!$A$51:$K$83,6,FALSE))), $C41 = "2",('Inputs-System'!$C$30*'Coincidence Factors'!$B$5)*(1+'Inputs-System'!$C$18)*(1+'Inputs-System'!$C$41)*('Inputs-Proposals'!$I$23*'Inputs-Proposals'!$I$25*(1-'Inputs-Proposals'!$I$26))*(VLOOKUP(AB$3,Energy!$A$51:$K$83,5,FALSE)-VLOOKUP(AB$3,Energy!$A$51:$K$83,6,FALSE)), $C41= "3", ('Inputs-System'!$C$30*'Coincidence Factors'!$B$5*(1+'Inputs-System'!$C$18)*(1+'Inputs-System'!$C$41)*('Inputs-Proposals'!$I$29*'Inputs-Proposals'!$I$31*(1-'Inputs-Proposals'!$I$32))*(VLOOKUP(AB$3,Energy!$A$51:$K$83,5,FALSE)-VLOOKUP(AB$3,Energy!$A$51:$K$83,6,FALSE))), $C41= "0", 0), 0)</f>
        <v>0</v>
      </c>
      <c r="AC41" s="100">
        <f>IFERROR(_xlfn.IFS($C41="1", 'Inputs-System'!$C$30*'Coincidence Factors'!$B$5*(1+'Inputs-System'!$C$18)*(1+'Inputs-System'!$C$41)*'Inputs-Proposals'!$I$17*'Inputs-Proposals'!$I$19*(1-'Inputs-Proposals'!$I$20)*(VLOOKUP(AB$3,'Embedded Emissions'!$A$47:$B$78,2,FALSE)+VLOOKUP(AB$3,'Embedded Emissions'!$A$129:$B$158,2,FALSE)), $C41 = "2",'Inputs-System'!$C$30*'Coincidence Factors'!$B$5*(1+'Inputs-System'!$C$18)*(1+'Inputs-System'!$C$41)*'Inputs-Proposals'!$I$23*'Inputs-Proposals'!$I$25*(1-'Inputs-Proposals'!$I$20)*(VLOOKUP(AB$3,'Embedded Emissions'!$A$47:$B$78,2,FALSE)+VLOOKUP(AB$3,'Embedded Emissions'!$A$129:$B$158,2,FALSE)), $C41 = "3", 'Inputs-System'!$C$30*'Coincidence Factors'!$B$5*(1+'Inputs-System'!$C$18)*(1+'Inputs-System'!$C$41)*'Inputs-Proposals'!$I$29*'Inputs-Proposals'!$I$31*(1-'Inputs-Proposals'!$I$20)*(VLOOKUP(AB$3,'Embedded Emissions'!$A$47:$B$78,2,FALSE)+VLOOKUP(AB$3,'Embedded Emissions'!$A$129:$B$158,2,FALSE)), $C41 = "0", 0), 0)</f>
        <v>0</v>
      </c>
      <c r="AD41" s="318">
        <f>IFERROR(_xlfn.IFS($C41="1",( 'Inputs-System'!$C$30*'Coincidence Factors'!$B$5*(1+'Inputs-System'!$C$18)*(1+'Inputs-System'!$C$41))*('Inputs-Proposals'!$I$17*'Inputs-Proposals'!$I$19*(1-'Inputs-Proposals'!$I$20))*(VLOOKUP(AB$3,DRIPE!$A$54:$I$82,5,FALSE)-VLOOKUP(AB$3,DRIPE!$A$54:$I$82,6,FALSE)+VLOOKUP(AB$3,DRIPE!$A$54:$I$82,9,FALSE))+ ('Inputs-System'!$C$26*'Coincidence Factors'!$B$5*(1+'Inputs-System'!$C$18)*(1+'Inputs-System'!$C$42))*'Inputs-Proposals'!$I$16*VLOOKUP(AB$3,DRIPE!$A$54:$I$80,8,FALSE), $C41 = "2",( 'Inputs-System'!$C$30*'Coincidence Factors'!$B$5*(1+'Inputs-System'!$C$18)*(1+'Inputs-System'!$C$41))*('Inputs-Proposals'!$I$23*'Inputs-Proposals'!$I$25*(1-'Inputs-Proposals'!$I$26))*(VLOOKUP(AB$3,DRIPE!$A$54:$I$82,5,FALSE)-VLOOKUP(AB$3,DRIPE!$A$54:$I$82,6,FALSE)+VLOOKUP(AB$3,DRIPE!$A$54:$I$82,9,FALSE))+ ('Inputs-System'!$C$26*'Coincidence Factors'!$B$5*(1+'Inputs-System'!$C$18)*(1+'Inputs-System'!$C$41))+ ('Inputs-System'!$C$26*'Coincidence Factors'!$B$5)*'Inputs-Proposals'!$I$22*VLOOKUP(AB$3,DRIPE!$A$54:$I$80,8,FALSE), $C41= "3", ('Inputs-System'!$C$30*'Coincidence Factors'!$B$5)*('Inputs-Proposals'!$I$29*'Inputs-Proposals'!$I$31*(1-'Inputs-Proposals'!$I$32))*(VLOOKUP(AB$3,DRIPE!$A$54:$I$80,5,FALSE)-VLOOKUP(AB$3,DRIPE!$A$54:$I$80,6,FALSE)+VLOOKUP(AB$3,DRIPE!$A$54:$I$80,9,FALSE))+ ('Inputs-System'!$C$26*'Coincidence Factors'!$B$5*(1+'Inputs-System'!$C$18)*(1+'Inputs-System'!$C$42))*'Inputs-Proposals'!$I$28*VLOOKUP(AB$3,DRIPE!$A$54:$I$80,8,FALSE), $C41 = "0", 0), 0)</f>
        <v>0</v>
      </c>
      <c r="AE41" s="326">
        <f>IFERROR(_xlfn.IFS($C41="1",('Inputs-System'!$C$26*'Coincidence Factors'!$B$5*(1+'Inputs-System'!$C$18)*(1+'Inputs-System'!$C$42))*'Inputs-Proposals'!$I$16*(VLOOKUP(AB$3,Capacity!$A$53:$E$85,4,FALSE)*(1+'Inputs-System'!$C$42)+VLOOKUP(AB$3,Capacity!$A$53:$E$85,5,FALSE)*(1+'Inputs-System'!$C$43)*'Inputs-System'!$C$29), $C41 = "2", ('Inputs-System'!$C$26*'Coincidence Factors'!$B$5*(1+'Inputs-System'!$C$18))*'Inputs-Proposals'!$I$22*(VLOOKUP(AB$3,Capacity!$A$53:$E$85,4,FALSE)*(1+'Inputs-System'!$C$42)+VLOOKUP(AB$3,Capacity!$A$53:$E$85,5,FALSE)*'Inputs-System'!$C$29*(1+'Inputs-System'!$C$43)), $C41 = "3", ('Inputs-System'!$C$26*'Coincidence Factors'!$B$5*(1+'Inputs-System'!$C$18))*'Inputs-Proposals'!$I$28*(VLOOKUP(AB$3,Capacity!$A$53:$E$85,4,FALSE)*(1+'Inputs-System'!$C$42)+VLOOKUP(AB$3,Capacity!$A$53:$E$85,5,FALSE)*'Inputs-System'!$C$29*(1+'Inputs-System'!$C$43)), $C41 = "0", 0), 0)</f>
        <v>0</v>
      </c>
      <c r="AF41" s="100">
        <v>0</v>
      </c>
      <c r="AG41" s="346">
        <f>IFERROR(_xlfn.IFS($C41="1", 'Inputs-System'!$C$30*'Coincidence Factors'!$B$5*'Inputs-Proposals'!$I$17*'Inputs-Proposals'!$I$19*(VLOOKUP(AB$3,'Non-Embedded Emissions'!$A$56:$D$90,2,FALSE)+VLOOKUP(AB$3,'Non-Embedded Emissions'!$A$143:$D$174,2,FALSE)+VLOOKUP(AB$3,'Non-Embedded Emissions'!$A$230:$D$259,2,FALSE)-VLOOKUP(AB$3,'Non-Embedded Emissions'!$A$56:$D$90,3,FALSE)-VLOOKUP(AB$3,'Non-Embedded Emissions'!$A$143:$D$174,3,FALSE)-VLOOKUP(AB$3,'Non-Embedded Emissions'!$A$230:$D$259,3,FALSE)), $C41 = "2", 'Inputs-System'!$C$30*'Coincidence Factors'!$B$5*'Inputs-Proposals'!$I$23*'Inputs-Proposals'!$I$25*(VLOOKUP(AB$3,'Non-Embedded Emissions'!$A$56:$D$90,2,FALSE)+VLOOKUP(AB$3,'Non-Embedded Emissions'!$A$143:$D$174,2,FALSE)+VLOOKUP(AB$3,'Non-Embedded Emissions'!$A$230:$D$259,2,FALSE)-VLOOKUP(AB$3,'Non-Embedded Emissions'!$A$56:$D$90,3,FALSE)-VLOOKUP(AB$3,'Non-Embedded Emissions'!$A$143:$D$174,3,FALSE)-VLOOKUP(AB$3,'Non-Embedded Emissions'!$A$230:$D$259,3,FALSE)), $C41 = "3", 'Inputs-System'!$C$30*'Coincidence Factors'!$B$5*'Inputs-Proposals'!$I$29*'Inputs-Proposals'!$I$31*(VLOOKUP(AB$3,'Non-Embedded Emissions'!$A$56:$D$90,2,FALSE)+VLOOKUP(AB$3,'Non-Embedded Emissions'!$A$143:$D$174,2,FALSE)+VLOOKUP(AB$3,'Non-Embedded Emissions'!$A$230:$D$259,2,FALSE)-VLOOKUP(AB$3,'Non-Embedded Emissions'!$A$56:$D$90,3,FALSE)-VLOOKUP(AB$3,'Non-Embedded Emissions'!$A$143:$D$174,3,FALSE)-VLOOKUP(AB$3,'Non-Embedded Emissions'!$A$230:$D$259,3,FALSE)), $C41 = "0", 0), 0)</f>
        <v>0</v>
      </c>
      <c r="AH41" s="344">
        <f>IFERROR(_xlfn.IFS($C41="1",('Inputs-System'!$C$30*'Coincidence Factors'!$B$5*(1+'Inputs-System'!$C$18)*(1+'Inputs-System'!$C$41)*('Inputs-Proposals'!$I$17*'Inputs-Proposals'!$I$19*(1-'Inputs-Proposals'!$I$20))*(VLOOKUP(AH$3,Energy!$A$51:$K$83,5,FALSE)-VLOOKUP(AH$3,Energy!$A$51:$K$83,6,FALSE))), $C41 = "2",('Inputs-System'!$C$30*'Coincidence Factors'!$B$5)*(1+'Inputs-System'!$C$18)*(1+'Inputs-System'!$C$41)*('Inputs-Proposals'!$I$23*'Inputs-Proposals'!$I$25*(1-'Inputs-Proposals'!$I$26))*(VLOOKUP(AH$3,Energy!$A$51:$K$83,5,FALSE)-VLOOKUP(AH$3,Energy!$A$51:$K$83,6,FALSE)), $C41= "3", ('Inputs-System'!$C$30*'Coincidence Factors'!$B$5*(1+'Inputs-System'!$C$18)*(1+'Inputs-System'!$C$41)*('Inputs-Proposals'!$I$29*'Inputs-Proposals'!$I$31*(1-'Inputs-Proposals'!$I$32))*(VLOOKUP(AH$3,Energy!$A$51:$K$83,5,FALSE)-VLOOKUP(AH$3,Energy!$A$51:$K$83,6,FALSE))), $C41= "0", 0), 0)</f>
        <v>0</v>
      </c>
      <c r="AI41" s="100">
        <f>IFERROR(_xlfn.IFS($C41="1", 'Inputs-System'!$C$30*'Coincidence Factors'!$B$5*(1+'Inputs-System'!$C$18)*(1+'Inputs-System'!$C$41)*'Inputs-Proposals'!$I$17*'Inputs-Proposals'!$I$19*(1-'Inputs-Proposals'!$I$20)*(VLOOKUP(AH$3,'Embedded Emissions'!$A$47:$B$78,2,FALSE)+VLOOKUP(AH$3,'Embedded Emissions'!$A$129:$B$158,2,FALSE)), $C41 = "2",'Inputs-System'!$C$30*'Coincidence Factors'!$B$5*(1+'Inputs-System'!$C$18)*(1+'Inputs-System'!$C$41)*'Inputs-Proposals'!$I$23*'Inputs-Proposals'!$I$25*(1-'Inputs-Proposals'!$I$20)*(VLOOKUP(AH$3,'Embedded Emissions'!$A$47:$B$78,2,FALSE)+VLOOKUP(AH$3,'Embedded Emissions'!$A$129:$B$158,2,FALSE)), $C41 = "3", 'Inputs-System'!$C$30*'Coincidence Factors'!$B$5*(1+'Inputs-System'!$C$18)*(1+'Inputs-System'!$C$41)*'Inputs-Proposals'!$I$29*'Inputs-Proposals'!$I$31*(1-'Inputs-Proposals'!$I$20)*(VLOOKUP(AH$3,'Embedded Emissions'!$A$47:$B$78,2,FALSE)+VLOOKUP(AH$3,'Embedded Emissions'!$A$129:$B$158,2,FALSE)), $C41 = "0", 0), 0)</f>
        <v>0</v>
      </c>
      <c r="AJ41" s="318">
        <f>IFERROR(_xlfn.IFS($C41="1",( 'Inputs-System'!$C$30*'Coincidence Factors'!$B$5*(1+'Inputs-System'!$C$18)*(1+'Inputs-System'!$C$41))*('Inputs-Proposals'!$I$17*'Inputs-Proposals'!$I$19*(1-'Inputs-Proposals'!$I$20))*(VLOOKUP(AH$3,DRIPE!$A$54:$I$82,5,FALSE)-VLOOKUP(AH$3,DRIPE!$A$54:$I$82,6,FALSE)+VLOOKUP(AH$3,DRIPE!$A$54:$I$82,9,FALSE))+ ('Inputs-System'!$C$26*'Coincidence Factors'!$B$5*(1+'Inputs-System'!$C$18)*(1+'Inputs-System'!$C$42))*'Inputs-Proposals'!$I$16*VLOOKUP(AH$3,DRIPE!$A$54:$I$80,8,FALSE), $C41 = "2",( 'Inputs-System'!$C$30*'Coincidence Factors'!$B$5*(1+'Inputs-System'!$C$18)*(1+'Inputs-System'!$C$41))*('Inputs-Proposals'!$I$23*'Inputs-Proposals'!$I$25*(1-'Inputs-Proposals'!$I$26))*(VLOOKUP(AH$3,DRIPE!$A$54:$I$82,5,FALSE)-VLOOKUP(AH$3,DRIPE!$A$54:$I$82,6,FALSE)+VLOOKUP(AH$3,DRIPE!$A$54:$I$82,9,FALSE))+ ('Inputs-System'!$C$26*'Coincidence Factors'!$B$5*(1+'Inputs-System'!$C$18)*(1+'Inputs-System'!$C$41))+ ('Inputs-System'!$C$26*'Coincidence Factors'!$B$5)*'Inputs-Proposals'!$I$22*VLOOKUP(AH$3,DRIPE!$A$54:$I$80,8,FALSE), $C41= "3", ('Inputs-System'!$C$30*'Coincidence Factors'!$B$5)*('Inputs-Proposals'!$I$29*'Inputs-Proposals'!$I$31*(1-'Inputs-Proposals'!$I$32))*(VLOOKUP(AH$3,DRIPE!$A$54:$I$80,5,FALSE)-VLOOKUP(AH$3,DRIPE!$A$54:$I$80,6,FALSE)+VLOOKUP(AH$3,DRIPE!$A$54:$I$80,9,FALSE))+ ('Inputs-System'!$C$26*'Coincidence Factors'!$B$5*(1+'Inputs-System'!$C$18)*(1+'Inputs-System'!$C$42))*'Inputs-Proposals'!$I$28*VLOOKUP(AH$3,DRIPE!$A$54:$I$80,8,FALSE), $C41 = "0", 0), 0)</f>
        <v>0</v>
      </c>
      <c r="AK41" s="326">
        <f>IFERROR(_xlfn.IFS($C41="1",('Inputs-System'!$C$26*'Coincidence Factors'!$B$5*(1+'Inputs-System'!$C$18)*(1+'Inputs-System'!$C$42))*'Inputs-Proposals'!$I$16*(VLOOKUP(AH$3,Capacity!$A$53:$E$85,4,FALSE)*(1+'Inputs-System'!$C$42)+VLOOKUP(AH$3,Capacity!$A$53:$E$85,5,FALSE)*(1+'Inputs-System'!$C$43)*'Inputs-System'!$C$29), $C41 = "2", ('Inputs-System'!$C$26*'Coincidence Factors'!$B$5*(1+'Inputs-System'!$C$18))*'Inputs-Proposals'!$I$22*(VLOOKUP(AH$3,Capacity!$A$53:$E$85,4,FALSE)*(1+'Inputs-System'!$C$42)+VLOOKUP(AH$3,Capacity!$A$53:$E$85,5,FALSE)*'Inputs-System'!$C$29*(1+'Inputs-System'!$C$43)), $C41 = "3", ('Inputs-System'!$C$26*'Coincidence Factors'!$B$5*(1+'Inputs-System'!$C$18))*'Inputs-Proposals'!$I$28*(VLOOKUP(AH$3,Capacity!$A$53:$E$85,4,FALSE)*(1+'Inputs-System'!$C$42)+VLOOKUP(AH$3,Capacity!$A$53:$E$85,5,FALSE)*'Inputs-System'!$C$29*(1+'Inputs-System'!$C$43)), $C41 = "0", 0), 0)</f>
        <v>0</v>
      </c>
      <c r="AL41" s="100">
        <v>0</v>
      </c>
      <c r="AM41" s="346">
        <f>IFERROR(_xlfn.IFS($C41="1", 'Inputs-System'!$C$30*'Coincidence Factors'!$B$5*'Inputs-Proposals'!$I$17*'Inputs-Proposals'!$I$19*(VLOOKUP(AH$3,'Non-Embedded Emissions'!$A$56:$D$90,2,FALSE)+VLOOKUP(AH$3,'Non-Embedded Emissions'!$A$143:$D$174,2,FALSE)+VLOOKUP(AH$3,'Non-Embedded Emissions'!$A$230:$D$259,2,FALSE)-VLOOKUP(AH$3,'Non-Embedded Emissions'!$A$56:$D$90,3,FALSE)-VLOOKUP(AH$3,'Non-Embedded Emissions'!$A$143:$D$174,3,FALSE)-VLOOKUP(AH$3,'Non-Embedded Emissions'!$A$230:$D$259,3,FALSE)), $C41 = "2", 'Inputs-System'!$C$30*'Coincidence Factors'!$B$5*'Inputs-Proposals'!$I$23*'Inputs-Proposals'!$I$25*(VLOOKUP(AH$3,'Non-Embedded Emissions'!$A$56:$D$90,2,FALSE)+VLOOKUP(AH$3,'Non-Embedded Emissions'!$A$143:$D$174,2,FALSE)+VLOOKUP(AH$3,'Non-Embedded Emissions'!$A$230:$D$259,2,FALSE)-VLOOKUP(AH$3,'Non-Embedded Emissions'!$A$56:$D$90,3,FALSE)-VLOOKUP(AH$3,'Non-Embedded Emissions'!$A$143:$D$174,3,FALSE)-VLOOKUP(AH$3,'Non-Embedded Emissions'!$A$230:$D$259,3,FALSE)), $C41 = "3", 'Inputs-System'!$C$30*'Coincidence Factors'!$B$5*'Inputs-Proposals'!$I$29*'Inputs-Proposals'!$I$31*(VLOOKUP(AH$3,'Non-Embedded Emissions'!$A$56:$D$90,2,FALSE)+VLOOKUP(AH$3,'Non-Embedded Emissions'!$A$143:$D$174,2,FALSE)+VLOOKUP(AH$3,'Non-Embedded Emissions'!$A$230:$D$259,2,FALSE)-VLOOKUP(AH$3,'Non-Embedded Emissions'!$A$56:$D$90,3,FALSE)-VLOOKUP(AH$3,'Non-Embedded Emissions'!$A$143:$D$174,3,FALSE)-VLOOKUP(AH$3,'Non-Embedded Emissions'!$A$230:$D$259,3,FALSE)), $C41 = "0", 0), 0)</f>
        <v>0</v>
      </c>
      <c r="AN41" s="344">
        <f>IFERROR(_xlfn.IFS($C41="1",('Inputs-System'!$C$30*'Coincidence Factors'!$B$5*(1+'Inputs-System'!$C$18)*(1+'Inputs-System'!$C$41)*('Inputs-Proposals'!$I$17*'Inputs-Proposals'!$I$19*(1-'Inputs-Proposals'!$I$20))*(VLOOKUP(AN$3,Energy!$A$51:$K$83,5,FALSE)-VLOOKUP(AN$3,Energy!$A$51:$K$83,6,FALSE))), $C41 = "2",('Inputs-System'!$C$30*'Coincidence Factors'!$B$5)*(1+'Inputs-System'!$C$18)*(1+'Inputs-System'!$C$41)*('Inputs-Proposals'!$I$23*'Inputs-Proposals'!$I$25*(1-'Inputs-Proposals'!$I$26))*(VLOOKUP(AN$3,Energy!$A$51:$K$83,5,FALSE)-VLOOKUP(AN$3,Energy!$A$51:$K$83,6,FALSE)), $C41= "3", ('Inputs-System'!$C$30*'Coincidence Factors'!$B$5*(1+'Inputs-System'!$C$18)*(1+'Inputs-System'!$C$41)*('Inputs-Proposals'!$I$29*'Inputs-Proposals'!$I$31*(1-'Inputs-Proposals'!$I$32))*(VLOOKUP(AN$3,Energy!$A$51:$K$83,5,FALSE)-VLOOKUP(AN$3,Energy!$A$51:$K$83,6,FALSE))), $C41= "0", 0), 0)</f>
        <v>0</v>
      </c>
      <c r="AO41" s="100">
        <f>IFERROR(_xlfn.IFS($C41="1", 'Inputs-System'!$C$30*'Coincidence Factors'!$B$5*(1+'Inputs-System'!$C$18)*(1+'Inputs-System'!$C$41)*'Inputs-Proposals'!$I$17*'Inputs-Proposals'!$I$19*(1-'Inputs-Proposals'!$I$20)*(VLOOKUP(AN$3,'Embedded Emissions'!$A$47:$B$78,2,FALSE)+VLOOKUP(AN$3,'Embedded Emissions'!$A$129:$B$158,2,FALSE)), $C41 = "2",'Inputs-System'!$C$30*'Coincidence Factors'!$B$5*(1+'Inputs-System'!$C$18)*(1+'Inputs-System'!$C$41)*'Inputs-Proposals'!$I$23*'Inputs-Proposals'!$I$25*(1-'Inputs-Proposals'!$I$20)*(VLOOKUP(AN$3,'Embedded Emissions'!$A$47:$B$78,2,FALSE)+VLOOKUP(AN$3,'Embedded Emissions'!$A$129:$B$158,2,FALSE)), $C41 = "3", 'Inputs-System'!$C$30*'Coincidence Factors'!$B$5*(1+'Inputs-System'!$C$18)*(1+'Inputs-System'!$C$41)*'Inputs-Proposals'!$I$29*'Inputs-Proposals'!$I$31*(1-'Inputs-Proposals'!$I$20)*(VLOOKUP(AN$3,'Embedded Emissions'!$A$47:$B$78,2,FALSE)+VLOOKUP(AN$3,'Embedded Emissions'!$A$129:$B$158,2,FALSE)), $C41 = "0", 0), 0)</f>
        <v>0</v>
      </c>
      <c r="AP41" s="318">
        <f>IFERROR(_xlfn.IFS($C41="1",( 'Inputs-System'!$C$30*'Coincidence Factors'!$B$5*(1+'Inputs-System'!$C$18)*(1+'Inputs-System'!$C$41))*('Inputs-Proposals'!$I$17*'Inputs-Proposals'!$I$19*(1-'Inputs-Proposals'!$I$20))*(VLOOKUP(AN$3,DRIPE!$A$54:$I$82,5,FALSE)-VLOOKUP(AN$3,DRIPE!$A$54:$I$82,6,FALSE)+VLOOKUP(AN$3,DRIPE!$A$54:$I$82,9,FALSE))+ ('Inputs-System'!$C$26*'Coincidence Factors'!$B$5*(1+'Inputs-System'!$C$18)*(1+'Inputs-System'!$C$42))*'Inputs-Proposals'!$I$16*VLOOKUP(AN$3,DRIPE!$A$54:$I$80,8,FALSE), $C41 = "2",( 'Inputs-System'!$C$30*'Coincidence Factors'!$B$5*(1+'Inputs-System'!$C$18)*(1+'Inputs-System'!$C$41))*('Inputs-Proposals'!$I$23*'Inputs-Proposals'!$I$25*(1-'Inputs-Proposals'!$I$26))*(VLOOKUP(AN$3,DRIPE!$A$54:$I$82,5,FALSE)-VLOOKUP(AN$3,DRIPE!$A$54:$I$82,6,FALSE)+VLOOKUP(AN$3,DRIPE!$A$54:$I$82,9,FALSE))+ ('Inputs-System'!$C$26*'Coincidence Factors'!$B$5*(1+'Inputs-System'!$C$18)*(1+'Inputs-System'!$C$41))+ ('Inputs-System'!$C$26*'Coincidence Factors'!$B$5)*'Inputs-Proposals'!$I$22*VLOOKUP(AN$3,DRIPE!$A$54:$I$80,8,FALSE), $C41= "3", ('Inputs-System'!$C$30*'Coincidence Factors'!$B$5)*('Inputs-Proposals'!$I$29*'Inputs-Proposals'!$I$31*(1-'Inputs-Proposals'!$I$32))*(VLOOKUP(AN$3,DRIPE!$A$54:$I$80,5,FALSE)-VLOOKUP(AN$3,DRIPE!$A$54:$I$80,6,FALSE)+VLOOKUP(AN$3,DRIPE!$A$54:$I$80,9,FALSE))+ ('Inputs-System'!$C$26*'Coincidence Factors'!$B$5*(1+'Inputs-System'!$C$18)*(1+'Inputs-System'!$C$42))*'Inputs-Proposals'!$I$28*VLOOKUP(AN$3,DRIPE!$A$54:$I$80,8,FALSE), $C41 = "0", 0), 0)</f>
        <v>0</v>
      </c>
      <c r="AQ41" s="326">
        <f>IFERROR(_xlfn.IFS($C41="1",('Inputs-System'!$C$26*'Coincidence Factors'!$B$5*(1+'Inputs-System'!$C$18)*(1+'Inputs-System'!$C$42))*'Inputs-Proposals'!$I$16*(VLOOKUP(AN$3,Capacity!$A$53:$E$85,4,FALSE)*(1+'Inputs-System'!$C$42)+VLOOKUP(AN$3,Capacity!$A$53:$E$85,5,FALSE)*(1+'Inputs-System'!$C$43)*'Inputs-System'!$C$29), $C41 = "2", ('Inputs-System'!$C$26*'Coincidence Factors'!$B$5*(1+'Inputs-System'!$C$18))*'Inputs-Proposals'!$I$22*(VLOOKUP(AN$3,Capacity!$A$53:$E$85,4,FALSE)*(1+'Inputs-System'!$C$42)+VLOOKUP(AN$3,Capacity!$A$53:$E$85,5,FALSE)*'Inputs-System'!$C$29*(1+'Inputs-System'!$C$43)), $C41 = "3", ('Inputs-System'!$C$26*'Coincidence Factors'!$B$5*(1+'Inputs-System'!$C$18))*'Inputs-Proposals'!$I$28*(VLOOKUP(AN$3,Capacity!$A$53:$E$85,4,FALSE)*(1+'Inputs-System'!$C$42)+VLOOKUP(AN$3,Capacity!$A$53:$E$85,5,FALSE)*'Inputs-System'!$C$29*(1+'Inputs-System'!$C$43)), $C41 = "0", 0), 0)</f>
        <v>0</v>
      </c>
      <c r="AR41" s="100">
        <v>0</v>
      </c>
      <c r="AS41" s="346">
        <f>IFERROR(_xlfn.IFS($C41="1", 'Inputs-System'!$C$30*'Coincidence Factors'!$B$5*'Inputs-Proposals'!$I$17*'Inputs-Proposals'!$I$19*(VLOOKUP(AN$3,'Non-Embedded Emissions'!$A$56:$D$90,2,FALSE)+VLOOKUP(AN$3,'Non-Embedded Emissions'!$A$143:$D$174,2,FALSE)+VLOOKUP(AN$3,'Non-Embedded Emissions'!$A$230:$D$259,2,FALSE)-VLOOKUP(AN$3,'Non-Embedded Emissions'!$A$56:$D$90,3,FALSE)-VLOOKUP(AN$3,'Non-Embedded Emissions'!$A$143:$D$174,3,FALSE)-VLOOKUP(AN$3,'Non-Embedded Emissions'!$A$230:$D$259,3,FALSE)), $C41 = "2", 'Inputs-System'!$C$30*'Coincidence Factors'!$B$5*'Inputs-Proposals'!$I$23*'Inputs-Proposals'!$I$25*(VLOOKUP(AN$3,'Non-Embedded Emissions'!$A$56:$D$90,2,FALSE)+VLOOKUP(AN$3,'Non-Embedded Emissions'!$A$143:$D$174,2,FALSE)+VLOOKUP(AN$3,'Non-Embedded Emissions'!$A$230:$D$259,2,FALSE)-VLOOKUP(AN$3,'Non-Embedded Emissions'!$A$56:$D$90,3,FALSE)-VLOOKUP(AN$3,'Non-Embedded Emissions'!$A$143:$D$174,3,FALSE)-VLOOKUP(AN$3,'Non-Embedded Emissions'!$A$230:$D$259,3,FALSE)), $C41 = "3", 'Inputs-System'!$C$30*'Coincidence Factors'!$B$5*'Inputs-Proposals'!$I$29*'Inputs-Proposals'!$I$31*(VLOOKUP(AN$3,'Non-Embedded Emissions'!$A$56:$D$90,2,FALSE)+VLOOKUP(AN$3,'Non-Embedded Emissions'!$A$143:$D$174,2,FALSE)+VLOOKUP(AN$3,'Non-Embedded Emissions'!$A$230:$D$259,2,FALSE)-VLOOKUP(AN$3,'Non-Embedded Emissions'!$A$56:$D$90,3,FALSE)-VLOOKUP(AN$3,'Non-Embedded Emissions'!$A$143:$D$174,3,FALSE)-VLOOKUP(AN$3,'Non-Embedded Emissions'!$A$230:$D$259,3,FALSE)), $C41 = "0", 0), 0)</f>
        <v>0</v>
      </c>
      <c r="AT41" s="344">
        <f>IFERROR(_xlfn.IFS($C41="1",('Inputs-System'!$C$30*'Coincidence Factors'!$B$5*(1+'Inputs-System'!$C$18)*(1+'Inputs-System'!$C$41)*('Inputs-Proposals'!$I$17*'Inputs-Proposals'!$I$19*(1-'Inputs-Proposals'!$I$20))*(VLOOKUP(AT$3,Energy!$A$51:$K$83,5,FALSE)-VLOOKUP(AT$3,Energy!$A$51:$K$83,6,FALSE))), $C41 = "2",('Inputs-System'!$C$30*'Coincidence Factors'!$B$5)*(1+'Inputs-System'!$C$18)*(1+'Inputs-System'!$C$41)*('Inputs-Proposals'!$I$23*'Inputs-Proposals'!$I$25*(1-'Inputs-Proposals'!$I$26))*(VLOOKUP(AT$3,Energy!$A$51:$K$83,5,FALSE)-VLOOKUP(AT$3,Energy!$A$51:$K$83,6,FALSE)), $C41= "3", ('Inputs-System'!$C$30*'Coincidence Factors'!$B$5*(1+'Inputs-System'!$C$18)*(1+'Inputs-System'!$C$41)*('Inputs-Proposals'!$I$29*'Inputs-Proposals'!$I$31*(1-'Inputs-Proposals'!$I$32))*(VLOOKUP(AT$3,Energy!$A$51:$K$83,5,FALSE)-VLOOKUP(AT$3,Energy!$A$51:$K$83,6,FALSE))), $C41= "0", 0), 0)</f>
        <v>0</v>
      </c>
      <c r="AU41" s="100">
        <f>IFERROR(_xlfn.IFS($C41="1", 'Inputs-System'!$C$30*'Coincidence Factors'!$B$5*(1+'Inputs-System'!$C$18)*(1+'Inputs-System'!$C$41)*'Inputs-Proposals'!$I$17*'Inputs-Proposals'!$I$19*(1-'Inputs-Proposals'!$I$20)*(VLOOKUP(AT$3,'Embedded Emissions'!$A$47:$B$78,2,FALSE)+VLOOKUP(AT$3,'Embedded Emissions'!$A$129:$B$158,2,FALSE)), $C41 = "2",'Inputs-System'!$C$30*'Coincidence Factors'!$B$5*(1+'Inputs-System'!$C$18)*(1+'Inputs-System'!$C$41)*'Inputs-Proposals'!$I$23*'Inputs-Proposals'!$I$25*(1-'Inputs-Proposals'!$I$20)*(VLOOKUP(AT$3,'Embedded Emissions'!$A$47:$B$78,2,FALSE)+VLOOKUP(AT$3,'Embedded Emissions'!$A$129:$B$158,2,FALSE)), $C41 = "3", 'Inputs-System'!$C$30*'Coincidence Factors'!$B$5*(1+'Inputs-System'!$C$18)*(1+'Inputs-System'!$C$41)*'Inputs-Proposals'!$I$29*'Inputs-Proposals'!$I$31*(1-'Inputs-Proposals'!$I$20)*(VLOOKUP(AT$3,'Embedded Emissions'!$A$47:$B$78,2,FALSE)+VLOOKUP(AT$3,'Embedded Emissions'!$A$129:$B$158,2,FALSE)), $C41 = "0", 0), 0)</f>
        <v>0</v>
      </c>
      <c r="AV41" s="318">
        <f>IFERROR(_xlfn.IFS($C41="1",( 'Inputs-System'!$C$30*'Coincidence Factors'!$B$5*(1+'Inputs-System'!$C$18)*(1+'Inputs-System'!$C$41))*('Inputs-Proposals'!$I$17*'Inputs-Proposals'!$I$19*(1-'Inputs-Proposals'!$I$20))*(VLOOKUP(AT$3,DRIPE!$A$54:$I$82,5,FALSE)-VLOOKUP(AT$3,DRIPE!$A$54:$I$82,6,FALSE)+VLOOKUP(AT$3,DRIPE!$A$54:$I$82,9,FALSE))+ ('Inputs-System'!$C$26*'Coincidence Factors'!$B$5*(1+'Inputs-System'!$C$18)*(1+'Inputs-System'!$C$42))*'Inputs-Proposals'!$I$16*VLOOKUP(AT$3,DRIPE!$A$54:$I$80,8,FALSE), $C41 = "2",( 'Inputs-System'!$C$30*'Coincidence Factors'!$B$5*(1+'Inputs-System'!$C$18)*(1+'Inputs-System'!$C$41))*('Inputs-Proposals'!$I$23*'Inputs-Proposals'!$I$25*(1-'Inputs-Proposals'!$I$26))*(VLOOKUP(AT$3,DRIPE!$A$54:$I$82,5,FALSE)-VLOOKUP(AT$3,DRIPE!$A$54:$I$82,6,FALSE)+VLOOKUP(AT$3,DRIPE!$A$54:$I$82,9,FALSE))+ ('Inputs-System'!$C$26*'Coincidence Factors'!$B$5*(1+'Inputs-System'!$C$18)*(1+'Inputs-System'!$C$41))+ ('Inputs-System'!$C$26*'Coincidence Factors'!$B$5)*'Inputs-Proposals'!$I$22*VLOOKUP(AT$3,DRIPE!$A$54:$I$80,8,FALSE), $C41= "3", ('Inputs-System'!$C$30*'Coincidence Factors'!$B$5)*('Inputs-Proposals'!$I$29*'Inputs-Proposals'!$I$31*(1-'Inputs-Proposals'!$I$32))*(VLOOKUP(AT$3,DRIPE!$A$54:$I$80,5,FALSE)-VLOOKUP(AT$3,DRIPE!$A$54:$I$80,6,FALSE)+VLOOKUP(AT$3,DRIPE!$A$54:$I$80,9,FALSE))+ ('Inputs-System'!$C$26*'Coincidence Factors'!$B$5*(1+'Inputs-System'!$C$18)*(1+'Inputs-System'!$C$42))*'Inputs-Proposals'!$I$28*VLOOKUP(AT$3,DRIPE!$A$54:$I$80,8,FALSE), $C41 = "0", 0), 0)</f>
        <v>0</v>
      </c>
      <c r="AW41" s="326">
        <f>IFERROR(_xlfn.IFS($C41="1",('Inputs-System'!$C$26*'Coincidence Factors'!$B$5*(1+'Inputs-System'!$C$18)*(1+'Inputs-System'!$C$42))*'Inputs-Proposals'!$I$16*(VLOOKUP(AT$3,Capacity!$A$53:$E$85,4,FALSE)*(1+'Inputs-System'!$C$42)+VLOOKUP(AT$3,Capacity!$A$53:$E$85,5,FALSE)*(1+'Inputs-System'!$C$43)*'Inputs-System'!$C$29), $C41 = "2", ('Inputs-System'!$C$26*'Coincidence Factors'!$B$5*(1+'Inputs-System'!$C$18))*'Inputs-Proposals'!$I$22*(VLOOKUP(AT$3,Capacity!$A$53:$E$85,4,FALSE)*(1+'Inputs-System'!$C$42)+VLOOKUP(AT$3,Capacity!$A$53:$E$85,5,FALSE)*'Inputs-System'!$C$29*(1+'Inputs-System'!$C$43)), $C41 = "3", ('Inputs-System'!$C$26*'Coincidence Factors'!$B$5*(1+'Inputs-System'!$C$18))*'Inputs-Proposals'!$I$28*(VLOOKUP(AT$3,Capacity!$A$53:$E$85,4,FALSE)*(1+'Inputs-System'!$C$42)+VLOOKUP(AT$3,Capacity!$A$53:$E$85,5,FALSE)*'Inputs-System'!$C$29*(1+'Inputs-System'!$C$43)), $C41 = "0", 0), 0)</f>
        <v>0</v>
      </c>
      <c r="AX41" s="100">
        <v>0</v>
      </c>
      <c r="AY41" s="346">
        <f>IFERROR(_xlfn.IFS($C41="1", 'Inputs-System'!$C$30*'Coincidence Factors'!$B$5*'Inputs-Proposals'!$I$17*'Inputs-Proposals'!$I$19*(VLOOKUP(AT$3,'Non-Embedded Emissions'!$A$56:$D$90,2,FALSE)+VLOOKUP(AT$3,'Non-Embedded Emissions'!$A$143:$D$174,2,FALSE)+VLOOKUP(AT$3,'Non-Embedded Emissions'!$A$230:$D$259,2,FALSE)-VLOOKUP(AT$3,'Non-Embedded Emissions'!$A$56:$D$90,3,FALSE)-VLOOKUP(AT$3,'Non-Embedded Emissions'!$A$143:$D$174,3,FALSE)-VLOOKUP(AT$3,'Non-Embedded Emissions'!$A$230:$D$259,3,FALSE)), $C41 = "2", 'Inputs-System'!$C$30*'Coincidence Factors'!$B$5*'Inputs-Proposals'!$I$23*'Inputs-Proposals'!$I$25*(VLOOKUP(AT$3,'Non-Embedded Emissions'!$A$56:$D$90,2,FALSE)+VLOOKUP(AT$3,'Non-Embedded Emissions'!$A$143:$D$174,2,FALSE)+VLOOKUP(AT$3,'Non-Embedded Emissions'!$A$230:$D$259,2,FALSE)-VLOOKUP(AT$3,'Non-Embedded Emissions'!$A$56:$D$90,3,FALSE)-VLOOKUP(AT$3,'Non-Embedded Emissions'!$A$143:$D$174,3,FALSE)-VLOOKUP(AT$3,'Non-Embedded Emissions'!$A$230:$D$259,3,FALSE)), $C41 = "3", 'Inputs-System'!$C$30*'Coincidence Factors'!$B$5*'Inputs-Proposals'!$I$29*'Inputs-Proposals'!$I$31*(VLOOKUP(AT$3,'Non-Embedded Emissions'!$A$56:$D$90,2,FALSE)+VLOOKUP(AT$3,'Non-Embedded Emissions'!$A$143:$D$174,2,FALSE)+VLOOKUP(AT$3,'Non-Embedded Emissions'!$A$230:$D$259,2,FALSE)-VLOOKUP(AT$3,'Non-Embedded Emissions'!$A$56:$D$90,3,FALSE)-VLOOKUP(AT$3,'Non-Embedded Emissions'!$A$143:$D$174,3,FALSE)-VLOOKUP(AT$3,'Non-Embedded Emissions'!$A$230:$D$259,3,FALSE)), $C41 = "0", 0), 0)</f>
        <v>0</v>
      </c>
      <c r="AZ41" s="344">
        <f>IFERROR(_xlfn.IFS($C41="1",('Inputs-System'!$C$30*'Coincidence Factors'!$B$5*(1+'Inputs-System'!$C$18)*(1+'Inputs-System'!$C$41)*('Inputs-Proposals'!$I$17*'Inputs-Proposals'!$I$19*(1-'Inputs-Proposals'!$I$20))*(VLOOKUP(AZ$3,Energy!$A$51:$K$83,5,FALSE)-VLOOKUP(AZ$3,Energy!$A$51:$K$83,6,FALSE))), $C41 = "2",('Inputs-System'!$C$30*'Coincidence Factors'!$B$5)*(1+'Inputs-System'!$C$18)*(1+'Inputs-System'!$C$41)*('Inputs-Proposals'!$I$23*'Inputs-Proposals'!$I$25*(1-'Inputs-Proposals'!$I$26))*(VLOOKUP(AZ$3,Energy!$A$51:$K$83,5,FALSE)-VLOOKUP(AZ$3,Energy!$A$51:$K$83,6,FALSE)), $C41= "3", ('Inputs-System'!$C$30*'Coincidence Factors'!$B$5*(1+'Inputs-System'!$C$18)*(1+'Inputs-System'!$C$41)*('Inputs-Proposals'!$I$29*'Inputs-Proposals'!$I$31*(1-'Inputs-Proposals'!$I$32))*(VLOOKUP(AZ$3,Energy!$A$51:$K$83,5,FALSE)-VLOOKUP(AZ$3,Energy!$A$51:$K$83,6,FALSE))), $C41= "0", 0), 0)</f>
        <v>0</v>
      </c>
      <c r="BA41" s="100">
        <f>IFERROR(_xlfn.IFS($C41="1", 'Inputs-System'!$C$30*'Coincidence Factors'!$B$5*(1+'Inputs-System'!$C$18)*(1+'Inputs-System'!$C$41)*'Inputs-Proposals'!$I$17*'Inputs-Proposals'!$I$19*(1-'Inputs-Proposals'!$I$20)*(VLOOKUP(AZ$3,'Embedded Emissions'!$A$47:$B$78,2,FALSE)+VLOOKUP(AZ$3,'Embedded Emissions'!$A$129:$B$158,2,FALSE)), $C41 = "2",'Inputs-System'!$C$30*'Coincidence Factors'!$B$5*(1+'Inputs-System'!$C$18)*(1+'Inputs-System'!$C$41)*'Inputs-Proposals'!$I$23*'Inputs-Proposals'!$I$25*(1-'Inputs-Proposals'!$I$20)*(VLOOKUP(AZ$3,'Embedded Emissions'!$A$47:$B$78,2,FALSE)+VLOOKUP(AZ$3,'Embedded Emissions'!$A$129:$B$158,2,FALSE)), $C41 = "3", 'Inputs-System'!$C$30*'Coincidence Factors'!$B$5*(1+'Inputs-System'!$C$18)*(1+'Inputs-System'!$C$41)*'Inputs-Proposals'!$I$29*'Inputs-Proposals'!$I$31*(1-'Inputs-Proposals'!$I$20)*(VLOOKUP(AZ$3,'Embedded Emissions'!$A$47:$B$78,2,FALSE)+VLOOKUP(AZ$3,'Embedded Emissions'!$A$129:$B$158,2,FALSE)), $C41 = "0", 0), 0)</f>
        <v>0</v>
      </c>
      <c r="BB41" s="318">
        <f>IFERROR(_xlfn.IFS($C41="1",( 'Inputs-System'!$C$30*'Coincidence Factors'!$B$5*(1+'Inputs-System'!$C$18)*(1+'Inputs-System'!$C$41))*('Inputs-Proposals'!$I$17*'Inputs-Proposals'!$I$19*(1-'Inputs-Proposals'!$I$20))*(VLOOKUP(AZ$3,DRIPE!$A$54:$I$82,5,FALSE)-VLOOKUP(AZ$3,DRIPE!$A$54:$I$82,6,FALSE)+VLOOKUP(AZ$3,DRIPE!$A$54:$I$82,9,FALSE))+ ('Inputs-System'!$C$26*'Coincidence Factors'!$B$5*(1+'Inputs-System'!$C$18)*(1+'Inputs-System'!$C$42))*'Inputs-Proposals'!$I$16*VLOOKUP(AZ$3,DRIPE!$A$54:$I$80,8,FALSE), $C41 = "2",( 'Inputs-System'!$C$30*'Coincidence Factors'!$B$5*(1+'Inputs-System'!$C$18)*(1+'Inputs-System'!$C$41))*('Inputs-Proposals'!$I$23*'Inputs-Proposals'!$I$25*(1-'Inputs-Proposals'!$I$26))*(VLOOKUP(AZ$3,DRIPE!$A$54:$I$82,5,FALSE)-VLOOKUP(AZ$3,DRIPE!$A$54:$I$82,6,FALSE)+VLOOKUP(AZ$3,DRIPE!$A$54:$I$82,9,FALSE))+ ('Inputs-System'!$C$26*'Coincidence Factors'!$B$5*(1+'Inputs-System'!$C$18)*(1+'Inputs-System'!$C$41))+ ('Inputs-System'!$C$26*'Coincidence Factors'!$B$5)*'Inputs-Proposals'!$I$22*VLOOKUP(AZ$3,DRIPE!$A$54:$I$80,8,FALSE), $C41= "3", ('Inputs-System'!$C$30*'Coincidence Factors'!$B$5)*('Inputs-Proposals'!$I$29*'Inputs-Proposals'!$I$31*(1-'Inputs-Proposals'!$I$32))*(VLOOKUP(AZ$3,DRIPE!$A$54:$I$80,5,FALSE)-VLOOKUP(AZ$3,DRIPE!$A$54:$I$80,6,FALSE)+VLOOKUP(AZ$3,DRIPE!$A$54:$I$80,9,FALSE))+ ('Inputs-System'!$C$26*'Coincidence Factors'!$B$5*(1+'Inputs-System'!$C$18)*(1+'Inputs-System'!$C$42))*'Inputs-Proposals'!$I$28*VLOOKUP(AZ$3,DRIPE!$A$54:$I$80,8,FALSE), $C41 = "0", 0), 0)</f>
        <v>0</v>
      </c>
      <c r="BC41" s="326">
        <f>IFERROR(_xlfn.IFS($C41="1",('Inputs-System'!$C$26*'Coincidence Factors'!$B$5*(1+'Inputs-System'!$C$18)*(1+'Inputs-System'!$C$42))*'Inputs-Proposals'!$I$16*(VLOOKUP(AZ$3,Capacity!$A$53:$E$85,4,FALSE)*(1+'Inputs-System'!$C$42)+VLOOKUP(AZ$3,Capacity!$A$53:$E$85,5,FALSE)*(1+'Inputs-System'!$C$43)*'Inputs-System'!$C$29), $C41 = "2", ('Inputs-System'!$C$26*'Coincidence Factors'!$B$5*(1+'Inputs-System'!$C$18))*'Inputs-Proposals'!$I$22*(VLOOKUP(AZ$3,Capacity!$A$53:$E$85,4,FALSE)*(1+'Inputs-System'!$C$42)+VLOOKUP(AZ$3,Capacity!$A$53:$E$85,5,FALSE)*'Inputs-System'!$C$29*(1+'Inputs-System'!$C$43)), $C41 = "3", ('Inputs-System'!$C$26*'Coincidence Factors'!$B$5*(1+'Inputs-System'!$C$18))*'Inputs-Proposals'!$I$28*(VLOOKUP(AZ$3,Capacity!$A$53:$E$85,4,FALSE)*(1+'Inputs-System'!$C$42)+VLOOKUP(AZ$3,Capacity!$A$53:$E$85,5,FALSE)*'Inputs-System'!$C$29*(1+'Inputs-System'!$C$43)), $C41 = "0", 0), 0)</f>
        <v>0</v>
      </c>
      <c r="BD41" s="100">
        <v>0</v>
      </c>
      <c r="BE41" s="346">
        <f>IFERROR(_xlfn.IFS($C41="1", 'Inputs-System'!$C$30*'Coincidence Factors'!$B$5*'Inputs-Proposals'!$I$17*'Inputs-Proposals'!$I$19*(VLOOKUP(AZ$3,'Non-Embedded Emissions'!$A$56:$D$90,2,FALSE)+VLOOKUP(AZ$3,'Non-Embedded Emissions'!$A$143:$D$174,2,FALSE)+VLOOKUP(AZ$3,'Non-Embedded Emissions'!$A$230:$D$259,2,FALSE)-VLOOKUP(AZ$3,'Non-Embedded Emissions'!$A$56:$D$90,3,FALSE)-VLOOKUP(AZ$3,'Non-Embedded Emissions'!$A$143:$D$174,3,FALSE)-VLOOKUP(AZ$3,'Non-Embedded Emissions'!$A$230:$D$259,3,FALSE)), $C41 = "2", 'Inputs-System'!$C$30*'Coincidence Factors'!$B$5*'Inputs-Proposals'!$I$23*'Inputs-Proposals'!$I$25*(VLOOKUP(AZ$3,'Non-Embedded Emissions'!$A$56:$D$90,2,FALSE)+VLOOKUP(AZ$3,'Non-Embedded Emissions'!$A$143:$D$174,2,FALSE)+VLOOKUP(AZ$3,'Non-Embedded Emissions'!$A$230:$D$259,2,FALSE)-VLOOKUP(AZ$3,'Non-Embedded Emissions'!$A$56:$D$90,3,FALSE)-VLOOKUP(AZ$3,'Non-Embedded Emissions'!$A$143:$D$174,3,FALSE)-VLOOKUP(AZ$3,'Non-Embedded Emissions'!$A$230:$D$259,3,FALSE)), $C41 = "3", 'Inputs-System'!$C$30*'Coincidence Factors'!$B$5*'Inputs-Proposals'!$I$29*'Inputs-Proposals'!$I$31*(VLOOKUP(AZ$3,'Non-Embedded Emissions'!$A$56:$D$90,2,FALSE)+VLOOKUP(AZ$3,'Non-Embedded Emissions'!$A$143:$D$174,2,FALSE)+VLOOKUP(AZ$3,'Non-Embedded Emissions'!$A$230:$D$259,2,FALSE)-VLOOKUP(AZ$3,'Non-Embedded Emissions'!$A$56:$D$90,3,FALSE)-VLOOKUP(AZ$3,'Non-Embedded Emissions'!$A$143:$D$174,3,FALSE)-VLOOKUP(AZ$3,'Non-Embedded Emissions'!$A$230:$D$259,3,FALSE)), $C41 = "0", 0), 0)</f>
        <v>0</v>
      </c>
      <c r="BF41" s="344">
        <f>IFERROR(_xlfn.IFS($C41="1",('Inputs-System'!$C$30*'Coincidence Factors'!$B$5*(1+'Inputs-System'!$C$18)*(1+'Inputs-System'!$C$41)*('Inputs-Proposals'!$I$17*'Inputs-Proposals'!$I$19*(1-'Inputs-Proposals'!$I$20))*(VLOOKUP(BF$3,Energy!$A$51:$K$83,5,FALSE)-VLOOKUP(BF$3,Energy!$A$51:$K$83,6,FALSE))), $C41 = "2",('Inputs-System'!$C$30*'Coincidence Factors'!$B$5)*(1+'Inputs-System'!$C$18)*(1+'Inputs-System'!$C$41)*('Inputs-Proposals'!$I$23*'Inputs-Proposals'!$I$25*(1-'Inputs-Proposals'!$I$26))*(VLOOKUP(BF$3,Energy!$A$51:$K$83,5,FALSE)-VLOOKUP(BF$3,Energy!$A$51:$K$83,6,FALSE)), $C41= "3", ('Inputs-System'!$C$30*'Coincidence Factors'!$B$5*(1+'Inputs-System'!$C$18)*(1+'Inputs-System'!$C$41)*('Inputs-Proposals'!$I$29*'Inputs-Proposals'!$I$31*(1-'Inputs-Proposals'!$I$32))*(VLOOKUP(BF$3,Energy!$A$51:$K$83,5,FALSE)-VLOOKUP(BF$3,Energy!$A$51:$K$83,6,FALSE))), $C41= "0", 0), 0)</f>
        <v>0</v>
      </c>
      <c r="BG41" s="100">
        <f>IFERROR(_xlfn.IFS($C41="1", 'Inputs-System'!$C$30*'Coincidence Factors'!$B$5*(1+'Inputs-System'!$C$18)*(1+'Inputs-System'!$C$41)*'Inputs-Proposals'!$I$17*'Inputs-Proposals'!$I$19*(1-'Inputs-Proposals'!$I$20)*(VLOOKUP(BF$3,'Embedded Emissions'!$A$47:$B$78,2,FALSE)+VLOOKUP(BF$3,'Embedded Emissions'!$A$129:$B$158,2,FALSE)), $C41 = "2",'Inputs-System'!$C$30*'Coincidence Factors'!$B$5*(1+'Inputs-System'!$C$18)*(1+'Inputs-System'!$C$41)*'Inputs-Proposals'!$I$23*'Inputs-Proposals'!$I$25*(1-'Inputs-Proposals'!$I$20)*(VLOOKUP(BF$3,'Embedded Emissions'!$A$47:$B$78,2,FALSE)+VLOOKUP(BF$3,'Embedded Emissions'!$A$129:$B$158,2,FALSE)), $C41 = "3", 'Inputs-System'!$C$30*'Coincidence Factors'!$B$5*(1+'Inputs-System'!$C$18)*(1+'Inputs-System'!$C$41)*'Inputs-Proposals'!$I$29*'Inputs-Proposals'!$I$31*(1-'Inputs-Proposals'!$I$20)*(VLOOKUP(BF$3,'Embedded Emissions'!$A$47:$B$78,2,FALSE)+VLOOKUP(BF$3,'Embedded Emissions'!$A$129:$B$158,2,FALSE)), $C41 = "0", 0), 0)</f>
        <v>0</v>
      </c>
      <c r="BH41" s="318">
        <f>IFERROR(_xlfn.IFS($C41="1",( 'Inputs-System'!$C$30*'Coincidence Factors'!$B$5*(1+'Inputs-System'!$C$18)*(1+'Inputs-System'!$C$41))*('Inputs-Proposals'!$I$17*'Inputs-Proposals'!$I$19*(1-'Inputs-Proposals'!$I$20))*(VLOOKUP(BF$3,DRIPE!$A$54:$I$82,5,FALSE)-VLOOKUP(BF$3,DRIPE!$A$54:$I$82,6,FALSE)+VLOOKUP(BF$3,DRIPE!$A$54:$I$82,9,FALSE))+ ('Inputs-System'!$C$26*'Coincidence Factors'!$B$5*(1+'Inputs-System'!$C$18)*(1+'Inputs-System'!$C$42))*'Inputs-Proposals'!$I$16*VLOOKUP(BF$3,DRIPE!$A$54:$I$80,8,FALSE), $C41 = "2",( 'Inputs-System'!$C$30*'Coincidence Factors'!$B$5*(1+'Inputs-System'!$C$18)*(1+'Inputs-System'!$C$41))*('Inputs-Proposals'!$I$23*'Inputs-Proposals'!$I$25*(1-'Inputs-Proposals'!$I$26))*(VLOOKUP(BF$3,DRIPE!$A$54:$I$82,5,FALSE)-VLOOKUP(BF$3,DRIPE!$A$54:$I$82,6,FALSE)+VLOOKUP(BF$3,DRIPE!$A$54:$I$82,9,FALSE))+ ('Inputs-System'!$C$26*'Coincidence Factors'!$B$5*(1+'Inputs-System'!$C$18)*(1+'Inputs-System'!$C$41))+ ('Inputs-System'!$C$26*'Coincidence Factors'!$B$5)*'Inputs-Proposals'!$I$22*VLOOKUP(BF$3,DRIPE!$A$54:$I$80,8,FALSE), $C41= "3", ('Inputs-System'!$C$30*'Coincidence Factors'!$B$5)*('Inputs-Proposals'!$I$29*'Inputs-Proposals'!$I$31*(1-'Inputs-Proposals'!$I$32))*(VLOOKUP(BF$3,DRIPE!$A$54:$I$80,5,FALSE)-VLOOKUP(BF$3,DRIPE!$A$54:$I$80,6,FALSE)+VLOOKUP(BF$3,DRIPE!$A$54:$I$80,9,FALSE))+ ('Inputs-System'!$C$26*'Coincidence Factors'!$B$5*(1+'Inputs-System'!$C$18)*(1+'Inputs-System'!$C$42))*'Inputs-Proposals'!$I$28*VLOOKUP(BF$3,DRIPE!$A$54:$I$80,8,FALSE), $C41 = "0", 0), 0)</f>
        <v>0</v>
      </c>
      <c r="BI41" s="326">
        <f>IFERROR(_xlfn.IFS($C41="1",('Inputs-System'!$C$26*'Coincidence Factors'!$B$5*(1+'Inputs-System'!$C$18)*(1+'Inputs-System'!$C$42))*'Inputs-Proposals'!$I$16*(VLOOKUP(BF$3,Capacity!$A$53:$E$85,4,FALSE)*(1+'Inputs-System'!$C$42)+VLOOKUP(BF$3,Capacity!$A$53:$E$85,5,FALSE)*(1+'Inputs-System'!$C$43)*'Inputs-System'!$C$29), $C41 = "2", ('Inputs-System'!$C$26*'Coincidence Factors'!$B$5*(1+'Inputs-System'!$C$18))*'Inputs-Proposals'!$I$22*(VLOOKUP(BF$3,Capacity!$A$53:$E$85,4,FALSE)*(1+'Inputs-System'!$C$42)+VLOOKUP(BF$3,Capacity!$A$53:$E$85,5,FALSE)*'Inputs-System'!$C$29*(1+'Inputs-System'!$C$43)), $C41 = "3", ('Inputs-System'!$C$26*'Coincidence Factors'!$B$5*(1+'Inputs-System'!$C$18))*'Inputs-Proposals'!$I$28*(VLOOKUP(BF$3,Capacity!$A$53:$E$85,4,FALSE)*(1+'Inputs-System'!$C$42)+VLOOKUP(BF$3,Capacity!$A$53:$E$85,5,FALSE)*'Inputs-System'!$C$29*(1+'Inputs-System'!$C$43)), $C41 = "0", 0), 0)</f>
        <v>0</v>
      </c>
      <c r="BJ41" s="100">
        <v>0</v>
      </c>
      <c r="BK41" s="346">
        <f>IFERROR(_xlfn.IFS($C41="1", 'Inputs-System'!$C$30*'Coincidence Factors'!$B$5*'Inputs-Proposals'!$I$17*'Inputs-Proposals'!$I$19*(VLOOKUP(BF$3,'Non-Embedded Emissions'!$A$56:$D$90,2,FALSE)+VLOOKUP(BF$3,'Non-Embedded Emissions'!$A$143:$D$174,2,FALSE)+VLOOKUP(BF$3,'Non-Embedded Emissions'!$A$230:$D$259,2,FALSE)-VLOOKUP(BF$3,'Non-Embedded Emissions'!$A$56:$D$90,3,FALSE)-VLOOKUP(BF$3,'Non-Embedded Emissions'!$A$143:$D$174,3,FALSE)-VLOOKUP(BF$3,'Non-Embedded Emissions'!$A$230:$D$259,3,FALSE)), $C41 = "2", 'Inputs-System'!$C$30*'Coincidence Factors'!$B$5*'Inputs-Proposals'!$I$23*'Inputs-Proposals'!$I$25*(VLOOKUP(BF$3,'Non-Embedded Emissions'!$A$56:$D$90,2,FALSE)+VLOOKUP(BF$3,'Non-Embedded Emissions'!$A$143:$D$174,2,FALSE)+VLOOKUP(BF$3,'Non-Embedded Emissions'!$A$230:$D$259,2,FALSE)-VLOOKUP(BF$3,'Non-Embedded Emissions'!$A$56:$D$90,3,FALSE)-VLOOKUP(BF$3,'Non-Embedded Emissions'!$A$143:$D$174,3,FALSE)-VLOOKUP(BF$3,'Non-Embedded Emissions'!$A$230:$D$259,3,FALSE)), $C41 = "3", 'Inputs-System'!$C$30*'Coincidence Factors'!$B$5*'Inputs-Proposals'!$I$29*'Inputs-Proposals'!$I$31*(VLOOKUP(BF$3,'Non-Embedded Emissions'!$A$56:$D$90,2,FALSE)+VLOOKUP(BF$3,'Non-Embedded Emissions'!$A$143:$D$174,2,FALSE)+VLOOKUP(BF$3,'Non-Embedded Emissions'!$A$230:$D$259,2,FALSE)-VLOOKUP(BF$3,'Non-Embedded Emissions'!$A$56:$D$90,3,FALSE)-VLOOKUP(BF$3,'Non-Embedded Emissions'!$A$143:$D$174,3,FALSE)-VLOOKUP(BF$3,'Non-Embedded Emissions'!$A$230:$D$259,3,FALSE)), $C41 = "0", 0), 0)</f>
        <v>0</v>
      </c>
      <c r="BL41" s="344">
        <f>IFERROR(_xlfn.IFS($C41="1",('Inputs-System'!$C$30*'Coincidence Factors'!$B$5*(1+'Inputs-System'!$C$18)*(1+'Inputs-System'!$C$41)*('Inputs-Proposals'!$I$17*'Inputs-Proposals'!$I$19*(1-'Inputs-Proposals'!$I$20))*(VLOOKUP(BL$3,Energy!$A$51:$K$83,5,FALSE)-VLOOKUP(BL$3,Energy!$A$51:$K$83,6,FALSE))), $C41 = "2",('Inputs-System'!$C$30*'Coincidence Factors'!$B$5)*(1+'Inputs-System'!$C$18)*(1+'Inputs-System'!$C$41)*('Inputs-Proposals'!$I$23*'Inputs-Proposals'!$I$25*(1-'Inputs-Proposals'!$I$26))*(VLOOKUP(BL$3,Energy!$A$51:$K$83,5,FALSE)-VLOOKUP(BL$3,Energy!$A$51:$K$83,6,FALSE)), $C41= "3", ('Inputs-System'!$C$30*'Coincidence Factors'!$B$5*(1+'Inputs-System'!$C$18)*(1+'Inputs-System'!$C$41)*('Inputs-Proposals'!$I$29*'Inputs-Proposals'!$I$31*(1-'Inputs-Proposals'!$I$32))*(VLOOKUP(BL$3,Energy!$A$51:$K$83,5,FALSE)-VLOOKUP(BL$3,Energy!$A$51:$K$83,6,FALSE))), $C41= "0", 0), 0)</f>
        <v>0</v>
      </c>
      <c r="BM41" s="100">
        <f>IFERROR(_xlfn.IFS($C41="1", 'Inputs-System'!$C$30*'Coincidence Factors'!$B$5*(1+'Inputs-System'!$C$18)*(1+'Inputs-System'!$C$41)*'Inputs-Proposals'!$I$17*'Inputs-Proposals'!$I$19*(1-'Inputs-Proposals'!$I$20)*(VLOOKUP(BL$3,'Embedded Emissions'!$A$47:$B$78,2,FALSE)+VLOOKUP(BL$3,'Embedded Emissions'!$A$129:$B$158,2,FALSE)), $C41 = "2",'Inputs-System'!$C$30*'Coincidence Factors'!$B$5*(1+'Inputs-System'!$C$18)*(1+'Inputs-System'!$C$41)*'Inputs-Proposals'!$I$23*'Inputs-Proposals'!$I$25*(1-'Inputs-Proposals'!$I$20)*(VLOOKUP(BL$3,'Embedded Emissions'!$A$47:$B$78,2,FALSE)+VLOOKUP(BL$3,'Embedded Emissions'!$A$129:$B$158,2,FALSE)), $C41 = "3", 'Inputs-System'!$C$30*'Coincidence Factors'!$B$5*(1+'Inputs-System'!$C$18)*(1+'Inputs-System'!$C$41)*'Inputs-Proposals'!$I$29*'Inputs-Proposals'!$I$31*(1-'Inputs-Proposals'!$I$20)*(VLOOKUP(BL$3,'Embedded Emissions'!$A$47:$B$78,2,FALSE)+VLOOKUP(BL$3,'Embedded Emissions'!$A$129:$B$158,2,FALSE)), $C41 = "0", 0), 0)</f>
        <v>0</v>
      </c>
      <c r="BN41" s="318">
        <f>IFERROR(_xlfn.IFS($C41="1",( 'Inputs-System'!$C$30*'Coincidence Factors'!$B$5*(1+'Inputs-System'!$C$18)*(1+'Inputs-System'!$C$41))*('Inputs-Proposals'!$I$17*'Inputs-Proposals'!$I$19*(1-'Inputs-Proposals'!$I$20))*(VLOOKUP(BL$3,DRIPE!$A$54:$I$82,5,FALSE)-VLOOKUP(BL$3,DRIPE!$A$54:$I$82,6,FALSE)+VLOOKUP(BL$3,DRIPE!$A$54:$I$82,9,FALSE))+ ('Inputs-System'!$C$26*'Coincidence Factors'!$B$5*(1+'Inputs-System'!$C$18)*(1+'Inputs-System'!$C$42))*'Inputs-Proposals'!$I$16*VLOOKUP(BL$3,DRIPE!$A$54:$I$80,8,FALSE), $C41 = "2",( 'Inputs-System'!$C$30*'Coincidence Factors'!$B$5*(1+'Inputs-System'!$C$18)*(1+'Inputs-System'!$C$41))*('Inputs-Proposals'!$I$23*'Inputs-Proposals'!$I$25*(1-'Inputs-Proposals'!$I$26))*(VLOOKUP(BL$3,DRIPE!$A$54:$I$82,5,FALSE)-VLOOKUP(BL$3,DRIPE!$A$54:$I$82,6,FALSE)+VLOOKUP(BL$3,DRIPE!$A$54:$I$82,9,FALSE))+ ('Inputs-System'!$C$26*'Coincidence Factors'!$B$5*(1+'Inputs-System'!$C$18)*(1+'Inputs-System'!$C$41))+ ('Inputs-System'!$C$26*'Coincidence Factors'!$B$5)*'Inputs-Proposals'!$I$22*VLOOKUP(BL$3,DRIPE!$A$54:$I$80,8,FALSE), $C41= "3", ('Inputs-System'!$C$30*'Coincidence Factors'!$B$5)*('Inputs-Proposals'!$I$29*'Inputs-Proposals'!$I$31*(1-'Inputs-Proposals'!$I$32))*(VLOOKUP(BL$3,DRIPE!$A$54:$I$80,5,FALSE)-VLOOKUP(BL$3,DRIPE!$A$54:$I$80,6,FALSE)+VLOOKUP(BL$3,DRIPE!$A$54:$I$80,9,FALSE))+ ('Inputs-System'!$C$26*'Coincidence Factors'!$B$5*(1+'Inputs-System'!$C$18)*(1+'Inputs-System'!$C$42))*'Inputs-Proposals'!$I$28*VLOOKUP(BL$3,DRIPE!$A$54:$I$80,8,FALSE), $C41 = "0", 0), 0)</f>
        <v>0</v>
      </c>
      <c r="BO41" s="326">
        <f>IFERROR(_xlfn.IFS($C41="1",('Inputs-System'!$C$26*'Coincidence Factors'!$B$5*(1+'Inputs-System'!$C$18)*(1+'Inputs-System'!$C$42))*'Inputs-Proposals'!$I$16*(VLOOKUP(BL$3,Capacity!$A$53:$E$85,4,FALSE)*(1+'Inputs-System'!$C$42)+VLOOKUP(BL$3,Capacity!$A$53:$E$85,5,FALSE)*(1+'Inputs-System'!$C$43)*'Inputs-System'!$C$29), $C41 = "2", ('Inputs-System'!$C$26*'Coincidence Factors'!$B$5*(1+'Inputs-System'!$C$18))*'Inputs-Proposals'!$I$22*(VLOOKUP(BL$3,Capacity!$A$53:$E$85,4,FALSE)*(1+'Inputs-System'!$C$42)+VLOOKUP(BL$3,Capacity!$A$53:$E$85,5,FALSE)*'Inputs-System'!$C$29*(1+'Inputs-System'!$C$43)), $C41 = "3", ('Inputs-System'!$C$26*'Coincidence Factors'!$B$5*(1+'Inputs-System'!$C$18))*'Inputs-Proposals'!$I$28*(VLOOKUP(BL$3,Capacity!$A$53:$E$85,4,FALSE)*(1+'Inputs-System'!$C$42)+VLOOKUP(BL$3,Capacity!$A$53:$E$85,5,FALSE)*'Inputs-System'!$C$29*(1+'Inputs-System'!$C$43)), $C41 = "0", 0), 0)</f>
        <v>0</v>
      </c>
      <c r="BP41" s="100">
        <v>0</v>
      </c>
      <c r="BQ41" s="346">
        <f>IFERROR(_xlfn.IFS($C41="1", 'Inputs-System'!$C$30*'Coincidence Factors'!$B$5*'Inputs-Proposals'!$I$17*'Inputs-Proposals'!$I$19*(VLOOKUP(BL$3,'Non-Embedded Emissions'!$A$56:$D$90,2,FALSE)+VLOOKUP(BL$3,'Non-Embedded Emissions'!$A$143:$D$174,2,FALSE)+VLOOKUP(BL$3,'Non-Embedded Emissions'!$A$230:$D$259,2,FALSE)-VLOOKUP(BL$3,'Non-Embedded Emissions'!$A$56:$D$90,3,FALSE)-VLOOKUP(BL$3,'Non-Embedded Emissions'!$A$143:$D$174,3,FALSE)-VLOOKUP(BL$3,'Non-Embedded Emissions'!$A$230:$D$259,3,FALSE)), $C41 = "2", 'Inputs-System'!$C$30*'Coincidence Factors'!$B$5*'Inputs-Proposals'!$I$23*'Inputs-Proposals'!$I$25*(VLOOKUP(BL$3,'Non-Embedded Emissions'!$A$56:$D$90,2,FALSE)+VLOOKUP(BL$3,'Non-Embedded Emissions'!$A$143:$D$174,2,FALSE)+VLOOKUP(BL$3,'Non-Embedded Emissions'!$A$230:$D$259,2,FALSE)-VLOOKUP(BL$3,'Non-Embedded Emissions'!$A$56:$D$90,3,FALSE)-VLOOKUP(BL$3,'Non-Embedded Emissions'!$A$143:$D$174,3,FALSE)-VLOOKUP(BL$3,'Non-Embedded Emissions'!$A$230:$D$259,3,FALSE)), $C41 = "3", 'Inputs-System'!$C$30*'Coincidence Factors'!$B$5*'Inputs-Proposals'!$I$29*'Inputs-Proposals'!$I$31*(VLOOKUP(BL$3,'Non-Embedded Emissions'!$A$56:$D$90,2,FALSE)+VLOOKUP(BL$3,'Non-Embedded Emissions'!$A$143:$D$174,2,FALSE)+VLOOKUP(BL$3,'Non-Embedded Emissions'!$A$230:$D$259,2,FALSE)-VLOOKUP(BL$3,'Non-Embedded Emissions'!$A$56:$D$90,3,FALSE)-VLOOKUP(BL$3,'Non-Embedded Emissions'!$A$143:$D$174,3,FALSE)-VLOOKUP(BL$3,'Non-Embedded Emissions'!$A$230:$D$259,3,FALSE)), $C41 = "0", 0), 0)</f>
        <v>0</v>
      </c>
      <c r="BR41" s="344">
        <f>IFERROR(_xlfn.IFS($C41="1",('Inputs-System'!$C$30*'Coincidence Factors'!$B$5*(1+'Inputs-System'!$C$18)*(1+'Inputs-System'!$C$41)*('Inputs-Proposals'!$I$17*'Inputs-Proposals'!$I$19*(1-'Inputs-Proposals'!$I$20))*(VLOOKUP(BR$3,Energy!$A$51:$K$83,5,FALSE)-VLOOKUP(BR$3,Energy!$A$51:$K$83,6,FALSE))), $C41 = "2",('Inputs-System'!$C$30*'Coincidence Factors'!$B$5)*(1+'Inputs-System'!$C$18)*(1+'Inputs-System'!$C$41)*('Inputs-Proposals'!$I$23*'Inputs-Proposals'!$I$25*(1-'Inputs-Proposals'!$I$26))*(VLOOKUP(BR$3,Energy!$A$51:$K$83,5,FALSE)-VLOOKUP(BR$3,Energy!$A$51:$K$83,6,FALSE)), $C41= "3", ('Inputs-System'!$C$30*'Coincidence Factors'!$B$5*(1+'Inputs-System'!$C$18)*(1+'Inputs-System'!$C$41)*('Inputs-Proposals'!$I$29*'Inputs-Proposals'!$I$31*(1-'Inputs-Proposals'!$I$32))*(VLOOKUP(BR$3,Energy!$A$51:$K$83,5,FALSE)-VLOOKUP(BR$3,Energy!$A$51:$K$83,6,FALSE))), $C41= "0", 0), 0)</f>
        <v>0</v>
      </c>
      <c r="BS41" s="100">
        <f>IFERROR(_xlfn.IFS($C41="1", 'Inputs-System'!$C$30*'Coincidence Factors'!$B$5*(1+'Inputs-System'!$C$18)*(1+'Inputs-System'!$C$41)*'Inputs-Proposals'!$I$17*'Inputs-Proposals'!$I$19*(1-'Inputs-Proposals'!$I$20)*(VLOOKUP(BR$3,'Embedded Emissions'!$A$47:$B$78,2,FALSE)+VLOOKUP(BR$3,'Embedded Emissions'!$A$129:$B$158,2,FALSE)), $C41 = "2",'Inputs-System'!$C$30*'Coincidence Factors'!$B$5*(1+'Inputs-System'!$C$18)*(1+'Inputs-System'!$C$41)*'Inputs-Proposals'!$I$23*'Inputs-Proposals'!$I$25*(1-'Inputs-Proposals'!$I$20)*(VLOOKUP(BR$3,'Embedded Emissions'!$A$47:$B$78,2,FALSE)+VLOOKUP(BR$3,'Embedded Emissions'!$A$129:$B$158,2,FALSE)), $C41 = "3", 'Inputs-System'!$C$30*'Coincidence Factors'!$B$5*(1+'Inputs-System'!$C$18)*(1+'Inputs-System'!$C$41)*'Inputs-Proposals'!$I$29*'Inputs-Proposals'!$I$31*(1-'Inputs-Proposals'!$I$20)*(VLOOKUP(BR$3,'Embedded Emissions'!$A$47:$B$78,2,FALSE)+VLOOKUP(BR$3,'Embedded Emissions'!$A$129:$B$158,2,FALSE)), $C41 = "0", 0), 0)</f>
        <v>0</v>
      </c>
      <c r="BT41" s="318">
        <f>IFERROR(_xlfn.IFS($C41="1",( 'Inputs-System'!$C$30*'Coincidence Factors'!$B$5*(1+'Inputs-System'!$C$18)*(1+'Inputs-System'!$C$41))*('Inputs-Proposals'!$I$17*'Inputs-Proposals'!$I$19*(1-'Inputs-Proposals'!$I$20))*(VLOOKUP(BR$3,DRIPE!$A$54:$I$82,5,FALSE)-VLOOKUP(BR$3,DRIPE!$A$54:$I$82,6,FALSE)+VLOOKUP(BR$3,DRIPE!$A$54:$I$82,9,FALSE))+ ('Inputs-System'!$C$26*'Coincidence Factors'!$B$5*(1+'Inputs-System'!$C$18)*(1+'Inputs-System'!$C$42))*'Inputs-Proposals'!$I$16*VLOOKUP(BR$3,DRIPE!$A$54:$I$80,8,FALSE), $C41 = "2",( 'Inputs-System'!$C$30*'Coincidence Factors'!$B$5*(1+'Inputs-System'!$C$18)*(1+'Inputs-System'!$C$41))*('Inputs-Proposals'!$I$23*'Inputs-Proposals'!$I$25*(1-'Inputs-Proposals'!$I$26))*(VLOOKUP(BR$3,DRIPE!$A$54:$I$82,5,FALSE)-VLOOKUP(BR$3,DRIPE!$A$54:$I$82,6,FALSE)+VLOOKUP(BR$3,DRIPE!$A$54:$I$82,9,FALSE))+ ('Inputs-System'!$C$26*'Coincidence Factors'!$B$5*(1+'Inputs-System'!$C$18)*(1+'Inputs-System'!$C$41))+ ('Inputs-System'!$C$26*'Coincidence Factors'!$B$5)*'Inputs-Proposals'!$I$22*VLOOKUP(BR$3,DRIPE!$A$54:$I$80,8,FALSE), $C41= "3", ('Inputs-System'!$C$30*'Coincidence Factors'!$B$5)*('Inputs-Proposals'!$I$29*'Inputs-Proposals'!$I$31*(1-'Inputs-Proposals'!$I$32))*(VLOOKUP(BR$3,DRIPE!$A$54:$I$80,5,FALSE)-VLOOKUP(BR$3,DRIPE!$A$54:$I$80,6,FALSE)+VLOOKUP(BR$3,DRIPE!$A$54:$I$80,9,FALSE))+ ('Inputs-System'!$C$26*'Coincidence Factors'!$B$5*(1+'Inputs-System'!$C$18)*(1+'Inputs-System'!$C$42))*'Inputs-Proposals'!$I$28*VLOOKUP(BR$3,DRIPE!$A$54:$I$80,8,FALSE), $C41 = "0", 0), 0)</f>
        <v>0</v>
      </c>
      <c r="BU41" s="326">
        <f>IFERROR(_xlfn.IFS($C41="1",('Inputs-System'!$C$26*'Coincidence Factors'!$B$5*(1+'Inputs-System'!$C$18)*(1+'Inputs-System'!$C$42))*'Inputs-Proposals'!$I$16*(VLOOKUP(BR$3,Capacity!$A$53:$E$85,4,FALSE)*(1+'Inputs-System'!$C$42)+VLOOKUP(BR$3,Capacity!$A$53:$E$85,5,FALSE)*(1+'Inputs-System'!$C$43)*'Inputs-System'!$C$29), $C41 = "2", ('Inputs-System'!$C$26*'Coincidence Factors'!$B$5*(1+'Inputs-System'!$C$18))*'Inputs-Proposals'!$I$22*(VLOOKUP(BR$3,Capacity!$A$53:$E$85,4,FALSE)*(1+'Inputs-System'!$C$42)+VLOOKUP(BR$3,Capacity!$A$53:$E$85,5,FALSE)*'Inputs-System'!$C$29*(1+'Inputs-System'!$C$43)), $C41 = "3", ('Inputs-System'!$C$26*'Coincidence Factors'!$B$5*(1+'Inputs-System'!$C$18))*'Inputs-Proposals'!$I$28*(VLOOKUP(BR$3,Capacity!$A$53:$E$85,4,FALSE)*(1+'Inputs-System'!$C$42)+VLOOKUP(BR$3,Capacity!$A$53:$E$85,5,FALSE)*'Inputs-System'!$C$29*(1+'Inputs-System'!$C$43)), $C41 = "0", 0), 0)</f>
        <v>0</v>
      </c>
      <c r="BV41" s="100">
        <v>0</v>
      </c>
      <c r="BW41" s="346">
        <f>IFERROR(_xlfn.IFS($C41="1", 'Inputs-System'!$C$30*'Coincidence Factors'!$B$5*'Inputs-Proposals'!$I$17*'Inputs-Proposals'!$I$19*(VLOOKUP(BR$3,'Non-Embedded Emissions'!$A$56:$D$90,2,FALSE)+VLOOKUP(BR$3,'Non-Embedded Emissions'!$A$143:$D$174,2,FALSE)+VLOOKUP(BR$3,'Non-Embedded Emissions'!$A$230:$D$259,2,FALSE)-VLOOKUP(BR$3,'Non-Embedded Emissions'!$A$56:$D$90,3,FALSE)-VLOOKUP(BR$3,'Non-Embedded Emissions'!$A$143:$D$174,3,FALSE)-VLOOKUP(BR$3,'Non-Embedded Emissions'!$A$230:$D$259,3,FALSE)), $C41 = "2", 'Inputs-System'!$C$30*'Coincidence Factors'!$B$5*'Inputs-Proposals'!$I$23*'Inputs-Proposals'!$I$25*(VLOOKUP(BR$3,'Non-Embedded Emissions'!$A$56:$D$90,2,FALSE)+VLOOKUP(BR$3,'Non-Embedded Emissions'!$A$143:$D$174,2,FALSE)+VLOOKUP(BR$3,'Non-Embedded Emissions'!$A$230:$D$259,2,FALSE)-VLOOKUP(BR$3,'Non-Embedded Emissions'!$A$56:$D$90,3,FALSE)-VLOOKUP(BR$3,'Non-Embedded Emissions'!$A$143:$D$174,3,FALSE)-VLOOKUP(BR$3,'Non-Embedded Emissions'!$A$230:$D$259,3,FALSE)), $C41 = "3", 'Inputs-System'!$C$30*'Coincidence Factors'!$B$5*'Inputs-Proposals'!$I$29*'Inputs-Proposals'!$I$31*(VLOOKUP(BR$3,'Non-Embedded Emissions'!$A$56:$D$90,2,FALSE)+VLOOKUP(BR$3,'Non-Embedded Emissions'!$A$143:$D$174,2,FALSE)+VLOOKUP(BR$3,'Non-Embedded Emissions'!$A$230:$D$259,2,FALSE)-VLOOKUP(BR$3,'Non-Embedded Emissions'!$A$56:$D$90,3,FALSE)-VLOOKUP(BR$3,'Non-Embedded Emissions'!$A$143:$D$174,3,FALSE)-VLOOKUP(BR$3,'Non-Embedded Emissions'!$A$230:$D$259,3,FALSE)), $C41 = "0", 0), 0)</f>
        <v>0</v>
      </c>
      <c r="BX41" s="344">
        <f>IFERROR(_xlfn.IFS($C41="1",('Inputs-System'!$C$30*'Coincidence Factors'!$B$5*(1+'Inputs-System'!$C$18)*(1+'Inputs-System'!$C$41)*('Inputs-Proposals'!$I$17*'Inputs-Proposals'!$I$19*(1-'Inputs-Proposals'!$I$20))*(VLOOKUP(BX$3,Energy!$A$51:$K$83,5,FALSE)-VLOOKUP(BX$3,Energy!$A$51:$K$83,6,FALSE))), $C41 = "2",('Inputs-System'!$C$30*'Coincidence Factors'!$B$5)*(1+'Inputs-System'!$C$18)*(1+'Inputs-System'!$C$41)*('Inputs-Proposals'!$I$23*'Inputs-Proposals'!$I$25*(1-'Inputs-Proposals'!$I$26))*(VLOOKUP(BX$3,Energy!$A$51:$K$83,5,FALSE)-VLOOKUP(BX$3,Energy!$A$51:$K$83,6,FALSE)), $C41= "3", ('Inputs-System'!$C$30*'Coincidence Factors'!$B$5*(1+'Inputs-System'!$C$18)*(1+'Inputs-System'!$C$41)*('Inputs-Proposals'!$I$29*'Inputs-Proposals'!$I$31*(1-'Inputs-Proposals'!$I$32))*(VLOOKUP(BX$3,Energy!$A$51:$K$83,5,FALSE)-VLOOKUP(BX$3,Energy!$A$51:$K$83,6,FALSE))), $C41= "0", 0), 0)</f>
        <v>0</v>
      </c>
      <c r="BY41" s="100">
        <f>IFERROR(_xlfn.IFS($C41="1", 'Inputs-System'!$C$30*'Coincidence Factors'!$B$5*(1+'Inputs-System'!$C$18)*(1+'Inputs-System'!$C$41)*'Inputs-Proposals'!$I$17*'Inputs-Proposals'!$I$19*(1-'Inputs-Proposals'!$I$20)*(VLOOKUP(BX$3,'Embedded Emissions'!$A$47:$B$78,2,FALSE)+VLOOKUP(BX$3,'Embedded Emissions'!$A$129:$B$158,2,FALSE)), $C41 = "2",'Inputs-System'!$C$30*'Coincidence Factors'!$B$5*(1+'Inputs-System'!$C$18)*(1+'Inputs-System'!$C$41)*'Inputs-Proposals'!$I$23*'Inputs-Proposals'!$I$25*(1-'Inputs-Proposals'!$I$20)*(VLOOKUP(BX$3,'Embedded Emissions'!$A$47:$B$78,2,FALSE)+VLOOKUP(BX$3,'Embedded Emissions'!$A$129:$B$158,2,FALSE)), $C41 = "3", 'Inputs-System'!$C$30*'Coincidence Factors'!$B$5*(1+'Inputs-System'!$C$18)*(1+'Inputs-System'!$C$41)*'Inputs-Proposals'!$I$29*'Inputs-Proposals'!$I$31*(1-'Inputs-Proposals'!$I$20)*(VLOOKUP(BX$3,'Embedded Emissions'!$A$47:$B$78,2,FALSE)+VLOOKUP(BX$3,'Embedded Emissions'!$A$129:$B$158,2,FALSE)), $C41 = "0", 0), 0)</f>
        <v>0</v>
      </c>
      <c r="BZ41" s="318">
        <f>IFERROR(_xlfn.IFS($C41="1",( 'Inputs-System'!$C$30*'Coincidence Factors'!$B$5*(1+'Inputs-System'!$C$18)*(1+'Inputs-System'!$C$41))*('Inputs-Proposals'!$I$17*'Inputs-Proposals'!$I$19*(1-'Inputs-Proposals'!$I$20))*(VLOOKUP(BX$3,DRIPE!$A$54:$I$82,5,FALSE)-VLOOKUP(BX$3,DRIPE!$A$54:$I$82,6,FALSE)+VLOOKUP(BX$3,DRIPE!$A$54:$I$82,9,FALSE))+ ('Inputs-System'!$C$26*'Coincidence Factors'!$B$5*(1+'Inputs-System'!$C$18)*(1+'Inputs-System'!$C$42))*'Inputs-Proposals'!$I$16*VLOOKUP(BX$3,DRIPE!$A$54:$I$80,8,FALSE), $C41 = "2",( 'Inputs-System'!$C$30*'Coincidence Factors'!$B$5*(1+'Inputs-System'!$C$18)*(1+'Inputs-System'!$C$41))*('Inputs-Proposals'!$I$23*'Inputs-Proposals'!$I$25*(1-'Inputs-Proposals'!$I$26))*(VLOOKUP(BX$3,DRIPE!$A$54:$I$82,5,FALSE)-VLOOKUP(BX$3,DRIPE!$A$54:$I$82,6,FALSE)+VLOOKUP(BX$3,DRIPE!$A$54:$I$82,9,FALSE))+ ('Inputs-System'!$C$26*'Coincidence Factors'!$B$5*(1+'Inputs-System'!$C$18)*(1+'Inputs-System'!$C$41))+ ('Inputs-System'!$C$26*'Coincidence Factors'!$B$5)*'Inputs-Proposals'!$I$22*VLOOKUP(BX$3,DRIPE!$A$54:$I$80,8,FALSE), $C41= "3", ('Inputs-System'!$C$30*'Coincidence Factors'!$B$5)*('Inputs-Proposals'!$I$29*'Inputs-Proposals'!$I$31*(1-'Inputs-Proposals'!$I$32))*(VLOOKUP(BX$3,DRIPE!$A$54:$I$80,5,FALSE)-VLOOKUP(BX$3,DRIPE!$A$54:$I$80,6,FALSE)+VLOOKUP(BX$3,DRIPE!$A$54:$I$80,9,FALSE))+ ('Inputs-System'!$C$26*'Coincidence Factors'!$B$5*(1+'Inputs-System'!$C$18)*(1+'Inputs-System'!$C$42))*'Inputs-Proposals'!$I$28*VLOOKUP(BX$3,DRIPE!$A$54:$I$80,8,FALSE), $C41 = "0", 0), 0)</f>
        <v>0</v>
      </c>
      <c r="CA41" s="326">
        <f>IFERROR(_xlfn.IFS($C41="1",('Inputs-System'!$C$26*'Coincidence Factors'!$B$5*(1+'Inputs-System'!$C$18)*(1+'Inputs-System'!$C$42))*'Inputs-Proposals'!$I$16*(VLOOKUP(BX$3,Capacity!$A$53:$E$85,4,FALSE)*(1+'Inputs-System'!$C$42)+VLOOKUP(BX$3,Capacity!$A$53:$E$85,5,FALSE)*(1+'Inputs-System'!$C$43)*'Inputs-System'!$C$29), $C41 = "2", ('Inputs-System'!$C$26*'Coincidence Factors'!$B$5*(1+'Inputs-System'!$C$18))*'Inputs-Proposals'!$I$22*(VLOOKUP(BX$3,Capacity!$A$53:$E$85,4,FALSE)*(1+'Inputs-System'!$C$42)+VLOOKUP(BX$3,Capacity!$A$53:$E$85,5,FALSE)*'Inputs-System'!$C$29*(1+'Inputs-System'!$C$43)), $C41 = "3", ('Inputs-System'!$C$26*'Coincidence Factors'!$B$5*(1+'Inputs-System'!$C$18))*'Inputs-Proposals'!$I$28*(VLOOKUP(BX$3,Capacity!$A$53:$E$85,4,FALSE)*(1+'Inputs-System'!$C$42)+VLOOKUP(BX$3,Capacity!$A$53:$E$85,5,FALSE)*'Inputs-System'!$C$29*(1+'Inputs-System'!$C$43)), $C41 = "0", 0), 0)</f>
        <v>0</v>
      </c>
      <c r="CB41" s="100">
        <v>0</v>
      </c>
      <c r="CC41" s="346">
        <f>IFERROR(_xlfn.IFS($C41="1", 'Inputs-System'!$C$30*'Coincidence Factors'!$B$5*'Inputs-Proposals'!$I$17*'Inputs-Proposals'!$I$19*(VLOOKUP(BX$3,'Non-Embedded Emissions'!$A$56:$D$90,2,FALSE)+VLOOKUP(BX$3,'Non-Embedded Emissions'!$A$143:$D$174,2,FALSE)+VLOOKUP(BX$3,'Non-Embedded Emissions'!$A$230:$D$259,2,FALSE)-VLOOKUP(BX$3,'Non-Embedded Emissions'!$A$56:$D$90,3,FALSE)-VLOOKUP(BX$3,'Non-Embedded Emissions'!$A$143:$D$174,3,FALSE)-VLOOKUP(BX$3,'Non-Embedded Emissions'!$A$230:$D$259,3,FALSE)), $C41 = "2", 'Inputs-System'!$C$30*'Coincidence Factors'!$B$5*'Inputs-Proposals'!$I$23*'Inputs-Proposals'!$I$25*(VLOOKUP(BX$3,'Non-Embedded Emissions'!$A$56:$D$90,2,FALSE)+VLOOKUP(BX$3,'Non-Embedded Emissions'!$A$143:$D$174,2,FALSE)+VLOOKUP(BX$3,'Non-Embedded Emissions'!$A$230:$D$259,2,FALSE)-VLOOKUP(BX$3,'Non-Embedded Emissions'!$A$56:$D$90,3,FALSE)-VLOOKUP(BX$3,'Non-Embedded Emissions'!$A$143:$D$174,3,FALSE)-VLOOKUP(BX$3,'Non-Embedded Emissions'!$A$230:$D$259,3,FALSE)), $C41 = "3", 'Inputs-System'!$C$30*'Coincidence Factors'!$B$5*'Inputs-Proposals'!$I$29*'Inputs-Proposals'!$I$31*(VLOOKUP(BX$3,'Non-Embedded Emissions'!$A$56:$D$90,2,FALSE)+VLOOKUP(BX$3,'Non-Embedded Emissions'!$A$143:$D$174,2,FALSE)+VLOOKUP(BX$3,'Non-Embedded Emissions'!$A$230:$D$259,2,FALSE)-VLOOKUP(BX$3,'Non-Embedded Emissions'!$A$56:$D$90,3,FALSE)-VLOOKUP(BX$3,'Non-Embedded Emissions'!$A$143:$D$174,3,FALSE)-VLOOKUP(BX$3,'Non-Embedded Emissions'!$A$230:$D$259,3,FALSE)), $C41 = "0", 0), 0)</f>
        <v>0</v>
      </c>
      <c r="CD41" s="344">
        <f>IFERROR(_xlfn.IFS($C41="1",('Inputs-System'!$C$30*'Coincidence Factors'!$B$5*(1+'Inputs-System'!$C$18)*(1+'Inputs-System'!$C$41)*('Inputs-Proposals'!$I$17*'Inputs-Proposals'!$I$19*(1-'Inputs-Proposals'!$I$20))*(VLOOKUP(CD$3,Energy!$A$51:$K$83,5,FALSE)-VLOOKUP(CD$3,Energy!$A$51:$K$83,6,FALSE))), $C41 = "2",('Inputs-System'!$C$30*'Coincidence Factors'!$B$5)*(1+'Inputs-System'!$C$18)*(1+'Inputs-System'!$C$41)*('Inputs-Proposals'!$I$23*'Inputs-Proposals'!$I$25*(1-'Inputs-Proposals'!$I$26))*(VLOOKUP(CD$3,Energy!$A$51:$K$83,5,FALSE)-VLOOKUP(CD$3,Energy!$A$51:$K$83,6,FALSE)), $C41= "3", ('Inputs-System'!$C$30*'Coincidence Factors'!$B$5*(1+'Inputs-System'!$C$18)*(1+'Inputs-System'!$C$41)*('Inputs-Proposals'!$I$29*'Inputs-Proposals'!$I$31*(1-'Inputs-Proposals'!$I$32))*(VLOOKUP(CD$3,Energy!$A$51:$K$83,5,FALSE)-VLOOKUP(CD$3,Energy!$A$51:$K$83,6,FALSE))), $C41= "0", 0), 0)</f>
        <v>0</v>
      </c>
      <c r="CE41" s="100">
        <f>IFERROR(_xlfn.IFS($C41="1", 'Inputs-System'!$C$30*'Coincidence Factors'!$B$5*(1+'Inputs-System'!$C$18)*(1+'Inputs-System'!$C$41)*'Inputs-Proposals'!$I$17*'Inputs-Proposals'!$I$19*(1-'Inputs-Proposals'!$I$20)*(VLOOKUP(CD$3,'Embedded Emissions'!$A$47:$B$78,2,FALSE)+VLOOKUP(CD$3,'Embedded Emissions'!$A$129:$B$158,2,FALSE)), $C41 = "2",'Inputs-System'!$C$30*'Coincidence Factors'!$B$5*(1+'Inputs-System'!$C$18)*(1+'Inputs-System'!$C$41)*'Inputs-Proposals'!$I$23*'Inputs-Proposals'!$I$25*(1-'Inputs-Proposals'!$I$20)*(VLOOKUP(CD$3,'Embedded Emissions'!$A$47:$B$78,2,FALSE)+VLOOKUP(CD$3,'Embedded Emissions'!$A$129:$B$158,2,FALSE)), $C41 = "3", 'Inputs-System'!$C$30*'Coincidence Factors'!$B$5*(1+'Inputs-System'!$C$18)*(1+'Inputs-System'!$C$41)*'Inputs-Proposals'!$I$29*'Inputs-Proposals'!$I$31*(1-'Inputs-Proposals'!$I$20)*(VLOOKUP(CD$3,'Embedded Emissions'!$A$47:$B$78,2,FALSE)+VLOOKUP(CD$3,'Embedded Emissions'!$A$129:$B$158,2,FALSE)), $C41 = "0", 0), 0)</f>
        <v>0</v>
      </c>
      <c r="CF41" s="318">
        <f>IFERROR(_xlfn.IFS($C41="1",( 'Inputs-System'!$C$30*'Coincidence Factors'!$B$5*(1+'Inputs-System'!$C$18)*(1+'Inputs-System'!$C$41))*('Inputs-Proposals'!$I$17*'Inputs-Proposals'!$I$19*(1-'Inputs-Proposals'!$I$20))*(VLOOKUP(CD$3,DRIPE!$A$54:$I$82,5,FALSE)-VLOOKUP(CD$3,DRIPE!$A$54:$I$82,6,FALSE)+VLOOKUP(CD$3,DRIPE!$A$54:$I$82,9,FALSE))+ ('Inputs-System'!$C$26*'Coincidence Factors'!$B$5*(1+'Inputs-System'!$C$18)*(1+'Inputs-System'!$C$42))*'Inputs-Proposals'!$I$16*VLOOKUP(CD$3,DRIPE!$A$54:$I$80,8,FALSE), $C41 = "2",( 'Inputs-System'!$C$30*'Coincidence Factors'!$B$5*(1+'Inputs-System'!$C$18)*(1+'Inputs-System'!$C$41))*('Inputs-Proposals'!$I$23*'Inputs-Proposals'!$I$25*(1-'Inputs-Proposals'!$I$26))*(VLOOKUP(CD$3,DRIPE!$A$54:$I$82,5,FALSE)-VLOOKUP(CD$3,DRIPE!$A$54:$I$82,6,FALSE)+VLOOKUP(CD$3,DRIPE!$A$54:$I$82,9,FALSE))+ ('Inputs-System'!$C$26*'Coincidence Factors'!$B$5*(1+'Inputs-System'!$C$18)*(1+'Inputs-System'!$C$41))+ ('Inputs-System'!$C$26*'Coincidence Factors'!$B$5)*'Inputs-Proposals'!$I$22*VLOOKUP(CD$3,DRIPE!$A$54:$I$80,8,FALSE), $C41= "3", ('Inputs-System'!$C$30*'Coincidence Factors'!$B$5)*('Inputs-Proposals'!$I$29*'Inputs-Proposals'!$I$31*(1-'Inputs-Proposals'!$I$32))*(VLOOKUP(CD$3,DRIPE!$A$54:$I$80,5,FALSE)-VLOOKUP(CD$3,DRIPE!$A$54:$I$80,6,FALSE)+VLOOKUP(CD$3,DRIPE!$A$54:$I$80,9,FALSE))+ ('Inputs-System'!$C$26*'Coincidence Factors'!$B$5*(1+'Inputs-System'!$C$18)*(1+'Inputs-System'!$C$42))*'Inputs-Proposals'!$I$28*VLOOKUP(CD$3,DRIPE!$A$54:$I$80,8,FALSE), $C41 = "0", 0), 0)</f>
        <v>0</v>
      </c>
      <c r="CG41" s="326">
        <f>IFERROR(_xlfn.IFS($C41="1",('Inputs-System'!$C$26*'Coincidence Factors'!$B$5*(1+'Inputs-System'!$C$18)*(1+'Inputs-System'!$C$42))*'Inputs-Proposals'!$I$16*(VLOOKUP(CD$3,Capacity!$A$53:$E$85,4,FALSE)*(1+'Inputs-System'!$C$42)+VLOOKUP(CD$3,Capacity!$A$53:$E$85,5,FALSE)*(1+'Inputs-System'!$C$43)*'Inputs-System'!$C$29), $C41 = "2", ('Inputs-System'!$C$26*'Coincidence Factors'!$B$5*(1+'Inputs-System'!$C$18))*'Inputs-Proposals'!$I$22*(VLOOKUP(CD$3,Capacity!$A$53:$E$85,4,FALSE)*(1+'Inputs-System'!$C$42)+VLOOKUP(CD$3,Capacity!$A$53:$E$85,5,FALSE)*'Inputs-System'!$C$29*(1+'Inputs-System'!$C$43)), $C41 = "3", ('Inputs-System'!$C$26*'Coincidence Factors'!$B$5*(1+'Inputs-System'!$C$18))*'Inputs-Proposals'!$I$28*(VLOOKUP(CD$3,Capacity!$A$53:$E$85,4,FALSE)*(1+'Inputs-System'!$C$42)+VLOOKUP(CD$3,Capacity!$A$53:$E$85,5,FALSE)*'Inputs-System'!$C$29*(1+'Inputs-System'!$C$43)), $C41 = "0", 0), 0)</f>
        <v>0</v>
      </c>
      <c r="CH41" s="100">
        <v>0</v>
      </c>
      <c r="CI41" s="346">
        <f>IFERROR(_xlfn.IFS($C41="1", 'Inputs-System'!$C$30*'Coincidence Factors'!$B$5*'Inputs-Proposals'!$I$17*'Inputs-Proposals'!$I$19*(VLOOKUP(CD$3,'Non-Embedded Emissions'!$A$56:$D$90,2,FALSE)+VLOOKUP(CD$3,'Non-Embedded Emissions'!$A$143:$D$174,2,FALSE)+VLOOKUP(CD$3,'Non-Embedded Emissions'!$A$230:$D$259,2,FALSE)-VLOOKUP(CD$3,'Non-Embedded Emissions'!$A$56:$D$90,3,FALSE)-VLOOKUP(CD$3,'Non-Embedded Emissions'!$A$143:$D$174,3,FALSE)-VLOOKUP(CD$3,'Non-Embedded Emissions'!$A$230:$D$259,3,FALSE)), $C41 = "2", 'Inputs-System'!$C$30*'Coincidence Factors'!$B$5*'Inputs-Proposals'!$I$23*'Inputs-Proposals'!$I$25*(VLOOKUP(CD$3,'Non-Embedded Emissions'!$A$56:$D$90,2,FALSE)+VLOOKUP(CD$3,'Non-Embedded Emissions'!$A$143:$D$174,2,FALSE)+VLOOKUP(CD$3,'Non-Embedded Emissions'!$A$230:$D$259,2,FALSE)-VLOOKUP(CD$3,'Non-Embedded Emissions'!$A$56:$D$90,3,FALSE)-VLOOKUP(CD$3,'Non-Embedded Emissions'!$A$143:$D$174,3,FALSE)-VLOOKUP(CD$3,'Non-Embedded Emissions'!$A$230:$D$259,3,FALSE)), $C41 = "3", 'Inputs-System'!$C$30*'Coincidence Factors'!$B$5*'Inputs-Proposals'!$I$29*'Inputs-Proposals'!$I$31*(VLOOKUP(CD$3,'Non-Embedded Emissions'!$A$56:$D$90,2,FALSE)+VLOOKUP(CD$3,'Non-Embedded Emissions'!$A$143:$D$174,2,FALSE)+VLOOKUP(CD$3,'Non-Embedded Emissions'!$A$230:$D$259,2,FALSE)-VLOOKUP(CD$3,'Non-Embedded Emissions'!$A$56:$D$90,3,FALSE)-VLOOKUP(CD$3,'Non-Embedded Emissions'!$A$143:$D$174,3,FALSE)-VLOOKUP(CD$3,'Non-Embedded Emissions'!$A$230:$D$259,3,FALSE)), $C41 = "0", 0), 0)</f>
        <v>0</v>
      </c>
      <c r="CJ41" s="344">
        <f>IFERROR(_xlfn.IFS($C41="1",('Inputs-System'!$C$30*'Coincidence Factors'!$B$5*(1+'Inputs-System'!$C$18)*(1+'Inputs-System'!$C$41)*('Inputs-Proposals'!$I$17*'Inputs-Proposals'!$I$19*(1-'Inputs-Proposals'!$I$20))*(VLOOKUP(CJ$3,Energy!$A$51:$K$83,5,FALSE)-VLOOKUP(CJ$3,Energy!$A$51:$K$83,6,FALSE))), $C41 = "2",('Inputs-System'!$C$30*'Coincidence Factors'!$B$5)*(1+'Inputs-System'!$C$18)*(1+'Inputs-System'!$C$41)*('Inputs-Proposals'!$I$23*'Inputs-Proposals'!$I$25*(1-'Inputs-Proposals'!$I$26))*(VLOOKUP(CJ$3,Energy!$A$51:$K$83,5,FALSE)-VLOOKUP(CJ$3,Energy!$A$51:$K$83,6,FALSE)), $C41= "3", ('Inputs-System'!$C$30*'Coincidence Factors'!$B$5*(1+'Inputs-System'!$C$18)*(1+'Inputs-System'!$C$41)*('Inputs-Proposals'!$I$29*'Inputs-Proposals'!$I$31*(1-'Inputs-Proposals'!$I$32))*(VLOOKUP(CJ$3,Energy!$A$51:$K$83,5,FALSE)-VLOOKUP(CJ$3,Energy!$A$51:$K$83,6,FALSE))), $C41= "0", 0), 0)</f>
        <v>0</v>
      </c>
      <c r="CK41" s="100">
        <f>IFERROR(_xlfn.IFS($C41="1", 'Inputs-System'!$C$30*'Coincidence Factors'!$B$5*(1+'Inputs-System'!$C$18)*(1+'Inputs-System'!$C$41)*'Inputs-Proposals'!$I$17*'Inputs-Proposals'!$I$19*(1-'Inputs-Proposals'!$I$20)*(VLOOKUP(CJ$3,'Embedded Emissions'!$A$47:$B$78,2,FALSE)+VLOOKUP(CJ$3,'Embedded Emissions'!$A$129:$B$158,2,FALSE)), $C41 = "2",'Inputs-System'!$C$30*'Coincidence Factors'!$B$5*(1+'Inputs-System'!$C$18)*(1+'Inputs-System'!$C$41)*'Inputs-Proposals'!$I$23*'Inputs-Proposals'!$I$25*(1-'Inputs-Proposals'!$I$20)*(VLOOKUP(CJ$3,'Embedded Emissions'!$A$47:$B$78,2,FALSE)+VLOOKUP(CJ$3,'Embedded Emissions'!$A$129:$B$158,2,FALSE)), $C41 = "3", 'Inputs-System'!$C$30*'Coincidence Factors'!$B$5*(1+'Inputs-System'!$C$18)*(1+'Inputs-System'!$C$41)*'Inputs-Proposals'!$I$29*'Inputs-Proposals'!$I$31*(1-'Inputs-Proposals'!$I$20)*(VLOOKUP(CJ$3,'Embedded Emissions'!$A$47:$B$78,2,FALSE)+VLOOKUP(CJ$3,'Embedded Emissions'!$A$129:$B$158,2,FALSE)), $C41 = "0", 0), 0)</f>
        <v>0</v>
      </c>
      <c r="CL41" s="318">
        <f>IFERROR(_xlfn.IFS($C41="1",( 'Inputs-System'!$C$30*'Coincidence Factors'!$B$5*(1+'Inputs-System'!$C$18)*(1+'Inputs-System'!$C$41))*('Inputs-Proposals'!$I$17*'Inputs-Proposals'!$I$19*(1-'Inputs-Proposals'!$I$20))*(VLOOKUP(CJ$3,DRIPE!$A$54:$I$82,5,FALSE)-VLOOKUP(CJ$3,DRIPE!$A$54:$I$82,6,FALSE)+VLOOKUP(CJ$3,DRIPE!$A$54:$I$82,9,FALSE))+ ('Inputs-System'!$C$26*'Coincidence Factors'!$B$5*(1+'Inputs-System'!$C$18)*(1+'Inputs-System'!$C$42))*'Inputs-Proposals'!$I$16*VLOOKUP(CJ$3,DRIPE!$A$54:$I$80,8,FALSE), $C41 = "2",( 'Inputs-System'!$C$30*'Coincidence Factors'!$B$5*(1+'Inputs-System'!$C$18)*(1+'Inputs-System'!$C$41))*('Inputs-Proposals'!$I$23*'Inputs-Proposals'!$I$25*(1-'Inputs-Proposals'!$I$26))*(VLOOKUP(CJ$3,DRIPE!$A$54:$I$82,5,FALSE)-VLOOKUP(CJ$3,DRIPE!$A$54:$I$82,6,FALSE)+VLOOKUP(CJ$3,DRIPE!$A$54:$I$82,9,FALSE))+ ('Inputs-System'!$C$26*'Coincidence Factors'!$B$5*(1+'Inputs-System'!$C$18)*(1+'Inputs-System'!$C$41))+ ('Inputs-System'!$C$26*'Coincidence Factors'!$B$5)*'Inputs-Proposals'!$I$22*VLOOKUP(CJ$3,DRIPE!$A$54:$I$80,8,FALSE), $C41= "3", ('Inputs-System'!$C$30*'Coincidence Factors'!$B$5)*('Inputs-Proposals'!$I$29*'Inputs-Proposals'!$I$31*(1-'Inputs-Proposals'!$I$32))*(VLOOKUP(CJ$3,DRIPE!$A$54:$I$80,5,FALSE)-VLOOKUP(CJ$3,DRIPE!$A$54:$I$80,6,FALSE)+VLOOKUP(CJ$3,DRIPE!$A$54:$I$80,9,FALSE))+ ('Inputs-System'!$C$26*'Coincidence Factors'!$B$5*(1+'Inputs-System'!$C$18)*(1+'Inputs-System'!$C$42))*'Inputs-Proposals'!$I$28*VLOOKUP(CJ$3,DRIPE!$A$54:$I$80,8,FALSE), $C41 = "0", 0), 0)</f>
        <v>0</v>
      </c>
      <c r="CM41" s="326">
        <f>IFERROR(_xlfn.IFS($C41="1",('Inputs-System'!$C$26*'Coincidence Factors'!$B$5*(1+'Inputs-System'!$C$18)*(1+'Inputs-System'!$C$42))*'Inputs-Proposals'!$I$16*(VLOOKUP(CJ$3,Capacity!$A$53:$E$85,4,FALSE)*(1+'Inputs-System'!$C$42)+VLOOKUP(CJ$3,Capacity!$A$53:$E$85,5,FALSE)*(1+'Inputs-System'!$C$43)*'Inputs-System'!$C$29), $C41 = "2", ('Inputs-System'!$C$26*'Coincidence Factors'!$B$5*(1+'Inputs-System'!$C$18))*'Inputs-Proposals'!$I$22*(VLOOKUP(CJ$3,Capacity!$A$53:$E$85,4,FALSE)*(1+'Inputs-System'!$C$42)+VLOOKUP(CJ$3,Capacity!$A$53:$E$85,5,FALSE)*'Inputs-System'!$C$29*(1+'Inputs-System'!$C$43)), $C41 = "3", ('Inputs-System'!$C$26*'Coincidence Factors'!$B$5*(1+'Inputs-System'!$C$18))*'Inputs-Proposals'!$I$28*(VLOOKUP(CJ$3,Capacity!$A$53:$E$85,4,FALSE)*(1+'Inputs-System'!$C$42)+VLOOKUP(CJ$3,Capacity!$A$53:$E$85,5,FALSE)*'Inputs-System'!$C$29*(1+'Inputs-System'!$C$43)), $C41 = "0", 0), 0)</f>
        <v>0</v>
      </c>
      <c r="CN41" s="100">
        <v>0</v>
      </c>
      <c r="CO41" s="346">
        <f>IFERROR(_xlfn.IFS($C41="1", 'Inputs-System'!$C$30*'Coincidence Factors'!$B$5*'Inputs-Proposals'!$I$17*'Inputs-Proposals'!$I$19*(VLOOKUP(CJ$3,'Non-Embedded Emissions'!$A$56:$D$90,2,FALSE)+VLOOKUP(CJ$3,'Non-Embedded Emissions'!$A$143:$D$174,2,FALSE)+VLOOKUP(CJ$3,'Non-Embedded Emissions'!$A$230:$D$259,2,FALSE)-VLOOKUP(CJ$3,'Non-Embedded Emissions'!$A$56:$D$90,3,FALSE)-VLOOKUP(CJ$3,'Non-Embedded Emissions'!$A$143:$D$174,3,FALSE)-VLOOKUP(CJ$3,'Non-Embedded Emissions'!$A$230:$D$259,3,FALSE)), $C41 = "2", 'Inputs-System'!$C$30*'Coincidence Factors'!$B$5*'Inputs-Proposals'!$I$23*'Inputs-Proposals'!$I$25*(VLOOKUP(CJ$3,'Non-Embedded Emissions'!$A$56:$D$90,2,FALSE)+VLOOKUP(CJ$3,'Non-Embedded Emissions'!$A$143:$D$174,2,FALSE)+VLOOKUP(CJ$3,'Non-Embedded Emissions'!$A$230:$D$259,2,FALSE)-VLOOKUP(CJ$3,'Non-Embedded Emissions'!$A$56:$D$90,3,FALSE)-VLOOKUP(CJ$3,'Non-Embedded Emissions'!$A$143:$D$174,3,FALSE)-VLOOKUP(CJ$3,'Non-Embedded Emissions'!$A$230:$D$259,3,FALSE)), $C41 = "3", 'Inputs-System'!$C$30*'Coincidence Factors'!$B$5*'Inputs-Proposals'!$I$29*'Inputs-Proposals'!$I$31*(VLOOKUP(CJ$3,'Non-Embedded Emissions'!$A$56:$D$90,2,FALSE)+VLOOKUP(CJ$3,'Non-Embedded Emissions'!$A$143:$D$174,2,FALSE)+VLOOKUP(CJ$3,'Non-Embedded Emissions'!$A$230:$D$259,2,FALSE)-VLOOKUP(CJ$3,'Non-Embedded Emissions'!$A$56:$D$90,3,FALSE)-VLOOKUP(CJ$3,'Non-Embedded Emissions'!$A$143:$D$174,3,FALSE)-VLOOKUP(CJ$3,'Non-Embedded Emissions'!$A$230:$D$259,3,FALSE)), $C41 = "0", 0), 0)</f>
        <v>0</v>
      </c>
      <c r="CP41" s="344">
        <f>IFERROR(_xlfn.IFS($C41="1",('Inputs-System'!$C$30*'Coincidence Factors'!$B$5*(1+'Inputs-System'!$C$18)*(1+'Inputs-System'!$C$41)*('Inputs-Proposals'!$I$17*'Inputs-Proposals'!$I$19*(1-'Inputs-Proposals'!$I$20))*(VLOOKUP(CP$3,Energy!$A$51:$K$83,5,FALSE)-VLOOKUP(CP$3,Energy!$A$51:$K$83,6,FALSE))), $C41 = "2",('Inputs-System'!$C$30*'Coincidence Factors'!$B$5)*(1+'Inputs-System'!$C$18)*(1+'Inputs-System'!$C$41)*('Inputs-Proposals'!$I$23*'Inputs-Proposals'!$I$25*(1-'Inputs-Proposals'!$I$26))*(VLOOKUP(CP$3,Energy!$A$51:$K$83,5,FALSE)-VLOOKUP(CP$3,Energy!$A$51:$K$83,6,FALSE)), $C41= "3", ('Inputs-System'!$C$30*'Coincidence Factors'!$B$5*(1+'Inputs-System'!$C$18)*(1+'Inputs-System'!$C$41)*('Inputs-Proposals'!$I$29*'Inputs-Proposals'!$I$31*(1-'Inputs-Proposals'!$I$32))*(VLOOKUP(CP$3,Energy!$A$51:$K$83,5,FALSE)-VLOOKUP(CP$3,Energy!$A$51:$K$83,6,FALSE))), $C41= "0", 0), 0)</f>
        <v>0</v>
      </c>
      <c r="CQ41" s="100">
        <f>IFERROR(_xlfn.IFS($C41="1", 'Inputs-System'!$C$30*'Coincidence Factors'!$B$5*(1+'Inputs-System'!$C$18)*(1+'Inputs-System'!$C$41)*'Inputs-Proposals'!$I$17*'Inputs-Proposals'!$I$19*(1-'Inputs-Proposals'!$I$20)*(VLOOKUP(CP$3,'Embedded Emissions'!$A$47:$B$78,2,FALSE)+VLOOKUP(CP$3,'Embedded Emissions'!$A$129:$B$158,2,FALSE)), $C41 = "2",'Inputs-System'!$C$30*'Coincidence Factors'!$B$5*(1+'Inputs-System'!$C$18)*(1+'Inputs-System'!$C$41)*'Inputs-Proposals'!$I$23*'Inputs-Proposals'!$I$25*(1-'Inputs-Proposals'!$I$20)*(VLOOKUP(CP$3,'Embedded Emissions'!$A$47:$B$78,2,FALSE)+VLOOKUP(CP$3,'Embedded Emissions'!$A$129:$B$158,2,FALSE)), $C41 = "3", 'Inputs-System'!$C$30*'Coincidence Factors'!$B$5*(1+'Inputs-System'!$C$18)*(1+'Inputs-System'!$C$41)*'Inputs-Proposals'!$I$29*'Inputs-Proposals'!$I$31*(1-'Inputs-Proposals'!$I$20)*(VLOOKUP(CP$3,'Embedded Emissions'!$A$47:$B$78,2,FALSE)+VLOOKUP(CP$3,'Embedded Emissions'!$A$129:$B$158,2,FALSE)), $C41 = "0", 0), 0)</f>
        <v>0</v>
      </c>
      <c r="CR41" s="318">
        <f>IFERROR(_xlfn.IFS($C41="1",( 'Inputs-System'!$C$30*'Coincidence Factors'!$B$5*(1+'Inputs-System'!$C$18)*(1+'Inputs-System'!$C$41))*('Inputs-Proposals'!$I$17*'Inputs-Proposals'!$I$19*(1-'Inputs-Proposals'!$I$20))*(VLOOKUP(CP$3,DRIPE!$A$54:$I$82,5,FALSE)-VLOOKUP(CP$3,DRIPE!$A$54:$I$82,6,FALSE)+VLOOKUP(CP$3,DRIPE!$A$54:$I$82,9,FALSE))+ ('Inputs-System'!$C$26*'Coincidence Factors'!$B$5*(1+'Inputs-System'!$C$18)*(1+'Inputs-System'!$C$42))*'Inputs-Proposals'!$I$16*VLOOKUP(CP$3,DRIPE!$A$54:$I$80,8,FALSE), $C41 = "2",( 'Inputs-System'!$C$30*'Coincidence Factors'!$B$5*(1+'Inputs-System'!$C$18)*(1+'Inputs-System'!$C$41))*('Inputs-Proposals'!$I$23*'Inputs-Proposals'!$I$25*(1-'Inputs-Proposals'!$I$26))*(VLOOKUP(CP$3,DRIPE!$A$54:$I$82,5,FALSE)-VLOOKUP(CP$3,DRIPE!$A$54:$I$82,6,FALSE)+VLOOKUP(CP$3,DRIPE!$A$54:$I$82,9,FALSE))+ ('Inputs-System'!$C$26*'Coincidence Factors'!$B$5*(1+'Inputs-System'!$C$18)*(1+'Inputs-System'!$C$41))+ ('Inputs-System'!$C$26*'Coincidence Factors'!$B$5)*'Inputs-Proposals'!$I$22*VLOOKUP(CP$3,DRIPE!$A$54:$I$80,8,FALSE), $C41= "3", ('Inputs-System'!$C$30*'Coincidence Factors'!$B$5)*('Inputs-Proposals'!$I$29*'Inputs-Proposals'!$I$31*(1-'Inputs-Proposals'!$I$32))*(VLOOKUP(CP$3,DRIPE!$A$54:$I$80,5,FALSE)-VLOOKUP(CP$3,DRIPE!$A$54:$I$80,6,FALSE)+VLOOKUP(CP$3,DRIPE!$A$54:$I$80,9,FALSE))+ ('Inputs-System'!$C$26*'Coincidence Factors'!$B$5*(1+'Inputs-System'!$C$18)*(1+'Inputs-System'!$C$42))*'Inputs-Proposals'!$I$28*VLOOKUP(CP$3,DRIPE!$A$54:$I$80,8,FALSE), $C41 = "0", 0), 0)</f>
        <v>0</v>
      </c>
      <c r="CS41" s="326">
        <f>IFERROR(_xlfn.IFS($C41="1",('Inputs-System'!$C$26*'Coincidence Factors'!$B$5*(1+'Inputs-System'!$C$18)*(1+'Inputs-System'!$C$42))*'Inputs-Proposals'!$I$16*(VLOOKUP(CP$3,Capacity!$A$53:$E$85,4,FALSE)*(1+'Inputs-System'!$C$42)+VLOOKUP(CP$3,Capacity!$A$53:$E$85,5,FALSE)*(1+'Inputs-System'!$C$43)*'Inputs-System'!$C$29), $C41 = "2", ('Inputs-System'!$C$26*'Coincidence Factors'!$B$5*(1+'Inputs-System'!$C$18))*'Inputs-Proposals'!$I$22*(VLOOKUP(CP$3,Capacity!$A$53:$E$85,4,FALSE)*(1+'Inputs-System'!$C$42)+VLOOKUP(CP$3,Capacity!$A$53:$E$85,5,FALSE)*'Inputs-System'!$C$29*(1+'Inputs-System'!$C$43)), $C41 = "3", ('Inputs-System'!$C$26*'Coincidence Factors'!$B$5*(1+'Inputs-System'!$C$18))*'Inputs-Proposals'!$I$28*(VLOOKUP(CP$3,Capacity!$A$53:$E$85,4,FALSE)*(1+'Inputs-System'!$C$42)+VLOOKUP(CP$3,Capacity!$A$53:$E$85,5,FALSE)*'Inputs-System'!$C$29*(1+'Inputs-System'!$C$43)), $C41 = "0", 0), 0)</f>
        <v>0</v>
      </c>
      <c r="CT41" s="100">
        <v>0</v>
      </c>
      <c r="CU41" s="346">
        <f>IFERROR(_xlfn.IFS($C41="1", 'Inputs-System'!$C$30*'Coincidence Factors'!$B$5*'Inputs-Proposals'!$I$17*'Inputs-Proposals'!$I$19*(VLOOKUP(CP$3,'Non-Embedded Emissions'!$A$56:$D$90,2,FALSE)+VLOOKUP(CP$3,'Non-Embedded Emissions'!$A$143:$D$174,2,FALSE)+VLOOKUP(CP$3,'Non-Embedded Emissions'!$A$230:$D$259,2,FALSE)-VLOOKUP(CP$3,'Non-Embedded Emissions'!$A$56:$D$90,3,FALSE)-VLOOKUP(CP$3,'Non-Embedded Emissions'!$A$143:$D$174,3,FALSE)-VLOOKUP(CP$3,'Non-Embedded Emissions'!$A$230:$D$259,3,FALSE)), $C41 = "2", 'Inputs-System'!$C$30*'Coincidence Factors'!$B$5*'Inputs-Proposals'!$I$23*'Inputs-Proposals'!$I$25*(VLOOKUP(CP$3,'Non-Embedded Emissions'!$A$56:$D$90,2,FALSE)+VLOOKUP(CP$3,'Non-Embedded Emissions'!$A$143:$D$174,2,FALSE)+VLOOKUP(CP$3,'Non-Embedded Emissions'!$A$230:$D$259,2,FALSE)-VLOOKUP(CP$3,'Non-Embedded Emissions'!$A$56:$D$90,3,FALSE)-VLOOKUP(CP$3,'Non-Embedded Emissions'!$A$143:$D$174,3,FALSE)-VLOOKUP(CP$3,'Non-Embedded Emissions'!$A$230:$D$259,3,FALSE)), $C41 = "3", 'Inputs-System'!$C$30*'Coincidence Factors'!$B$5*'Inputs-Proposals'!$I$29*'Inputs-Proposals'!$I$31*(VLOOKUP(CP$3,'Non-Embedded Emissions'!$A$56:$D$90,2,FALSE)+VLOOKUP(CP$3,'Non-Embedded Emissions'!$A$143:$D$174,2,FALSE)+VLOOKUP(CP$3,'Non-Embedded Emissions'!$A$230:$D$259,2,FALSE)-VLOOKUP(CP$3,'Non-Embedded Emissions'!$A$56:$D$90,3,FALSE)-VLOOKUP(CP$3,'Non-Embedded Emissions'!$A$143:$D$174,3,FALSE)-VLOOKUP(CP$3,'Non-Embedded Emissions'!$A$230:$D$259,3,FALSE)), $C41 = "0", 0), 0)</f>
        <v>0</v>
      </c>
      <c r="CV41" s="344">
        <f>IFERROR(_xlfn.IFS($C41="1",('Inputs-System'!$C$30*'Coincidence Factors'!$B$5*(1+'Inputs-System'!$C$18)*(1+'Inputs-System'!$C$41)*('Inputs-Proposals'!$I$17*'Inputs-Proposals'!$I$19*(1-'Inputs-Proposals'!$I$20))*(VLOOKUP(CV$3,Energy!$A$51:$K$83,5,FALSE)-VLOOKUP(CV$3,Energy!$A$51:$K$83,6,FALSE))), $C41 = "2",('Inputs-System'!$C$30*'Coincidence Factors'!$B$5)*(1+'Inputs-System'!$C$18)*(1+'Inputs-System'!$C$41)*('Inputs-Proposals'!$I$23*'Inputs-Proposals'!$I$25*(1-'Inputs-Proposals'!$I$26))*(VLOOKUP(CV$3,Energy!$A$51:$K$83,5,FALSE)-VLOOKUP(CV$3,Energy!$A$51:$K$83,6,FALSE)), $C41= "3", ('Inputs-System'!$C$30*'Coincidence Factors'!$B$5*(1+'Inputs-System'!$C$18)*(1+'Inputs-System'!$C$41)*('Inputs-Proposals'!$I$29*'Inputs-Proposals'!$I$31*(1-'Inputs-Proposals'!$I$32))*(VLOOKUP(CV$3,Energy!$A$51:$K$83,5,FALSE)-VLOOKUP(CV$3,Energy!$A$51:$K$83,6,FALSE))), $C41= "0", 0), 0)</f>
        <v>0</v>
      </c>
      <c r="CW41" s="100">
        <f>IFERROR(_xlfn.IFS($C41="1", 'Inputs-System'!$C$30*'Coincidence Factors'!$B$5*(1+'Inputs-System'!$C$18)*(1+'Inputs-System'!$C$41)*'Inputs-Proposals'!$I$17*'Inputs-Proposals'!$I$19*(1-'Inputs-Proposals'!$I$20)*(VLOOKUP(CV$3,'Embedded Emissions'!$A$47:$B$78,2,FALSE)+VLOOKUP(CV$3,'Embedded Emissions'!$A$129:$B$158,2,FALSE)), $C41 = "2",'Inputs-System'!$C$30*'Coincidence Factors'!$B$5*(1+'Inputs-System'!$C$18)*(1+'Inputs-System'!$C$41)*'Inputs-Proposals'!$I$23*'Inputs-Proposals'!$I$25*(1-'Inputs-Proposals'!$I$20)*(VLOOKUP(CV$3,'Embedded Emissions'!$A$47:$B$78,2,FALSE)+VLOOKUP(CV$3,'Embedded Emissions'!$A$129:$B$158,2,FALSE)), $C41 = "3", 'Inputs-System'!$C$30*'Coincidence Factors'!$B$5*(1+'Inputs-System'!$C$18)*(1+'Inputs-System'!$C$41)*'Inputs-Proposals'!$I$29*'Inputs-Proposals'!$I$31*(1-'Inputs-Proposals'!$I$20)*(VLOOKUP(CV$3,'Embedded Emissions'!$A$47:$B$78,2,FALSE)+VLOOKUP(CV$3,'Embedded Emissions'!$A$129:$B$158,2,FALSE)), $C41 = "0", 0), 0)</f>
        <v>0</v>
      </c>
      <c r="CX41" s="318">
        <f>IFERROR(_xlfn.IFS($C41="1",( 'Inputs-System'!$C$30*'Coincidence Factors'!$B$5*(1+'Inputs-System'!$C$18)*(1+'Inputs-System'!$C$41))*('Inputs-Proposals'!$I$17*'Inputs-Proposals'!$I$19*(1-'Inputs-Proposals'!$I$20))*(VLOOKUP(CV$3,DRIPE!$A$54:$I$82,5,FALSE)-VLOOKUP(CV$3,DRIPE!$A$54:$I$82,6,FALSE)+VLOOKUP(CV$3,DRIPE!$A$54:$I$82,9,FALSE))+ ('Inputs-System'!$C$26*'Coincidence Factors'!$B$5*(1+'Inputs-System'!$C$18)*(1+'Inputs-System'!$C$42))*'Inputs-Proposals'!$I$16*VLOOKUP(CV$3,DRIPE!$A$54:$I$80,8,FALSE), $C41 = "2",( 'Inputs-System'!$C$30*'Coincidence Factors'!$B$5*(1+'Inputs-System'!$C$18)*(1+'Inputs-System'!$C$41))*('Inputs-Proposals'!$I$23*'Inputs-Proposals'!$I$25*(1-'Inputs-Proposals'!$I$26))*(VLOOKUP(CV$3,DRIPE!$A$54:$I$82,5,FALSE)-VLOOKUP(CV$3,DRIPE!$A$54:$I$82,6,FALSE)+VLOOKUP(CV$3,DRIPE!$A$54:$I$82,9,FALSE))+ ('Inputs-System'!$C$26*'Coincidence Factors'!$B$5*(1+'Inputs-System'!$C$18)*(1+'Inputs-System'!$C$41))+ ('Inputs-System'!$C$26*'Coincidence Factors'!$B$5)*'Inputs-Proposals'!$I$22*VLOOKUP(CV$3,DRIPE!$A$54:$I$80,8,FALSE), $C41= "3", ('Inputs-System'!$C$30*'Coincidence Factors'!$B$5)*('Inputs-Proposals'!$I$29*'Inputs-Proposals'!$I$31*(1-'Inputs-Proposals'!$I$32))*(VLOOKUP(CV$3,DRIPE!$A$54:$I$80,5,FALSE)-VLOOKUP(CV$3,DRIPE!$A$54:$I$80,6,FALSE)+VLOOKUP(CV$3,DRIPE!$A$54:$I$80,9,FALSE))+ ('Inputs-System'!$C$26*'Coincidence Factors'!$B$5*(1+'Inputs-System'!$C$18)*(1+'Inputs-System'!$C$42))*'Inputs-Proposals'!$I$28*VLOOKUP(CV$3,DRIPE!$A$54:$I$80,8,FALSE), $C41 = "0", 0), 0)</f>
        <v>0</v>
      </c>
      <c r="CY41" s="326">
        <f>IFERROR(_xlfn.IFS($C41="1",('Inputs-System'!$C$26*'Coincidence Factors'!$B$5*(1+'Inputs-System'!$C$18)*(1+'Inputs-System'!$C$42))*'Inputs-Proposals'!$I$16*(VLOOKUP(CV$3,Capacity!$A$53:$E$85,4,FALSE)*(1+'Inputs-System'!$C$42)+VLOOKUP(CV$3,Capacity!$A$53:$E$85,5,FALSE)*(1+'Inputs-System'!$C$43)*'Inputs-System'!$C$29), $C41 = "2", ('Inputs-System'!$C$26*'Coincidence Factors'!$B$5*(1+'Inputs-System'!$C$18))*'Inputs-Proposals'!$I$22*(VLOOKUP(CV$3,Capacity!$A$53:$E$85,4,FALSE)*(1+'Inputs-System'!$C$42)+VLOOKUP(CV$3,Capacity!$A$53:$E$85,5,FALSE)*'Inputs-System'!$C$29*(1+'Inputs-System'!$C$43)), $C41 = "3", ('Inputs-System'!$C$26*'Coincidence Factors'!$B$5*(1+'Inputs-System'!$C$18))*'Inputs-Proposals'!$I$28*(VLOOKUP(CV$3,Capacity!$A$53:$E$85,4,FALSE)*(1+'Inputs-System'!$C$42)+VLOOKUP(CV$3,Capacity!$A$53:$E$85,5,FALSE)*'Inputs-System'!$C$29*(1+'Inputs-System'!$C$43)), $C41 = "0", 0), 0)</f>
        <v>0</v>
      </c>
      <c r="CZ41" s="100">
        <v>0</v>
      </c>
      <c r="DA41" s="346">
        <f>IFERROR(_xlfn.IFS($C41="1", 'Inputs-System'!$C$30*'Coincidence Factors'!$B$5*'Inputs-Proposals'!$I$17*'Inputs-Proposals'!$I$19*(VLOOKUP(CV$3,'Non-Embedded Emissions'!$A$56:$D$90,2,FALSE)+VLOOKUP(CV$3,'Non-Embedded Emissions'!$A$143:$D$174,2,FALSE)+VLOOKUP(CV$3,'Non-Embedded Emissions'!$A$230:$D$259,2,FALSE)-VLOOKUP(CV$3,'Non-Embedded Emissions'!$A$56:$D$90,3,FALSE)-VLOOKUP(CV$3,'Non-Embedded Emissions'!$A$143:$D$174,3,FALSE)-VLOOKUP(CV$3,'Non-Embedded Emissions'!$A$230:$D$259,3,FALSE)), $C41 = "2", 'Inputs-System'!$C$30*'Coincidence Factors'!$B$5*'Inputs-Proposals'!$I$23*'Inputs-Proposals'!$I$25*(VLOOKUP(CV$3,'Non-Embedded Emissions'!$A$56:$D$90,2,FALSE)+VLOOKUP(CV$3,'Non-Embedded Emissions'!$A$143:$D$174,2,FALSE)+VLOOKUP(CV$3,'Non-Embedded Emissions'!$A$230:$D$259,2,FALSE)-VLOOKUP(CV$3,'Non-Embedded Emissions'!$A$56:$D$90,3,FALSE)-VLOOKUP(CV$3,'Non-Embedded Emissions'!$A$143:$D$174,3,FALSE)-VLOOKUP(CV$3,'Non-Embedded Emissions'!$A$230:$D$259,3,FALSE)), $C41 = "3", 'Inputs-System'!$C$30*'Coincidence Factors'!$B$5*'Inputs-Proposals'!$I$29*'Inputs-Proposals'!$I$31*(VLOOKUP(CV$3,'Non-Embedded Emissions'!$A$56:$D$90,2,FALSE)+VLOOKUP(CV$3,'Non-Embedded Emissions'!$A$143:$D$174,2,FALSE)+VLOOKUP(CV$3,'Non-Embedded Emissions'!$A$230:$D$259,2,FALSE)-VLOOKUP(CV$3,'Non-Embedded Emissions'!$A$56:$D$90,3,FALSE)-VLOOKUP(CV$3,'Non-Embedded Emissions'!$A$143:$D$174,3,FALSE)-VLOOKUP(CV$3,'Non-Embedded Emissions'!$A$230:$D$259,3,FALSE)), $C41 = "0", 0), 0)</f>
        <v>0</v>
      </c>
      <c r="DB41" s="344">
        <f>IFERROR(_xlfn.IFS($C41="1",('Inputs-System'!$C$30*'Coincidence Factors'!$B$5*(1+'Inputs-System'!$C$18)*(1+'Inputs-System'!$C$41)*('Inputs-Proposals'!$I$17*'Inputs-Proposals'!$I$19*(1-'Inputs-Proposals'!$I$20))*(VLOOKUP(DB$3,Energy!$A$51:$K$83,5,FALSE)-VLOOKUP(DB$3,Energy!$A$51:$K$83,6,FALSE))), $C41 = "2",('Inputs-System'!$C$30*'Coincidence Factors'!$B$5)*(1+'Inputs-System'!$C$18)*(1+'Inputs-System'!$C$41)*('Inputs-Proposals'!$I$23*'Inputs-Proposals'!$I$25*(1-'Inputs-Proposals'!$I$26))*(VLOOKUP(DB$3,Energy!$A$51:$K$83,5,FALSE)-VLOOKUP(DB$3,Energy!$A$51:$K$83,6,FALSE)), $C41= "3", ('Inputs-System'!$C$30*'Coincidence Factors'!$B$5*(1+'Inputs-System'!$C$18)*(1+'Inputs-System'!$C$41)*('Inputs-Proposals'!$I$29*'Inputs-Proposals'!$I$31*(1-'Inputs-Proposals'!$I$32))*(VLOOKUP(DB$3,Energy!$A$51:$K$83,5,FALSE)-VLOOKUP(DB$3,Energy!$A$51:$K$83,6,FALSE))), $C41= "0", 0), 0)</f>
        <v>0</v>
      </c>
      <c r="DC41" s="100">
        <f>IFERROR(_xlfn.IFS($C41="1", 'Inputs-System'!$C$30*'Coincidence Factors'!$B$5*(1+'Inputs-System'!$C$18)*(1+'Inputs-System'!$C$41)*'Inputs-Proposals'!$I$17*'Inputs-Proposals'!$I$19*(1-'Inputs-Proposals'!$I$20)*(VLOOKUP(DB$3,'Embedded Emissions'!$A$47:$B$78,2,FALSE)+VLOOKUP(DB$3,'Embedded Emissions'!$A$129:$B$158,2,FALSE)), $C41 = "2",'Inputs-System'!$C$30*'Coincidence Factors'!$B$5*(1+'Inputs-System'!$C$18)*(1+'Inputs-System'!$C$41)*'Inputs-Proposals'!$I$23*'Inputs-Proposals'!$I$25*(1-'Inputs-Proposals'!$I$20)*(VLOOKUP(DB$3,'Embedded Emissions'!$A$47:$B$78,2,FALSE)+VLOOKUP(DB$3,'Embedded Emissions'!$A$129:$B$158,2,FALSE)), $C41 = "3", 'Inputs-System'!$C$30*'Coincidence Factors'!$B$5*(1+'Inputs-System'!$C$18)*(1+'Inputs-System'!$C$41)*'Inputs-Proposals'!$I$29*'Inputs-Proposals'!$I$31*(1-'Inputs-Proposals'!$I$20)*(VLOOKUP(DB$3,'Embedded Emissions'!$A$47:$B$78,2,FALSE)+VLOOKUP(DB$3,'Embedded Emissions'!$A$129:$B$158,2,FALSE)), $C41 = "0", 0), 0)</f>
        <v>0</v>
      </c>
      <c r="DD41" s="318">
        <f>IFERROR(_xlfn.IFS($C41="1",( 'Inputs-System'!$C$30*'Coincidence Factors'!$B$5*(1+'Inputs-System'!$C$18)*(1+'Inputs-System'!$C$41))*('Inputs-Proposals'!$I$17*'Inputs-Proposals'!$I$19*(1-'Inputs-Proposals'!$I$20))*(VLOOKUP(DB$3,DRIPE!$A$54:$I$82,5,FALSE)-VLOOKUP(DB$3,DRIPE!$A$54:$I$82,6,FALSE)+VLOOKUP(DB$3,DRIPE!$A$54:$I$82,9,FALSE))+ ('Inputs-System'!$C$26*'Coincidence Factors'!$B$5*(1+'Inputs-System'!$C$18)*(1+'Inputs-System'!$C$42))*'Inputs-Proposals'!$I$16*VLOOKUP(DB$3,DRIPE!$A$54:$I$80,8,FALSE), $C41 = "2",( 'Inputs-System'!$C$30*'Coincidence Factors'!$B$5*(1+'Inputs-System'!$C$18)*(1+'Inputs-System'!$C$41))*('Inputs-Proposals'!$I$23*'Inputs-Proposals'!$I$25*(1-'Inputs-Proposals'!$I$26))*(VLOOKUP(DB$3,DRIPE!$A$54:$I$82,5,FALSE)-VLOOKUP(DB$3,DRIPE!$A$54:$I$82,6,FALSE)+VLOOKUP(DB$3,DRIPE!$A$54:$I$82,9,FALSE))+ ('Inputs-System'!$C$26*'Coincidence Factors'!$B$5*(1+'Inputs-System'!$C$18)*(1+'Inputs-System'!$C$41))+ ('Inputs-System'!$C$26*'Coincidence Factors'!$B$5)*'Inputs-Proposals'!$I$22*VLOOKUP(DB$3,DRIPE!$A$54:$I$80,8,FALSE), $C41= "3", ('Inputs-System'!$C$30*'Coincidence Factors'!$B$5)*('Inputs-Proposals'!$I$29*'Inputs-Proposals'!$I$31*(1-'Inputs-Proposals'!$I$32))*(VLOOKUP(DB$3,DRIPE!$A$54:$I$80,5,FALSE)-VLOOKUP(DB$3,DRIPE!$A$54:$I$80,6,FALSE)+VLOOKUP(DB$3,DRIPE!$A$54:$I$80,9,FALSE))+ ('Inputs-System'!$C$26*'Coincidence Factors'!$B$5*(1+'Inputs-System'!$C$18)*(1+'Inputs-System'!$C$42))*'Inputs-Proposals'!$I$28*VLOOKUP(DB$3,DRIPE!$A$54:$I$80,8,FALSE), $C41 = "0", 0), 0)</f>
        <v>0</v>
      </c>
      <c r="DE41" s="326">
        <f>IFERROR(_xlfn.IFS($C41="1",('Inputs-System'!$C$26*'Coincidence Factors'!$B$5*(1+'Inputs-System'!$C$18)*(1+'Inputs-System'!$C$42))*'Inputs-Proposals'!$I$16*(VLOOKUP(DB$3,Capacity!$A$53:$E$85,4,FALSE)*(1+'Inputs-System'!$C$42)+VLOOKUP(DB$3,Capacity!$A$53:$E$85,5,FALSE)*(1+'Inputs-System'!$C$43)*'Inputs-System'!$C$29), $C41 = "2", ('Inputs-System'!$C$26*'Coincidence Factors'!$B$5*(1+'Inputs-System'!$C$18))*'Inputs-Proposals'!$I$22*(VLOOKUP(DB$3,Capacity!$A$53:$E$85,4,FALSE)*(1+'Inputs-System'!$C$42)+VLOOKUP(DB$3,Capacity!$A$53:$E$85,5,FALSE)*'Inputs-System'!$C$29*(1+'Inputs-System'!$C$43)), $C41 = "3", ('Inputs-System'!$C$26*'Coincidence Factors'!$B$5*(1+'Inputs-System'!$C$18))*'Inputs-Proposals'!$I$28*(VLOOKUP(DB$3,Capacity!$A$53:$E$85,4,FALSE)*(1+'Inputs-System'!$C$42)+VLOOKUP(DB$3,Capacity!$A$53:$E$85,5,FALSE)*'Inputs-System'!$C$29*(1+'Inputs-System'!$C$43)), $C41 = "0", 0), 0)</f>
        <v>0</v>
      </c>
      <c r="DF41" s="100">
        <v>0</v>
      </c>
      <c r="DG41" s="346">
        <f>IFERROR(_xlfn.IFS($C41="1", 'Inputs-System'!$C$30*'Coincidence Factors'!$B$5*'Inputs-Proposals'!$I$17*'Inputs-Proposals'!$I$19*(VLOOKUP(DB$3,'Non-Embedded Emissions'!$A$56:$D$90,2,FALSE)+VLOOKUP(DB$3,'Non-Embedded Emissions'!$A$143:$D$174,2,FALSE)+VLOOKUP(DB$3,'Non-Embedded Emissions'!$A$230:$D$259,2,FALSE)-VLOOKUP(DB$3,'Non-Embedded Emissions'!$A$56:$D$90,3,FALSE)-VLOOKUP(DB$3,'Non-Embedded Emissions'!$A$143:$D$174,3,FALSE)-VLOOKUP(DB$3,'Non-Embedded Emissions'!$A$230:$D$259,3,FALSE)), $C41 = "2", 'Inputs-System'!$C$30*'Coincidence Factors'!$B$5*'Inputs-Proposals'!$I$23*'Inputs-Proposals'!$I$25*(VLOOKUP(DB$3,'Non-Embedded Emissions'!$A$56:$D$90,2,FALSE)+VLOOKUP(DB$3,'Non-Embedded Emissions'!$A$143:$D$174,2,FALSE)+VLOOKUP(DB$3,'Non-Embedded Emissions'!$A$230:$D$259,2,FALSE)-VLOOKUP(DB$3,'Non-Embedded Emissions'!$A$56:$D$90,3,FALSE)-VLOOKUP(DB$3,'Non-Embedded Emissions'!$A$143:$D$174,3,FALSE)-VLOOKUP(DB$3,'Non-Embedded Emissions'!$A$230:$D$259,3,FALSE)), $C41 = "3", 'Inputs-System'!$C$30*'Coincidence Factors'!$B$5*'Inputs-Proposals'!$I$29*'Inputs-Proposals'!$I$31*(VLOOKUP(DB$3,'Non-Embedded Emissions'!$A$56:$D$90,2,FALSE)+VLOOKUP(DB$3,'Non-Embedded Emissions'!$A$143:$D$174,2,FALSE)+VLOOKUP(DB$3,'Non-Embedded Emissions'!$A$230:$D$259,2,FALSE)-VLOOKUP(DB$3,'Non-Embedded Emissions'!$A$56:$D$90,3,FALSE)-VLOOKUP(DB$3,'Non-Embedded Emissions'!$A$143:$D$174,3,FALSE)-VLOOKUP(DB$3,'Non-Embedded Emissions'!$A$230:$D$259,3,FALSE)), $C41 = "0", 0), 0)</f>
        <v>0</v>
      </c>
      <c r="DH41" s="344">
        <f>IFERROR(_xlfn.IFS($C41="1",('Inputs-System'!$C$30*'Coincidence Factors'!$B$5*(1+'Inputs-System'!$C$18)*(1+'Inputs-System'!$C$41)*('Inputs-Proposals'!$I$17*'Inputs-Proposals'!$I$19*(1-'Inputs-Proposals'!$I$20))*(VLOOKUP(DH$3,Energy!$A$51:$K$83,5,FALSE)-VLOOKUP(DH$3,Energy!$A$51:$K$83,6,FALSE))), $C41 = "2",('Inputs-System'!$C$30*'Coincidence Factors'!$B$5)*(1+'Inputs-System'!$C$18)*(1+'Inputs-System'!$C$41)*('Inputs-Proposals'!$I$23*'Inputs-Proposals'!$I$25*(1-'Inputs-Proposals'!$I$26))*(VLOOKUP(DH$3,Energy!$A$51:$K$83,5,FALSE)-VLOOKUP(DH$3,Energy!$A$51:$K$83,6,FALSE)), $C41= "3", ('Inputs-System'!$C$30*'Coincidence Factors'!$B$5*(1+'Inputs-System'!$C$18)*(1+'Inputs-System'!$C$41)*('Inputs-Proposals'!$I$29*'Inputs-Proposals'!$I$31*(1-'Inputs-Proposals'!$I$32))*(VLOOKUP(DH$3,Energy!$A$51:$K$83,5,FALSE)-VLOOKUP(DH$3,Energy!$A$51:$K$83,6,FALSE))), $C41= "0", 0), 0)</f>
        <v>0</v>
      </c>
      <c r="DI41" s="100">
        <f>IFERROR(_xlfn.IFS($C41="1", 'Inputs-System'!$C$30*'Coincidence Factors'!$B$5*(1+'Inputs-System'!$C$18)*(1+'Inputs-System'!$C$41)*'Inputs-Proposals'!$I$17*'Inputs-Proposals'!$I$19*(1-'Inputs-Proposals'!$I$20)*(VLOOKUP(DH$3,'Embedded Emissions'!$A$47:$B$78,2,FALSE)+VLOOKUP(DH$3,'Embedded Emissions'!$A$129:$B$158,2,FALSE)), $C41 = "2",'Inputs-System'!$C$30*'Coincidence Factors'!$B$5*(1+'Inputs-System'!$C$18)*(1+'Inputs-System'!$C$41)*'Inputs-Proposals'!$I$23*'Inputs-Proposals'!$I$25*(1-'Inputs-Proposals'!$I$20)*(VLOOKUP(DH$3,'Embedded Emissions'!$A$47:$B$78,2,FALSE)+VLOOKUP(DH$3,'Embedded Emissions'!$A$129:$B$158,2,FALSE)), $C41 = "3", 'Inputs-System'!$C$30*'Coincidence Factors'!$B$5*(1+'Inputs-System'!$C$18)*(1+'Inputs-System'!$C$41)*'Inputs-Proposals'!$I$29*'Inputs-Proposals'!$I$31*(1-'Inputs-Proposals'!$I$20)*(VLOOKUP(DH$3,'Embedded Emissions'!$A$47:$B$78,2,FALSE)+VLOOKUP(DH$3,'Embedded Emissions'!$A$129:$B$158,2,FALSE)), $C41 = "0", 0), 0)</f>
        <v>0</v>
      </c>
      <c r="DJ41" s="318">
        <f>IFERROR(_xlfn.IFS($C41="1",( 'Inputs-System'!$C$30*'Coincidence Factors'!$B$5*(1+'Inputs-System'!$C$18)*(1+'Inputs-System'!$C$41))*('Inputs-Proposals'!$I$17*'Inputs-Proposals'!$I$19*(1-'Inputs-Proposals'!$I$20))*(VLOOKUP(DH$3,DRIPE!$A$54:$I$82,5,FALSE)-VLOOKUP(DH$3,DRIPE!$A$54:$I$82,6,FALSE)+VLOOKUP(DH$3,DRIPE!$A$54:$I$82,9,FALSE))+ ('Inputs-System'!$C$26*'Coincidence Factors'!$B$5*(1+'Inputs-System'!$C$18)*(1+'Inputs-System'!$C$42))*'Inputs-Proposals'!$I$16*VLOOKUP(DH$3,DRIPE!$A$54:$I$80,8,FALSE), $C41 = "2",( 'Inputs-System'!$C$30*'Coincidence Factors'!$B$5*(1+'Inputs-System'!$C$18)*(1+'Inputs-System'!$C$41))*('Inputs-Proposals'!$I$23*'Inputs-Proposals'!$I$25*(1-'Inputs-Proposals'!$I$26))*(VLOOKUP(DH$3,DRIPE!$A$54:$I$82,5,FALSE)-VLOOKUP(DH$3,DRIPE!$A$54:$I$82,6,FALSE)+VLOOKUP(DH$3,DRIPE!$A$54:$I$82,9,FALSE))+ ('Inputs-System'!$C$26*'Coincidence Factors'!$B$5*(1+'Inputs-System'!$C$18)*(1+'Inputs-System'!$C$41))+ ('Inputs-System'!$C$26*'Coincidence Factors'!$B$5)*'Inputs-Proposals'!$I$22*VLOOKUP(DH$3,DRIPE!$A$54:$I$80,8,FALSE), $C41= "3", ('Inputs-System'!$C$30*'Coincidence Factors'!$B$5)*('Inputs-Proposals'!$I$29*'Inputs-Proposals'!$I$31*(1-'Inputs-Proposals'!$I$32))*(VLOOKUP(DH$3,DRIPE!$A$54:$I$80,5,FALSE)-VLOOKUP(DH$3,DRIPE!$A$54:$I$80,6,FALSE)+VLOOKUP(DH$3,DRIPE!$A$54:$I$80,9,FALSE))+ ('Inputs-System'!$C$26*'Coincidence Factors'!$B$5*(1+'Inputs-System'!$C$18)*(1+'Inputs-System'!$C$42))*'Inputs-Proposals'!$I$28*VLOOKUP(DH$3,DRIPE!$A$54:$I$80,8,FALSE), $C41 = "0", 0), 0)</f>
        <v>0</v>
      </c>
      <c r="DK41" s="326">
        <f>IFERROR(_xlfn.IFS($C41="1",('Inputs-System'!$C$26*'Coincidence Factors'!$B$5*(1+'Inputs-System'!$C$18)*(1+'Inputs-System'!$C$42))*'Inputs-Proposals'!$I$16*(VLOOKUP(DH$3,Capacity!$A$53:$E$85,4,FALSE)*(1+'Inputs-System'!$C$42)+VLOOKUP(DH$3,Capacity!$A$53:$E$85,5,FALSE)*(1+'Inputs-System'!$C$43)*'Inputs-System'!$C$29), $C41 = "2", ('Inputs-System'!$C$26*'Coincidence Factors'!$B$5*(1+'Inputs-System'!$C$18))*'Inputs-Proposals'!$I$22*(VLOOKUP(DH$3,Capacity!$A$53:$E$85,4,FALSE)*(1+'Inputs-System'!$C$42)+VLOOKUP(DH$3,Capacity!$A$53:$E$85,5,FALSE)*'Inputs-System'!$C$29*(1+'Inputs-System'!$C$43)), $C41 = "3", ('Inputs-System'!$C$26*'Coincidence Factors'!$B$5*(1+'Inputs-System'!$C$18))*'Inputs-Proposals'!$I$28*(VLOOKUP(DH$3,Capacity!$A$53:$E$85,4,FALSE)*(1+'Inputs-System'!$C$42)+VLOOKUP(DH$3,Capacity!$A$53:$E$85,5,FALSE)*'Inputs-System'!$C$29*(1+'Inputs-System'!$C$43)), $C41 = "0", 0), 0)</f>
        <v>0</v>
      </c>
      <c r="DL41" s="100">
        <v>0</v>
      </c>
      <c r="DM41" s="346">
        <f>IFERROR(_xlfn.IFS($C41="1", 'Inputs-System'!$C$30*'Coincidence Factors'!$B$5*'Inputs-Proposals'!$I$17*'Inputs-Proposals'!$I$19*(VLOOKUP(DH$3,'Non-Embedded Emissions'!$A$56:$D$90,2,FALSE)+VLOOKUP(DH$3,'Non-Embedded Emissions'!$A$143:$D$174,2,FALSE)+VLOOKUP(DH$3,'Non-Embedded Emissions'!$A$230:$D$259,2,FALSE)-VLOOKUP(DH$3,'Non-Embedded Emissions'!$A$56:$D$90,3,FALSE)-VLOOKUP(DH$3,'Non-Embedded Emissions'!$A$143:$D$174,3,FALSE)-VLOOKUP(DH$3,'Non-Embedded Emissions'!$A$230:$D$259,3,FALSE)), $C41 = "2", 'Inputs-System'!$C$30*'Coincidence Factors'!$B$5*'Inputs-Proposals'!$I$23*'Inputs-Proposals'!$I$25*(VLOOKUP(DH$3,'Non-Embedded Emissions'!$A$56:$D$90,2,FALSE)+VLOOKUP(DH$3,'Non-Embedded Emissions'!$A$143:$D$174,2,FALSE)+VLOOKUP(DH$3,'Non-Embedded Emissions'!$A$230:$D$259,2,FALSE)-VLOOKUP(DH$3,'Non-Embedded Emissions'!$A$56:$D$90,3,FALSE)-VLOOKUP(DH$3,'Non-Embedded Emissions'!$A$143:$D$174,3,FALSE)-VLOOKUP(DH$3,'Non-Embedded Emissions'!$A$230:$D$259,3,FALSE)), $C41 = "3", 'Inputs-System'!$C$30*'Coincidence Factors'!$B$5*'Inputs-Proposals'!$I$29*'Inputs-Proposals'!$I$31*(VLOOKUP(DH$3,'Non-Embedded Emissions'!$A$56:$D$90,2,FALSE)+VLOOKUP(DH$3,'Non-Embedded Emissions'!$A$143:$D$174,2,FALSE)+VLOOKUP(DH$3,'Non-Embedded Emissions'!$A$230:$D$259,2,FALSE)-VLOOKUP(DH$3,'Non-Embedded Emissions'!$A$56:$D$90,3,FALSE)-VLOOKUP(DH$3,'Non-Embedded Emissions'!$A$143:$D$174,3,FALSE)-VLOOKUP(DH$3,'Non-Embedded Emissions'!$A$230:$D$259,3,FALSE)), $C41 = "0", 0), 0)</f>
        <v>0</v>
      </c>
      <c r="DN41" s="344">
        <f>IFERROR(_xlfn.IFS($C41="1",('Inputs-System'!$C$30*'Coincidence Factors'!$B$5*(1+'Inputs-System'!$C$18)*(1+'Inputs-System'!$C$41)*('Inputs-Proposals'!$I$17*'Inputs-Proposals'!$I$19*(1-'Inputs-Proposals'!$I$20))*(VLOOKUP(DN$3,Energy!$A$51:$K$83,5,FALSE)-VLOOKUP(DN$3,Energy!$A$51:$K$83,6,FALSE))), $C41 = "2",('Inputs-System'!$C$30*'Coincidence Factors'!$B$5)*(1+'Inputs-System'!$C$18)*(1+'Inputs-System'!$C$41)*('Inputs-Proposals'!$I$23*'Inputs-Proposals'!$I$25*(1-'Inputs-Proposals'!$I$26))*(VLOOKUP(DN$3,Energy!$A$51:$K$83,5,FALSE)-VLOOKUP(DN$3,Energy!$A$51:$K$83,6,FALSE)), $C41= "3", ('Inputs-System'!$C$30*'Coincidence Factors'!$B$5*(1+'Inputs-System'!$C$18)*(1+'Inputs-System'!$C$41)*('Inputs-Proposals'!$I$29*'Inputs-Proposals'!$I$31*(1-'Inputs-Proposals'!$I$32))*(VLOOKUP(DN$3,Energy!$A$51:$K$83,5,FALSE)-VLOOKUP(DN$3,Energy!$A$51:$K$83,6,FALSE))), $C41= "0", 0), 0)</f>
        <v>0</v>
      </c>
      <c r="DO41" s="100">
        <f>IFERROR(_xlfn.IFS($C41="1", 'Inputs-System'!$C$30*'Coincidence Factors'!$B$5*(1+'Inputs-System'!$C$18)*(1+'Inputs-System'!$C$41)*'Inputs-Proposals'!$I$17*'Inputs-Proposals'!$I$19*(1-'Inputs-Proposals'!$I$20)*(VLOOKUP(DN$3,'Embedded Emissions'!$A$47:$B$78,2,FALSE)+VLOOKUP(DN$3,'Embedded Emissions'!$A$129:$B$158,2,FALSE)), $C41 = "2",'Inputs-System'!$C$30*'Coincidence Factors'!$B$5*(1+'Inputs-System'!$C$18)*(1+'Inputs-System'!$C$41)*'Inputs-Proposals'!$I$23*'Inputs-Proposals'!$I$25*(1-'Inputs-Proposals'!$I$20)*(VLOOKUP(DN$3,'Embedded Emissions'!$A$47:$B$78,2,FALSE)+VLOOKUP(DN$3,'Embedded Emissions'!$A$129:$B$158,2,FALSE)), $C41 = "3", 'Inputs-System'!$C$30*'Coincidence Factors'!$B$5*(1+'Inputs-System'!$C$18)*(1+'Inputs-System'!$C$41)*'Inputs-Proposals'!$I$29*'Inputs-Proposals'!$I$31*(1-'Inputs-Proposals'!$I$20)*(VLOOKUP(DN$3,'Embedded Emissions'!$A$47:$B$78,2,FALSE)+VLOOKUP(DN$3,'Embedded Emissions'!$A$129:$B$158,2,FALSE)), $C41 = "0", 0), 0)</f>
        <v>0</v>
      </c>
      <c r="DP41" s="318">
        <f>IFERROR(_xlfn.IFS($C41="1",( 'Inputs-System'!$C$30*'Coincidence Factors'!$B$5*(1+'Inputs-System'!$C$18)*(1+'Inputs-System'!$C$41))*('Inputs-Proposals'!$I$17*'Inputs-Proposals'!$I$19*(1-'Inputs-Proposals'!$I$20))*(VLOOKUP(DN$3,DRIPE!$A$54:$I$82,5,FALSE)-VLOOKUP(DN$3,DRIPE!$A$54:$I$82,6,FALSE)+VLOOKUP(DN$3,DRIPE!$A$54:$I$82,9,FALSE))+ ('Inputs-System'!$C$26*'Coincidence Factors'!$B$5*(1+'Inputs-System'!$C$18)*(1+'Inputs-System'!$C$42))*'Inputs-Proposals'!$I$16*VLOOKUP(DN$3,DRIPE!$A$54:$I$80,8,FALSE), $C41 = "2",( 'Inputs-System'!$C$30*'Coincidence Factors'!$B$5*(1+'Inputs-System'!$C$18)*(1+'Inputs-System'!$C$41))*('Inputs-Proposals'!$I$23*'Inputs-Proposals'!$I$25*(1-'Inputs-Proposals'!$I$26))*(VLOOKUP(DN$3,DRIPE!$A$54:$I$82,5,FALSE)-VLOOKUP(DN$3,DRIPE!$A$54:$I$82,6,FALSE)+VLOOKUP(DN$3,DRIPE!$A$54:$I$82,9,FALSE))+ ('Inputs-System'!$C$26*'Coincidence Factors'!$B$5*(1+'Inputs-System'!$C$18)*(1+'Inputs-System'!$C$41))+ ('Inputs-System'!$C$26*'Coincidence Factors'!$B$5)*'Inputs-Proposals'!$I$22*VLOOKUP(DN$3,DRIPE!$A$54:$I$80,8,FALSE), $C41= "3", ('Inputs-System'!$C$30*'Coincidence Factors'!$B$5)*('Inputs-Proposals'!$I$29*'Inputs-Proposals'!$I$31*(1-'Inputs-Proposals'!$I$32))*(VLOOKUP(DN$3,DRIPE!$A$54:$I$80,5,FALSE)-VLOOKUP(DN$3,DRIPE!$A$54:$I$80,6,FALSE)+VLOOKUP(DN$3,DRIPE!$A$54:$I$80,9,FALSE))+ ('Inputs-System'!$C$26*'Coincidence Factors'!$B$5*(1+'Inputs-System'!$C$18)*(1+'Inputs-System'!$C$42))*'Inputs-Proposals'!$I$28*VLOOKUP(DN$3,DRIPE!$A$54:$I$80,8,FALSE), $C41 = "0", 0), 0)</f>
        <v>0</v>
      </c>
      <c r="DQ41" s="326">
        <f>IFERROR(_xlfn.IFS($C41="1",('Inputs-System'!$C$26*'Coincidence Factors'!$B$5*(1+'Inputs-System'!$C$18)*(1+'Inputs-System'!$C$42))*'Inputs-Proposals'!$I$16*(VLOOKUP(DN$3,Capacity!$A$53:$E$85,4,FALSE)*(1+'Inputs-System'!$C$42)+VLOOKUP(DN$3,Capacity!$A$53:$E$85,5,FALSE)*(1+'Inputs-System'!$C$43)*'Inputs-System'!$C$29), $C41 = "2", ('Inputs-System'!$C$26*'Coincidence Factors'!$B$5*(1+'Inputs-System'!$C$18))*'Inputs-Proposals'!$I$22*(VLOOKUP(DN$3,Capacity!$A$53:$E$85,4,FALSE)*(1+'Inputs-System'!$C$42)+VLOOKUP(DN$3,Capacity!$A$53:$E$85,5,FALSE)*'Inputs-System'!$C$29*(1+'Inputs-System'!$C$43)), $C41 = "3", ('Inputs-System'!$C$26*'Coincidence Factors'!$B$5*(1+'Inputs-System'!$C$18))*'Inputs-Proposals'!$I$28*(VLOOKUP(DN$3,Capacity!$A$53:$E$85,4,FALSE)*(1+'Inputs-System'!$C$42)+VLOOKUP(DN$3,Capacity!$A$53:$E$85,5,FALSE)*'Inputs-System'!$C$29*(1+'Inputs-System'!$C$43)), $C41 = "0", 0), 0)</f>
        <v>0</v>
      </c>
      <c r="DR41" s="100">
        <v>0</v>
      </c>
      <c r="DS41" s="346">
        <f>IFERROR(_xlfn.IFS($C41="1", 'Inputs-System'!$C$30*'Coincidence Factors'!$B$5*'Inputs-Proposals'!$I$17*'Inputs-Proposals'!$I$19*(VLOOKUP(DN$3,'Non-Embedded Emissions'!$A$56:$D$90,2,FALSE)+VLOOKUP(DN$3,'Non-Embedded Emissions'!$A$143:$D$174,2,FALSE)+VLOOKUP(DN$3,'Non-Embedded Emissions'!$A$230:$D$259,2,FALSE)-VLOOKUP(DN$3,'Non-Embedded Emissions'!$A$56:$D$90,3,FALSE)-VLOOKUP(DN$3,'Non-Embedded Emissions'!$A$143:$D$174,3,FALSE)-VLOOKUP(DN$3,'Non-Embedded Emissions'!$A$230:$D$259,3,FALSE)), $C41 = "2", 'Inputs-System'!$C$30*'Coincidence Factors'!$B$5*'Inputs-Proposals'!$I$23*'Inputs-Proposals'!$I$25*(VLOOKUP(DN$3,'Non-Embedded Emissions'!$A$56:$D$90,2,FALSE)+VLOOKUP(DN$3,'Non-Embedded Emissions'!$A$143:$D$174,2,FALSE)+VLOOKUP(DN$3,'Non-Embedded Emissions'!$A$230:$D$259,2,FALSE)-VLOOKUP(DN$3,'Non-Embedded Emissions'!$A$56:$D$90,3,FALSE)-VLOOKUP(DN$3,'Non-Embedded Emissions'!$A$143:$D$174,3,FALSE)-VLOOKUP(DN$3,'Non-Embedded Emissions'!$A$230:$D$259,3,FALSE)), $C41 = "3", 'Inputs-System'!$C$30*'Coincidence Factors'!$B$5*'Inputs-Proposals'!$I$29*'Inputs-Proposals'!$I$31*(VLOOKUP(DN$3,'Non-Embedded Emissions'!$A$56:$D$90,2,FALSE)+VLOOKUP(DN$3,'Non-Embedded Emissions'!$A$143:$D$174,2,FALSE)+VLOOKUP(DN$3,'Non-Embedded Emissions'!$A$230:$D$259,2,FALSE)-VLOOKUP(DN$3,'Non-Embedded Emissions'!$A$56:$D$90,3,FALSE)-VLOOKUP(DN$3,'Non-Embedded Emissions'!$A$143:$D$174,3,FALSE)-VLOOKUP(DN$3,'Non-Embedded Emissions'!$A$230:$D$259,3,FALSE)), $C41 = "0", 0), 0)</f>
        <v>0</v>
      </c>
      <c r="DT41" s="344">
        <f>IFERROR(_xlfn.IFS($C41="1",('Inputs-System'!$C$30*'Coincidence Factors'!$B$5*(1+'Inputs-System'!$C$18)*(1+'Inputs-System'!$C$41)*('Inputs-Proposals'!$I$17*'Inputs-Proposals'!$I$19*(1-'Inputs-Proposals'!$I$20))*(VLOOKUP(DT$3,Energy!$A$51:$K$83,5,FALSE)-VLOOKUP(DT$3,Energy!$A$51:$K$83,6,FALSE))), $C41 = "2",('Inputs-System'!$C$30*'Coincidence Factors'!$B$5)*(1+'Inputs-System'!$C$18)*(1+'Inputs-System'!$C$41)*('Inputs-Proposals'!$I$23*'Inputs-Proposals'!$I$25*(1-'Inputs-Proposals'!$I$26))*(VLOOKUP(DT$3,Energy!$A$51:$K$83,5,FALSE)-VLOOKUP(DT$3,Energy!$A$51:$K$83,6,FALSE)), $C41= "3", ('Inputs-System'!$C$30*'Coincidence Factors'!$B$5*(1+'Inputs-System'!$C$18)*(1+'Inputs-System'!$C$41)*('Inputs-Proposals'!$I$29*'Inputs-Proposals'!$I$31*(1-'Inputs-Proposals'!$I$32))*(VLOOKUP(DT$3,Energy!$A$51:$K$83,5,FALSE)-VLOOKUP(DT$3,Energy!$A$51:$K$83,6,FALSE))), $C41= "0", 0), 0)</f>
        <v>0</v>
      </c>
      <c r="DU41" s="100">
        <f>IFERROR(_xlfn.IFS($C41="1", 'Inputs-System'!$C$30*'Coincidence Factors'!$B$5*(1+'Inputs-System'!$C$18)*(1+'Inputs-System'!$C$41)*'Inputs-Proposals'!$I$17*'Inputs-Proposals'!$I$19*(1-'Inputs-Proposals'!$I$20)*(VLOOKUP(DT$3,'Embedded Emissions'!$A$47:$B$78,2,FALSE)+VLOOKUP(DT$3,'Embedded Emissions'!$A$129:$B$158,2,FALSE)), $C41 = "2",'Inputs-System'!$C$30*'Coincidence Factors'!$B$5*(1+'Inputs-System'!$C$18)*(1+'Inputs-System'!$C$41)*'Inputs-Proposals'!$I$23*'Inputs-Proposals'!$I$25*(1-'Inputs-Proposals'!$I$20)*(VLOOKUP(DT$3,'Embedded Emissions'!$A$47:$B$78,2,FALSE)+VLOOKUP(DT$3,'Embedded Emissions'!$A$129:$B$158,2,FALSE)), $C41 = "3", 'Inputs-System'!$C$30*'Coincidence Factors'!$B$5*(1+'Inputs-System'!$C$18)*(1+'Inputs-System'!$C$41)*'Inputs-Proposals'!$I$29*'Inputs-Proposals'!$I$31*(1-'Inputs-Proposals'!$I$20)*(VLOOKUP(DT$3,'Embedded Emissions'!$A$47:$B$78,2,FALSE)+VLOOKUP(DT$3,'Embedded Emissions'!$A$129:$B$158,2,FALSE)), $C41 = "0", 0), 0)</f>
        <v>0</v>
      </c>
      <c r="DV41" s="318">
        <f>IFERROR(_xlfn.IFS($C41="1",( 'Inputs-System'!$C$30*'Coincidence Factors'!$B$5*(1+'Inputs-System'!$C$18)*(1+'Inputs-System'!$C$41))*('Inputs-Proposals'!$I$17*'Inputs-Proposals'!$I$19*(1-'Inputs-Proposals'!$I$20))*(VLOOKUP(DT$3,DRIPE!$A$54:$I$82,5,FALSE)-VLOOKUP(DT$3,DRIPE!$A$54:$I$82,6,FALSE)+VLOOKUP(DT$3,DRIPE!$A$54:$I$82,9,FALSE))+ ('Inputs-System'!$C$26*'Coincidence Factors'!$B$5*(1+'Inputs-System'!$C$18)*(1+'Inputs-System'!$C$42))*'Inputs-Proposals'!$I$16*VLOOKUP(DT$3,DRIPE!$A$54:$I$80,8,FALSE), $C41 = "2",( 'Inputs-System'!$C$30*'Coincidence Factors'!$B$5*(1+'Inputs-System'!$C$18)*(1+'Inputs-System'!$C$41))*('Inputs-Proposals'!$I$23*'Inputs-Proposals'!$I$25*(1-'Inputs-Proposals'!$I$26))*(VLOOKUP(DT$3,DRIPE!$A$54:$I$82,5,FALSE)-VLOOKUP(DT$3,DRIPE!$A$54:$I$82,6,FALSE)+VLOOKUP(DT$3,DRIPE!$A$54:$I$82,9,FALSE))+ ('Inputs-System'!$C$26*'Coincidence Factors'!$B$5*(1+'Inputs-System'!$C$18)*(1+'Inputs-System'!$C$41))+ ('Inputs-System'!$C$26*'Coincidence Factors'!$B$5)*'Inputs-Proposals'!$I$22*VLOOKUP(DT$3,DRIPE!$A$54:$I$80,8,FALSE), $C41= "3", ('Inputs-System'!$C$30*'Coincidence Factors'!$B$5)*('Inputs-Proposals'!$I$29*'Inputs-Proposals'!$I$31*(1-'Inputs-Proposals'!$I$32))*(VLOOKUP(DT$3,DRIPE!$A$54:$I$80,5,FALSE)-VLOOKUP(DT$3,DRIPE!$A$54:$I$80,6,FALSE)+VLOOKUP(DT$3,DRIPE!$A$54:$I$80,9,FALSE))+ ('Inputs-System'!$C$26*'Coincidence Factors'!$B$5*(1+'Inputs-System'!$C$18)*(1+'Inputs-System'!$C$42))*'Inputs-Proposals'!$I$28*VLOOKUP(DT$3,DRIPE!$A$54:$I$80,8,FALSE), $C41 = "0", 0), 0)</f>
        <v>0</v>
      </c>
      <c r="DW41" s="326">
        <f>IFERROR(_xlfn.IFS($C41="1",('Inputs-System'!$C$26*'Coincidence Factors'!$B$5*(1+'Inputs-System'!$C$18)*(1+'Inputs-System'!$C$42))*'Inputs-Proposals'!$I$16*(VLOOKUP(DT$3,Capacity!$A$53:$E$85,4,FALSE)*(1+'Inputs-System'!$C$42)+VLOOKUP(DT$3,Capacity!$A$53:$E$85,5,FALSE)*(1+'Inputs-System'!$C$43)*'Inputs-System'!$C$29), $C41 = "2", ('Inputs-System'!$C$26*'Coincidence Factors'!$B$5*(1+'Inputs-System'!$C$18))*'Inputs-Proposals'!$I$22*(VLOOKUP(DT$3,Capacity!$A$53:$E$85,4,FALSE)*(1+'Inputs-System'!$C$42)+VLOOKUP(DT$3,Capacity!$A$53:$E$85,5,FALSE)*'Inputs-System'!$C$29*(1+'Inputs-System'!$C$43)), $C41 = "3", ('Inputs-System'!$C$26*'Coincidence Factors'!$B$5*(1+'Inputs-System'!$C$18))*'Inputs-Proposals'!$I$28*(VLOOKUP(DT$3,Capacity!$A$53:$E$85,4,FALSE)*(1+'Inputs-System'!$C$42)+VLOOKUP(DT$3,Capacity!$A$53:$E$85,5,FALSE)*'Inputs-System'!$C$29*(1+'Inputs-System'!$C$43)), $C41 = "0", 0), 0)</f>
        <v>0</v>
      </c>
      <c r="DX41" s="100">
        <v>0</v>
      </c>
      <c r="DY41" s="346">
        <f>IFERROR(_xlfn.IFS($C41="1", 'Inputs-System'!$C$30*'Coincidence Factors'!$B$5*'Inputs-Proposals'!$I$17*'Inputs-Proposals'!$I$19*(VLOOKUP(DT$3,'Non-Embedded Emissions'!$A$56:$D$90,2,FALSE)+VLOOKUP(DT$3,'Non-Embedded Emissions'!$A$143:$D$174,2,FALSE)+VLOOKUP(DT$3,'Non-Embedded Emissions'!$A$230:$D$259,2,FALSE)-VLOOKUP(DT$3,'Non-Embedded Emissions'!$A$56:$D$90,3,FALSE)-VLOOKUP(DT$3,'Non-Embedded Emissions'!$A$143:$D$174,3,FALSE)-VLOOKUP(DT$3,'Non-Embedded Emissions'!$A$230:$D$259,3,FALSE)), $C41 = "2", 'Inputs-System'!$C$30*'Coincidence Factors'!$B$5*'Inputs-Proposals'!$I$23*'Inputs-Proposals'!$I$25*(VLOOKUP(DT$3,'Non-Embedded Emissions'!$A$56:$D$90,2,FALSE)+VLOOKUP(DT$3,'Non-Embedded Emissions'!$A$143:$D$174,2,FALSE)+VLOOKUP(DT$3,'Non-Embedded Emissions'!$A$230:$D$259,2,FALSE)-VLOOKUP(DT$3,'Non-Embedded Emissions'!$A$56:$D$90,3,FALSE)-VLOOKUP(DT$3,'Non-Embedded Emissions'!$A$143:$D$174,3,FALSE)-VLOOKUP(DT$3,'Non-Embedded Emissions'!$A$230:$D$259,3,FALSE)), $C41 = "3", 'Inputs-System'!$C$30*'Coincidence Factors'!$B$5*'Inputs-Proposals'!$I$29*'Inputs-Proposals'!$I$31*(VLOOKUP(DT$3,'Non-Embedded Emissions'!$A$56:$D$90,2,FALSE)+VLOOKUP(DT$3,'Non-Embedded Emissions'!$A$143:$D$174,2,FALSE)+VLOOKUP(DT$3,'Non-Embedded Emissions'!$A$230:$D$259,2,FALSE)-VLOOKUP(DT$3,'Non-Embedded Emissions'!$A$56:$D$90,3,FALSE)-VLOOKUP(DT$3,'Non-Embedded Emissions'!$A$143:$D$174,3,FALSE)-VLOOKUP(DT$3,'Non-Embedded Emissions'!$A$230:$D$259,3,FALSE)), $C41 = "0", 0), 0)</f>
        <v>0</v>
      </c>
      <c r="DZ41" s="344">
        <f>IFERROR(_xlfn.IFS($C41="1",('Inputs-System'!$C$30*'Coincidence Factors'!$B$5*(1+'Inputs-System'!$C$18)*(1+'Inputs-System'!$C$41)*('Inputs-Proposals'!$I$17*'Inputs-Proposals'!$I$19*(1-'Inputs-Proposals'!$I$20))*(VLOOKUP(DZ$3,Energy!$A$51:$K$83,5,FALSE)-VLOOKUP(DZ$3,Energy!$A$51:$K$83,6,FALSE))), $C41 = "2",('Inputs-System'!$C$30*'Coincidence Factors'!$B$5)*(1+'Inputs-System'!$C$18)*(1+'Inputs-System'!$C$41)*('Inputs-Proposals'!$I$23*'Inputs-Proposals'!$I$25*(1-'Inputs-Proposals'!$I$26))*(VLOOKUP(DZ$3,Energy!$A$51:$K$83,5,FALSE)-VLOOKUP(DZ$3,Energy!$A$51:$K$83,6,FALSE)), $C41= "3", ('Inputs-System'!$C$30*'Coincidence Factors'!$B$5*(1+'Inputs-System'!$C$18)*(1+'Inputs-System'!$C$41)*('Inputs-Proposals'!$I$29*'Inputs-Proposals'!$I$31*(1-'Inputs-Proposals'!$I$32))*(VLOOKUP(DZ$3,Energy!$A$51:$K$83,5,FALSE)-VLOOKUP(DZ$3,Energy!$A$51:$K$83,6,FALSE))), $C41= "0", 0), 0)</f>
        <v>0</v>
      </c>
      <c r="EA41" s="100">
        <f>IFERROR(_xlfn.IFS($C41="1", 'Inputs-System'!$C$30*'Coincidence Factors'!$B$5*(1+'Inputs-System'!$C$18)*(1+'Inputs-System'!$C$41)*'Inputs-Proposals'!$I$17*'Inputs-Proposals'!$I$19*(1-'Inputs-Proposals'!$I$20)*(VLOOKUP(DZ$3,'Embedded Emissions'!$A$47:$B$78,2,FALSE)+VLOOKUP(DZ$3,'Embedded Emissions'!$A$129:$B$158,2,FALSE)), $C41 = "2",'Inputs-System'!$C$30*'Coincidence Factors'!$B$5*(1+'Inputs-System'!$C$18)*(1+'Inputs-System'!$C$41)*'Inputs-Proposals'!$I$23*'Inputs-Proposals'!$I$25*(1-'Inputs-Proposals'!$I$20)*(VLOOKUP(DZ$3,'Embedded Emissions'!$A$47:$B$78,2,FALSE)+VLOOKUP(DZ$3,'Embedded Emissions'!$A$129:$B$158,2,FALSE)), $C41 = "3", 'Inputs-System'!$C$30*'Coincidence Factors'!$B$5*(1+'Inputs-System'!$C$18)*(1+'Inputs-System'!$C$41)*'Inputs-Proposals'!$I$29*'Inputs-Proposals'!$I$31*(1-'Inputs-Proposals'!$I$20)*(VLOOKUP(DZ$3,'Embedded Emissions'!$A$47:$B$78,2,FALSE)+VLOOKUP(DZ$3,'Embedded Emissions'!$A$129:$B$158,2,FALSE)), $C41 = "0", 0), 0)</f>
        <v>0</v>
      </c>
      <c r="EB41" s="318">
        <f>IFERROR(_xlfn.IFS($C41="1",( 'Inputs-System'!$C$30*'Coincidence Factors'!$B$5*(1+'Inputs-System'!$C$18)*(1+'Inputs-System'!$C$41))*('Inputs-Proposals'!$I$17*'Inputs-Proposals'!$I$19*(1-'Inputs-Proposals'!$I$20))*(VLOOKUP(DZ$3,DRIPE!$A$54:$I$82,5,FALSE)-VLOOKUP(DZ$3,DRIPE!$A$54:$I$82,6,FALSE)+VLOOKUP(DZ$3,DRIPE!$A$54:$I$82,9,FALSE))+ ('Inputs-System'!$C$26*'Coincidence Factors'!$B$5*(1+'Inputs-System'!$C$18)*(1+'Inputs-System'!$C$42))*'Inputs-Proposals'!$I$16*VLOOKUP(DZ$3,DRIPE!$A$54:$I$80,8,FALSE), $C41 = "2",( 'Inputs-System'!$C$30*'Coincidence Factors'!$B$5*(1+'Inputs-System'!$C$18)*(1+'Inputs-System'!$C$41))*('Inputs-Proposals'!$I$23*'Inputs-Proposals'!$I$25*(1-'Inputs-Proposals'!$I$26))*(VLOOKUP(DZ$3,DRIPE!$A$54:$I$82,5,FALSE)-VLOOKUP(DZ$3,DRIPE!$A$54:$I$82,6,FALSE)+VLOOKUP(DZ$3,DRIPE!$A$54:$I$82,9,FALSE))+ ('Inputs-System'!$C$26*'Coincidence Factors'!$B$5*(1+'Inputs-System'!$C$18)*(1+'Inputs-System'!$C$41))+ ('Inputs-System'!$C$26*'Coincidence Factors'!$B$5)*'Inputs-Proposals'!$I$22*VLOOKUP(DZ$3,DRIPE!$A$54:$I$80,8,FALSE), $C41= "3", ('Inputs-System'!$C$30*'Coincidence Factors'!$B$5)*('Inputs-Proposals'!$I$29*'Inputs-Proposals'!$I$31*(1-'Inputs-Proposals'!$I$32))*(VLOOKUP(DZ$3,DRIPE!$A$54:$I$80,5,FALSE)-VLOOKUP(DZ$3,DRIPE!$A$54:$I$80,6,FALSE)+VLOOKUP(DZ$3,DRIPE!$A$54:$I$80,9,FALSE))+ ('Inputs-System'!$C$26*'Coincidence Factors'!$B$5*(1+'Inputs-System'!$C$18)*(1+'Inputs-System'!$C$42))*'Inputs-Proposals'!$I$28*VLOOKUP(DZ$3,DRIPE!$A$54:$I$80,8,FALSE), $C41 = "0", 0), 0)</f>
        <v>0</v>
      </c>
      <c r="EC41" s="326">
        <f>IFERROR(_xlfn.IFS($C41="1",('Inputs-System'!$C$26*'Coincidence Factors'!$B$5*(1+'Inputs-System'!$C$18)*(1+'Inputs-System'!$C$42))*'Inputs-Proposals'!$I$16*(VLOOKUP(DZ$3,Capacity!$A$53:$E$85,4,FALSE)*(1+'Inputs-System'!$C$42)+VLOOKUP(DZ$3,Capacity!$A$53:$E$85,5,FALSE)*(1+'Inputs-System'!$C$43)*'Inputs-System'!$C$29), $C41 = "2", ('Inputs-System'!$C$26*'Coincidence Factors'!$B$5*(1+'Inputs-System'!$C$18))*'Inputs-Proposals'!$I$22*(VLOOKUP(DZ$3,Capacity!$A$53:$E$85,4,FALSE)*(1+'Inputs-System'!$C$42)+VLOOKUP(DZ$3,Capacity!$A$53:$E$85,5,FALSE)*'Inputs-System'!$C$29*(1+'Inputs-System'!$C$43)), $C41 = "3", ('Inputs-System'!$C$26*'Coincidence Factors'!$B$5*(1+'Inputs-System'!$C$18))*'Inputs-Proposals'!$I$28*(VLOOKUP(DZ$3,Capacity!$A$53:$E$85,4,FALSE)*(1+'Inputs-System'!$C$42)+VLOOKUP(DZ$3,Capacity!$A$53:$E$85,5,FALSE)*'Inputs-System'!$C$29*(1+'Inputs-System'!$C$43)), $C41 = "0", 0), 0)</f>
        <v>0</v>
      </c>
      <c r="ED41" s="100">
        <v>0</v>
      </c>
      <c r="EE41" s="346">
        <f>IFERROR(_xlfn.IFS($C41="1", 'Inputs-System'!$C$30*'Coincidence Factors'!$B$5*'Inputs-Proposals'!$I$17*'Inputs-Proposals'!$I$19*(VLOOKUP(DZ$3,'Non-Embedded Emissions'!$A$56:$D$90,2,FALSE)+VLOOKUP(DZ$3,'Non-Embedded Emissions'!$A$143:$D$174,2,FALSE)+VLOOKUP(DZ$3,'Non-Embedded Emissions'!$A$230:$D$259,2,FALSE)-VLOOKUP(DZ$3,'Non-Embedded Emissions'!$A$56:$D$90,3,FALSE)-VLOOKUP(DZ$3,'Non-Embedded Emissions'!$A$143:$D$174,3,FALSE)-VLOOKUP(DZ$3,'Non-Embedded Emissions'!$A$230:$D$259,3,FALSE)), $C41 = "2", 'Inputs-System'!$C$30*'Coincidence Factors'!$B$5*'Inputs-Proposals'!$I$23*'Inputs-Proposals'!$I$25*(VLOOKUP(DZ$3,'Non-Embedded Emissions'!$A$56:$D$90,2,FALSE)+VLOOKUP(DZ$3,'Non-Embedded Emissions'!$A$143:$D$174,2,FALSE)+VLOOKUP(DZ$3,'Non-Embedded Emissions'!$A$230:$D$259,2,FALSE)-VLOOKUP(DZ$3,'Non-Embedded Emissions'!$A$56:$D$90,3,FALSE)-VLOOKUP(DZ$3,'Non-Embedded Emissions'!$A$143:$D$174,3,FALSE)-VLOOKUP(DZ$3,'Non-Embedded Emissions'!$A$230:$D$259,3,FALSE)), $C41 = "3", 'Inputs-System'!$C$30*'Coincidence Factors'!$B$5*'Inputs-Proposals'!$I$29*'Inputs-Proposals'!$I$31*(VLOOKUP(DZ$3,'Non-Embedded Emissions'!$A$56:$D$90,2,FALSE)+VLOOKUP(DZ$3,'Non-Embedded Emissions'!$A$143:$D$174,2,FALSE)+VLOOKUP(DZ$3,'Non-Embedded Emissions'!$A$230:$D$259,2,FALSE)-VLOOKUP(DZ$3,'Non-Embedded Emissions'!$A$56:$D$90,3,FALSE)-VLOOKUP(DZ$3,'Non-Embedded Emissions'!$A$143:$D$174,3,FALSE)-VLOOKUP(DZ$3,'Non-Embedded Emissions'!$A$230:$D$259,3,FALSE)), $C41 = "0", 0), 0)</f>
        <v>0</v>
      </c>
    </row>
    <row r="42" spans="1:135" x14ac:dyDescent="0.35">
      <c r="A42" s="708"/>
      <c r="B42" s="3" t="s">
        <v>158</v>
      </c>
      <c r="C42" s="3" t="str">
        <f>IFERROR(_xlfn.IFS('Benefits Calc'!B42='Inputs-Proposals'!$I$15, "1", 'Benefits Calc'!B42='Inputs-Proposals'!$I$21, "2", 'Benefits Calc'!B42='Inputs-Proposals'!$I$27, "3"), "0")</f>
        <v>0</v>
      </c>
      <c r="D42" s="323">
        <f t="shared" si="0"/>
        <v>0</v>
      </c>
      <c r="E42" s="44">
        <f t="shared" si="1"/>
        <v>0</v>
      </c>
      <c r="F42" s="44">
        <f t="shared" si="2"/>
        <v>0</v>
      </c>
      <c r="G42" s="44">
        <f t="shared" si="3"/>
        <v>0</v>
      </c>
      <c r="H42" s="44">
        <f t="shared" si="4"/>
        <v>0</v>
      </c>
      <c r="I42" s="44">
        <f t="shared" si="5"/>
        <v>0</v>
      </c>
      <c r="J42" s="323">
        <f>NPV('Inputs-System'!$C$20,P42+V42+AB42+AH42+AN42+AT42+AZ42+BF42+BL42+BR42+BX42+CD42+CJ42+CP42+CV42+DB42+DH42+DN42+DT42+DZ42)</f>
        <v>0</v>
      </c>
      <c r="K42" s="44">
        <f>NPV('Inputs-System'!$C$20,Q42+W42+AC42+AI42+AO42+AU42+BA42+BG42+BM42+BS42+BY42+CE42+CK42+CQ42+CW42+DC42+DI42+DO42+DU42+EA42)</f>
        <v>0</v>
      </c>
      <c r="L42" s="44">
        <f>NPV('Inputs-System'!$C$20,R42+X42+AD42+AJ42+AP42+AV42+BB42+BH42+BN42+BT42+BZ42+CF42+CL42+CR42+CX42+DD42+DJ42+DP42+DV42+EB42)</f>
        <v>0</v>
      </c>
      <c r="M42" s="44">
        <f>NPV('Inputs-System'!$C$20,S42+Y42+AE42+AK42+AQ42+AW42+BC42+BI42+BO42+BU42+CA42+CG42+CM42+CS42+CY42+DE42+DK42+DQ42+DW42+EC42)</f>
        <v>0</v>
      </c>
      <c r="N42" s="44">
        <f>NPV('Inputs-System'!$C$20,T42+Z42+AF42+AL42+AR42+AX42+BD42+BJ42+BP42+BV42+CB42+CH42+CN42+CT42+CZ42+DF42+DL42+DR42+DX42+ED42)</f>
        <v>0</v>
      </c>
      <c r="O42" s="119">
        <f>NPV('Inputs-System'!$C$20,U42+AA42+AG42+AM42+AS42+AY42+BE42+BK42+BQ42+BW42+CC42+CI42+CO42+CU42+DA42+DG42+DM42+DS42+DY42+EE42)</f>
        <v>0</v>
      </c>
      <c r="P42" s="45">
        <f>IFERROR(_xlfn.IFS($C42="1",('Inputs-System'!$C$30*'Coincidence Factors'!$B$6*(1+'Inputs-System'!$C$18)*(1+'Inputs-System'!$C$41)*('Inputs-Proposals'!$I$17*'Inputs-Proposals'!$I$19*(1-'Inputs-Proposals'!$I$20^(P$3-'Inputs-System'!$C$7+1)))*(VLOOKUP(P$3,Energy!$A$51:$K$83,5,FALSE))), $C42 = "2",('Inputs-System'!$C$30*'Coincidence Factors'!$B$6)*(1+'Inputs-System'!$C$18)*(1+'Inputs-System'!$C$41)*('Inputs-Proposals'!$I$23*'Inputs-Proposals'!$I$25*(1-'Inputs-Proposals'!$I$26^(P$3-'Inputs-System'!$C$7+1)))*(VLOOKUP(P$3,Energy!$A$51:$K$83,5,FALSE)), $C42= "3", ('Inputs-System'!$C$30*'Coincidence Factors'!$B$6*(1+'Inputs-System'!$C$18)*(1+'Inputs-System'!$C$41)*('Inputs-Proposals'!$I$29*'Inputs-Proposals'!$I$31*(1-'Inputs-Proposals'!$I$32^(P$3-'Inputs-System'!$C$7+1)))*(VLOOKUP(P$3,Energy!$A$51:$K$83,5,FALSE))), $C42= "0", 0), 0)</f>
        <v>0</v>
      </c>
      <c r="Q42" s="44">
        <f>IFERROR(_xlfn.IFS($C42="1",('Inputs-System'!$C$30*'Coincidence Factors'!$B$6*(1+'Inputs-System'!$C$18)*(1+'Inputs-System'!$C$41))*'Inputs-Proposals'!$I$17*'Inputs-Proposals'!$I$19*(1-'Inputs-Proposals'!$I$20^(P$3-'Inputs-System'!$C$7+1))*(VLOOKUP(P$3,'Embedded Emissions'!$A$47:$B$78,2,FALSE)+VLOOKUP(P$3,'Embedded Emissions'!$A$129:$B$158,2,FALSE)), $C42 = "2",('Inputs-System'!$C$30*'Coincidence Factors'!$B$6*(1+'Inputs-System'!$C$18)*(1+'Inputs-System'!$C$41))*'Inputs-Proposals'!$I$23*'Inputs-Proposals'!$I$25*(1-'Inputs-Proposals'!$I$20^(P$3-'Inputs-System'!$C$7+1))*(VLOOKUP(P$3,'Embedded Emissions'!$A$47:$B$78,2,FALSE)+VLOOKUP(P$3,'Embedded Emissions'!$A$129:$B$158,2,FALSE)), $C42 = "3", ('Inputs-System'!$C$30*'Coincidence Factors'!$B$6*(1+'Inputs-System'!$C$18)*(1+'Inputs-System'!$C$41))*'Inputs-Proposals'!$I$29*'Inputs-Proposals'!$I$31*(1-'Inputs-Proposals'!$I$20^(P$3-'Inputs-System'!$C$7+1))*(VLOOKUP(P$3,'Embedded Emissions'!$A$47:$B$78,2,FALSE)+VLOOKUP(P$3,'Embedded Emissions'!$A$129:$B$158,2,FALSE)), $C42 = "0", 0), 0)</f>
        <v>0</v>
      </c>
      <c r="R42" s="44">
        <f>IFERROR(_xlfn.IFS($C42="1",( 'Inputs-System'!$C$30*'Coincidence Factors'!$B$6*(1+'Inputs-System'!$C$18)*(1+'Inputs-System'!$C$41))*('Inputs-Proposals'!$I$17*'Inputs-Proposals'!$I$19*(1-'Inputs-Proposals'!$I$20)^(P$3-'Inputs-System'!$C$7))*(VLOOKUP(P$3,DRIPE!$A$54:$I$82,5,FALSE)+VLOOKUP(P$3,DRIPE!$A$54:$I$82,9,FALSE))+ ('Inputs-System'!$C$26*'Coincidence Factors'!$B$6*(1+'Inputs-System'!$C$18)*(1+'Inputs-System'!$C$42))*'Inputs-Proposals'!$I$16*VLOOKUP(P$3,DRIPE!$A$54:$I$82,8,FALSE), $C42 = "2",( 'Inputs-System'!$C$30*'Coincidence Factors'!$B$6*(1+'Inputs-System'!$C$18)*(1+'Inputs-System'!$C$41))*('Inputs-Proposals'!$I$23*'Inputs-Proposals'!$I$25*(1-'Inputs-Proposals'!$I$26)^(P$3-'Inputs-System'!$C$7))*(VLOOKUP(P$3,DRIPE!$A$54:$I$82,5,FALSE)+VLOOKUP(P$3,DRIPE!$A$54:$I$82,9,FALSE))+ ('Inputs-System'!$C$26*'Coincidence Factors'!$B$6*(1+'Inputs-System'!$C$18)*(1+'Inputs-System'!$C$42))*'Inputs-Proposals'!$I$22*VLOOKUP(P$3,DRIPE!$A$54:$I$82,8,FALSE), $C42= "3", ( 'Inputs-System'!$C$30*'Coincidence Factors'!$B$6*(1+'Inputs-System'!$C$18)*(1+'Inputs-System'!$C$41))*('Inputs-Proposals'!$I$29*'Inputs-Proposals'!$I$31*(1-'Inputs-Proposals'!$I$32)^(P$3-'Inputs-System'!$C$7))*(VLOOKUP(P$3,DRIPE!$A$54:$I$82,5,FALSE)+VLOOKUP(P$3,DRIPE!$A$54:$I$82,9,FALSE))+ ('Inputs-System'!$C$26*'Coincidence Factors'!$B$6*(1+'Inputs-System'!$C$18)*(1+'Inputs-System'!$C$42))*'Inputs-Proposals'!$I$28*VLOOKUP(P$3,DRIPE!$A$54:$I$82,8,FALSE), $C42 = "0", 0), 0)</f>
        <v>0</v>
      </c>
      <c r="S42" s="45">
        <f>IFERROR(_xlfn.IFS($C42="1",('Inputs-System'!$C$26*'Coincidence Factors'!$B$6*(1+'Inputs-System'!$C$18))*'Inputs-Proposals'!$I$16*(VLOOKUP(P$3,Capacity!$A$53:$E$85,4,FALSE)*(1+'Inputs-System'!$C$42)+VLOOKUP(P$3,Capacity!$A$53:$E$85,5,FALSE)*'Inputs-System'!$C$29*(1+'Inputs-System'!$C$43)), $C42 = "2", ('Inputs-System'!$C$26*'Coincidence Factors'!$B$6*(1+'Inputs-System'!$C$18))*'Inputs-Proposals'!$I$22*(VLOOKUP(P$3,Capacity!$A$53:$E$85,4,FALSE)*(1+'Inputs-System'!$C$42)+VLOOKUP(P$3,Capacity!$A$53:$E$85,5,FALSE)*'Inputs-System'!$C$29*(1+'Inputs-System'!$C$43)), $C42 = "3",('Inputs-System'!$C$26*'Coincidence Factors'!$B$6*(1+'Inputs-System'!$C$18))*'Inputs-Proposals'!$I$28*(VLOOKUP(P$3,Capacity!$A$53:$E$85,4,FALSE)*(1+'Inputs-System'!$C$42)+VLOOKUP(P$3,Capacity!$A$53:$E$85,5,FALSE)*'Inputs-System'!$C$29*(1+'Inputs-System'!$C$43)), $C42 = "0", 0), 0)</f>
        <v>0</v>
      </c>
      <c r="T42" s="44">
        <v>0</v>
      </c>
      <c r="U42" s="44">
        <f>IFERROR(_xlfn.IFS($C42="1", 'Inputs-System'!$C$30*'Coincidence Factors'!$B$6*'Inputs-Proposals'!$I$17*'Inputs-Proposals'!$I$19*(VLOOKUP(P$3,'Non-Embedded Emissions'!$A$56:$D$90,2,FALSE)+VLOOKUP(P$3,'Non-Embedded Emissions'!$A$143:$D$174,2,FALSE)+VLOOKUP(P$3,'Non-Embedded Emissions'!$A$230:$D$259,2,FALSE)), $C42 = "2", 'Inputs-System'!$C$30*'Coincidence Factors'!$B$6*'Inputs-Proposals'!$I$23*'Inputs-Proposals'!$I$25*(VLOOKUP(P$3,'Non-Embedded Emissions'!$A$56:$D$90,2,FALSE)+VLOOKUP(P$3,'Non-Embedded Emissions'!$A$143:$D$174,2,FALSE)+VLOOKUP(P$3,'Non-Embedded Emissions'!$A$230:$D$259,2,FALSE)), $C42 = "3", 'Inputs-System'!$C$30*'Coincidence Factors'!$B$6*'Inputs-Proposals'!$I$29*'Inputs-Proposals'!$I$31*(VLOOKUP(P$3,'Non-Embedded Emissions'!$A$56:$D$90,2,FALSE)+VLOOKUP(P$3,'Non-Embedded Emissions'!$A$143:$D$174,2,FALSE)+VLOOKUP(P$3,'Non-Embedded Emissions'!$A$230:$D$259,2,FALSE)), $C42 = "0", 0), 0)</f>
        <v>0</v>
      </c>
      <c r="V42" s="347">
        <f>IFERROR(_xlfn.IFS($C42="1",('Inputs-System'!$C$30*'Coincidence Factors'!$B$6*(1+'Inputs-System'!$C$18)*(1+'Inputs-System'!$C$41)*('Inputs-Proposals'!$I$17*'Inputs-Proposals'!$I$19*(1-'Inputs-Proposals'!$I$20^(V$3-'Inputs-System'!$C$7)))*(VLOOKUP(V$3,Energy!$A$51:$K$83,5,FALSE))), $C42 = "2",('Inputs-System'!$C$30*'Coincidence Factors'!$B$6)*(1+'Inputs-System'!$C$18)*(1+'Inputs-System'!$C$41)*('Inputs-Proposals'!$I$23*'Inputs-Proposals'!$I$25*(1-'Inputs-Proposals'!$I$26^(V$3-'Inputs-System'!$C$7)))*(VLOOKUP(V$3,Energy!$A$51:$K$83,5,FALSE)), $C42= "3", ('Inputs-System'!$C$30*'Coincidence Factors'!$B$6*(1+'Inputs-System'!$C$18)*(1+'Inputs-System'!$C$41)*('Inputs-Proposals'!$I$29*'Inputs-Proposals'!$I$31*(1-'Inputs-Proposals'!$I$32^(V$3-'Inputs-System'!$C$7)))*(VLOOKUP(V$3,Energy!$A$51:$K$83,5,FALSE))), $C42= "0", 0), 0)</f>
        <v>0</v>
      </c>
      <c r="W42" s="44">
        <f>IFERROR(_xlfn.IFS($C42="1",('Inputs-System'!$C$30*'Coincidence Factors'!$B$6*(1+'Inputs-System'!$C$18)*(1+'Inputs-System'!$C$41))*'Inputs-Proposals'!$I$17*'Inputs-Proposals'!$I$19*(1-'Inputs-Proposals'!$I$20^(V$3-'Inputs-System'!$C$7))*(VLOOKUP(V$3,'Embedded Emissions'!$A$47:$B$78,2,FALSE)+VLOOKUP(V$3,'Embedded Emissions'!$A$129:$B$158,2,FALSE)), $C42 = "2",('Inputs-System'!$C$30*'Coincidence Factors'!$B$6*(1+'Inputs-System'!$C$18)*(1+'Inputs-System'!$C$41))*'Inputs-Proposals'!$I$23*'Inputs-Proposals'!$I$25*(1-'Inputs-Proposals'!$I$20^(V$3-'Inputs-System'!$C$7))*(VLOOKUP(V$3,'Embedded Emissions'!$A$47:$B$78,2,FALSE)+VLOOKUP(V$3,'Embedded Emissions'!$A$129:$B$158,2,FALSE)), $C42 = "3", ('Inputs-System'!$C$30*'Coincidence Factors'!$B$6*(1+'Inputs-System'!$C$18)*(1+'Inputs-System'!$C$41))*'Inputs-Proposals'!$I$29*'Inputs-Proposals'!$I$31*(1-'Inputs-Proposals'!$I$20^(V$3-'Inputs-System'!$C$7))*(VLOOKUP(V$3,'Embedded Emissions'!$A$47:$B$78,2,FALSE)+VLOOKUP(V$3,'Embedded Emissions'!$A$129:$B$158,2,FALSE)), $C42 = "0", 0), 0)</f>
        <v>0</v>
      </c>
      <c r="X42" s="44">
        <f>IFERROR(_xlfn.IFS($C42="1",( 'Inputs-System'!$C$30*'Coincidence Factors'!$B$6*(1+'Inputs-System'!$C$18)*(1+'Inputs-System'!$C$41))*('Inputs-Proposals'!$I$17*'Inputs-Proposals'!$I$19*(1-'Inputs-Proposals'!$I$20)^(V$3-'Inputs-System'!$C$7))*(VLOOKUP(V$3,DRIPE!$A$54:$I$82,5,FALSE)+VLOOKUP(V$3,DRIPE!$A$54:$I$82,9,FALSE))+ ('Inputs-System'!$C$26*'Coincidence Factors'!$B$6*(1+'Inputs-System'!$C$18)*(1+'Inputs-System'!$C$42))*'Inputs-Proposals'!$I$16*VLOOKUP(V$3,DRIPE!$A$54:$I$82,8,FALSE), $C42 = "2",( 'Inputs-System'!$C$30*'Coincidence Factors'!$B$6*(1+'Inputs-System'!$C$18)*(1+'Inputs-System'!$C$41))*('Inputs-Proposals'!$I$23*'Inputs-Proposals'!$I$25*(1-'Inputs-Proposals'!$I$26)^(V$3-'Inputs-System'!$C$7))*(VLOOKUP(V$3,DRIPE!$A$54:$I$82,5,FALSE)+VLOOKUP(V$3,DRIPE!$A$54:$I$82,9,FALSE))+ ('Inputs-System'!$C$26*'Coincidence Factors'!$B$6*(1+'Inputs-System'!$C$18)*(1+'Inputs-System'!$C$42))*'Inputs-Proposals'!$I$22*VLOOKUP(V$3,DRIPE!$A$54:$I$82,8,FALSE), $C42= "3", ( 'Inputs-System'!$C$30*'Coincidence Factors'!$B$6*(1+'Inputs-System'!$C$18)*(1+'Inputs-System'!$C$41))*('Inputs-Proposals'!$I$29*'Inputs-Proposals'!$I$31*(1-'Inputs-Proposals'!$I$32)^(V$3-'Inputs-System'!$C$7))*(VLOOKUP(V$3,DRIPE!$A$54:$I$82,5,FALSE)+VLOOKUP(V$3,DRIPE!$A$54:$I$82,9,FALSE))+ ('Inputs-System'!$C$26*'Coincidence Factors'!$B$6*(1+'Inputs-System'!$C$18)*(1+'Inputs-System'!$C$42))*'Inputs-Proposals'!$I$28*VLOOKUP(V$3,DRIPE!$A$54:$I$82,8,FALSE), $C42 = "0", 0), 0)</f>
        <v>0</v>
      </c>
      <c r="Y42" s="45">
        <f>IFERROR(_xlfn.IFS($C42="1",('Inputs-System'!$C$26*'Coincidence Factors'!$B$6*(1+'Inputs-System'!$C$18))*'Inputs-Proposals'!$I$16*(VLOOKUP(V$3,Capacity!$A$53:$E$85,4,FALSE)*(1+'Inputs-System'!$C$42)+VLOOKUP(V$3,Capacity!$A$53:$E$85,5,FALSE)*'Inputs-System'!$C$29*(1+'Inputs-System'!$C$43)), $C42 = "2", ('Inputs-System'!$C$26*'Coincidence Factors'!$B$6*(1+'Inputs-System'!$C$18))*'Inputs-Proposals'!$I$22*(VLOOKUP(V$3,Capacity!$A$53:$E$85,4,FALSE)*(1+'Inputs-System'!$C$42)+VLOOKUP(V$3,Capacity!$A$53:$E$85,5,FALSE)*'Inputs-System'!$C$29*(1+'Inputs-System'!$C$43)), $C42 = "3",('Inputs-System'!$C$26*'Coincidence Factors'!$B$6*(1+'Inputs-System'!$C$18))*'Inputs-Proposals'!$I$28*(VLOOKUP(V$3,Capacity!$A$53:$E$85,4,FALSE)*(1+'Inputs-System'!$C$42)+VLOOKUP(V$3,Capacity!$A$53:$E$85,5,FALSE)*'Inputs-System'!$C$29*(1+'Inputs-System'!$C$43)), $C42 = "0", 0), 0)</f>
        <v>0</v>
      </c>
      <c r="Z42" s="44">
        <v>0</v>
      </c>
      <c r="AA42" s="342">
        <f>IFERROR(_xlfn.IFS($C42="1", 'Inputs-System'!$C$30*'Coincidence Factors'!$B$6*'Inputs-Proposals'!$I$17*'Inputs-Proposals'!$I$19*(VLOOKUP(V$3,'Non-Embedded Emissions'!$A$56:$D$90,2,FALSE)+VLOOKUP(V$3,'Non-Embedded Emissions'!$A$143:$D$174,2,FALSE)+VLOOKUP(V$3,'Non-Embedded Emissions'!$A$230:$D$259,2,FALSE)), $C42 = "2", 'Inputs-System'!$C$30*'Coincidence Factors'!$B$6*'Inputs-Proposals'!$I$23*'Inputs-Proposals'!$I$25*(VLOOKUP(V$3,'Non-Embedded Emissions'!$A$56:$D$90,2,FALSE)+VLOOKUP(V$3,'Non-Embedded Emissions'!$A$143:$D$174,2,FALSE)+VLOOKUP(V$3,'Non-Embedded Emissions'!$A$230:$D$259,2,FALSE)), $C42 = "3", 'Inputs-System'!$C$30*'Coincidence Factors'!$B$6*'Inputs-Proposals'!$I$29*'Inputs-Proposals'!$I$31*(VLOOKUP(V$3,'Non-Embedded Emissions'!$A$56:$D$90,2,FALSE)+VLOOKUP(V$3,'Non-Embedded Emissions'!$A$143:$D$174,2,FALSE)+VLOOKUP(V$3,'Non-Embedded Emissions'!$A$230:$D$259,2,FALSE)), $C42 = "0", 0), 0)</f>
        <v>0</v>
      </c>
      <c r="AB42" s="347">
        <f>IFERROR(_xlfn.IFS($C42="1",('Inputs-System'!$C$30*'Coincidence Factors'!$B$6*(1+'Inputs-System'!$C$18)*(1+'Inputs-System'!$C$41)*('Inputs-Proposals'!$I$17*'Inputs-Proposals'!$I$19*(1-'Inputs-Proposals'!$I$20^(AB$3-'Inputs-System'!$C$7)))*(VLOOKUP(AB$3,Energy!$A$51:$K$83,5,FALSE))), $C42 = "2",('Inputs-System'!$C$30*'Coincidence Factors'!$B$6)*(1+'Inputs-System'!$C$18)*(1+'Inputs-System'!$C$41)*('Inputs-Proposals'!$I$23*'Inputs-Proposals'!$I$25*(1-'Inputs-Proposals'!$I$26^(AB$3-'Inputs-System'!$C$7)))*(VLOOKUP(AB$3,Energy!$A$51:$K$83,5,FALSE)), $C42= "3", ('Inputs-System'!$C$30*'Coincidence Factors'!$B$6*(1+'Inputs-System'!$C$18)*(1+'Inputs-System'!$C$41)*('Inputs-Proposals'!$I$29*'Inputs-Proposals'!$I$31*(1-'Inputs-Proposals'!$I$32^(AB$3-'Inputs-System'!$C$7)))*(VLOOKUP(AB$3,Energy!$A$51:$K$83,5,FALSE))), $C42= "0", 0), 0)</f>
        <v>0</v>
      </c>
      <c r="AC42" s="44">
        <f>IFERROR(_xlfn.IFS($C42="1",('Inputs-System'!$C$30*'Coincidence Factors'!$B$6*(1+'Inputs-System'!$C$18)*(1+'Inputs-System'!$C$41))*'Inputs-Proposals'!$I$17*'Inputs-Proposals'!$I$19*(1-'Inputs-Proposals'!$I$20^(AB$3-'Inputs-System'!$C$7))*(VLOOKUP(AB$3,'Embedded Emissions'!$A$47:$B$78,2,FALSE)+VLOOKUP(AB$3,'Embedded Emissions'!$A$129:$B$158,2,FALSE)), $C42 = "2",('Inputs-System'!$C$30*'Coincidence Factors'!$B$6*(1+'Inputs-System'!$C$18)*(1+'Inputs-System'!$C$41))*'Inputs-Proposals'!$I$23*'Inputs-Proposals'!$I$25*(1-'Inputs-Proposals'!$I$20^(AB$3-'Inputs-System'!$C$7))*(VLOOKUP(AB$3,'Embedded Emissions'!$A$47:$B$78,2,FALSE)+VLOOKUP(AB$3,'Embedded Emissions'!$A$129:$B$158,2,FALSE)), $C42 = "3", ('Inputs-System'!$C$30*'Coincidence Factors'!$B$6*(1+'Inputs-System'!$C$18)*(1+'Inputs-System'!$C$41))*'Inputs-Proposals'!$I$29*'Inputs-Proposals'!$I$31*(1-'Inputs-Proposals'!$I$20^(AB$3-'Inputs-System'!$C$7))*(VLOOKUP(AB$3,'Embedded Emissions'!$A$47:$B$78,2,FALSE)+VLOOKUP(AB$3,'Embedded Emissions'!$A$129:$B$158,2,FALSE)), $C42 = "0", 0), 0)</f>
        <v>0</v>
      </c>
      <c r="AD42" s="44">
        <f>IFERROR(_xlfn.IFS($C42="1",( 'Inputs-System'!$C$30*'Coincidence Factors'!$B$6*(1+'Inputs-System'!$C$18)*(1+'Inputs-System'!$C$41))*('Inputs-Proposals'!$I$17*'Inputs-Proposals'!$I$19*(1-'Inputs-Proposals'!$I$20)^(AB$3-'Inputs-System'!$C$7))*(VLOOKUP(AB$3,DRIPE!$A$54:$I$82,5,FALSE)+VLOOKUP(AB$3,DRIPE!$A$54:$I$82,9,FALSE))+ ('Inputs-System'!$C$26*'Coincidence Factors'!$B$6*(1+'Inputs-System'!$C$18)*(1+'Inputs-System'!$C$42))*'Inputs-Proposals'!$I$16*VLOOKUP(AB$3,DRIPE!$A$54:$I$82,8,FALSE), $C42 = "2",( 'Inputs-System'!$C$30*'Coincidence Factors'!$B$6*(1+'Inputs-System'!$C$18)*(1+'Inputs-System'!$C$41))*('Inputs-Proposals'!$I$23*'Inputs-Proposals'!$I$25*(1-'Inputs-Proposals'!$I$26)^(AB$3-'Inputs-System'!$C$7))*(VLOOKUP(AB$3,DRIPE!$A$54:$I$82,5,FALSE)+VLOOKUP(AB$3,DRIPE!$A$54:$I$82,9,FALSE))+ ('Inputs-System'!$C$26*'Coincidence Factors'!$B$6*(1+'Inputs-System'!$C$18)*(1+'Inputs-System'!$C$42))*'Inputs-Proposals'!$I$22*VLOOKUP(AB$3,DRIPE!$A$54:$I$82,8,FALSE), $C42= "3", ( 'Inputs-System'!$C$30*'Coincidence Factors'!$B$6*(1+'Inputs-System'!$C$18)*(1+'Inputs-System'!$C$41))*('Inputs-Proposals'!$I$29*'Inputs-Proposals'!$I$31*(1-'Inputs-Proposals'!$I$32)^(AB$3-'Inputs-System'!$C$7))*(VLOOKUP(AB$3,DRIPE!$A$54:$I$82,5,FALSE)+VLOOKUP(AB$3,DRIPE!$A$54:$I$82,9,FALSE))+ ('Inputs-System'!$C$26*'Coincidence Factors'!$B$6*(1+'Inputs-System'!$C$18)*(1+'Inputs-System'!$C$42))*'Inputs-Proposals'!$I$28*VLOOKUP(AB$3,DRIPE!$A$54:$I$82,8,FALSE), $C42 = "0", 0), 0)</f>
        <v>0</v>
      </c>
      <c r="AE42" s="45">
        <f>IFERROR(_xlfn.IFS($C42="1",('Inputs-System'!$C$26*'Coincidence Factors'!$B$6*(1+'Inputs-System'!$C$18))*'Inputs-Proposals'!$I$16*(VLOOKUP(AB$3,Capacity!$A$53:$E$85,4,FALSE)*(1+'Inputs-System'!$C$42)+VLOOKUP(AB$3,Capacity!$A$53:$E$85,5,FALSE)*'Inputs-System'!$C$29*(1+'Inputs-System'!$C$43)), $C42 = "2", ('Inputs-System'!$C$26*'Coincidence Factors'!$B$6*(1+'Inputs-System'!$C$18))*'Inputs-Proposals'!$I$22*(VLOOKUP(AB$3,Capacity!$A$53:$E$85,4,FALSE)*(1+'Inputs-System'!$C$42)+VLOOKUP(AB$3,Capacity!$A$53:$E$85,5,FALSE)*'Inputs-System'!$C$29*(1+'Inputs-System'!$C$43)), $C42 = "3",('Inputs-System'!$C$26*'Coincidence Factors'!$B$6*(1+'Inputs-System'!$C$18))*'Inputs-Proposals'!$I$28*(VLOOKUP(AB$3,Capacity!$A$53:$E$85,4,FALSE)*(1+'Inputs-System'!$C$42)+VLOOKUP(AB$3,Capacity!$A$53:$E$85,5,FALSE)*'Inputs-System'!$C$29*(1+'Inputs-System'!$C$43)), $C42 = "0", 0), 0)</f>
        <v>0</v>
      </c>
      <c r="AF42" s="44">
        <v>0</v>
      </c>
      <c r="AG42" s="342">
        <f>IFERROR(_xlfn.IFS($C42="1", 'Inputs-System'!$C$30*'Coincidence Factors'!$B$6*'Inputs-Proposals'!$I$17*'Inputs-Proposals'!$I$19*(VLOOKUP(AB$3,'Non-Embedded Emissions'!$A$56:$D$90,2,FALSE)+VLOOKUP(AB$3,'Non-Embedded Emissions'!$A$143:$D$174,2,FALSE)+VLOOKUP(AB$3,'Non-Embedded Emissions'!$A$230:$D$259,2,FALSE)), $C42 = "2", 'Inputs-System'!$C$30*'Coincidence Factors'!$B$6*'Inputs-Proposals'!$I$23*'Inputs-Proposals'!$I$25*(VLOOKUP(AB$3,'Non-Embedded Emissions'!$A$56:$D$90,2,FALSE)+VLOOKUP(AB$3,'Non-Embedded Emissions'!$A$143:$D$174,2,FALSE)+VLOOKUP(AB$3,'Non-Embedded Emissions'!$A$230:$D$259,2,FALSE)), $C42 = "3", 'Inputs-System'!$C$30*'Coincidence Factors'!$B$6*'Inputs-Proposals'!$I$29*'Inputs-Proposals'!$I$31*(VLOOKUP(AB$3,'Non-Embedded Emissions'!$A$56:$D$90,2,FALSE)+VLOOKUP(AB$3,'Non-Embedded Emissions'!$A$143:$D$174,2,FALSE)+VLOOKUP(AB$3,'Non-Embedded Emissions'!$A$230:$D$259,2,FALSE)), $C42 = "0", 0), 0)</f>
        <v>0</v>
      </c>
      <c r="AH42" s="347">
        <f>IFERROR(_xlfn.IFS($C42="1",('Inputs-System'!$C$30*'Coincidence Factors'!$B$6*(1+'Inputs-System'!$C$18)*(1+'Inputs-System'!$C$41)*('Inputs-Proposals'!$I$17*'Inputs-Proposals'!$I$19*(1-'Inputs-Proposals'!$I$20^(AH$3-'Inputs-System'!$C$7)))*(VLOOKUP(AH$3,Energy!$A$51:$K$83,5,FALSE))), $C42 = "2",('Inputs-System'!$C$30*'Coincidence Factors'!$B$6)*(1+'Inputs-System'!$C$18)*(1+'Inputs-System'!$C$41)*('Inputs-Proposals'!$I$23*'Inputs-Proposals'!$I$25*(1-'Inputs-Proposals'!$I$26^(AH$3-'Inputs-System'!$C$7)))*(VLOOKUP(AH$3,Energy!$A$51:$K$83,5,FALSE)), $C42= "3", ('Inputs-System'!$C$30*'Coincidence Factors'!$B$6*(1+'Inputs-System'!$C$18)*(1+'Inputs-System'!$C$41)*('Inputs-Proposals'!$I$29*'Inputs-Proposals'!$I$31*(1-'Inputs-Proposals'!$I$32^(AH$3-'Inputs-System'!$C$7)))*(VLOOKUP(AH$3,Energy!$A$51:$K$83,5,FALSE))), $C42= "0", 0), 0)</f>
        <v>0</v>
      </c>
      <c r="AI42" s="44">
        <f>IFERROR(_xlfn.IFS($C42="1",('Inputs-System'!$C$30*'Coincidence Factors'!$B$6*(1+'Inputs-System'!$C$18)*(1+'Inputs-System'!$C$41))*'Inputs-Proposals'!$I$17*'Inputs-Proposals'!$I$19*(1-'Inputs-Proposals'!$I$20^(AH$3-'Inputs-System'!$C$7))*(VLOOKUP(AH$3,'Embedded Emissions'!$A$47:$B$78,2,FALSE)+VLOOKUP(AH$3,'Embedded Emissions'!$A$129:$B$158,2,FALSE)), $C42 = "2",('Inputs-System'!$C$30*'Coincidence Factors'!$B$6*(1+'Inputs-System'!$C$18)*(1+'Inputs-System'!$C$41))*'Inputs-Proposals'!$I$23*'Inputs-Proposals'!$I$25*(1-'Inputs-Proposals'!$I$20^(AH$3-'Inputs-System'!$C$7))*(VLOOKUP(AH$3,'Embedded Emissions'!$A$47:$B$78,2,FALSE)+VLOOKUP(AH$3,'Embedded Emissions'!$A$129:$B$158,2,FALSE)), $C42 = "3", ('Inputs-System'!$C$30*'Coincidence Factors'!$B$6*(1+'Inputs-System'!$C$18)*(1+'Inputs-System'!$C$41))*'Inputs-Proposals'!$I$29*'Inputs-Proposals'!$I$31*(1-'Inputs-Proposals'!$I$20^(AH$3-'Inputs-System'!$C$7))*(VLOOKUP(AH$3,'Embedded Emissions'!$A$47:$B$78,2,FALSE)+VLOOKUP(AH$3,'Embedded Emissions'!$A$129:$B$158,2,FALSE)), $C42 = "0", 0), 0)</f>
        <v>0</v>
      </c>
      <c r="AJ42" s="44">
        <f>IFERROR(_xlfn.IFS($C42="1",( 'Inputs-System'!$C$30*'Coincidence Factors'!$B$6*(1+'Inputs-System'!$C$18)*(1+'Inputs-System'!$C$41))*('Inputs-Proposals'!$I$17*'Inputs-Proposals'!$I$19*(1-'Inputs-Proposals'!$I$20)^(AH$3-'Inputs-System'!$C$7))*(VLOOKUP(AH$3,DRIPE!$A$54:$I$82,5,FALSE)+VLOOKUP(AH$3,DRIPE!$A$54:$I$82,9,FALSE))+ ('Inputs-System'!$C$26*'Coincidence Factors'!$B$6*(1+'Inputs-System'!$C$18)*(1+'Inputs-System'!$C$42))*'Inputs-Proposals'!$I$16*VLOOKUP(AH$3,DRIPE!$A$54:$I$82,8,FALSE), $C42 = "2",( 'Inputs-System'!$C$30*'Coincidence Factors'!$B$6*(1+'Inputs-System'!$C$18)*(1+'Inputs-System'!$C$41))*('Inputs-Proposals'!$I$23*'Inputs-Proposals'!$I$25*(1-'Inputs-Proposals'!$I$26)^(AH$3-'Inputs-System'!$C$7))*(VLOOKUP(AH$3,DRIPE!$A$54:$I$82,5,FALSE)+VLOOKUP(AH$3,DRIPE!$A$54:$I$82,9,FALSE))+ ('Inputs-System'!$C$26*'Coincidence Factors'!$B$6*(1+'Inputs-System'!$C$18)*(1+'Inputs-System'!$C$42))*'Inputs-Proposals'!$I$22*VLOOKUP(AH$3,DRIPE!$A$54:$I$82,8,FALSE), $C42= "3", ( 'Inputs-System'!$C$30*'Coincidence Factors'!$B$6*(1+'Inputs-System'!$C$18)*(1+'Inputs-System'!$C$41))*('Inputs-Proposals'!$I$29*'Inputs-Proposals'!$I$31*(1-'Inputs-Proposals'!$I$32)^(AH$3-'Inputs-System'!$C$7))*(VLOOKUP(AH$3,DRIPE!$A$54:$I$82,5,FALSE)+VLOOKUP(AH$3,DRIPE!$A$54:$I$82,9,FALSE))+ ('Inputs-System'!$C$26*'Coincidence Factors'!$B$6*(1+'Inputs-System'!$C$18)*(1+'Inputs-System'!$C$42))*'Inputs-Proposals'!$I$28*VLOOKUP(AH$3,DRIPE!$A$54:$I$82,8,FALSE), $C42 = "0", 0), 0)</f>
        <v>0</v>
      </c>
      <c r="AK42" s="45">
        <f>IFERROR(_xlfn.IFS($C42="1",('Inputs-System'!$C$26*'Coincidence Factors'!$B$6*(1+'Inputs-System'!$C$18))*'Inputs-Proposals'!$I$16*(VLOOKUP(AH$3,Capacity!$A$53:$E$85,4,FALSE)*(1+'Inputs-System'!$C$42)+VLOOKUP(AH$3,Capacity!$A$53:$E$85,5,FALSE)*'Inputs-System'!$C$29*(1+'Inputs-System'!$C$43)), $C42 = "2", ('Inputs-System'!$C$26*'Coincidence Factors'!$B$6*(1+'Inputs-System'!$C$18))*'Inputs-Proposals'!$I$22*(VLOOKUP(AH$3,Capacity!$A$53:$E$85,4,FALSE)*(1+'Inputs-System'!$C$42)+VLOOKUP(AH$3,Capacity!$A$53:$E$85,5,FALSE)*'Inputs-System'!$C$29*(1+'Inputs-System'!$C$43)), $C42 = "3",('Inputs-System'!$C$26*'Coincidence Factors'!$B$6*(1+'Inputs-System'!$C$18))*'Inputs-Proposals'!$I$28*(VLOOKUP(AH$3,Capacity!$A$53:$E$85,4,FALSE)*(1+'Inputs-System'!$C$42)+VLOOKUP(AH$3,Capacity!$A$53:$E$85,5,FALSE)*'Inputs-System'!$C$29*(1+'Inputs-System'!$C$43)), $C42 = "0", 0), 0)</f>
        <v>0</v>
      </c>
      <c r="AL42" s="44">
        <v>0</v>
      </c>
      <c r="AM42" s="342">
        <f>IFERROR(_xlfn.IFS($C42="1", 'Inputs-System'!$C$30*'Coincidence Factors'!$B$6*'Inputs-Proposals'!$I$17*'Inputs-Proposals'!$I$19*(VLOOKUP(AH$3,'Non-Embedded Emissions'!$A$56:$D$90,2,FALSE)+VLOOKUP(AH$3,'Non-Embedded Emissions'!$A$143:$D$174,2,FALSE)+VLOOKUP(AH$3,'Non-Embedded Emissions'!$A$230:$D$259,2,FALSE)), $C42 = "2", 'Inputs-System'!$C$30*'Coincidence Factors'!$B$6*'Inputs-Proposals'!$I$23*'Inputs-Proposals'!$I$25*(VLOOKUP(AH$3,'Non-Embedded Emissions'!$A$56:$D$90,2,FALSE)+VLOOKUP(AH$3,'Non-Embedded Emissions'!$A$143:$D$174,2,FALSE)+VLOOKUP(AH$3,'Non-Embedded Emissions'!$A$230:$D$259,2,FALSE)), $C42 = "3", 'Inputs-System'!$C$30*'Coincidence Factors'!$B$6*'Inputs-Proposals'!$I$29*'Inputs-Proposals'!$I$31*(VLOOKUP(AH$3,'Non-Embedded Emissions'!$A$56:$D$90,2,FALSE)+VLOOKUP(AH$3,'Non-Embedded Emissions'!$A$143:$D$174,2,FALSE)+VLOOKUP(AH$3,'Non-Embedded Emissions'!$A$230:$D$259,2,FALSE)), $C42 = "0", 0), 0)</f>
        <v>0</v>
      </c>
      <c r="AN42" s="347">
        <f>IFERROR(_xlfn.IFS($C42="1",('Inputs-System'!$C$30*'Coincidence Factors'!$B$6*(1+'Inputs-System'!$C$18)*(1+'Inputs-System'!$C$41)*('Inputs-Proposals'!$I$17*'Inputs-Proposals'!$I$19*(1-'Inputs-Proposals'!$I$20^(AN$3-'Inputs-System'!$C$7)))*(VLOOKUP(AN$3,Energy!$A$51:$K$83,5,FALSE))), $C42 = "2",('Inputs-System'!$C$30*'Coincidence Factors'!$B$6)*(1+'Inputs-System'!$C$18)*(1+'Inputs-System'!$C$41)*('Inputs-Proposals'!$I$23*'Inputs-Proposals'!$I$25*(1-'Inputs-Proposals'!$I$26^(AN$3-'Inputs-System'!$C$7)))*(VLOOKUP(AN$3,Energy!$A$51:$K$83,5,FALSE)), $C42= "3", ('Inputs-System'!$C$30*'Coincidence Factors'!$B$6*(1+'Inputs-System'!$C$18)*(1+'Inputs-System'!$C$41)*('Inputs-Proposals'!$I$29*'Inputs-Proposals'!$I$31*(1-'Inputs-Proposals'!$I$32^(AN$3-'Inputs-System'!$C$7)))*(VLOOKUP(AN$3,Energy!$A$51:$K$83,5,FALSE))), $C42= "0", 0), 0)</f>
        <v>0</v>
      </c>
      <c r="AO42" s="44">
        <f>IFERROR(_xlfn.IFS($C42="1",('Inputs-System'!$C$30*'Coincidence Factors'!$B$6*(1+'Inputs-System'!$C$18)*(1+'Inputs-System'!$C$41))*'Inputs-Proposals'!$I$17*'Inputs-Proposals'!$I$19*(1-'Inputs-Proposals'!$I$20^(AN$3-'Inputs-System'!$C$7))*(VLOOKUP(AN$3,'Embedded Emissions'!$A$47:$B$78,2,FALSE)+VLOOKUP(AN$3,'Embedded Emissions'!$A$129:$B$158,2,FALSE)), $C42 = "2",('Inputs-System'!$C$30*'Coincidence Factors'!$B$6*(1+'Inputs-System'!$C$18)*(1+'Inputs-System'!$C$41))*'Inputs-Proposals'!$I$23*'Inputs-Proposals'!$I$25*(1-'Inputs-Proposals'!$I$20^(AN$3-'Inputs-System'!$C$7))*(VLOOKUP(AN$3,'Embedded Emissions'!$A$47:$B$78,2,FALSE)+VLOOKUP(AN$3,'Embedded Emissions'!$A$129:$B$158,2,FALSE)), $C42 = "3", ('Inputs-System'!$C$30*'Coincidence Factors'!$B$6*(1+'Inputs-System'!$C$18)*(1+'Inputs-System'!$C$41))*'Inputs-Proposals'!$I$29*'Inputs-Proposals'!$I$31*(1-'Inputs-Proposals'!$I$20^(AN$3-'Inputs-System'!$C$7))*(VLOOKUP(AN$3,'Embedded Emissions'!$A$47:$B$78,2,FALSE)+VLOOKUP(AN$3,'Embedded Emissions'!$A$129:$B$158,2,FALSE)), $C42 = "0", 0), 0)</f>
        <v>0</v>
      </c>
      <c r="AP42" s="44">
        <f>IFERROR(_xlfn.IFS($C42="1",( 'Inputs-System'!$C$30*'Coincidence Factors'!$B$6*(1+'Inputs-System'!$C$18)*(1+'Inputs-System'!$C$41))*('Inputs-Proposals'!$I$17*'Inputs-Proposals'!$I$19*(1-'Inputs-Proposals'!$I$20)^(AN$3-'Inputs-System'!$C$7))*(VLOOKUP(AN$3,DRIPE!$A$54:$I$82,5,FALSE)+VLOOKUP(AN$3,DRIPE!$A$54:$I$82,9,FALSE))+ ('Inputs-System'!$C$26*'Coincidence Factors'!$B$6*(1+'Inputs-System'!$C$18)*(1+'Inputs-System'!$C$42))*'Inputs-Proposals'!$I$16*VLOOKUP(AN$3,DRIPE!$A$54:$I$82,8,FALSE), $C42 = "2",( 'Inputs-System'!$C$30*'Coincidence Factors'!$B$6*(1+'Inputs-System'!$C$18)*(1+'Inputs-System'!$C$41))*('Inputs-Proposals'!$I$23*'Inputs-Proposals'!$I$25*(1-'Inputs-Proposals'!$I$26)^(AN$3-'Inputs-System'!$C$7))*(VLOOKUP(AN$3,DRIPE!$A$54:$I$82,5,FALSE)+VLOOKUP(AN$3,DRIPE!$A$54:$I$82,9,FALSE))+ ('Inputs-System'!$C$26*'Coincidence Factors'!$B$6*(1+'Inputs-System'!$C$18)*(1+'Inputs-System'!$C$42))*'Inputs-Proposals'!$I$22*VLOOKUP(AN$3,DRIPE!$A$54:$I$82,8,FALSE), $C42= "3", ( 'Inputs-System'!$C$30*'Coincidence Factors'!$B$6*(1+'Inputs-System'!$C$18)*(1+'Inputs-System'!$C$41))*('Inputs-Proposals'!$I$29*'Inputs-Proposals'!$I$31*(1-'Inputs-Proposals'!$I$32)^(AN$3-'Inputs-System'!$C$7))*(VLOOKUP(AN$3,DRIPE!$A$54:$I$82,5,FALSE)+VLOOKUP(AN$3,DRIPE!$A$54:$I$82,9,FALSE))+ ('Inputs-System'!$C$26*'Coincidence Factors'!$B$6*(1+'Inputs-System'!$C$18)*(1+'Inputs-System'!$C$42))*'Inputs-Proposals'!$I$28*VLOOKUP(AN$3,DRIPE!$A$54:$I$82,8,FALSE), $C42 = "0", 0), 0)</f>
        <v>0</v>
      </c>
      <c r="AQ42" s="45">
        <f>IFERROR(_xlfn.IFS($C42="1",('Inputs-System'!$C$26*'Coincidence Factors'!$B$6*(1+'Inputs-System'!$C$18))*'Inputs-Proposals'!$I$16*(VLOOKUP(AN$3,Capacity!$A$53:$E$85,4,FALSE)*(1+'Inputs-System'!$C$42)+VLOOKUP(AN$3,Capacity!$A$53:$E$85,5,FALSE)*'Inputs-System'!$C$29*(1+'Inputs-System'!$C$43)), $C42 = "2", ('Inputs-System'!$C$26*'Coincidence Factors'!$B$6*(1+'Inputs-System'!$C$18))*'Inputs-Proposals'!$I$22*(VLOOKUP(AN$3,Capacity!$A$53:$E$85,4,FALSE)*(1+'Inputs-System'!$C$42)+VLOOKUP(AN$3,Capacity!$A$53:$E$85,5,FALSE)*'Inputs-System'!$C$29*(1+'Inputs-System'!$C$43)), $C42 = "3",('Inputs-System'!$C$26*'Coincidence Factors'!$B$6*(1+'Inputs-System'!$C$18))*'Inputs-Proposals'!$I$28*(VLOOKUP(AN$3,Capacity!$A$53:$E$85,4,FALSE)*(1+'Inputs-System'!$C$42)+VLOOKUP(AN$3,Capacity!$A$53:$E$85,5,FALSE)*'Inputs-System'!$C$29*(1+'Inputs-System'!$C$43)), $C42 = "0", 0), 0)</f>
        <v>0</v>
      </c>
      <c r="AR42" s="44">
        <v>0</v>
      </c>
      <c r="AS42" s="342">
        <f>IFERROR(_xlfn.IFS($C42="1", 'Inputs-System'!$C$30*'Coincidence Factors'!$B$6*'Inputs-Proposals'!$I$17*'Inputs-Proposals'!$I$19*(VLOOKUP(AN$3,'Non-Embedded Emissions'!$A$56:$D$90,2,FALSE)+VLOOKUP(AN$3,'Non-Embedded Emissions'!$A$143:$D$174,2,FALSE)+VLOOKUP(AN$3,'Non-Embedded Emissions'!$A$230:$D$259,2,FALSE)), $C42 = "2", 'Inputs-System'!$C$30*'Coincidence Factors'!$B$6*'Inputs-Proposals'!$I$23*'Inputs-Proposals'!$I$25*(VLOOKUP(AN$3,'Non-Embedded Emissions'!$A$56:$D$90,2,FALSE)+VLOOKUP(AN$3,'Non-Embedded Emissions'!$A$143:$D$174,2,FALSE)+VLOOKUP(AN$3,'Non-Embedded Emissions'!$A$230:$D$259,2,FALSE)), $C42 = "3", 'Inputs-System'!$C$30*'Coincidence Factors'!$B$6*'Inputs-Proposals'!$I$29*'Inputs-Proposals'!$I$31*(VLOOKUP(AN$3,'Non-Embedded Emissions'!$A$56:$D$90,2,FALSE)+VLOOKUP(AN$3,'Non-Embedded Emissions'!$A$143:$D$174,2,FALSE)+VLOOKUP(AN$3,'Non-Embedded Emissions'!$A$230:$D$259,2,FALSE)), $C42 = "0", 0), 0)</f>
        <v>0</v>
      </c>
      <c r="AT42" s="347">
        <f>IFERROR(_xlfn.IFS($C42="1",('Inputs-System'!$C$30*'Coincidence Factors'!$B$6*(1+'Inputs-System'!$C$18)*(1+'Inputs-System'!$C$41)*('Inputs-Proposals'!$I$17*'Inputs-Proposals'!$I$19*(1-'Inputs-Proposals'!$I$20^(AT$3-'Inputs-System'!$C$7)))*(VLOOKUP(AT$3,Energy!$A$51:$K$83,5,FALSE))), $C42 = "2",('Inputs-System'!$C$30*'Coincidence Factors'!$B$6)*(1+'Inputs-System'!$C$18)*(1+'Inputs-System'!$C$41)*('Inputs-Proposals'!$I$23*'Inputs-Proposals'!$I$25*(1-'Inputs-Proposals'!$I$26^(AT$3-'Inputs-System'!$C$7)))*(VLOOKUP(AT$3,Energy!$A$51:$K$83,5,FALSE)), $C42= "3", ('Inputs-System'!$C$30*'Coincidence Factors'!$B$6*(1+'Inputs-System'!$C$18)*(1+'Inputs-System'!$C$41)*('Inputs-Proposals'!$I$29*'Inputs-Proposals'!$I$31*(1-'Inputs-Proposals'!$I$32^(AT$3-'Inputs-System'!$C$7)))*(VLOOKUP(AT$3,Energy!$A$51:$K$83,5,FALSE))), $C42= "0", 0), 0)</f>
        <v>0</v>
      </c>
      <c r="AU42" s="44">
        <f>IFERROR(_xlfn.IFS($C42="1",('Inputs-System'!$C$30*'Coincidence Factors'!$B$6*(1+'Inputs-System'!$C$18)*(1+'Inputs-System'!$C$41))*'Inputs-Proposals'!$I$17*'Inputs-Proposals'!$I$19*(1-'Inputs-Proposals'!$I$20^(AT$3-'Inputs-System'!$C$7))*(VLOOKUP(AT$3,'Embedded Emissions'!$A$47:$B$78,2,FALSE)+VLOOKUP(AT$3,'Embedded Emissions'!$A$129:$B$158,2,FALSE)), $C42 = "2",('Inputs-System'!$C$30*'Coincidence Factors'!$B$6*(1+'Inputs-System'!$C$18)*(1+'Inputs-System'!$C$41))*'Inputs-Proposals'!$I$23*'Inputs-Proposals'!$I$25*(1-'Inputs-Proposals'!$I$20^(AT$3-'Inputs-System'!$C$7))*(VLOOKUP(AT$3,'Embedded Emissions'!$A$47:$B$78,2,FALSE)+VLOOKUP(AT$3,'Embedded Emissions'!$A$129:$B$158,2,FALSE)), $C42 = "3", ('Inputs-System'!$C$30*'Coincidence Factors'!$B$6*(1+'Inputs-System'!$C$18)*(1+'Inputs-System'!$C$41))*'Inputs-Proposals'!$I$29*'Inputs-Proposals'!$I$31*(1-'Inputs-Proposals'!$I$20^(AT$3-'Inputs-System'!$C$7))*(VLOOKUP(AT$3,'Embedded Emissions'!$A$47:$B$78,2,FALSE)+VLOOKUP(AT$3,'Embedded Emissions'!$A$129:$B$158,2,FALSE)), $C42 = "0", 0), 0)</f>
        <v>0</v>
      </c>
      <c r="AV42" s="44">
        <f>IFERROR(_xlfn.IFS($C42="1",( 'Inputs-System'!$C$30*'Coincidence Factors'!$B$6*(1+'Inputs-System'!$C$18)*(1+'Inputs-System'!$C$41))*('Inputs-Proposals'!$I$17*'Inputs-Proposals'!$I$19*(1-'Inputs-Proposals'!$I$20)^(AT$3-'Inputs-System'!$C$7))*(VLOOKUP(AT$3,DRIPE!$A$54:$I$82,5,FALSE)+VLOOKUP(AT$3,DRIPE!$A$54:$I$82,9,FALSE))+ ('Inputs-System'!$C$26*'Coincidence Factors'!$B$6*(1+'Inputs-System'!$C$18)*(1+'Inputs-System'!$C$42))*'Inputs-Proposals'!$I$16*VLOOKUP(AT$3,DRIPE!$A$54:$I$82,8,FALSE), $C42 = "2",( 'Inputs-System'!$C$30*'Coincidence Factors'!$B$6*(1+'Inputs-System'!$C$18)*(1+'Inputs-System'!$C$41))*('Inputs-Proposals'!$I$23*'Inputs-Proposals'!$I$25*(1-'Inputs-Proposals'!$I$26)^(AT$3-'Inputs-System'!$C$7))*(VLOOKUP(AT$3,DRIPE!$A$54:$I$82,5,FALSE)+VLOOKUP(AT$3,DRIPE!$A$54:$I$82,9,FALSE))+ ('Inputs-System'!$C$26*'Coincidence Factors'!$B$6*(1+'Inputs-System'!$C$18)*(1+'Inputs-System'!$C$42))*'Inputs-Proposals'!$I$22*VLOOKUP(AT$3,DRIPE!$A$54:$I$82,8,FALSE), $C42= "3", ( 'Inputs-System'!$C$30*'Coincidence Factors'!$B$6*(1+'Inputs-System'!$C$18)*(1+'Inputs-System'!$C$41))*('Inputs-Proposals'!$I$29*'Inputs-Proposals'!$I$31*(1-'Inputs-Proposals'!$I$32)^(AT$3-'Inputs-System'!$C$7))*(VLOOKUP(AT$3,DRIPE!$A$54:$I$82,5,FALSE)+VLOOKUP(AT$3,DRIPE!$A$54:$I$82,9,FALSE))+ ('Inputs-System'!$C$26*'Coincidence Factors'!$B$6*(1+'Inputs-System'!$C$18)*(1+'Inputs-System'!$C$42))*'Inputs-Proposals'!$I$28*VLOOKUP(AT$3,DRIPE!$A$54:$I$82,8,FALSE), $C42 = "0", 0), 0)</f>
        <v>0</v>
      </c>
      <c r="AW42" s="45">
        <f>IFERROR(_xlfn.IFS($C42="1",('Inputs-System'!$C$26*'Coincidence Factors'!$B$6*(1+'Inputs-System'!$C$18))*'Inputs-Proposals'!$I$16*(VLOOKUP(AT$3,Capacity!$A$53:$E$85,4,FALSE)*(1+'Inputs-System'!$C$42)+VLOOKUP(AT$3,Capacity!$A$53:$E$85,5,FALSE)*'Inputs-System'!$C$29*(1+'Inputs-System'!$C$43)), $C42 = "2", ('Inputs-System'!$C$26*'Coincidence Factors'!$B$6*(1+'Inputs-System'!$C$18))*'Inputs-Proposals'!$I$22*(VLOOKUP(AT$3,Capacity!$A$53:$E$85,4,FALSE)*(1+'Inputs-System'!$C$42)+VLOOKUP(AT$3,Capacity!$A$53:$E$85,5,FALSE)*'Inputs-System'!$C$29*(1+'Inputs-System'!$C$43)), $C42 = "3",('Inputs-System'!$C$26*'Coincidence Factors'!$B$6*(1+'Inputs-System'!$C$18))*'Inputs-Proposals'!$I$28*(VLOOKUP(AT$3,Capacity!$A$53:$E$85,4,FALSE)*(1+'Inputs-System'!$C$42)+VLOOKUP(AT$3,Capacity!$A$53:$E$85,5,FALSE)*'Inputs-System'!$C$29*(1+'Inputs-System'!$C$43)), $C42 = "0", 0), 0)</f>
        <v>0</v>
      </c>
      <c r="AX42" s="44">
        <v>0</v>
      </c>
      <c r="AY42" s="342">
        <f>IFERROR(_xlfn.IFS($C42="1", 'Inputs-System'!$C$30*'Coincidence Factors'!$B$6*'Inputs-Proposals'!$I$17*'Inputs-Proposals'!$I$19*(VLOOKUP(AT$3,'Non-Embedded Emissions'!$A$56:$D$90,2,FALSE)+VLOOKUP(AT$3,'Non-Embedded Emissions'!$A$143:$D$174,2,FALSE)+VLOOKUP(AT$3,'Non-Embedded Emissions'!$A$230:$D$259,2,FALSE)), $C42 = "2", 'Inputs-System'!$C$30*'Coincidence Factors'!$B$6*'Inputs-Proposals'!$I$23*'Inputs-Proposals'!$I$25*(VLOOKUP(AT$3,'Non-Embedded Emissions'!$A$56:$D$90,2,FALSE)+VLOOKUP(AT$3,'Non-Embedded Emissions'!$A$143:$D$174,2,FALSE)+VLOOKUP(AT$3,'Non-Embedded Emissions'!$A$230:$D$259,2,FALSE)), $C42 = "3", 'Inputs-System'!$C$30*'Coincidence Factors'!$B$6*'Inputs-Proposals'!$I$29*'Inputs-Proposals'!$I$31*(VLOOKUP(AT$3,'Non-Embedded Emissions'!$A$56:$D$90,2,FALSE)+VLOOKUP(AT$3,'Non-Embedded Emissions'!$A$143:$D$174,2,FALSE)+VLOOKUP(AT$3,'Non-Embedded Emissions'!$A$230:$D$259,2,FALSE)), $C42 = "0", 0), 0)</f>
        <v>0</v>
      </c>
      <c r="AZ42" s="347">
        <f>IFERROR(_xlfn.IFS($C42="1",('Inputs-System'!$C$30*'Coincidence Factors'!$B$6*(1+'Inputs-System'!$C$18)*(1+'Inputs-System'!$C$41)*('Inputs-Proposals'!$I$17*'Inputs-Proposals'!$I$19*(1-'Inputs-Proposals'!$I$20^(AZ$3-'Inputs-System'!$C$7)))*(VLOOKUP(AZ$3,Energy!$A$51:$K$83,5,FALSE))), $C42 = "2",('Inputs-System'!$C$30*'Coincidence Factors'!$B$6)*(1+'Inputs-System'!$C$18)*(1+'Inputs-System'!$C$41)*('Inputs-Proposals'!$I$23*'Inputs-Proposals'!$I$25*(1-'Inputs-Proposals'!$I$26^(AZ$3-'Inputs-System'!$C$7)))*(VLOOKUP(AZ$3,Energy!$A$51:$K$83,5,FALSE)), $C42= "3", ('Inputs-System'!$C$30*'Coincidence Factors'!$B$6*(1+'Inputs-System'!$C$18)*(1+'Inputs-System'!$C$41)*('Inputs-Proposals'!$I$29*'Inputs-Proposals'!$I$31*(1-'Inputs-Proposals'!$I$32^(AZ$3-'Inputs-System'!$C$7)))*(VLOOKUP(AZ$3,Energy!$A$51:$K$83,5,FALSE))), $C42= "0", 0), 0)</f>
        <v>0</v>
      </c>
      <c r="BA42" s="44">
        <f>IFERROR(_xlfn.IFS($C42="1",('Inputs-System'!$C$30*'Coincidence Factors'!$B$6*(1+'Inputs-System'!$C$18)*(1+'Inputs-System'!$C$41))*'Inputs-Proposals'!$I$17*'Inputs-Proposals'!$I$19*(1-'Inputs-Proposals'!$I$20^(AZ$3-'Inputs-System'!$C$7))*(VLOOKUP(AZ$3,'Embedded Emissions'!$A$47:$B$78,2,FALSE)+VLOOKUP(AZ$3,'Embedded Emissions'!$A$129:$B$158,2,FALSE)), $C42 = "2",('Inputs-System'!$C$30*'Coincidence Factors'!$B$6*(1+'Inputs-System'!$C$18)*(1+'Inputs-System'!$C$41))*'Inputs-Proposals'!$I$23*'Inputs-Proposals'!$I$25*(1-'Inputs-Proposals'!$I$20^(AZ$3-'Inputs-System'!$C$7))*(VLOOKUP(AZ$3,'Embedded Emissions'!$A$47:$B$78,2,FALSE)+VLOOKUP(AZ$3,'Embedded Emissions'!$A$129:$B$158,2,FALSE)), $C42 = "3", ('Inputs-System'!$C$30*'Coincidence Factors'!$B$6*(1+'Inputs-System'!$C$18)*(1+'Inputs-System'!$C$41))*'Inputs-Proposals'!$I$29*'Inputs-Proposals'!$I$31*(1-'Inputs-Proposals'!$I$20^(AZ$3-'Inputs-System'!$C$7))*(VLOOKUP(AZ$3,'Embedded Emissions'!$A$47:$B$78,2,FALSE)+VLOOKUP(AZ$3,'Embedded Emissions'!$A$129:$B$158,2,FALSE)), $C42 = "0", 0), 0)</f>
        <v>0</v>
      </c>
      <c r="BB42" s="44">
        <f>IFERROR(_xlfn.IFS($C42="1",( 'Inputs-System'!$C$30*'Coincidence Factors'!$B$6*(1+'Inputs-System'!$C$18)*(1+'Inputs-System'!$C$41))*('Inputs-Proposals'!$I$17*'Inputs-Proposals'!$I$19*(1-'Inputs-Proposals'!$I$20)^(AZ$3-'Inputs-System'!$C$7))*(VLOOKUP(AZ$3,DRIPE!$A$54:$I$82,5,FALSE)+VLOOKUP(AZ$3,DRIPE!$A$54:$I$82,9,FALSE))+ ('Inputs-System'!$C$26*'Coincidence Factors'!$B$6*(1+'Inputs-System'!$C$18)*(1+'Inputs-System'!$C$42))*'Inputs-Proposals'!$I$16*VLOOKUP(AZ$3,DRIPE!$A$54:$I$82,8,FALSE), $C42 = "2",( 'Inputs-System'!$C$30*'Coincidence Factors'!$B$6*(1+'Inputs-System'!$C$18)*(1+'Inputs-System'!$C$41))*('Inputs-Proposals'!$I$23*'Inputs-Proposals'!$I$25*(1-'Inputs-Proposals'!$I$26)^(AZ$3-'Inputs-System'!$C$7))*(VLOOKUP(AZ$3,DRIPE!$A$54:$I$82,5,FALSE)+VLOOKUP(AZ$3,DRIPE!$A$54:$I$82,9,FALSE))+ ('Inputs-System'!$C$26*'Coincidence Factors'!$B$6*(1+'Inputs-System'!$C$18)*(1+'Inputs-System'!$C$42))*'Inputs-Proposals'!$I$22*VLOOKUP(AZ$3,DRIPE!$A$54:$I$82,8,FALSE), $C42= "3", ( 'Inputs-System'!$C$30*'Coincidence Factors'!$B$6*(1+'Inputs-System'!$C$18)*(1+'Inputs-System'!$C$41))*('Inputs-Proposals'!$I$29*'Inputs-Proposals'!$I$31*(1-'Inputs-Proposals'!$I$32)^(AZ$3-'Inputs-System'!$C$7))*(VLOOKUP(AZ$3,DRIPE!$A$54:$I$82,5,FALSE)+VLOOKUP(AZ$3,DRIPE!$A$54:$I$82,9,FALSE))+ ('Inputs-System'!$C$26*'Coincidence Factors'!$B$6*(1+'Inputs-System'!$C$18)*(1+'Inputs-System'!$C$42))*'Inputs-Proposals'!$I$28*VLOOKUP(AZ$3,DRIPE!$A$54:$I$82,8,FALSE), $C42 = "0", 0), 0)</f>
        <v>0</v>
      </c>
      <c r="BC42" s="45">
        <f>IFERROR(_xlfn.IFS($C42="1",('Inputs-System'!$C$26*'Coincidence Factors'!$B$6*(1+'Inputs-System'!$C$18))*'Inputs-Proposals'!$I$16*(VLOOKUP(AZ$3,Capacity!$A$53:$E$85,4,FALSE)*(1+'Inputs-System'!$C$42)+VLOOKUP(AZ$3,Capacity!$A$53:$E$85,5,FALSE)*'Inputs-System'!$C$29*(1+'Inputs-System'!$C$43)), $C42 = "2", ('Inputs-System'!$C$26*'Coincidence Factors'!$B$6*(1+'Inputs-System'!$C$18))*'Inputs-Proposals'!$I$22*(VLOOKUP(AZ$3,Capacity!$A$53:$E$85,4,FALSE)*(1+'Inputs-System'!$C$42)+VLOOKUP(AZ$3,Capacity!$A$53:$E$85,5,FALSE)*'Inputs-System'!$C$29*(1+'Inputs-System'!$C$43)), $C42 = "3",('Inputs-System'!$C$26*'Coincidence Factors'!$B$6*(1+'Inputs-System'!$C$18))*'Inputs-Proposals'!$I$28*(VLOOKUP(AZ$3,Capacity!$A$53:$E$85,4,FALSE)*(1+'Inputs-System'!$C$42)+VLOOKUP(AZ$3,Capacity!$A$53:$E$85,5,FALSE)*'Inputs-System'!$C$29*(1+'Inputs-System'!$C$43)), $C42 = "0", 0), 0)</f>
        <v>0</v>
      </c>
      <c r="BD42" s="44">
        <v>0</v>
      </c>
      <c r="BE42" s="342">
        <f>IFERROR(_xlfn.IFS($C42="1", 'Inputs-System'!$C$30*'Coincidence Factors'!$B$6*'Inputs-Proposals'!$I$17*'Inputs-Proposals'!$I$19*(VLOOKUP(AZ$3,'Non-Embedded Emissions'!$A$56:$D$90,2,FALSE)+VLOOKUP(AZ$3,'Non-Embedded Emissions'!$A$143:$D$174,2,FALSE)+VLOOKUP(AZ$3,'Non-Embedded Emissions'!$A$230:$D$259,2,FALSE)), $C42 = "2", 'Inputs-System'!$C$30*'Coincidence Factors'!$B$6*'Inputs-Proposals'!$I$23*'Inputs-Proposals'!$I$25*(VLOOKUP(AZ$3,'Non-Embedded Emissions'!$A$56:$D$90,2,FALSE)+VLOOKUP(AZ$3,'Non-Embedded Emissions'!$A$143:$D$174,2,FALSE)+VLOOKUP(AZ$3,'Non-Embedded Emissions'!$A$230:$D$259,2,FALSE)), $C42 = "3", 'Inputs-System'!$C$30*'Coincidence Factors'!$B$6*'Inputs-Proposals'!$I$29*'Inputs-Proposals'!$I$31*(VLOOKUP(AZ$3,'Non-Embedded Emissions'!$A$56:$D$90,2,FALSE)+VLOOKUP(AZ$3,'Non-Embedded Emissions'!$A$143:$D$174,2,FALSE)+VLOOKUP(AZ$3,'Non-Embedded Emissions'!$A$230:$D$259,2,FALSE)), $C42 = "0", 0), 0)</f>
        <v>0</v>
      </c>
      <c r="BF42" s="347">
        <f>IFERROR(_xlfn.IFS($C42="1",('Inputs-System'!$C$30*'Coincidence Factors'!$B$6*(1+'Inputs-System'!$C$18)*(1+'Inputs-System'!$C$41)*('Inputs-Proposals'!$I$17*'Inputs-Proposals'!$I$19*(1-'Inputs-Proposals'!$I$20^(BF$3-'Inputs-System'!$C$7)))*(VLOOKUP(BF$3,Energy!$A$51:$K$83,5,FALSE))), $C42 = "2",('Inputs-System'!$C$30*'Coincidence Factors'!$B$6)*(1+'Inputs-System'!$C$18)*(1+'Inputs-System'!$C$41)*('Inputs-Proposals'!$I$23*'Inputs-Proposals'!$I$25*(1-'Inputs-Proposals'!$I$26^(BF$3-'Inputs-System'!$C$7)))*(VLOOKUP(BF$3,Energy!$A$51:$K$83,5,FALSE)), $C42= "3", ('Inputs-System'!$C$30*'Coincidence Factors'!$B$6*(1+'Inputs-System'!$C$18)*(1+'Inputs-System'!$C$41)*('Inputs-Proposals'!$I$29*'Inputs-Proposals'!$I$31*(1-'Inputs-Proposals'!$I$32^(BF$3-'Inputs-System'!$C$7)))*(VLOOKUP(BF$3,Energy!$A$51:$K$83,5,FALSE))), $C42= "0", 0), 0)</f>
        <v>0</v>
      </c>
      <c r="BG42" s="44">
        <f>IFERROR(_xlfn.IFS($C42="1",('Inputs-System'!$C$30*'Coincidence Factors'!$B$6*(1+'Inputs-System'!$C$18)*(1+'Inputs-System'!$C$41))*'Inputs-Proposals'!$I$17*'Inputs-Proposals'!$I$19*(1-'Inputs-Proposals'!$I$20^(BF$3-'Inputs-System'!$C$7))*(VLOOKUP(BF$3,'Embedded Emissions'!$A$47:$B$78,2,FALSE)+VLOOKUP(BF$3,'Embedded Emissions'!$A$129:$B$158,2,FALSE)), $C42 = "2",('Inputs-System'!$C$30*'Coincidence Factors'!$B$6*(1+'Inputs-System'!$C$18)*(1+'Inputs-System'!$C$41))*'Inputs-Proposals'!$I$23*'Inputs-Proposals'!$I$25*(1-'Inputs-Proposals'!$I$20^(BF$3-'Inputs-System'!$C$7))*(VLOOKUP(BF$3,'Embedded Emissions'!$A$47:$B$78,2,FALSE)+VLOOKUP(BF$3,'Embedded Emissions'!$A$129:$B$158,2,FALSE)), $C42 = "3", ('Inputs-System'!$C$30*'Coincidence Factors'!$B$6*(1+'Inputs-System'!$C$18)*(1+'Inputs-System'!$C$41))*'Inputs-Proposals'!$I$29*'Inputs-Proposals'!$I$31*(1-'Inputs-Proposals'!$I$20^(BF$3-'Inputs-System'!$C$7))*(VLOOKUP(BF$3,'Embedded Emissions'!$A$47:$B$78,2,FALSE)+VLOOKUP(BF$3,'Embedded Emissions'!$A$129:$B$158,2,FALSE)), $C42 = "0", 0), 0)</f>
        <v>0</v>
      </c>
      <c r="BH42" s="44">
        <f>IFERROR(_xlfn.IFS($C42="1",( 'Inputs-System'!$C$30*'Coincidence Factors'!$B$6*(1+'Inputs-System'!$C$18)*(1+'Inputs-System'!$C$41))*('Inputs-Proposals'!$I$17*'Inputs-Proposals'!$I$19*(1-'Inputs-Proposals'!$I$20)^(BF$3-'Inputs-System'!$C$7))*(VLOOKUP(BF$3,DRIPE!$A$54:$I$82,5,FALSE)+VLOOKUP(BF$3,DRIPE!$A$54:$I$82,9,FALSE))+ ('Inputs-System'!$C$26*'Coincidence Factors'!$B$6*(1+'Inputs-System'!$C$18)*(1+'Inputs-System'!$C$42))*'Inputs-Proposals'!$I$16*VLOOKUP(BF$3,DRIPE!$A$54:$I$82,8,FALSE), $C42 = "2",( 'Inputs-System'!$C$30*'Coincidence Factors'!$B$6*(1+'Inputs-System'!$C$18)*(1+'Inputs-System'!$C$41))*('Inputs-Proposals'!$I$23*'Inputs-Proposals'!$I$25*(1-'Inputs-Proposals'!$I$26)^(BF$3-'Inputs-System'!$C$7))*(VLOOKUP(BF$3,DRIPE!$A$54:$I$82,5,FALSE)+VLOOKUP(BF$3,DRIPE!$A$54:$I$82,9,FALSE))+ ('Inputs-System'!$C$26*'Coincidence Factors'!$B$6*(1+'Inputs-System'!$C$18)*(1+'Inputs-System'!$C$42))*'Inputs-Proposals'!$I$22*VLOOKUP(BF$3,DRIPE!$A$54:$I$82,8,FALSE), $C42= "3", ( 'Inputs-System'!$C$30*'Coincidence Factors'!$B$6*(1+'Inputs-System'!$C$18)*(1+'Inputs-System'!$C$41))*('Inputs-Proposals'!$I$29*'Inputs-Proposals'!$I$31*(1-'Inputs-Proposals'!$I$32)^(BF$3-'Inputs-System'!$C$7))*(VLOOKUP(BF$3,DRIPE!$A$54:$I$82,5,FALSE)+VLOOKUP(BF$3,DRIPE!$A$54:$I$82,9,FALSE))+ ('Inputs-System'!$C$26*'Coincidence Factors'!$B$6*(1+'Inputs-System'!$C$18)*(1+'Inputs-System'!$C$42))*'Inputs-Proposals'!$I$28*VLOOKUP(BF$3,DRIPE!$A$54:$I$82,8,FALSE), $C42 = "0", 0), 0)</f>
        <v>0</v>
      </c>
      <c r="BI42" s="45">
        <f>IFERROR(_xlfn.IFS($C42="1",('Inputs-System'!$C$26*'Coincidence Factors'!$B$6*(1+'Inputs-System'!$C$18))*'Inputs-Proposals'!$I$16*(VLOOKUP(BF$3,Capacity!$A$53:$E$85,4,FALSE)*(1+'Inputs-System'!$C$42)+VLOOKUP(BF$3,Capacity!$A$53:$E$85,5,FALSE)*'Inputs-System'!$C$29*(1+'Inputs-System'!$C$43)), $C42 = "2", ('Inputs-System'!$C$26*'Coincidence Factors'!$B$6*(1+'Inputs-System'!$C$18))*'Inputs-Proposals'!$I$22*(VLOOKUP(BF$3,Capacity!$A$53:$E$85,4,FALSE)*(1+'Inputs-System'!$C$42)+VLOOKUP(BF$3,Capacity!$A$53:$E$85,5,FALSE)*'Inputs-System'!$C$29*(1+'Inputs-System'!$C$43)), $C42 = "3",('Inputs-System'!$C$26*'Coincidence Factors'!$B$6*(1+'Inputs-System'!$C$18))*'Inputs-Proposals'!$I$28*(VLOOKUP(BF$3,Capacity!$A$53:$E$85,4,FALSE)*(1+'Inputs-System'!$C$42)+VLOOKUP(BF$3,Capacity!$A$53:$E$85,5,FALSE)*'Inputs-System'!$C$29*(1+'Inputs-System'!$C$43)), $C42 = "0", 0), 0)</f>
        <v>0</v>
      </c>
      <c r="BJ42" s="44">
        <v>0</v>
      </c>
      <c r="BK42" s="342">
        <f>IFERROR(_xlfn.IFS($C42="1", 'Inputs-System'!$C$30*'Coincidence Factors'!$B$6*'Inputs-Proposals'!$I$17*'Inputs-Proposals'!$I$19*(VLOOKUP(BF$3,'Non-Embedded Emissions'!$A$56:$D$90,2,FALSE)+VLOOKUP(BF$3,'Non-Embedded Emissions'!$A$143:$D$174,2,FALSE)+VLOOKUP(BF$3,'Non-Embedded Emissions'!$A$230:$D$259,2,FALSE)), $C42 = "2", 'Inputs-System'!$C$30*'Coincidence Factors'!$B$6*'Inputs-Proposals'!$I$23*'Inputs-Proposals'!$I$25*(VLOOKUP(BF$3,'Non-Embedded Emissions'!$A$56:$D$90,2,FALSE)+VLOOKUP(BF$3,'Non-Embedded Emissions'!$A$143:$D$174,2,FALSE)+VLOOKUP(BF$3,'Non-Embedded Emissions'!$A$230:$D$259,2,FALSE)), $C42 = "3", 'Inputs-System'!$C$30*'Coincidence Factors'!$B$6*'Inputs-Proposals'!$I$29*'Inputs-Proposals'!$I$31*(VLOOKUP(BF$3,'Non-Embedded Emissions'!$A$56:$D$90,2,FALSE)+VLOOKUP(BF$3,'Non-Embedded Emissions'!$A$143:$D$174,2,FALSE)+VLOOKUP(BF$3,'Non-Embedded Emissions'!$A$230:$D$259,2,FALSE)), $C42 = "0", 0), 0)</f>
        <v>0</v>
      </c>
      <c r="BL42" s="347">
        <f>IFERROR(_xlfn.IFS($C42="1",('Inputs-System'!$C$30*'Coincidence Factors'!$B$6*(1+'Inputs-System'!$C$18)*(1+'Inputs-System'!$C$41)*('Inputs-Proposals'!$I$17*'Inputs-Proposals'!$I$19*(1-'Inputs-Proposals'!$I$20^(BL$3-'Inputs-System'!$C$7)))*(VLOOKUP(BL$3,Energy!$A$51:$K$83,5,FALSE))), $C42 = "2",('Inputs-System'!$C$30*'Coincidence Factors'!$B$6)*(1+'Inputs-System'!$C$18)*(1+'Inputs-System'!$C$41)*('Inputs-Proposals'!$I$23*'Inputs-Proposals'!$I$25*(1-'Inputs-Proposals'!$I$26^(BL$3-'Inputs-System'!$C$7)))*(VLOOKUP(BL$3,Energy!$A$51:$K$83,5,FALSE)), $C42= "3", ('Inputs-System'!$C$30*'Coincidence Factors'!$B$6*(1+'Inputs-System'!$C$18)*(1+'Inputs-System'!$C$41)*('Inputs-Proposals'!$I$29*'Inputs-Proposals'!$I$31*(1-'Inputs-Proposals'!$I$32^(BL$3-'Inputs-System'!$C$7)))*(VLOOKUP(BL$3,Energy!$A$51:$K$83,5,FALSE))), $C42= "0", 0), 0)</f>
        <v>0</v>
      </c>
      <c r="BM42" s="44">
        <f>IFERROR(_xlfn.IFS($C42="1",('Inputs-System'!$C$30*'Coincidence Factors'!$B$6*(1+'Inputs-System'!$C$18)*(1+'Inputs-System'!$C$41))*'Inputs-Proposals'!$I$17*'Inputs-Proposals'!$I$19*(1-'Inputs-Proposals'!$I$20^(BL$3-'Inputs-System'!$C$7))*(VLOOKUP(BL$3,'Embedded Emissions'!$A$47:$B$78,2,FALSE)+VLOOKUP(BL$3,'Embedded Emissions'!$A$129:$B$158,2,FALSE)), $C42 = "2",('Inputs-System'!$C$30*'Coincidence Factors'!$B$6*(1+'Inputs-System'!$C$18)*(1+'Inputs-System'!$C$41))*'Inputs-Proposals'!$I$23*'Inputs-Proposals'!$I$25*(1-'Inputs-Proposals'!$I$20^(BL$3-'Inputs-System'!$C$7))*(VLOOKUP(BL$3,'Embedded Emissions'!$A$47:$B$78,2,FALSE)+VLOOKUP(BL$3,'Embedded Emissions'!$A$129:$B$158,2,FALSE)), $C42 = "3", ('Inputs-System'!$C$30*'Coincidence Factors'!$B$6*(1+'Inputs-System'!$C$18)*(1+'Inputs-System'!$C$41))*'Inputs-Proposals'!$I$29*'Inputs-Proposals'!$I$31*(1-'Inputs-Proposals'!$I$20^(BL$3-'Inputs-System'!$C$7))*(VLOOKUP(BL$3,'Embedded Emissions'!$A$47:$B$78,2,FALSE)+VLOOKUP(BL$3,'Embedded Emissions'!$A$129:$B$158,2,FALSE)), $C42 = "0", 0), 0)</f>
        <v>0</v>
      </c>
      <c r="BN42" s="44">
        <f>IFERROR(_xlfn.IFS($C42="1",( 'Inputs-System'!$C$30*'Coincidence Factors'!$B$6*(1+'Inputs-System'!$C$18)*(1+'Inputs-System'!$C$41))*('Inputs-Proposals'!$I$17*'Inputs-Proposals'!$I$19*(1-'Inputs-Proposals'!$I$20)^(BL$3-'Inputs-System'!$C$7))*(VLOOKUP(BL$3,DRIPE!$A$54:$I$82,5,FALSE)+VLOOKUP(BL$3,DRIPE!$A$54:$I$82,9,FALSE))+ ('Inputs-System'!$C$26*'Coincidence Factors'!$B$6*(1+'Inputs-System'!$C$18)*(1+'Inputs-System'!$C$42))*'Inputs-Proposals'!$I$16*VLOOKUP(BL$3,DRIPE!$A$54:$I$82,8,FALSE), $C42 = "2",( 'Inputs-System'!$C$30*'Coincidence Factors'!$B$6*(1+'Inputs-System'!$C$18)*(1+'Inputs-System'!$C$41))*('Inputs-Proposals'!$I$23*'Inputs-Proposals'!$I$25*(1-'Inputs-Proposals'!$I$26)^(BL$3-'Inputs-System'!$C$7))*(VLOOKUP(BL$3,DRIPE!$A$54:$I$82,5,FALSE)+VLOOKUP(BL$3,DRIPE!$A$54:$I$82,9,FALSE))+ ('Inputs-System'!$C$26*'Coincidence Factors'!$B$6*(1+'Inputs-System'!$C$18)*(1+'Inputs-System'!$C$42))*'Inputs-Proposals'!$I$22*VLOOKUP(BL$3,DRIPE!$A$54:$I$82,8,FALSE), $C42= "3", ( 'Inputs-System'!$C$30*'Coincidence Factors'!$B$6*(1+'Inputs-System'!$C$18)*(1+'Inputs-System'!$C$41))*('Inputs-Proposals'!$I$29*'Inputs-Proposals'!$I$31*(1-'Inputs-Proposals'!$I$32)^(BL$3-'Inputs-System'!$C$7))*(VLOOKUP(BL$3,DRIPE!$A$54:$I$82,5,FALSE)+VLOOKUP(BL$3,DRIPE!$A$54:$I$82,9,FALSE))+ ('Inputs-System'!$C$26*'Coincidence Factors'!$B$6*(1+'Inputs-System'!$C$18)*(1+'Inputs-System'!$C$42))*'Inputs-Proposals'!$I$28*VLOOKUP(BL$3,DRIPE!$A$54:$I$82,8,FALSE), $C42 = "0", 0), 0)</f>
        <v>0</v>
      </c>
      <c r="BO42" s="45">
        <f>IFERROR(_xlfn.IFS($C42="1",('Inputs-System'!$C$26*'Coincidence Factors'!$B$6*(1+'Inputs-System'!$C$18))*'Inputs-Proposals'!$I$16*(VLOOKUP(BL$3,Capacity!$A$53:$E$85,4,FALSE)*(1+'Inputs-System'!$C$42)+VLOOKUP(BL$3,Capacity!$A$53:$E$85,5,FALSE)*'Inputs-System'!$C$29*(1+'Inputs-System'!$C$43)), $C42 = "2", ('Inputs-System'!$C$26*'Coincidence Factors'!$B$6*(1+'Inputs-System'!$C$18))*'Inputs-Proposals'!$I$22*(VLOOKUP(BL$3,Capacity!$A$53:$E$85,4,FALSE)*(1+'Inputs-System'!$C$42)+VLOOKUP(BL$3,Capacity!$A$53:$E$85,5,FALSE)*'Inputs-System'!$C$29*(1+'Inputs-System'!$C$43)), $C42 = "3",('Inputs-System'!$C$26*'Coincidence Factors'!$B$6*(1+'Inputs-System'!$C$18))*'Inputs-Proposals'!$I$28*(VLOOKUP(BL$3,Capacity!$A$53:$E$85,4,FALSE)*(1+'Inputs-System'!$C$42)+VLOOKUP(BL$3,Capacity!$A$53:$E$85,5,FALSE)*'Inputs-System'!$C$29*(1+'Inputs-System'!$C$43)), $C42 = "0", 0), 0)</f>
        <v>0</v>
      </c>
      <c r="BP42" s="44">
        <v>0</v>
      </c>
      <c r="BQ42" s="342">
        <f>IFERROR(_xlfn.IFS($C42="1", 'Inputs-System'!$C$30*'Coincidence Factors'!$B$6*'Inputs-Proposals'!$I$17*'Inputs-Proposals'!$I$19*(VLOOKUP(BL$3,'Non-Embedded Emissions'!$A$56:$D$90,2,FALSE)+VLOOKUP(BL$3,'Non-Embedded Emissions'!$A$143:$D$174,2,FALSE)+VLOOKUP(BL$3,'Non-Embedded Emissions'!$A$230:$D$259,2,FALSE)), $C42 = "2", 'Inputs-System'!$C$30*'Coincidence Factors'!$B$6*'Inputs-Proposals'!$I$23*'Inputs-Proposals'!$I$25*(VLOOKUP(BL$3,'Non-Embedded Emissions'!$A$56:$D$90,2,FALSE)+VLOOKUP(BL$3,'Non-Embedded Emissions'!$A$143:$D$174,2,FALSE)+VLOOKUP(BL$3,'Non-Embedded Emissions'!$A$230:$D$259,2,FALSE)), $C42 = "3", 'Inputs-System'!$C$30*'Coincidence Factors'!$B$6*'Inputs-Proposals'!$I$29*'Inputs-Proposals'!$I$31*(VLOOKUP(BL$3,'Non-Embedded Emissions'!$A$56:$D$90,2,FALSE)+VLOOKUP(BL$3,'Non-Embedded Emissions'!$A$143:$D$174,2,FALSE)+VLOOKUP(BL$3,'Non-Embedded Emissions'!$A$230:$D$259,2,FALSE)), $C42 = "0", 0), 0)</f>
        <v>0</v>
      </c>
      <c r="BR42" s="347">
        <f>IFERROR(_xlfn.IFS($C42="1",('Inputs-System'!$C$30*'Coincidence Factors'!$B$6*(1+'Inputs-System'!$C$18)*(1+'Inputs-System'!$C$41)*('Inputs-Proposals'!$I$17*'Inputs-Proposals'!$I$19*(1-'Inputs-Proposals'!$I$20^(BR$3-'Inputs-System'!$C$7)))*(VLOOKUP(BR$3,Energy!$A$51:$K$83,5,FALSE))), $C42 = "2",('Inputs-System'!$C$30*'Coincidence Factors'!$B$6)*(1+'Inputs-System'!$C$18)*(1+'Inputs-System'!$C$41)*('Inputs-Proposals'!$I$23*'Inputs-Proposals'!$I$25*(1-'Inputs-Proposals'!$I$26^(BR$3-'Inputs-System'!$C$7)))*(VLOOKUP(BR$3,Energy!$A$51:$K$83,5,FALSE)), $C42= "3", ('Inputs-System'!$C$30*'Coincidence Factors'!$B$6*(1+'Inputs-System'!$C$18)*(1+'Inputs-System'!$C$41)*('Inputs-Proposals'!$I$29*'Inputs-Proposals'!$I$31*(1-'Inputs-Proposals'!$I$32^(BR$3-'Inputs-System'!$C$7)))*(VLOOKUP(BR$3,Energy!$A$51:$K$83,5,FALSE))), $C42= "0", 0), 0)</f>
        <v>0</v>
      </c>
      <c r="BS42" s="44">
        <f>IFERROR(_xlfn.IFS($C42="1",('Inputs-System'!$C$30*'Coincidence Factors'!$B$6*(1+'Inputs-System'!$C$18)*(1+'Inputs-System'!$C$41))*'Inputs-Proposals'!$I$17*'Inputs-Proposals'!$I$19*(1-'Inputs-Proposals'!$I$20^(BR$3-'Inputs-System'!$C$7))*(VLOOKUP(BR$3,'Embedded Emissions'!$A$47:$B$78,2,FALSE)+VLOOKUP(BR$3,'Embedded Emissions'!$A$129:$B$158,2,FALSE)), $C42 = "2",('Inputs-System'!$C$30*'Coincidence Factors'!$B$6*(1+'Inputs-System'!$C$18)*(1+'Inputs-System'!$C$41))*'Inputs-Proposals'!$I$23*'Inputs-Proposals'!$I$25*(1-'Inputs-Proposals'!$I$20^(BR$3-'Inputs-System'!$C$7))*(VLOOKUP(BR$3,'Embedded Emissions'!$A$47:$B$78,2,FALSE)+VLOOKUP(BR$3,'Embedded Emissions'!$A$129:$B$158,2,FALSE)), $C42 = "3", ('Inputs-System'!$C$30*'Coincidence Factors'!$B$6*(1+'Inputs-System'!$C$18)*(1+'Inputs-System'!$C$41))*'Inputs-Proposals'!$I$29*'Inputs-Proposals'!$I$31*(1-'Inputs-Proposals'!$I$20^(BR$3-'Inputs-System'!$C$7))*(VLOOKUP(BR$3,'Embedded Emissions'!$A$47:$B$78,2,FALSE)+VLOOKUP(BR$3,'Embedded Emissions'!$A$129:$B$158,2,FALSE)), $C42 = "0", 0), 0)</f>
        <v>0</v>
      </c>
      <c r="BT42" s="44">
        <f>IFERROR(_xlfn.IFS($C42="1",( 'Inputs-System'!$C$30*'Coincidence Factors'!$B$6*(1+'Inputs-System'!$C$18)*(1+'Inputs-System'!$C$41))*('Inputs-Proposals'!$I$17*'Inputs-Proposals'!$I$19*(1-'Inputs-Proposals'!$I$20)^(BR$3-'Inputs-System'!$C$7))*(VLOOKUP(BR$3,DRIPE!$A$54:$I$82,5,FALSE)+VLOOKUP(BR$3,DRIPE!$A$54:$I$82,9,FALSE))+ ('Inputs-System'!$C$26*'Coincidence Factors'!$B$6*(1+'Inputs-System'!$C$18)*(1+'Inputs-System'!$C$42))*'Inputs-Proposals'!$I$16*VLOOKUP(BR$3,DRIPE!$A$54:$I$82,8,FALSE), $C42 = "2",( 'Inputs-System'!$C$30*'Coincidence Factors'!$B$6*(1+'Inputs-System'!$C$18)*(1+'Inputs-System'!$C$41))*('Inputs-Proposals'!$I$23*'Inputs-Proposals'!$I$25*(1-'Inputs-Proposals'!$I$26)^(BR$3-'Inputs-System'!$C$7))*(VLOOKUP(BR$3,DRIPE!$A$54:$I$82,5,FALSE)+VLOOKUP(BR$3,DRIPE!$A$54:$I$82,9,FALSE))+ ('Inputs-System'!$C$26*'Coincidence Factors'!$B$6*(1+'Inputs-System'!$C$18)*(1+'Inputs-System'!$C$42))*'Inputs-Proposals'!$I$22*VLOOKUP(BR$3,DRIPE!$A$54:$I$82,8,FALSE), $C42= "3", ( 'Inputs-System'!$C$30*'Coincidence Factors'!$B$6*(1+'Inputs-System'!$C$18)*(1+'Inputs-System'!$C$41))*('Inputs-Proposals'!$I$29*'Inputs-Proposals'!$I$31*(1-'Inputs-Proposals'!$I$32)^(BR$3-'Inputs-System'!$C$7))*(VLOOKUP(BR$3,DRIPE!$A$54:$I$82,5,FALSE)+VLOOKUP(BR$3,DRIPE!$A$54:$I$82,9,FALSE))+ ('Inputs-System'!$C$26*'Coincidence Factors'!$B$6*(1+'Inputs-System'!$C$18)*(1+'Inputs-System'!$C$42))*'Inputs-Proposals'!$I$28*VLOOKUP(BR$3,DRIPE!$A$54:$I$82,8,FALSE), $C42 = "0", 0), 0)</f>
        <v>0</v>
      </c>
      <c r="BU42" s="45">
        <f>IFERROR(_xlfn.IFS($C42="1",('Inputs-System'!$C$26*'Coincidence Factors'!$B$6*(1+'Inputs-System'!$C$18))*'Inputs-Proposals'!$I$16*(VLOOKUP(BR$3,Capacity!$A$53:$E$85,4,FALSE)*(1+'Inputs-System'!$C$42)+VLOOKUP(BR$3,Capacity!$A$53:$E$85,5,FALSE)*'Inputs-System'!$C$29*(1+'Inputs-System'!$C$43)), $C42 = "2", ('Inputs-System'!$C$26*'Coincidence Factors'!$B$6*(1+'Inputs-System'!$C$18))*'Inputs-Proposals'!$I$22*(VLOOKUP(BR$3,Capacity!$A$53:$E$85,4,FALSE)*(1+'Inputs-System'!$C$42)+VLOOKUP(BR$3,Capacity!$A$53:$E$85,5,FALSE)*'Inputs-System'!$C$29*(1+'Inputs-System'!$C$43)), $C42 = "3",('Inputs-System'!$C$26*'Coincidence Factors'!$B$6*(1+'Inputs-System'!$C$18))*'Inputs-Proposals'!$I$28*(VLOOKUP(BR$3,Capacity!$A$53:$E$85,4,FALSE)*(1+'Inputs-System'!$C$42)+VLOOKUP(BR$3,Capacity!$A$53:$E$85,5,FALSE)*'Inputs-System'!$C$29*(1+'Inputs-System'!$C$43)), $C42 = "0", 0), 0)</f>
        <v>0</v>
      </c>
      <c r="BV42" s="44">
        <v>0</v>
      </c>
      <c r="BW42" s="342">
        <f>IFERROR(_xlfn.IFS($C42="1", 'Inputs-System'!$C$30*'Coincidence Factors'!$B$6*'Inputs-Proposals'!$I$17*'Inputs-Proposals'!$I$19*(VLOOKUP(BR$3,'Non-Embedded Emissions'!$A$56:$D$90,2,FALSE)+VLOOKUP(BR$3,'Non-Embedded Emissions'!$A$143:$D$174,2,FALSE)+VLOOKUP(BR$3,'Non-Embedded Emissions'!$A$230:$D$259,2,FALSE)), $C42 = "2", 'Inputs-System'!$C$30*'Coincidence Factors'!$B$6*'Inputs-Proposals'!$I$23*'Inputs-Proposals'!$I$25*(VLOOKUP(BR$3,'Non-Embedded Emissions'!$A$56:$D$90,2,FALSE)+VLOOKUP(BR$3,'Non-Embedded Emissions'!$A$143:$D$174,2,FALSE)+VLOOKUP(BR$3,'Non-Embedded Emissions'!$A$230:$D$259,2,FALSE)), $C42 = "3", 'Inputs-System'!$C$30*'Coincidence Factors'!$B$6*'Inputs-Proposals'!$I$29*'Inputs-Proposals'!$I$31*(VLOOKUP(BR$3,'Non-Embedded Emissions'!$A$56:$D$90,2,FALSE)+VLOOKUP(BR$3,'Non-Embedded Emissions'!$A$143:$D$174,2,FALSE)+VLOOKUP(BR$3,'Non-Embedded Emissions'!$A$230:$D$259,2,FALSE)), $C42 = "0", 0), 0)</f>
        <v>0</v>
      </c>
      <c r="BX42" s="347">
        <f>IFERROR(_xlfn.IFS($C42="1",('Inputs-System'!$C$30*'Coincidence Factors'!$B$6*(1+'Inputs-System'!$C$18)*(1+'Inputs-System'!$C$41)*('Inputs-Proposals'!$I$17*'Inputs-Proposals'!$I$19*(1-'Inputs-Proposals'!$I$20^(BX$3-'Inputs-System'!$C$7)))*(VLOOKUP(BX$3,Energy!$A$51:$K$83,5,FALSE))), $C42 = "2",('Inputs-System'!$C$30*'Coincidence Factors'!$B$6)*(1+'Inputs-System'!$C$18)*(1+'Inputs-System'!$C$41)*('Inputs-Proposals'!$I$23*'Inputs-Proposals'!$I$25*(1-'Inputs-Proposals'!$I$26^(BX$3-'Inputs-System'!$C$7)))*(VLOOKUP(BX$3,Energy!$A$51:$K$83,5,FALSE)), $C42= "3", ('Inputs-System'!$C$30*'Coincidence Factors'!$B$6*(1+'Inputs-System'!$C$18)*(1+'Inputs-System'!$C$41)*('Inputs-Proposals'!$I$29*'Inputs-Proposals'!$I$31*(1-'Inputs-Proposals'!$I$32^(BX$3-'Inputs-System'!$C$7)))*(VLOOKUP(BX$3,Energy!$A$51:$K$83,5,FALSE))), $C42= "0", 0), 0)</f>
        <v>0</v>
      </c>
      <c r="BY42" s="44">
        <f>IFERROR(_xlfn.IFS($C42="1",('Inputs-System'!$C$30*'Coincidence Factors'!$B$6*(1+'Inputs-System'!$C$18)*(1+'Inputs-System'!$C$41))*'Inputs-Proposals'!$I$17*'Inputs-Proposals'!$I$19*(1-'Inputs-Proposals'!$I$20^(BX$3-'Inputs-System'!$C$7))*(VLOOKUP(BX$3,'Embedded Emissions'!$A$47:$B$78,2,FALSE)+VLOOKUP(BX$3,'Embedded Emissions'!$A$129:$B$158,2,FALSE)), $C42 = "2",('Inputs-System'!$C$30*'Coincidence Factors'!$B$6*(1+'Inputs-System'!$C$18)*(1+'Inputs-System'!$C$41))*'Inputs-Proposals'!$I$23*'Inputs-Proposals'!$I$25*(1-'Inputs-Proposals'!$I$20^(BX$3-'Inputs-System'!$C$7))*(VLOOKUP(BX$3,'Embedded Emissions'!$A$47:$B$78,2,FALSE)+VLOOKUP(BX$3,'Embedded Emissions'!$A$129:$B$158,2,FALSE)), $C42 = "3", ('Inputs-System'!$C$30*'Coincidence Factors'!$B$6*(1+'Inputs-System'!$C$18)*(1+'Inputs-System'!$C$41))*'Inputs-Proposals'!$I$29*'Inputs-Proposals'!$I$31*(1-'Inputs-Proposals'!$I$20^(BX$3-'Inputs-System'!$C$7))*(VLOOKUP(BX$3,'Embedded Emissions'!$A$47:$B$78,2,FALSE)+VLOOKUP(BX$3,'Embedded Emissions'!$A$129:$B$158,2,FALSE)), $C42 = "0", 0), 0)</f>
        <v>0</v>
      </c>
      <c r="BZ42" s="44">
        <f>IFERROR(_xlfn.IFS($C42="1",( 'Inputs-System'!$C$30*'Coincidence Factors'!$B$6*(1+'Inputs-System'!$C$18)*(1+'Inputs-System'!$C$41))*('Inputs-Proposals'!$I$17*'Inputs-Proposals'!$I$19*(1-'Inputs-Proposals'!$I$20)^(BX$3-'Inputs-System'!$C$7))*(VLOOKUP(BX$3,DRIPE!$A$54:$I$82,5,FALSE)+VLOOKUP(BX$3,DRIPE!$A$54:$I$82,9,FALSE))+ ('Inputs-System'!$C$26*'Coincidence Factors'!$B$6*(1+'Inputs-System'!$C$18)*(1+'Inputs-System'!$C$42))*'Inputs-Proposals'!$I$16*VLOOKUP(BX$3,DRIPE!$A$54:$I$82,8,FALSE), $C42 = "2",( 'Inputs-System'!$C$30*'Coincidence Factors'!$B$6*(1+'Inputs-System'!$C$18)*(1+'Inputs-System'!$C$41))*('Inputs-Proposals'!$I$23*'Inputs-Proposals'!$I$25*(1-'Inputs-Proposals'!$I$26)^(BX$3-'Inputs-System'!$C$7))*(VLOOKUP(BX$3,DRIPE!$A$54:$I$82,5,FALSE)+VLOOKUP(BX$3,DRIPE!$A$54:$I$82,9,FALSE))+ ('Inputs-System'!$C$26*'Coincidence Factors'!$B$6*(1+'Inputs-System'!$C$18)*(1+'Inputs-System'!$C$42))*'Inputs-Proposals'!$I$22*VLOOKUP(BX$3,DRIPE!$A$54:$I$82,8,FALSE), $C42= "3", ( 'Inputs-System'!$C$30*'Coincidence Factors'!$B$6*(1+'Inputs-System'!$C$18)*(1+'Inputs-System'!$C$41))*('Inputs-Proposals'!$I$29*'Inputs-Proposals'!$I$31*(1-'Inputs-Proposals'!$I$32)^(BX$3-'Inputs-System'!$C$7))*(VLOOKUP(BX$3,DRIPE!$A$54:$I$82,5,FALSE)+VLOOKUP(BX$3,DRIPE!$A$54:$I$82,9,FALSE))+ ('Inputs-System'!$C$26*'Coincidence Factors'!$B$6*(1+'Inputs-System'!$C$18)*(1+'Inputs-System'!$C$42))*'Inputs-Proposals'!$I$28*VLOOKUP(BX$3,DRIPE!$A$54:$I$82,8,FALSE), $C42 = "0", 0), 0)</f>
        <v>0</v>
      </c>
      <c r="CA42" s="45">
        <f>IFERROR(_xlfn.IFS($C42="1",('Inputs-System'!$C$26*'Coincidence Factors'!$B$6*(1+'Inputs-System'!$C$18))*'Inputs-Proposals'!$I$16*(VLOOKUP(BX$3,Capacity!$A$53:$E$85,4,FALSE)*(1+'Inputs-System'!$C$42)+VLOOKUP(BX$3,Capacity!$A$53:$E$85,5,FALSE)*'Inputs-System'!$C$29*(1+'Inputs-System'!$C$43)), $C42 = "2", ('Inputs-System'!$C$26*'Coincidence Factors'!$B$6*(1+'Inputs-System'!$C$18))*'Inputs-Proposals'!$I$22*(VLOOKUP(BX$3,Capacity!$A$53:$E$85,4,FALSE)*(1+'Inputs-System'!$C$42)+VLOOKUP(BX$3,Capacity!$A$53:$E$85,5,FALSE)*'Inputs-System'!$C$29*(1+'Inputs-System'!$C$43)), $C42 = "3",('Inputs-System'!$C$26*'Coincidence Factors'!$B$6*(1+'Inputs-System'!$C$18))*'Inputs-Proposals'!$I$28*(VLOOKUP(BX$3,Capacity!$A$53:$E$85,4,FALSE)*(1+'Inputs-System'!$C$42)+VLOOKUP(BX$3,Capacity!$A$53:$E$85,5,FALSE)*'Inputs-System'!$C$29*(1+'Inputs-System'!$C$43)), $C42 = "0", 0), 0)</f>
        <v>0</v>
      </c>
      <c r="CB42" s="44">
        <v>0</v>
      </c>
      <c r="CC42" s="342">
        <f>IFERROR(_xlfn.IFS($C42="1", 'Inputs-System'!$C$30*'Coincidence Factors'!$B$6*'Inputs-Proposals'!$I$17*'Inputs-Proposals'!$I$19*(VLOOKUP(BX$3,'Non-Embedded Emissions'!$A$56:$D$90,2,FALSE)+VLOOKUP(BX$3,'Non-Embedded Emissions'!$A$143:$D$174,2,FALSE)+VLOOKUP(BX$3,'Non-Embedded Emissions'!$A$230:$D$259,2,FALSE)), $C42 = "2", 'Inputs-System'!$C$30*'Coincidence Factors'!$B$6*'Inputs-Proposals'!$I$23*'Inputs-Proposals'!$I$25*(VLOOKUP(BX$3,'Non-Embedded Emissions'!$A$56:$D$90,2,FALSE)+VLOOKUP(BX$3,'Non-Embedded Emissions'!$A$143:$D$174,2,FALSE)+VLOOKUP(BX$3,'Non-Embedded Emissions'!$A$230:$D$259,2,FALSE)), $C42 = "3", 'Inputs-System'!$C$30*'Coincidence Factors'!$B$6*'Inputs-Proposals'!$I$29*'Inputs-Proposals'!$I$31*(VLOOKUP(BX$3,'Non-Embedded Emissions'!$A$56:$D$90,2,FALSE)+VLOOKUP(BX$3,'Non-Embedded Emissions'!$A$143:$D$174,2,FALSE)+VLOOKUP(BX$3,'Non-Embedded Emissions'!$A$230:$D$259,2,FALSE)), $C42 = "0", 0), 0)</f>
        <v>0</v>
      </c>
      <c r="CD42" s="347">
        <f>IFERROR(_xlfn.IFS($C42="1",('Inputs-System'!$C$30*'Coincidence Factors'!$B$6*(1+'Inputs-System'!$C$18)*(1+'Inputs-System'!$C$41)*('Inputs-Proposals'!$I$17*'Inputs-Proposals'!$I$19*(1-'Inputs-Proposals'!$I$20^(CD$3-'Inputs-System'!$C$7)))*(VLOOKUP(CD$3,Energy!$A$51:$K$83,5,FALSE))), $C42 = "2",('Inputs-System'!$C$30*'Coincidence Factors'!$B$6)*(1+'Inputs-System'!$C$18)*(1+'Inputs-System'!$C$41)*('Inputs-Proposals'!$I$23*'Inputs-Proposals'!$I$25*(1-'Inputs-Proposals'!$I$26^(CD$3-'Inputs-System'!$C$7)))*(VLOOKUP(CD$3,Energy!$A$51:$K$83,5,FALSE)), $C42= "3", ('Inputs-System'!$C$30*'Coincidence Factors'!$B$6*(1+'Inputs-System'!$C$18)*(1+'Inputs-System'!$C$41)*('Inputs-Proposals'!$I$29*'Inputs-Proposals'!$I$31*(1-'Inputs-Proposals'!$I$32^(CD$3-'Inputs-System'!$C$7)))*(VLOOKUP(CD$3,Energy!$A$51:$K$83,5,FALSE))), $C42= "0", 0), 0)</f>
        <v>0</v>
      </c>
      <c r="CE42" s="44">
        <f>IFERROR(_xlfn.IFS($C42="1",('Inputs-System'!$C$30*'Coincidence Factors'!$B$6*(1+'Inputs-System'!$C$18)*(1+'Inputs-System'!$C$41))*'Inputs-Proposals'!$I$17*'Inputs-Proposals'!$I$19*(1-'Inputs-Proposals'!$I$20^(CD$3-'Inputs-System'!$C$7))*(VLOOKUP(CD$3,'Embedded Emissions'!$A$47:$B$78,2,FALSE)+VLOOKUP(CD$3,'Embedded Emissions'!$A$129:$B$158,2,FALSE)), $C42 = "2",('Inputs-System'!$C$30*'Coincidence Factors'!$B$6*(1+'Inputs-System'!$C$18)*(1+'Inputs-System'!$C$41))*'Inputs-Proposals'!$I$23*'Inputs-Proposals'!$I$25*(1-'Inputs-Proposals'!$I$20^(CD$3-'Inputs-System'!$C$7))*(VLOOKUP(CD$3,'Embedded Emissions'!$A$47:$B$78,2,FALSE)+VLOOKUP(CD$3,'Embedded Emissions'!$A$129:$B$158,2,FALSE)), $C42 = "3", ('Inputs-System'!$C$30*'Coincidence Factors'!$B$6*(1+'Inputs-System'!$C$18)*(1+'Inputs-System'!$C$41))*'Inputs-Proposals'!$I$29*'Inputs-Proposals'!$I$31*(1-'Inputs-Proposals'!$I$20^(CD$3-'Inputs-System'!$C$7))*(VLOOKUP(CD$3,'Embedded Emissions'!$A$47:$B$78,2,FALSE)+VLOOKUP(CD$3,'Embedded Emissions'!$A$129:$B$158,2,FALSE)), $C42 = "0", 0), 0)</f>
        <v>0</v>
      </c>
      <c r="CF42" s="44">
        <f>IFERROR(_xlfn.IFS($C42="1",( 'Inputs-System'!$C$30*'Coincidence Factors'!$B$6*(1+'Inputs-System'!$C$18)*(1+'Inputs-System'!$C$41))*('Inputs-Proposals'!$I$17*'Inputs-Proposals'!$I$19*(1-'Inputs-Proposals'!$I$20)^(CD$3-'Inputs-System'!$C$7))*(VLOOKUP(CD$3,DRIPE!$A$54:$I$82,5,FALSE)+VLOOKUP(CD$3,DRIPE!$A$54:$I$82,9,FALSE))+ ('Inputs-System'!$C$26*'Coincidence Factors'!$B$6*(1+'Inputs-System'!$C$18)*(1+'Inputs-System'!$C$42))*'Inputs-Proposals'!$I$16*VLOOKUP(CD$3,DRIPE!$A$54:$I$82,8,FALSE), $C42 = "2",( 'Inputs-System'!$C$30*'Coincidence Factors'!$B$6*(1+'Inputs-System'!$C$18)*(1+'Inputs-System'!$C$41))*('Inputs-Proposals'!$I$23*'Inputs-Proposals'!$I$25*(1-'Inputs-Proposals'!$I$26)^(CD$3-'Inputs-System'!$C$7))*(VLOOKUP(CD$3,DRIPE!$A$54:$I$82,5,FALSE)+VLOOKUP(CD$3,DRIPE!$A$54:$I$82,9,FALSE))+ ('Inputs-System'!$C$26*'Coincidence Factors'!$B$6*(1+'Inputs-System'!$C$18)*(1+'Inputs-System'!$C$42))*'Inputs-Proposals'!$I$22*VLOOKUP(CD$3,DRIPE!$A$54:$I$82,8,FALSE), $C42= "3", ( 'Inputs-System'!$C$30*'Coincidence Factors'!$B$6*(1+'Inputs-System'!$C$18)*(1+'Inputs-System'!$C$41))*('Inputs-Proposals'!$I$29*'Inputs-Proposals'!$I$31*(1-'Inputs-Proposals'!$I$32)^(CD$3-'Inputs-System'!$C$7))*(VLOOKUP(CD$3,DRIPE!$A$54:$I$82,5,FALSE)+VLOOKUP(CD$3,DRIPE!$A$54:$I$82,9,FALSE))+ ('Inputs-System'!$C$26*'Coincidence Factors'!$B$6*(1+'Inputs-System'!$C$18)*(1+'Inputs-System'!$C$42))*'Inputs-Proposals'!$I$28*VLOOKUP(CD$3,DRIPE!$A$54:$I$82,8,FALSE), $C42 = "0", 0), 0)</f>
        <v>0</v>
      </c>
      <c r="CG42" s="45">
        <f>IFERROR(_xlfn.IFS($C42="1",('Inputs-System'!$C$26*'Coincidence Factors'!$B$6*(1+'Inputs-System'!$C$18))*'Inputs-Proposals'!$I$16*(VLOOKUP(CD$3,Capacity!$A$53:$E$85,4,FALSE)*(1+'Inputs-System'!$C$42)+VLOOKUP(CD$3,Capacity!$A$53:$E$85,5,FALSE)*'Inputs-System'!$C$29*(1+'Inputs-System'!$C$43)), $C42 = "2", ('Inputs-System'!$C$26*'Coincidence Factors'!$B$6*(1+'Inputs-System'!$C$18))*'Inputs-Proposals'!$I$22*(VLOOKUP(CD$3,Capacity!$A$53:$E$85,4,FALSE)*(1+'Inputs-System'!$C$42)+VLOOKUP(CD$3,Capacity!$A$53:$E$85,5,FALSE)*'Inputs-System'!$C$29*(1+'Inputs-System'!$C$43)), $C42 = "3",('Inputs-System'!$C$26*'Coincidence Factors'!$B$6*(1+'Inputs-System'!$C$18))*'Inputs-Proposals'!$I$28*(VLOOKUP(CD$3,Capacity!$A$53:$E$85,4,FALSE)*(1+'Inputs-System'!$C$42)+VLOOKUP(CD$3,Capacity!$A$53:$E$85,5,FALSE)*'Inputs-System'!$C$29*(1+'Inputs-System'!$C$43)), $C42 = "0", 0), 0)</f>
        <v>0</v>
      </c>
      <c r="CH42" s="44">
        <v>0</v>
      </c>
      <c r="CI42" s="342">
        <f>IFERROR(_xlfn.IFS($C42="1", 'Inputs-System'!$C$30*'Coincidence Factors'!$B$6*'Inputs-Proposals'!$I$17*'Inputs-Proposals'!$I$19*(VLOOKUP(CD$3,'Non-Embedded Emissions'!$A$56:$D$90,2,FALSE)+VLOOKUP(CD$3,'Non-Embedded Emissions'!$A$143:$D$174,2,FALSE)+VLOOKUP(CD$3,'Non-Embedded Emissions'!$A$230:$D$259,2,FALSE)), $C42 = "2", 'Inputs-System'!$C$30*'Coincidence Factors'!$B$6*'Inputs-Proposals'!$I$23*'Inputs-Proposals'!$I$25*(VLOOKUP(CD$3,'Non-Embedded Emissions'!$A$56:$D$90,2,FALSE)+VLOOKUP(CD$3,'Non-Embedded Emissions'!$A$143:$D$174,2,FALSE)+VLOOKUP(CD$3,'Non-Embedded Emissions'!$A$230:$D$259,2,FALSE)), $C42 = "3", 'Inputs-System'!$C$30*'Coincidence Factors'!$B$6*'Inputs-Proposals'!$I$29*'Inputs-Proposals'!$I$31*(VLOOKUP(CD$3,'Non-Embedded Emissions'!$A$56:$D$90,2,FALSE)+VLOOKUP(CD$3,'Non-Embedded Emissions'!$A$143:$D$174,2,FALSE)+VLOOKUP(CD$3,'Non-Embedded Emissions'!$A$230:$D$259,2,FALSE)), $C42 = "0", 0), 0)</f>
        <v>0</v>
      </c>
      <c r="CJ42" s="347">
        <f>IFERROR(_xlfn.IFS($C42="1",('Inputs-System'!$C$30*'Coincidence Factors'!$B$6*(1+'Inputs-System'!$C$18)*(1+'Inputs-System'!$C$41)*('Inputs-Proposals'!$I$17*'Inputs-Proposals'!$I$19*(1-'Inputs-Proposals'!$I$20^(CJ$3-'Inputs-System'!$C$7)))*(VLOOKUP(CJ$3,Energy!$A$51:$K$83,5,FALSE))), $C42 = "2",('Inputs-System'!$C$30*'Coincidence Factors'!$B$6)*(1+'Inputs-System'!$C$18)*(1+'Inputs-System'!$C$41)*('Inputs-Proposals'!$I$23*'Inputs-Proposals'!$I$25*(1-'Inputs-Proposals'!$I$26^(CJ$3-'Inputs-System'!$C$7)))*(VLOOKUP(CJ$3,Energy!$A$51:$K$83,5,FALSE)), $C42= "3", ('Inputs-System'!$C$30*'Coincidence Factors'!$B$6*(1+'Inputs-System'!$C$18)*(1+'Inputs-System'!$C$41)*('Inputs-Proposals'!$I$29*'Inputs-Proposals'!$I$31*(1-'Inputs-Proposals'!$I$32^(CJ$3-'Inputs-System'!$C$7)))*(VLOOKUP(CJ$3,Energy!$A$51:$K$83,5,FALSE))), $C42= "0", 0), 0)</f>
        <v>0</v>
      </c>
      <c r="CK42" s="44">
        <f>IFERROR(_xlfn.IFS($C42="1",('Inputs-System'!$C$30*'Coincidence Factors'!$B$6*(1+'Inputs-System'!$C$18)*(1+'Inputs-System'!$C$41))*'Inputs-Proposals'!$I$17*'Inputs-Proposals'!$I$19*(1-'Inputs-Proposals'!$I$20^(CJ$3-'Inputs-System'!$C$7))*(VLOOKUP(CJ$3,'Embedded Emissions'!$A$47:$B$78,2,FALSE)+VLOOKUP(CJ$3,'Embedded Emissions'!$A$129:$B$158,2,FALSE)), $C42 = "2",('Inputs-System'!$C$30*'Coincidence Factors'!$B$6*(1+'Inputs-System'!$C$18)*(1+'Inputs-System'!$C$41))*'Inputs-Proposals'!$I$23*'Inputs-Proposals'!$I$25*(1-'Inputs-Proposals'!$I$20^(CJ$3-'Inputs-System'!$C$7))*(VLOOKUP(CJ$3,'Embedded Emissions'!$A$47:$B$78,2,FALSE)+VLOOKUP(CJ$3,'Embedded Emissions'!$A$129:$B$158,2,FALSE)), $C42 = "3", ('Inputs-System'!$C$30*'Coincidence Factors'!$B$6*(1+'Inputs-System'!$C$18)*(1+'Inputs-System'!$C$41))*'Inputs-Proposals'!$I$29*'Inputs-Proposals'!$I$31*(1-'Inputs-Proposals'!$I$20^(CJ$3-'Inputs-System'!$C$7))*(VLOOKUP(CJ$3,'Embedded Emissions'!$A$47:$B$78,2,FALSE)+VLOOKUP(CJ$3,'Embedded Emissions'!$A$129:$B$158,2,FALSE)), $C42 = "0", 0), 0)</f>
        <v>0</v>
      </c>
      <c r="CL42" s="44">
        <f>IFERROR(_xlfn.IFS($C42="1",( 'Inputs-System'!$C$30*'Coincidence Factors'!$B$6*(1+'Inputs-System'!$C$18)*(1+'Inputs-System'!$C$41))*('Inputs-Proposals'!$I$17*'Inputs-Proposals'!$I$19*(1-'Inputs-Proposals'!$I$20)^(CJ$3-'Inputs-System'!$C$7))*(VLOOKUP(CJ$3,DRIPE!$A$54:$I$82,5,FALSE)+VLOOKUP(CJ$3,DRIPE!$A$54:$I$82,9,FALSE))+ ('Inputs-System'!$C$26*'Coincidence Factors'!$B$6*(1+'Inputs-System'!$C$18)*(1+'Inputs-System'!$C$42))*'Inputs-Proposals'!$I$16*VLOOKUP(CJ$3,DRIPE!$A$54:$I$82,8,FALSE), $C42 = "2",( 'Inputs-System'!$C$30*'Coincidence Factors'!$B$6*(1+'Inputs-System'!$C$18)*(1+'Inputs-System'!$C$41))*('Inputs-Proposals'!$I$23*'Inputs-Proposals'!$I$25*(1-'Inputs-Proposals'!$I$26)^(CJ$3-'Inputs-System'!$C$7))*(VLOOKUP(CJ$3,DRIPE!$A$54:$I$82,5,FALSE)+VLOOKUP(CJ$3,DRIPE!$A$54:$I$82,9,FALSE))+ ('Inputs-System'!$C$26*'Coincidence Factors'!$B$6*(1+'Inputs-System'!$C$18)*(1+'Inputs-System'!$C$42))*'Inputs-Proposals'!$I$22*VLOOKUP(CJ$3,DRIPE!$A$54:$I$82,8,FALSE), $C42= "3", ( 'Inputs-System'!$C$30*'Coincidence Factors'!$B$6*(1+'Inputs-System'!$C$18)*(1+'Inputs-System'!$C$41))*('Inputs-Proposals'!$I$29*'Inputs-Proposals'!$I$31*(1-'Inputs-Proposals'!$I$32)^(CJ$3-'Inputs-System'!$C$7))*(VLOOKUP(CJ$3,DRIPE!$A$54:$I$82,5,FALSE)+VLOOKUP(CJ$3,DRIPE!$A$54:$I$82,9,FALSE))+ ('Inputs-System'!$C$26*'Coincidence Factors'!$B$6*(1+'Inputs-System'!$C$18)*(1+'Inputs-System'!$C$42))*'Inputs-Proposals'!$I$28*VLOOKUP(CJ$3,DRIPE!$A$54:$I$82,8,FALSE), $C42 = "0", 0), 0)</f>
        <v>0</v>
      </c>
      <c r="CM42" s="45">
        <f>IFERROR(_xlfn.IFS($C42="1",('Inputs-System'!$C$26*'Coincidence Factors'!$B$6*(1+'Inputs-System'!$C$18))*'Inputs-Proposals'!$I$16*(VLOOKUP(CJ$3,Capacity!$A$53:$E$85,4,FALSE)*(1+'Inputs-System'!$C$42)+VLOOKUP(CJ$3,Capacity!$A$53:$E$85,5,FALSE)*'Inputs-System'!$C$29*(1+'Inputs-System'!$C$43)), $C42 = "2", ('Inputs-System'!$C$26*'Coincidence Factors'!$B$6*(1+'Inputs-System'!$C$18))*'Inputs-Proposals'!$I$22*(VLOOKUP(CJ$3,Capacity!$A$53:$E$85,4,FALSE)*(1+'Inputs-System'!$C$42)+VLOOKUP(CJ$3,Capacity!$A$53:$E$85,5,FALSE)*'Inputs-System'!$C$29*(1+'Inputs-System'!$C$43)), $C42 = "3",('Inputs-System'!$C$26*'Coincidence Factors'!$B$6*(1+'Inputs-System'!$C$18))*'Inputs-Proposals'!$I$28*(VLOOKUP(CJ$3,Capacity!$A$53:$E$85,4,FALSE)*(1+'Inputs-System'!$C$42)+VLOOKUP(CJ$3,Capacity!$A$53:$E$85,5,FALSE)*'Inputs-System'!$C$29*(1+'Inputs-System'!$C$43)), $C42 = "0", 0), 0)</f>
        <v>0</v>
      </c>
      <c r="CN42" s="44">
        <v>0</v>
      </c>
      <c r="CO42" s="342">
        <f>IFERROR(_xlfn.IFS($C42="1", 'Inputs-System'!$C$30*'Coincidence Factors'!$B$6*'Inputs-Proposals'!$I$17*'Inputs-Proposals'!$I$19*(VLOOKUP(CJ$3,'Non-Embedded Emissions'!$A$56:$D$90,2,FALSE)+VLOOKUP(CJ$3,'Non-Embedded Emissions'!$A$143:$D$174,2,FALSE)+VLOOKUP(CJ$3,'Non-Embedded Emissions'!$A$230:$D$259,2,FALSE)), $C42 = "2", 'Inputs-System'!$C$30*'Coincidence Factors'!$B$6*'Inputs-Proposals'!$I$23*'Inputs-Proposals'!$I$25*(VLOOKUP(CJ$3,'Non-Embedded Emissions'!$A$56:$D$90,2,FALSE)+VLOOKUP(CJ$3,'Non-Embedded Emissions'!$A$143:$D$174,2,FALSE)+VLOOKUP(CJ$3,'Non-Embedded Emissions'!$A$230:$D$259,2,FALSE)), $C42 = "3", 'Inputs-System'!$C$30*'Coincidence Factors'!$B$6*'Inputs-Proposals'!$I$29*'Inputs-Proposals'!$I$31*(VLOOKUP(CJ$3,'Non-Embedded Emissions'!$A$56:$D$90,2,FALSE)+VLOOKUP(CJ$3,'Non-Embedded Emissions'!$A$143:$D$174,2,FALSE)+VLOOKUP(CJ$3,'Non-Embedded Emissions'!$A$230:$D$259,2,FALSE)), $C42 = "0", 0), 0)</f>
        <v>0</v>
      </c>
      <c r="CP42" s="347">
        <f>IFERROR(_xlfn.IFS($C42="1",('Inputs-System'!$C$30*'Coincidence Factors'!$B$6*(1+'Inputs-System'!$C$18)*(1+'Inputs-System'!$C$41)*('Inputs-Proposals'!$I$17*'Inputs-Proposals'!$I$19*(1-'Inputs-Proposals'!$I$20^(CP$3-'Inputs-System'!$C$7)))*(VLOOKUP(CP$3,Energy!$A$51:$K$83,5,FALSE))), $C42 = "2",('Inputs-System'!$C$30*'Coincidence Factors'!$B$6)*(1+'Inputs-System'!$C$18)*(1+'Inputs-System'!$C$41)*('Inputs-Proposals'!$I$23*'Inputs-Proposals'!$I$25*(1-'Inputs-Proposals'!$I$26^(CP$3-'Inputs-System'!$C$7)))*(VLOOKUP(CP$3,Energy!$A$51:$K$83,5,FALSE)), $C42= "3", ('Inputs-System'!$C$30*'Coincidence Factors'!$B$6*(1+'Inputs-System'!$C$18)*(1+'Inputs-System'!$C$41)*('Inputs-Proposals'!$I$29*'Inputs-Proposals'!$I$31*(1-'Inputs-Proposals'!$I$32^(CP$3-'Inputs-System'!$C$7)))*(VLOOKUP(CP$3,Energy!$A$51:$K$83,5,FALSE))), $C42= "0", 0), 0)</f>
        <v>0</v>
      </c>
      <c r="CQ42" s="44">
        <f>IFERROR(_xlfn.IFS($C42="1",('Inputs-System'!$C$30*'Coincidence Factors'!$B$6*(1+'Inputs-System'!$C$18)*(1+'Inputs-System'!$C$41))*'Inputs-Proposals'!$I$17*'Inputs-Proposals'!$I$19*(1-'Inputs-Proposals'!$I$20^(CP$3-'Inputs-System'!$C$7))*(VLOOKUP(CP$3,'Embedded Emissions'!$A$47:$B$78,2,FALSE)+VLOOKUP(CP$3,'Embedded Emissions'!$A$129:$B$158,2,FALSE)), $C42 = "2",('Inputs-System'!$C$30*'Coincidence Factors'!$B$6*(1+'Inputs-System'!$C$18)*(1+'Inputs-System'!$C$41))*'Inputs-Proposals'!$I$23*'Inputs-Proposals'!$I$25*(1-'Inputs-Proposals'!$I$20^(CP$3-'Inputs-System'!$C$7))*(VLOOKUP(CP$3,'Embedded Emissions'!$A$47:$B$78,2,FALSE)+VLOOKUP(CP$3,'Embedded Emissions'!$A$129:$B$158,2,FALSE)), $C42 = "3", ('Inputs-System'!$C$30*'Coincidence Factors'!$B$6*(1+'Inputs-System'!$C$18)*(1+'Inputs-System'!$C$41))*'Inputs-Proposals'!$I$29*'Inputs-Proposals'!$I$31*(1-'Inputs-Proposals'!$I$20^(CP$3-'Inputs-System'!$C$7))*(VLOOKUP(CP$3,'Embedded Emissions'!$A$47:$B$78,2,FALSE)+VLOOKUP(CP$3,'Embedded Emissions'!$A$129:$B$158,2,FALSE)), $C42 = "0", 0), 0)</f>
        <v>0</v>
      </c>
      <c r="CR42" s="44">
        <f>IFERROR(_xlfn.IFS($C42="1",( 'Inputs-System'!$C$30*'Coincidence Factors'!$B$6*(1+'Inputs-System'!$C$18)*(1+'Inputs-System'!$C$41))*('Inputs-Proposals'!$I$17*'Inputs-Proposals'!$I$19*(1-'Inputs-Proposals'!$I$20)^(CP$3-'Inputs-System'!$C$7))*(VLOOKUP(CP$3,DRIPE!$A$54:$I$82,5,FALSE)+VLOOKUP(CP$3,DRIPE!$A$54:$I$82,9,FALSE))+ ('Inputs-System'!$C$26*'Coincidence Factors'!$B$6*(1+'Inputs-System'!$C$18)*(1+'Inputs-System'!$C$42))*'Inputs-Proposals'!$I$16*VLOOKUP(CP$3,DRIPE!$A$54:$I$82,8,FALSE), $C42 = "2",( 'Inputs-System'!$C$30*'Coincidence Factors'!$B$6*(1+'Inputs-System'!$C$18)*(1+'Inputs-System'!$C$41))*('Inputs-Proposals'!$I$23*'Inputs-Proposals'!$I$25*(1-'Inputs-Proposals'!$I$26)^(CP$3-'Inputs-System'!$C$7))*(VLOOKUP(CP$3,DRIPE!$A$54:$I$82,5,FALSE)+VLOOKUP(CP$3,DRIPE!$A$54:$I$82,9,FALSE))+ ('Inputs-System'!$C$26*'Coincidence Factors'!$B$6*(1+'Inputs-System'!$C$18)*(1+'Inputs-System'!$C$42))*'Inputs-Proposals'!$I$22*VLOOKUP(CP$3,DRIPE!$A$54:$I$82,8,FALSE), $C42= "3", ( 'Inputs-System'!$C$30*'Coincidence Factors'!$B$6*(1+'Inputs-System'!$C$18)*(1+'Inputs-System'!$C$41))*('Inputs-Proposals'!$I$29*'Inputs-Proposals'!$I$31*(1-'Inputs-Proposals'!$I$32)^(CP$3-'Inputs-System'!$C$7))*(VLOOKUP(CP$3,DRIPE!$A$54:$I$82,5,FALSE)+VLOOKUP(CP$3,DRIPE!$A$54:$I$82,9,FALSE))+ ('Inputs-System'!$C$26*'Coincidence Factors'!$B$6*(1+'Inputs-System'!$C$18)*(1+'Inputs-System'!$C$42))*'Inputs-Proposals'!$I$28*VLOOKUP(CP$3,DRIPE!$A$54:$I$82,8,FALSE), $C42 = "0", 0), 0)</f>
        <v>0</v>
      </c>
      <c r="CS42" s="45">
        <f>IFERROR(_xlfn.IFS($C42="1",('Inputs-System'!$C$26*'Coincidence Factors'!$B$6*(1+'Inputs-System'!$C$18))*'Inputs-Proposals'!$I$16*(VLOOKUP(CP$3,Capacity!$A$53:$E$85,4,FALSE)*(1+'Inputs-System'!$C$42)+VLOOKUP(CP$3,Capacity!$A$53:$E$85,5,FALSE)*'Inputs-System'!$C$29*(1+'Inputs-System'!$C$43)), $C42 = "2", ('Inputs-System'!$C$26*'Coincidence Factors'!$B$6*(1+'Inputs-System'!$C$18))*'Inputs-Proposals'!$I$22*(VLOOKUP(CP$3,Capacity!$A$53:$E$85,4,FALSE)*(1+'Inputs-System'!$C$42)+VLOOKUP(CP$3,Capacity!$A$53:$E$85,5,FALSE)*'Inputs-System'!$C$29*(1+'Inputs-System'!$C$43)), $C42 = "3",('Inputs-System'!$C$26*'Coincidence Factors'!$B$6*(1+'Inputs-System'!$C$18))*'Inputs-Proposals'!$I$28*(VLOOKUP(CP$3,Capacity!$A$53:$E$85,4,FALSE)*(1+'Inputs-System'!$C$42)+VLOOKUP(CP$3,Capacity!$A$53:$E$85,5,FALSE)*'Inputs-System'!$C$29*(1+'Inputs-System'!$C$43)), $C42 = "0", 0), 0)</f>
        <v>0</v>
      </c>
      <c r="CT42" s="44">
        <v>0</v>
      </c>
      <c r="CU42" s="342">
        <f>IFERROR(_xlfn.IFS($C42="1", 'Inputs-System'!$C$30*'Coincidence Factors'!$B$6*'Inputs-Proposals'!$I$17*'Inputs-Proposals'!$I$19*(VLOOKUP(CP$3,'Non-Embedded Emissions'!$A$56:$D$90,2,FALSE)+VLOOKUP(CP$3,'Non-Embedded Emissions'!$A$143:$D$174,2,FALSE)+VLOOKUP(CP$3,'Non-Embedded Emissions'!$A$230:$D$259,2,FALSE)), $C42 = "2", 'Inputs-System'!$C$30*'Coincidence Factors'!$B$6*'Inputs-Proposals'!$I$23*'Inputs-Proposals'!$I$25*(VLOOKUP(CP$3,'Non-Embedded Emissions'!$A$56:$D$90,2,FALSE)+VLOOKUP(CP$3,'Non-Embedded Emissions'!$A$143:$D$174,2,FALSE)+VLOOKUP(CP$3,'Non-Embedded Emissions'!$A$230:$D$259,2,FALSE)), $C42 = "3", 'Inputs-System'!$C$30*'Coincidence Factors'!$B$6*'Inputs-Proposals'!$I$29*'Inputs-Proposals'!$I$31*(VLOOKUP(CP$3,'Non-Embedded Emissions'!$A$56:$D$90,2,FALSE)+VLOOKUP(CP$3,'Non-Embedded Emissions'!$A$143:$D$174,2,FALSE)+VLOOKUP(CP$3,'Non-Embedded Emissions'!$A$230:$D$259,2,FALSE)), $C42 = "0", 0), 0)</f>
        <v>0</v>
      </c>
      <c r="CV42" s="347">
        <f>IFERROR(_xlfn.IFS($C42="1",('Inputs-System'!$C$30*'Coincidence Factors'!$B$6*(1+'Inputs-System'!$C$18)*(1+'Inputs-System'!$C$41)*('Inputs-Proposals'!$I$17*'Inputs-Proposals'!$I$19*(1-'Inputs-Proposals'!$I$20^(CV$3-'Inputs-System'!$C$7)))*(VLOOKUP(CV$3,Energy!$A$51:$K$83,5,FALSE))), $C42 = "2",('Inputs-System'!$C$30*'Coincidence Factors'!$B$6)*(1+'Inputs-System'!$C$18)*(1+'Inputs-System'!$C$41)*('Inputs-Proposals'!$I$23*'Inputs-Proposals'!$I$25*(1-'Inputs-Proposals'!$I$26^(CV$3-'Inputs-System'!$C$7)))*(VLOOKUP(CV$3,Energy!$A$51:$K$83,5,FALSE)), $C42= "3", ('Inputs-System'!$C$30*'Coincidence Factors'!$B$6*(1+'Inputs-System'!$C$18)*(1+'Inputs-System'!$C$41)*('Inputs-Proposals'!$I$29*'Inputs-Proposals'!$I$31*(1-'Inputs-Proposals'!$I$32^(CV$3-'Inputs-System'!$C$7)))*(VLOOKUP(CV$3,Energy!$A$51:$K$83,5,FALSE))), $C42= "0", 0), 0)</f>
        <v>0</v>
      </c>
      <c r="CW42" s="44">
        <f>IFERROR(_xlfn.IFS($C42="1",('Inputs-System'!$C$30*'Coincidence Factors'!$B$6*(1+'Inputs-System'!$C$18)*(1+'Inputs-System'!$C$41))*'Inputs-Proposals'!$I$17*'Inputs-Proposals'!$I$19*(1-'Inputs-Proposals'!$I$20^(CV$3-'Inputs-System'!$C$7))*(VLOOKUP(CV$3,'Embedded Emissions'!$A$47:$B$78,2,FALSE)+VLOOKUP(CV$3,'Embedded Emissions'!$A$129:$B$158,2,FALSE)), $C42 = "2",('Inputs-System'!$C$30*'Coincidence Factors'!$B$6*(1+'Inputs-System'!$C$18)*(1+'Inputs-System'!$C$41))*'Inputs-Proposals'!$I$23*'Inputs-Proposals'!$I$25*(1-'Inputs-Proposals'!$I$20^(CV$3-'Inputs-System'!$C$7))*(VLOOKUP(CV$3,'Embedded Emissions'!$A$47:$B$78,2,FALSE)+VLOOKUP(CV$3,'Embedded Emissions'!$A$129:$B$158,2,FALSE)), $C42 = "3", ('Inputs-System'!$C$30*'Coincidence Factors'!$B$6*(1+'Inputs-System'!$C$18)*(1+'Inputs-System'!$C$41))*'Inputs-Proposals'!$I$29*'Inputs-Proposals'!$I$31*(1-'Inputs-Proposals'!$I$20^(CV$3-'Inputs-System'!$C$7))*(VLOOKUP(CV$3,'Embedded Emissions'!$A$47:$B$78,2,FALSE)+VLOOKUP(CV$3,'Embedded Emissions'!$A$129:$B$158,2,FALSE)), $C42 = "0", 0), 0)</f>
        <v>0</v>
      </c>
      <c r="CX42" s="44">
        <f>IFERROR(_xlfn.IFS($C42="1",( 'Inputs-System'!$C$30*'Coincidence Factors'!$B$6*(1+'Inputs-System'!$C$18)*(1+'Inputs-System'!$C$41))*('Inputs-Proposals'!$I$17*'Inputs-Proposals'!$I$19*(1-'Inputs-Proposals'!$I$20)^(CV$3-'Inputs-System'!$C$7))*(VLOOKUP(CV$3,DRIPE!$A$54:$I$82,5,FALSE)+VLOOKUP(CV$3,DRIPE!$A$54:$I$82,9,FALSE))+ ('Inputs-System'!$C$26*'Coincidence Factors'!$B$6*(1+'Inputs-System'!$C$18)*(1+'Inputs-System'!$C$42))*'Inputs-Proposals'!$I$16*VLOOKUP(CV$3,DRIPE!$A$54:$I$82,8,FALSE), $C42 = "2",( 'Inputs-System'!$C$30*'Coincidence Factors'!$B$6*(1+'Inputs-System'!$C$18)*(1+'Inputs-System'!$C$41))*('Inputs-Proposals'!$I$23*'Inputs-Proposals'!$I$25*(1-'Inputs-Proposals'!$I$26)^(CV$3-'Inputs-System'!$C$7))*(VLOOKUP(CV$3,DRIPE!$A$54:$I$82,5,FALSE)+VLOOKUP(CV$3,DRIPE!$A$54:$I$82,9,FALSE))+ ('Inputs-System'!$C$26*'Coincidence Factors'!$B$6*(1+'Inputs-System'!$C$18)*(1+'Inputs-System'!$C$42))*'Inputs-Proposals'!$I$22*VLOOKUP(CV$3,DRIPE!$A$54:$I$82,8,FALSE), $C42= "3", ( 'Inputs-System'!$C$30*'Coincidence Factors'!$B$6*(1+'Inputs-System'!$C$18)*(1+'Inputs-System'!$C$41))*('Inputs-Proposals'!$I$29*'Inputs-Proposals'!$I$31*(1-'Inputs-Proposals'!$I$32)^(CV$3-'Inputs-System'!$C$7))*(VLOOKUP(CV$3,DRIPE!$A$54:$I$82,5,FALSE)+VLOOKUP(CV$3,DRIPE!$A$54:$I$82,9,FALSE))+ ('Inputs-System'!$C$26*'Coincidence Factors'!$B$6*(1+'Inputs-System'!$C$18)*(1+'Inputs-System'!$C$42))*'Inputs-Proposals'!$I$28*VLOOKUP(CV$3,DRIPE!$A$54:$I$82,8,FALSE), $C42 = "0", 0), 0)</f>
        <v>0</v>
      </c>
      <c r="CY42" s="45">
        <f>IFERROR(_xlfn.IFS($C42="1",('Inputs-System'!$C$26*'Coincidence Factors'!$B$6*(1+'Inputs-System'!$C$18))*'Inputs-Proposals'!$I$16*(VLOOKUP(CV$3,Capacity!$A$53:$E$85,4,FALSE)*(1+'Inputs-System'!$C$42)+VLOOKUP(CV$3,Capacity!$A$53:$E$85,5,FALSE)*'Inputs-System'!$C$29*(1+'Inputs-System'!$C$43)), $C42 = "2", ('Inputs-System'!$C$26*'Coincidence Factors'!$B$6*(1+'Inputs-System'!$C$18))*'Inputs-Proposals'!$I$22*(VLOOKUP(CV$3,Capacity!$A$53:$E$85,4,FALSE)*(1+'Inputs-System'!$C$42)+VLOOKUP(CV$3,Capacity!$A$53:$E$85,5,FALSE)*'Inputs-System'!$C$29*(1+'Inputs-System'!$C$43)), $C42 = "3",('Inputs-System'!$C$26*'Coincidence Factors'!$B$6*(1+'Inputs-System'!$C$18))*'Inputs-Proposals'!$I$28*(VLOOKUP(CV$3,Capacity!$A$53:$E$85,4,FALSE)*(1+'Inputs-System'!$C$42)+VLOOKUP(CV$3,Capacity!$A$53:$E$85,5,FALSE)*'Inputs-System'!$C$29*(1+'Inputs-System'!$C$43)), $C42 = "0", 0), 0)</f>
        <v>0</v>
      </c>
      <c r="CZ42" s="44">
        <v>0</v>
      </c>
      <c r="DA42" s="342">
        <f>IFERROR(_xlfn.IFS($C42="1", 'Inputs-System'!$C$30*'Coincidence Factors'!$B$6*'Inputs-Proposals'!$I$17*'Inputs-Proposals'!$I$19*(VLOOKUP(CV$3,'Non-Embedded Emissions'!$A$56:$D$90,2,FALSE)+VLOOKUP(CV$3,'Non-Embedded Emissions'!$A$143:$D$174,2,FALSE)+VLOOKUP(CV$3,'Non-Embedded Emissions'!$A$230:$D$259,2,FALSE)), $C42 = "2", 'Inputs-System'!$C$30*'Coincidence Factors'!$B$6*'Inputs-Proposals'!$I$23*'Inputs-Proposals'!$I$25*(VLOOKUP(CV$3,'Non-Embedded Emissions'!$A$56:$D$90,2,FALSE)+VLOOKUP(CV$3,'Non-Embedded Emissions'!$A$143:$D$174,2,FALSE)+VLOOKUP(CV$3,'Non-Embedded Emissions'!$A$230:$D$259,2,FALSE)), $C42 = "3", 'Inputs-System'!$C$30*'Coincidence Factors'!$B$6*'Inputs-Proposals'!$I$29*'Inputs-Proposals'!$I$31*(VLOOKUP(CV$3,'Non-Embedded Emissions'!$A$56:$D$90,2,FALSE)+VLOOKUP(CV$3,'Non-Embedded Emissions'!$A$143:$D$174,2,FALSE)+VLOOKUP(CV$3,'Non-Embedded Emissions'!$A$230:$D$259,2,FALSE)), $C42 = "0", 0), 0)</f>
        <v>0</v>
      </c>
      <c r="DB42" s="347">
        <f>IFERROR(_xlfn.IFS($C42="1",('Inputs-System'!$C$30*'Coincidence Factors'!$B$6*(1+'Inputs-System'!$C$18)*(1+'Inputs-System'!$C$41)*('Inputs-Proposals'!$I$17*'Inputs-Proposals'!$I$19*(1-'Inputs-Proposals'!$I$20^(DB$3-'Inputs-System'!$C$7)))*(VLOOKUP(DB$3,Energy!$A$51:$K$83,5,FALSE))), $C42 = "2",('Inputs-System'!$C$30*'Coincidence Factors'!$B$6)*(1+'Inputs-System'!$C$18)*(1+'Inputs-System'!$C$41)*('Inputs-Proposals'!$I$23*'Inputs-Proposals'!$I$25*(1-'Inputs-Proposals'!$I$26^(DB$3-'Inputs-System'!$C$7)))*(VLOOKUP(DB$3,Energy!$A$51:$K$83,5,FALSE)), $C42= "3", ('Inputs-System'!$C$30*'Coincidence Factors'!$B$6*(1+'Inputs-System'!$C$18)*(1+'Inputs-System'!$C$41)*('Inputs-Proposals'!$I$29*'Inputs-Proposals'!$I$31*(1-'Inputs-Proposals'!$I$32^(DB$3-'Inputs-System'!$C$7)))*(VLOOKUP(DB$3,Energy!$A$51:$K$83,5,FALSE))), $C42= "0", 0), 0)</f>
        <v>0</v>
      </c>
      <c r="DC42" s="44">
        <f>IFERROR(_xlfn.IFS($C42="1",('Inputs-System'!$C$30*'Coincidence Factors'!$B$6*(1+'Inputs-System'!$C$18)*(1+'Inputs-System'!$C$41))*'Inputs-Proposals'!$I$17*'Inputs-Proposals'!$I$19*(1-'Inputs-Proposals'!$I$20^(DB$3-'Inputs-System'!$C$7))*(VLOOKUP(DB$3,'Embedded Emissions'!$A$47:$B$78,2,FALSE)+VLOOKUP(DB$3,'Embedded Emissions'!$A$129:$B$158,2,FALSE)), $C42 = "2",('Inputs-System'!$C$30*'Coincidence Factors'!$B$6*(1+'Inputs-System'!$C$18)*(1+'Inputs-System'!$C$41))*'Inputs-Proposals'!$I$23*'Inputs-Proposals'!$I$25*(1-'Inputs-Proposals'!$I$20^(DB$3-'Inputs-System'!$C$7))*(VLOOKUP(DB$3,'Embedded Emissions'!$A$47:$B$78,2,FALSE)+VLOOKUP(DB$3,'Embedded Emissions'!$A$129:$B$158,2,FALSE)), $C42 = "3", ('Inputs-System'!$C$30*'Coincidence Factors'!$B$6*(1+'Inputs-System'!$C$18)*(1+'Inputs-System'!$C$41))*'Inputs-Proposals'!$I$29*'Inputs-Proposals'!$I$31*(1-'Inputs-Proposals'!$I$20^(DB$3-'Inputs-System'!$C$7))*(VLOOKUP(DB$3,'Embedded Emissions'!$A$47:$B$78,2,FALSE)+VLOOKUP(DB$3,'Embedded Emissions'!$A$129:$B$158,2,FALSE)), $C42 = "0", 0), 0)</f>
        <v>0</v>
      </c>
      <c r="DD42" s="44">
        <f>IFERROR(_xlfn.IFS($C42="1",( 'Inputs-System'!$C$30*'Coincidence Factors'!$B$6*(1+'Inputs-System'!$C$18)*(1+'Inputs-System'!$C$41))*('Inputs-Proposals'!$I$17*'Inputs-Proposals'!$I$19*(1-'Inputs-Proposals'!$I$20)^(DB$3-'Inputs-System'!$C$7))*(VLOOKUP(DB$3,DRIPE!$A$54:$I$82,5,FALSE)+VLOOKUP(DB$3,DRIPE!$A$54:$I$82,9,FALSE))+ ('Inputs-System'!$C$26*'Coincidence Factors'!$B$6*(1+'Inputs-System'!$C$18)*(1+'Inputs-System'!$C$42))*'Inputs-Proposals'!$I$16*VLOOKUP(DB$3,DRIPE!$A$54:$I$82,8,FALSE), $C42 = "2",( 'Inputs-System'!$C$30*'Coincidence Factors'!$B$6*(1+'Inputs-System'!$C$18)*(1+'Inputs-System'!$C$41))*('Inputs-Proposals'!$I$23*'Inputs-Proposals'!$I$25*(1-'Inputs-Proposals'!$I$26)^(DB$3-'Inputs-System'!$C$7))*(VLOOKUP(DB$3,DRIPE!$A$54:$I$82,5,FALSE)+VLOOKUP(DB$3,DRIPE!$A$54:$I$82,9,FALSE))+ ('Inputs-System'!$C$26*'Coincidence Factors'!$B$6*(1+'Inputs-System'!$C$18)*(1+'Inputs-System'!$C$42))*'Inputs-Proposals'!$I$22*VLOOKUP(DB$3,DRIPE!$A$54:$I$82,8,FALSE), $C42= "3", ( 'Inputs-System'!$C$30*'Coincidence Factors'!$B$6*(1+'Inputs-System'!$C$18)*(1+'Inputs-System'!$C$41))*('Inputs-Proposals'!$I$29*'Inputs-Proposals'!$I$31*(1-'Inputs-Proposals'!$I$32)^(DB$3-'Inputs-System'!$C$7))*(VLOOKUP(DB$3,DRIPE!$A$54:$I$82,5,FALSE)+VLOOKUP(DB$3,DRIPE!$A$54:$I$82,9,FALSE))+ ('Inputs-System'!$C$26*'Coincidence Factors'!$B$6*(1+'Inputs-System'!$C$18)*(1+'Inputs-System'!$C$42))*'Inputs-Proposals'!$I$28*VLOOKUP(DB$3,DRIPE!$A$54:$I$82,8,FALSE), $C42 = "0", 0), 0)</f>
        <v>0</v>
      </c>
      <c r="DE42" s="45">
        <f>IFERROR(_xlfn.IFS($C42="1",('Inputs-System'!$C$26*'Coincidence Factors'!$B$6*(1+'Inputs-System'!$C$18))*'Inputs-Proposals'!$I$16*(VLOOKUP(DB$3,Capacity!$A$53:$E$85,4,FALSE)*(1+'Inputs-System'!$C$42)+VLOOKUP(DB$3,Capacity!$A$53:$E$85,5,FALSE)*'Inputs-System'!$C$29*(1+'Inputs-System'!$C$43)), $C42 = "2", ('Inputs-System'!$C$26*'Coincidence Factors'!$B$6*(1+'Inputs-System'!$C$18))*'Inputs-Proposals'!$I$22*(VLOOKUP(DB$3,Capacity!$A$53:$E$85,4,FALSE)*(1+'Inputs-System'!$C$42)+VLOOKUP(DB$3,Capacity!$A$53:$E$85,5,FALSE)*'Inputs-System'!$C$29*(1+'Inputs-System'!$C$43)), $C42 = "3",('Inputs-System'!$C$26*'Coincidence Factors'!$B$6*(1+'Inputs-System'!$C$18))*'Inputs-Proposals'!$I$28*(VLOOKUP(DB$3,Capacity!$A$53:$E$85,4,FALSE)*(1+'Inputs-System'!$C$42)+VLOOKUP(DB$3,Capacity!$A$53:$E$85,5,FALSE)*'Inputs-System'!$C$29*(1+'Inputs-System'!$C$43)), $C42 = "0", 0), 0)</f>
        <v>0</v>
      </c>
      <c r="DF42" s="44">
        <v>0</v>
      </c>
      <c r="DG42" s="342">
        <f>IFERROR(_xlfn.IFS($C42="1", 'Inputs-System'!$C$30*'Coincidence Factors'!$B$6*'Inputs-Proposals'!$I$17*'Inputs-Proposals'!$I$19*(VLOOKUP(DB$3,'Non-Embedded Emissions'!$A$56:$D$90,2,FALSE)+VLOOKUP(DB$3,'Non-Embedded Emissions'!$A$143:$D$174,2,FALSE)+VLOOKUP(DB$3,'Non-Embedded Emissions'!$A$230:$D$259,2,FALSE)), $C42 = "2", 'Inputs-System'!$C$30*'Coincidence Factors'!$B$6*'Inputs-Proposals'!$I$23*'Inputs-Proposals'!$I$25*(VLOOKUP(DB$3,'Non-Embedded Emissions'!$A$56:$D$90,2,FALSE)+VLOOKUP(DB$3,'Non-Embedded Emissions'!$A$143:$D$174,2,FALSE)+VLOOKUP(DB$3,'Non-Embedded Emissions'!$A$230:$D$259,2,FALSE)), $C42 = "3", 'Inputs-System'!$C$30*'Coincidence Factors'!$B$6*'Inputs-Proposals'!$I$29*'Inputs-Proposals'!$I$31*(VLOOKUP(DB$3,'Non-Embedded Emissions'!$A$56:$D$90,2,FALSE)+VLOOKUP(DB$3,'Non-Embedded Emissions'!$A$143:$D$174,2,FALSE)+VLOOKUP(DB$3,'Non-Embedded Emissions'!$A$230:$D$259,2,FALSE)), $C42 = "0", 0), 0)</f>
        <v>0</v>
      </c>
      <c r="DH42" s="347">
        <f>IFERROR(_xlfn.IFS($C42="1",('Inputs-System'!$C$30*'Coincidence Factors'!$B$6*(1+'Inputs-System'!$C$18)*(1+'Inputs-System'!$C$41)*('Inputs-Proposals'!$I$17*'Inputs-Proposals'!$I$19*(1-'Inputs-Proposals'!$I$20^(DH$3-'Inputs-System'!$C$7)))*(VLOOKUP(DH$3,Energy!$A$51:$K$83,5,FALSE))), $C42 = "2",('Inputs-System'!$C$30*'Coincidence Factors'!$B$6)*(1+'Inputs-System'!$C$18)*(1+'Inputs-System'!$C$41)*('Inputs-Proposals'!$I$23*'Inputs-Proposals'!$I$25*(1-'Inputs-Proposals'!$I$26^(DH$3-'Inputs-System'!$C$7)))*(VLOOKUP(DH$3,Energy!$A$51:$K$83,5,FALSE)), $C42= "3", ('Inputs-System'!$C$30*'Coincidence Factors'!$B$6*(1+'Inputs-System'!$C$18)*(1+'Inputs-System'!$C$41)*('Inputs-Proposals'!$I$29*'Inputs-Proposals'!$I$31*(1-'Inputs-Proposals'!$I$32^(DH$3-'Inputs-System'!$C$7)))*(VLOOKUP(DH$3,Energy!$A$51:$K$83,5,FALSE))), $C42= "0", 0), 0)</f>
        <v>0</v>
      </c>
      <c r="DI42" s="44">
        <f>IFERROR(_xlfn.IFS($C42="1",('Inputs-System'!$C$30*'Coincidence Factors'!$B$6*(1+'Inputs-System'!$C$18)*(1+'Inputs-System'!$C$41))*'Inputs-Proposals'!$I$17*'Inputs-Proposals'!$I$19*(1-'Inputs-Proposals'!$I$20^(DH$3-'Inputs-System'!$C$7))*(VLOOKUP(DH$3,'Embedded Emissions'!$A$47:$B$78,2,FALSE)+VLOOKUP(DH$3,'Embedded Emissions'!$A$129:$B$158,2,FALSE)), $C42 = "2",('Inputs-System'!$C$30*'Coincidence Factors'!$B$6*(1+'Inputs-System'!$C$18)*(1+'Inputs-System'!$C$41))*'Inputs-Proposals'!$I$23*'Inputs-Proposals'!$I$25*(1-'Inputs-Proposals'!$I$20^(DH$3-'Inputs-System'!$C$7))*(VLOOKUP(DH$3,'Embedded Emissions'!$A$47:$B$78,2,FALSE)+VLOOKUP(DH$3,'Embedded Emissions'!$A$129:$B$158,2,FALSE)), $C42 = "3", ('Inputs-System'!$C$30*'Coincidence Factors'!$B$6*(1+'Inputs-System'!$C$18)*(1+'Inputs-System'!$C$41))*'Inputs-Proposals'!$I$29*'Inputs-Proposals'!$I$31*(1-'Inputs-Proposals'!$I$20^(DH$3-'Inputs-System'!$C$7))*(VLOOKUP(DH$3,'Embedded Emissions'!$A$47:$B$78,2,FALSE)+VLOOKUP(DH$3,'Embedded Emissions'!$A$129:$B$158,2,FALSE)), $C42 = "0", 0), 0)</f>
        <v>0</v>
      </c>
      <c r="DJ42" s="44">
        <f>IFERROR(_xlfn.IFS($C42="1",( 'Inputs-System'!$C$30*'Coincidence Factors'!$B$6*(1+'Inputs-System'!$C$18)*(1+'Inputs-System'!$C$41))*('Inputs-Proposals'!$I$17*'Inputs-Proposals'!$I$19*(1-'Inputs-Proposals'!$I$20)^(DH$3-'Inputs-System'!$C$7))*(VLOOKUP(DH$3,DRIPE!$A$54:$I$82,5,FALSE)+VLOOKUP(DH$3,DRIPE!$A$54:$I$82,9,FALSE))+ ('Inputs-System'!$C$26*'Coincidence Factors'!$B$6*(1+'Inputs-System'!$C$18)*(1+'Inputs-System'!$C$42))*'Inputs-Proposals'!$I$16*VLOOKUP(DH$3,DRIPE!$A$54:$I$82,8,FALSE), $C42 = "2",( 'Inputs-System'!$C$30*'Coincidence Factors'!$B$6*(1+'Inputs-System'!$C$18)*(1+'Inputs-System'!$C$41))*('Inputs-Proposals'!$I$23*'Inputs-Proposals'!$I$25*(1-'Inputs-Proposals'!$I$26)^(DH$3-'Inputs-System'!$C$7))*(VLOOKUP(DH$3,DRIPE!$A$54:$I$82,5,FALSE)+VLOOKUP(DH$3,DRIPE!$A$54:$I$82,9,FALSE))+ ('Inputs-System'!$C$26*'Coincidence Factors'!$B$6*(1+'Inputs-System'!$C$18)*(1+'Inputs-System'!$C$42))*'Inputs-Proposals'!$I$22*VLOOKUP(DH$3,DRIPE!$A$54:$I$82,8,FALSE), $C42= "3", ( 'Inputs-System'!$C$30*'Coincidence Factors'!$B$6*(1+'Inputs-System'!$C$18)*(1+'Inputs-System'!$C$41))*('Inputs-Proposals'!$I$29*'Inputs-Proposals'!$I$31*(1-'Inputs-Proposals'!$I$32)^(DH$3-'Inputs-System'!$C$7))*(VLOOKUP(DH$3,DRIPE!$A$54:$I$82,5,FALSE)+VLOOKUP(DH$3,DRIPE!$A$54:$I$82,9,FALSE))+ ('Inputs-System'!$C$26*'Coincidence Factors'!$B$6*(1+'Inputs-System'!$C$18)*(1+'Inputs-System'!$C$42))*'Inputs-Proposals'!$I$28*VLOOKUP(DH$3,DRIPE!$A$54:$I$82,8,FALSE), $C42 = "0", 0), 0)</f>
        <v>0</v>
      </c>
      <c r="DK42" s="45">
        <f>IFERROR(_xlfn.IFS($C42="1",('Inputs-System'!$C$26*'Coincidence Factors'!$B$6*(1+'Inputs-System'!$C$18))*'Inputs-Proposals'!$I$16*(VLOOKUP(DH$3,Capacity!$A$53:$E$85,4,FALSE)*(1+'Inputs-System'!$C$42)+VLOOKUP(DH$3,Capacity!$A$53:$E$85,5,FALSE)*'Inputs-System'!$C$29*(1+'Inputs-System'!$C$43)), $C42 = "2", ('Inputs-System'!$C$26*'Coincidence Factors'!$B$6*(1+'Inputs-System'!$C$18))*'Inputs-Proposals'!$I$22*(VLOOKUP(DH$3,Capacity!$A$53:$E$85,4,FALSE)*(1+'Inputs-System'!$C$42)+VLOOKUP(DH$3,Capacity!$A$53:$E$85,5,FALSE)*'Inputs-System'!$C$29*(1+'Inputs-System'!$C$43)), $C42 = "3",('Inputs-System'!$C$26*'Coincidence Factors'!$B$6*(1+'Inputs-System'!$C$18))*'Inputs-Proposals'!$I$28*(VLOOKUP(DH$3,Capacity!$A$53:$E$85,4,FALSE)*(1+'Inputs-System'!$C$42)+VLOOKUP(DH$3,Capacity!$A$53:$E$85,5,FALSE)*'Inputs-System'!$C$29*(1+'Inputs-System'!$C$43)), $C42 = "0", 0), 0)</f>
        <v>0</v>
      </c>
      <c r="DL42" s="44">
        <v>0</v>
      </c>
      <c r="DM42" s="342">
        <f>IFERROR(_xlfn.IFS($C42="1", 'Inputs-System'!$C$30*'Coincidence Factors'!$B$6*'Inputs-Proposals'!$I$17*'Inputs-Proposals'!$I$19*(VLOOKUP(DH$3,'Non-Embedded Emissions'!$A$56:$D$90,2,FALSE)+VLOOKUP(DH$3,'Non-Embedded Emissions'!$A$143:$D$174,2,FALSE)+VLOOKUP(DH$3,'Non-Embedded Emissions'!$A$230:$D$259,2,FALSE)), $C42 = "2", 'Inputs-System'!$C$30*'Coincidence Factors'!$B$6*'Inputs-Proposals'!$I$23*'Inputs-Proposals'!$I$25*(VLOOKUP(DH$3,'Non-Embedded Emissions'!$A$56:$D$90,2,FALSE)+VLOOKUP(DH$3,'Non-Embedded Emissions'!$A$143:$D$174,2,FALSE)+VLOOKUP(DH$3,'Non-Embedded Emissions'!$A$230:$D$259,2,FALSE)), $C42 = "3", 'Inputs-System'!$C$30*'Coincidence Factors'!$B$6*'Inputs-Proposals'!$I$29*'Inputs-Proposals'!$I$31*(VLOOKUP(DH$3,'Non-Embedded Emissions'!$A$56:$D$90,2,FALSE)+VLOOKUP(DH$3,'Non-Embedded Emissions'!$A$143:$D$174,2,FALSE)+VLOOKUP(DH$3,'Non-Embedded Emissions'!$A$230:$D$259,2,FALSE)), $C42 = "0", 0), 0)</f>
        <v>0</v>
      </c>
      <c r="DN42" s="347">
        <f>IFERROR(_xlfn.IFS($C42="1",('Inputs-System'!$C$30*'Coincidence Factors'!$B$6*(1+'Inputs-System'!$C$18)*(1+'Inputs-System'!$C$41)*('Inputs-Proposals'!$I$17*'Inputs-Proposals'!$I$19*(1-'Inputs-Proposals'!$I$20^(DN$3-'Inputs-System'!$C$7)))*(VLOOKUP(DN$3,Energy!$A$51:$K$83,5,FALSE))), $C42 = "2",('Inputs-System'!$C$30*'Coincidence Factors'!$B$6)*(1+'Inputs-System'!$C$18)*(1+'Inputs-System'!$C$41)*('Inputs-Proposals'!$I$23*'Inputs-Proposals'!$I$25*(1-'Inputs-Proposals'!$I$26^(DN$3-'Inputs-System'!$C$7)))*(VLOOKUP(DN$3,Energy!$A$51:$K$83,5,FALSE)), $C42= "3", ('Inputs-System'!$C$30*'Coincidence Factors'!$B$6*(1+'Inputs-System'!$C$18)*(1+'Inputs-System'!$C$41)*('Inputs-Proposals'!$I$29*'Inputs-Proposals'!$I$31*(1-'Inputs-Proposals'!$I$32^(DN$3-'Inputs-System'!$C$7)))*(VLOOKUP(DN$3,Energy!$A$51:$K$83,5,FALSE))), $C42= "0", 0), 0)</f>
        <v>0</v>
      </c>
      <c r="DO42" s="44">
        <f>IFERROR(_xlfn.IFS($C42="1",('Inputs-System'!$C$30*'Coincidence Factors'!$B$6*(1+'Inputs-System'!$C$18)*(1+'Inputs-System'!$C$41))*'Inputs-Proposals'!$I$17*'Inputs-Proposals'!$I$19*(1-'Inputs-Proposals'!$I$20^(DN$3-'Inputs-System'!$C$7))*(VLOOKUP(DN$3,'Embedded Emissions'!$A$47:$B$78,2,FALSE)+VLOOKUP(DN$3,'Embedded Emissions'!$A$129:$B$158,2,FALSE)), $C42 = "2",('Inputs-System'!$C$30*'Coincidence Factors'!$B$6*(1+'Inputs-System'!$C$18)*(1+'Inputs-System'!$C$41))*'Inputs-Proposals'!$I$23*'Inputs-Proposals'!$I$25*(1-'Inputs-Proposals'!$I$20^(DN$3-'Inputs-System'!$C$7))*(VLOOKUP(DN$3,'Embedded Emissions'!$A$47:$B$78,2,FALSE)+VLOOKUP(DN$3,'Embedded Emissions'!$A$129:$B$158,2,FALSE)), $C42 = "3", ('Inputs-System'!$C$30*'Coincidence Factors'!$B$6*(1+'Inputs-System'!$C$18)*(1+'Inputs-System'!$C$41))*'Inputs-Proposals'!$I$29*'Inputs-Proposals'!$I$31*(1-'Inputs-Proposals'!$I$20^(DN$3-'Inputs-System'!$C$7))*(VLOOKUP(DN$3,'Embedded Emissions'!$A$47:$B$78,2,FALSE)+VLOOKUP(DN$3,'Embedded Emissions'!$A$129:$B$158,2,FALSE)), $C42 = "0", 0), 0)</f>
        <v>0</v>
      </c>
      <c r="DP42" s="44">
        <f>IFERROR(_xlfn.IFS($C42="1",( 'Inputs-System'!$C$30*'Coincidence Factors'!$B$6*(1+'Inputs-System'!$C$18)*(1+'Inputs-System'!$C$41))*('Inputs-Proposals'!$I$17*'Inputs-Proposals'!$I$19*(1-'Inputs-Proposals'!$I$20)^(DN$3-'Inputs-System'!$C$7))*(VLOOKUP(DN$3,DRIPE!$A$54:$I$82,5,FALSE)+VLOOKUP(DN$3,DRIPE!$A$54:$I$82,9,FALSE))+ ('Inputs-System'!$C$26*'Coincidence Factors'!$B$6*(1+'Inputs-System'!$C$18)*(1+'Inputs-System'!$C$42))*'Inputs-Proposals'!$I$16*VLOOKUP(DN$3,DRIPE!$A$54:$I$82,8,FALSE), $C42 = "2",( 'Inputs-System'!$C$30*'Coincidence Factors'!$B$6*(1+'Inputs-System'!$C$18)*(1+'Inputs-System'!$C$41))*('Inputs-Proposals'!$I$23*'Inputs-Proposals'!$I$25*(1-'Inputs-Proposals'!$I$26)^(DN$3-'Inputs-System'!$C$7))*(VLOOKUP(DN$3,DRIPE!$A$54:$I$82,5,FALSE)+VLOOKUP(DN$3,DRIPE!$A$54:$I$82,9,FALSE))+ ('Inputs-System'!$C$26*'Coincidence Factors'!$B$6*(1+'Inputs-System'!$C$18)*(1+'Inputs-System'!$C$42))*'Inputs-Proposals'!$I$22*VLOOKUP(DN$3,DRIPE!$A$54:$I$82,8,FALSE), $C42= "3", ( 'Inputs-System'!$C$30*'Coincidence Factors'!$B$6*(1+'Inputs-System'!$C$18)*(1+'Inputs-System'!$C$41))*('Inputs-Proposals'!$I$29*'Inputs-Proposals'!$I$31*(1-'Inputs-Proposals'!$I$32)^(DN$3-'Inputs-System'!$C$7))*(VLOOKUP(DN$3,DRIPE!$A$54:$I$82,5,FALSE)+VLOOKUP(DN$3,DRIPE!$A$54:$I$82,9,FALSE))+ ('Inputs-System'!$C$26*'Coincidence Factors'!$B$6*(1+'Inputs-System'!$C$18)*(1+'Inputs-System'!$C$42))*'Inputs-Proposals'!$I$28*VLOOKUP(DN$3,DRIPE!$A$54:$I$82,8,FALSE), $C42 = "0", 0), 0)</f>
        <v>0</v>
      </c>
      <c r="DQ42" s="45">
        <f>IFERROR(_xlfn.IFS($C42="1",('Inputs-System'!$C$26*'Coincidence Factors'!$B$6*(1+'Inputs-System'!$C$18))*'Inputs-Proposals'!$I$16*(VLOOKUP(DN$3,Capacity!$A$53:$E$85,4,FALSE)*(1+'Inputs-System'!$C$42)+VLOOKUP(DN$3,Capacity!$A$53:$E$85,5,FALSE)*'Inputs-System'!$C$29*(1+'Inputs-System'!$C$43)), $C42 = "2", ('Inputs-System'!$C$26*'Coincidence Factors'!$B$6*(1+'Inputs-System'!$C$18))*'Inputs-Proposals'!$I$22*(VLOOKUP(DN$3,Capacity!$A$53:$E$85,4,FALSE)*(1+'Inputs-System'!$C$42)+VLOOKUP(DN$3,Capacity!$A$53:$E$85,5,FALSE)*'Inputs-System'!$C$29*(1+'Inputs-System'!$C$43)), $C42 = "3",('Inputs-System'!$C$26*'Coincidence Factors'!$B$6*(1+'Inputs-System'!$C$18))*'Inputs-Proposals'!$I$28*(VLOOKUP(DN$3,Capacity!$A$53:$E$85,4,FALSE)*(1+'Inputs-System'!$C$42)+VLOOKUP(DN$3,Capacity!$A$53:$E$85,5,FALSE)*'Inputs-System'!$C$29*(1+'Inputs-System'!$C$43)), $C42 = "0", 0), 0)</f>
        <v>0</v>
      </c>
      <c r="DR42" s="44">
        <v>0</v>
      </c>
      <c r="DS42" s="342">
        <f>IFERROR(_xlfn.IFS($C42="1", 'Inputs-System'!$C$30*'Coincidence Factors'!$B$6*'Inputs-Proposals'!$I$17*'Inputs-Proposals'!$I$19*(VLOOKUP(DN$3,'Non-Embedded Emissions'!$A$56:$D$90,2,FALSE)+VLOOKUP(DN$3,'Non-Embedded Emissions'!$A$143:$D$174,2,FALSE)+VLOOKUP(DN$3,'Non-Embedded Emissions'!$A$230:$D$259,2,FALSE)), $C42 = "2", 'Inputs-System'!$C$30*'Coincidence Factors'!$B$6*'Inputs-Proposals'!$I$23*'Inputs-Proposals'!$I$25*(VLOOKUP(DN$3,'Non-Embedded Emissions'!$A$56:$D$90,2,FALSE)+VLOOKUP(DN$3,'Non-Embedded Emissions'!$A$143:$D$174,2,FALSE)+VLOOKUP(DN$3,'Non-Embedded Emissions'!$A$230:$D$259,2,FALSE)), $C42 = "3", 'Inputs-System'!$C$30*'Coincidence Factors'!$B$6*'Inputs-Proposals'!$I$29*'Inputs-Proposals'!$I$31*(VLOOKUP(DN$3,'Non-Embedded Emissions'!$A$56:$D$90,2,FALSE)+VLOOKUP(DN$3,'Non-Embedded Emissions'!$A$143:$D$174,2,FALSE)+VLOOKUP(DN$3,'Non-Embedded Emissions'!$A$230:$D$259,2,FALSE)), $C42 = "0", 0), 0)</f>
        <v>0</v>
      </c>
      <c r="DT42" s="347">
        <f>IFERROR(_xlfn.IFS($C42="1",('Inputs-System'!$C$30*'Coincidence Factors'!$B$6*(1+'Inputs-System'!$C$18)*(1+'Inputs-System'!$C$41)*('Inputs-Proposals'!$I$17*'Inputs-Proposals'!$I$19*(1-'Inputs-Proposals'!$I$20^(DT$3-'Inputs-System'!$C$7)))*(VLOOKUP(DT$3,Energy!$A$51:$K$83,5,FALSE))), $C42 = "2",('Inputs-System'!$C$30*'Coincidence Factors'!$B$6)*(1+'Inputs-System'!$C$18)*(1+'Inputs-System'!$C$41)*('Inputs-Proposals'!$I$23*'Inputs-Proposals'!$I$25*(1-'Inputs-Proposals'!$I$26^(DT$3-'Inputs-System'!$C$7)))*(VLOOKUP(DT$3,Energy!$A$51:$K$83,5,FALSE)), $C42= "3", ('Inputs-System'!$C$30*'Coincidence Factors'!$B$6*(1+'Inputs-System'!$C$18)*(1+'Inputs-System'!$C$41)*('Inputs-Proposals'!$I$29*'Inputs-Proposals'!$I$31*(1-'Inputs-Proposals'!$I$32^(DT$3-'Inputs-System'!$C$7)))*(VLOOKUP(DT$3,Energy!$A$51:$K$83,5,FALSE))), $C42= "0", 0), 0)</f>
        <v>0</v>
      </c>
      <c r="DU42" s="44">
        <f>IFERROR(_xlfn.IFS($C42="1",('Inputs-System'!$C$30*'Coincidence Factors'!$B$6*(1+'Inputs-System'!$C$18)*(1+'Inputs-System'!$C$41))*'Inputs-Proposals'!$I$17*'Inputs-Proposals'!$I$19*(1-'Inputs-Proposals'!$I$20^(DT$3-'Inputs-System'!$C$7))*(VLOOKUP(DT$3,'Embedded Emissions'!$A$47:$B$78,2,FALSE)+VLOOKUP(DT$3,'Embedded Emissions'!$A$129:$B$158,2,FALSE)), $C42 = "2",('Inputs-System'!$C$30*'Coincidence Factors'!$B$6*(1+'Inputs-System'!$C$18)*(1+'Inputs-System'!$C$41))*'Inputs-Proposals'!$I$23*'Inputs-Proposals'!$I$25*(1-'Inputs-Proposals'!$I$20^(DT$3-'Inputs-System'!$C$7))*(VLOOKUP(DT$3,'Embedded Emissions'!$A$47:$B$78,2,FALSE)+VLOOKUP(DT$3,'Embedded Emissions'!$A$129:$B$158,2,FALSE)), $C42 = "3", ('Inputs-System'!$C$30*'Coincidence Factors'!$B$6*(1+'Inputs-System'!$C$18)*(1+'Inputs-System'!$C$41))*'Inputs-Proposals'!$I$29*'Inputs-Proposals'!$I$31*(1-'Inputs-Proposals'!$I$20^(DT$3-'Inputs-System'!$C$7))*(VLOOKUP(DT$3,'Embedded Emissions'!$A$47:$B$78,2,FALSE)+VLOOKUP(DT$3,'Embedded Emissions'!$A$129:$B$158,2,FALSE)), $C42 = "0", 0), 0)</f>
        <v>0</v>
      </c>
      <c r="DV42" s="44">
        <f>IFERROR(_xlfn.IFS($C42="1",( 'Inputs-System'!$C$30*'Coincidence Factors'!$B$6*(1+'Inputs-System'!$C$18)*(1+'Inputs-System'!$C$41))*('Inputs-Proposals'!$I$17*'Inputs-Proposals'!$I$19*(1-'Inputs-Proposals'!$I$20)^(DT$3-'Inputs-System'!$C$7))*(VLOOKUP(DT$3,DRIPE!$A$54:$I$82,5,FALSE)+VLOOKUP(DT$3,DRIPE!$A$54:$I$82,9,FALSE))+ ('Inputs-System'!$C$26*'Coincidence Factors'!$B$6*(1+'Inputs-System'!$C$18)*(1+'Inputs-System'!$C$42))*'Inputs-Proposals'!$I$16*VLOOKUP(DT$3,DRIPE!$A$54:$I$82,8,FALSE), $C42 = "2",( 'Inputs-System'!$C$30*'Coincidence Factors'!$B$6*(1+'Inputs-System'!$C$18)*(1+'Inputs-System'!$C$41))*('Inputs-Proposals'!$I$23*'Inputs-Proposals'!$I$25*(1-'Inputs-Proposals'!$I$26)^(DT$3-'Inputs-System'!$C$7))*(VLOOKUP(DT$3,DRIPE!$A$54:$I$82,5,FALSE)+VLOOKUP(DT$3,DRIPE!$A$54:$I$82,9,FALSE))+ ('Inputs-System'!$C$26*'Coincidence Factors'!$B$6*(1+'Inputs-System'!$C$18)*(1+'Inputs-System'!$C$42))*'Inputs-Proposals'!$I$22*VLOOKUP(DT$3,DRIPE!$A$54:$I$82,8,FALSE), $C42= "3", ( 'Inputs-System'!$C$30*'Coincidence Factors'!$B$6*(1+'Inputs-System'!$C$18)*(1+'Inputs-System'!$C$41))*('Inputs-Proposals'!$I$29*'Inputs-Proposals'!$I$31*(1-'Inputs-Proposals'!$I$32)^(DT$3-'Inputs-System'!$C$7))*(VLOOKUP(DT$3,DRIPE!$A$54:$I$82,5,FALSE)+VLOOKUP(DT$3,DRIPE!$A$54:$I$82,9,FALSE))+ ('Inputs-System'!$C$26*'Coincidence Factors'!$B$6*(1+'Inputs-System'!$C$18)*(1+'Inputs-System'!$C$42))*'Inputs-Proposals'!$I$28*VLOOKUP(DT$3,DRIPE!$A$54:$I$82,8,FALSE), $C42 = "0", 0), 0)</f>
        <v>0</v>
      </c>
      <c r="DW42" s="45">
        <f>IFERROR(_xlfn.IFS($C42="1",('Inputs-System'!$C$26*'Coincidence Factors'!$B$6*(1+'Inputs-System'!$C$18))*'Inputs-Proposals'!$I$16*(VLOOKUP(DT$3,Capacity!$A$53:$E$85,4,FALSE)*(1+'Inputs-System'!$C$42)+VLOOKUP(DT$3,Capacity!$A$53:$E$85,5,FALSE)*'Inputs-System'!$C$29*(1+'Inputs-System'!$C$43)), $C42 = "2", ('Inputs-System'!$C$26*'Coincidence Factors'!$B$6*(1+'Inputs-System'!$C$18))*'Inputs-Proposals'!$I$22*(VLOOKUP(DT$3,Capacity!$A$53:$E$85,4,FALSE)*(1+'Inputs-System'!$C$42)+VLOOKUP(DT$3,Capacity!$A$53:$E$85,5,FALSE)*'Inputs-System'!$C$29*(1+'Inputs-System'!$C$43)), $C42 = "3",('Inputs-System'!$C$26*'Coincidence Factors'!$B$6*(1+'Inputs-System'!$C$18))*'Inputs-Proposals'!$I$28*(VLOOKUP(DT$3,Capacity!$A$53:$E$85,4,FALSE)*(1+'Inputs-System'!$C$42)+VLOOKUP(DT$3,Capacity!$A$53:$E$85,5,FALSE)*'Inputs-System'!$C$29*(1+'Inputs-System'!$C$43)), $C42 = "0", 0), 0)</f>
        <v>0</v>
      </c>
      <c r="DX42" s="44">
        <v>0</v>
      </c>
      <c r="DY42" s="342">
        <f>IFERROR(_xlfn.IFS($C42="1", 'Inputs-System'!$C$30*'Coincidence Factors'!$B$6*'Inputs-Proposals'!$I$17*'Inputs-Proposals'!$I$19*(VLOOKUP(DT$3,'Non-Embedded Emissions'!$A$56:$D$90,2,FALSE)+VLOOKUP(DT$3,'Non-Embedded Emissions'!$A$143:$D$174,2,FALSE)+VLOOKUP(DT$3,'Non-Embedded Emissions'!$A$230:$D$259,2,FALSE)), $C42 = "2", 'Inputs-System'!$C$30*'Coincidence Factors'!$B$6*'Inputs-Proposals'!$I$23*'Inputs-Proposals'!$I$25*(VLOOKUP(DT$3,'Non-Embedded Emissions'!$A$56:$D$90,2,FALSE)+VLOOKUP(DT$3,'Non-Embedded Emissions'!$A$143:$D$174,2,FALSE)+VLOOKUP(DT$3,'Non-Embedded Emissions'!$A$230:$D$259,2,FALSE)), $C42 = "3", 'Inputs-System'!$C$30*'Coincidence Factors'!$B$6*'Inputs-Proposals'!$I$29*'Inputs-Proposals'!$I$31*(VLOOKUP(DT$3,'Non-Embedded Emissions'!$A$56:$D$90,2,FALSE)+VLOOKUP(DT$3,'Non-Embedded Emissions'!$A$143:$D$174,2,FALSE)+VLOOKUP(DT$3,'Non-Embedded Emissions'!$A$230:$D$259,2,FALSE)), $C42 = "0", 0), 0)</f>
        <v>0</v>
      </c>
      <c r="DZ42" s="347">
        <f>IFERROR(_xlfn.IFS($C42="1",('Inputs-System'!$C$30*'Coincidence Factors'!$B$6*(1+'Inputs-System'!$C$18)*(1+'Inputs-System'!$C$41)*('Inputs-Proposals'!$I$17*'Inputs-Proposals'!$I$19*(1-'Inputs-Proposals'!$I$20^(DZ$3-'Inputs-System'!$C$7)))*(VLOOKUP(DZ$3,Energy!$A$51:$K$83,5,FALSE))), $C42 = "2",('Inputs-System'!$C$30*'Coincidence Factors'!$B$6)*(1+'Inputs-System'!$C$18)*(1+'Inputs-System'!$C$41)*('Inputs-Proposals'!$I$23*'Inputs-Proposals'!$I$25*(1-'Inputs-Proposals'!$I$26^(DZ$3-'Inputs-System'!$C$7)))*(VLOOKUP(DZ$3,Energy!$A$51:$K$83,5,FALSE)), $C42= "3", ('Inputs-System'!$C$30*'Coincidence Factors'!$B$6*(1+'Inputs-System'!$C$18)*(1+'Inputs-System'!$C$41)*('Inputs-Proposals'!$I$29*'Inputs-Proposals'!$I$31*(1-'Inputs-Proposals'!$I$32^(DZ$3-'Inputs-System'!$C$7)))*(VLOOKUP(DZ$3,Energy!$A$51:$K$83,5,FALSE))), $C42= "0", 0), 0)</f>
        <v>0</v>
      </c>
      <c r="EA42" s="44">
        <f>IFERROR(_xlfn.IFS($C42="1",('Inputs-System'!$C$30*'Coincidence Factors'!$B$6*(1+'Inputs-System'!$C$18)*(1+'Inputs-System'!$C$41))*'Inputs-Proposals'!$I$17*'Inputs-Proposals'!$I$19*(1-'Inputs-Proposals'!$I$20^(DZ$3-'Inputs-System'!$C$7))*(VLOOKUP(DZ$3,'Embedded Emissions'!$A$47:$B$78,2,FALSE)+VLOOKUP(DZ$3,'Embedded Emissions'!$A$129:$B$158,2,FALSE)), $C42 = "2",('Inputs-System'!$C$30*'Coincidence Factors'!$B$6*(1+'Inputs-System'!$C$18)*(1+'Inputs-System'!$C$41))*'Inputs-Proposals'!$I$23*'Inputs-Proposals'!$I$25*(1-'Inputs-Proposals'!$I$20^(DZ$3-'Inputs-System'!$C$7))*(VLOOKUP(DZ$3,'Embedded Emissions'!$A$47:$B$78,2,FALSE)+VLOOKUP(DZ$3,'Embedded Emissions'!$A$129:$B$158,2,FALSE)), $C42 = "3", ('Inputs-System'!$C$30*'Coincidence Factors'!$B$6*(1+'Inputs-System'!$C$18)*(1+'Inputs-System'!$C$41))*'Inputs-Proposals'!$I$29*'Inputs-Proposals'!$I$31*(1-'Inputs-Proposals'!$I$20^(DZ$3-'Inputs-System'!$C$7))*(VLOOKUP(DZ$3,'Embedded Emissions'!$A$47:$B$78,2,FALSE)+VLOOKUP(DZ$3,'Embedded Emissions'!$A$129:$B$158,2,FALSE)), $C42 = "0", 0), 0)</f>
        <v>0</v>
      </c>
      <c r="EB42" s="44">
        <f>IFERROR(_xlfn.IFS($C42="1",( 'Inputs-System'!$C$30*'Coincidence Factors'!$B$6*(1+'Inputs-System'!$C$18)*(1+'Inputs-System'!$C$41))*('Inputs-Proposals'!$I$17*'Inputs-Proposals'!$I$19*(1-'Inputs-Proposals'!$I$20)^(DZ$3-'Inputs-System'!$C$7))*(VLOOKUP(DZ$3,DRIPE!$A$54:$I$82,5,FALSE)+VLOOKUP(DZ$3,DRIPE!$A$54:$I$82,9,FALSE))+ ('Inputs-System'!$C$26*'Coincidence Factors'!$B$6*(1+'Inputs-System'!$C$18)*(1+'Inputs-System'!$C$42))*'Inputs-Proposals'!$I$16*VLOOKUP(DZ$3,DRIPE!$A$54:$I$82,8,FALSE), $C42 = "2",( 'Inputs-System'!$C$30*'Coincidence Factors'!$B$6*(1+'Inputs-System'!$C$18)*(1+'Inputs-System'!$C$41))*('Inputs-Proposals'!$I$23*'Inputs-Proposals'!$I$25*(1-'Inputs-Proposals'!$I$26)^(DZ$3-'Inputs-System'!$C$7))*(VLOOKUP(DZ$3,DRIPE!$A$54:$I$82,5,FALSE)+VLOOKUP(DZ$3,DRIPE!$A$54:$I$82,9,FALSE))+ ('Inputs-System'!$C$26*'Coincidence Factors'!$B$6*(1+'Inputs-System'!$C$18)*(1+'Inputs-System'!$C$42))*'Inputs-Proposals'!$I$22*VLOOKUP(DZ$3,DRIPE!$A$54:$I$82,8,FALSE), $C42= "3", ( 'Inputs-System'!$C$30*'Coincidence Factors'!$B$6*(1+'Inputs-System'!$C$18)*(1+'Inputs-System'!$C$41))*('Inputs-Proposals'!$I$29*'Inputs-Proposals'!$I$31*(1-'Inputs-Proposals'!$I$32)^(DZ$3-'Inputs-System'!$C$7))*(VLOOKUP(DZ$3,DRIPE!$A$54:$I$82,5,FALSE)+VLOOKUP(DZ$3,DRIPE!$A$54:$I$82,9,FALSE))+ ('Inputs-System'!$C$26*'Coincidence Factors'!$B$6*(1+'Inputs-System'!$C$18)*(1+'Inputs-System'!$C$42))*'Inputs-Proposals'!$I$28*VLOOKUP(DZ$3,DRIPE!$A$54:$I$82,8,FALSE), $C42 = "0", 0), 0)</f>
        <v>0</v>
      </c>
      <c r="EC42" s="45">
        <f>IFERROR(_xlfn.IFS($C42="1",('Inputs-System'!$C$26*'Coincidence Factors'!$B$6*(1+'Inputs-System'!$C$18))*'Inputs-Proposals'!$I$16*(VLOOKUP(DZ$3,Capacity!$A$53:$E$85,4,FALSE)*(1+'Inputs-System'!$C$42)+VLOOKUP(DZ$3,Capacity!$A$53:$E$85,5,FALSE)*'Inputs-System'!$C$29*(1+'Inputs-System'!$C$43)), $C42 = "2", ('Inputs-System'!$C$26*'Coincidence Factors'!$B$6*(1+'Inputs-System'!$C$18))*'Inputs-Proposals'!$I$22*(VLOOKUP(DZ$3,Capacity!$A$53:$E$85,4,FALSE)*(1+'Inputs-System'!$C$42)+VLOOKUP(DZ$3,Capacity!$A$53:$E$85,5,FALSE)*'Inputs-System'!$C$29*(1+'Inputs-System'!$C$43)), $C42 = "3",('Inputs-System'!$C$26*'Coincidence Factors'!$B$6*(1+'Inputs-System'!$C$18))*'Inputs-Proposals'!$I$28*(VLOOKUP(DZ$3,Capacity!$A$53:$E$85,4,FALSE)*(1+'Inputs-System'!$C$42)+VLOOKUP(DZ$3,Capacity!$A$53:$E$85,5,FALSE)*'Inputs-System'!$C$29*(1+'Inputs-System'!$C$43)), $C42 = "0", 0), 0)</f>
        <v>0</v>
      </c>
      <c r="ED42" s="44">
        <v>0</v>
      </c>
      <c r="EE42" s="342">
        <f>IFERROR(_xlfn.IFS($C42="1", 'Inputs-System'!$C$30*'Coincidence Factors'!$B$6*'Inputs-Proposals'!$I$17*'Inputs-Proposals'!$I$19*(VLOOKUP(DZ$3,'Non-Embedded Emissions'!$A$56:$D$90,2,FALSE)+VLOOKUP(DZ$3,'Non-Embedded Emissions'!$A$143:$D$174,2,FALSE)+VLOOKUP(DZ$3,'Non-Embedded Emissions'!$A$230:$D$259,2,FALSE)), $C42 = "2", 'Inputs-System'!$C$30*'Coincidence Factors'!$B$6*'Inputs-Proposals'!$I$23*'Inputs-Proposals'!$I$25*(VLOOKUP(DZ$3,'Non-Embedded Emissions'!$A$56:$D$90,2,FALSE)+VLOOKUP(DZ$3,'Non-Embedded Emissions'!$A$143:$D$174,2,FALSE)+VLOOKUP(DZ$3,'Non-Embedded Emissions'!$A$230:$D$259,2,FALSE)), $C42 = "3", 'Inputs-System'!$C$30*'Coincidence Factors'!$B$6*'Inputs-Proposals'!$I$29*'Inputs-Proposals'!$I$31*(VLOOKUP(DZ$3,'Non-Embedded Emissions'!$A$56:$D$90,2,FALSE)+VLOOKUP(DZ$3,'Non-Embedded Emissions'!$A$143:$D$174,2,FALSE)+VLOOKUP(DZ$3,'Non-Embedded Emissions'!$A$230:$D$259,2,FALSE)), $C42 = "0", 0), 0)</f>
        <v>0</v>
      </c>
    </row>
    <row r="43" spans="1:135" x14ac:dyDescent="0.35">
      <c r="A43" s="708"/>
      <c r="B43" s="3" t="s">
        <v>159</v>
      </c>
      <c r="C43" s="3" t="str">
        <f>IFERROR(_xlfn.IFS('Benefits Calc'!B43='Inputs-Proposals'!$I$15, "1", 'Benefits Calc'!B43='Inputs-Proposals'!$I$21, "2", 'Benefits Calc'!B43='Inputs-Proposals'!$I$27, "3"), "0")</f>
        <v>0</v>
      </c>
      <c r="D43" s="323">
        <f t="shared" si="0"/>
        <v>0</v>
      </c>
      <c r="E43" s="44">
        <f t="shared" si="1"/>
        <v>0</v>
      </c>
      <c r="F43" s="44">
        <f t="shared" si="2"/>
        <v>0</v>
      </c>
      <c r="G43" s="44">
        <f t="shared" si="3"/>
        <v>0</v>
      </c>
      <c r="H43" s="44">
        <f t="shared" si="4"/>
        <v>0</v>
      </c>
      <c r="I43" s="44">
        <f t="shared" si="5"/>
        <v>0</v>
      </c>
      <c r="J43" s="323">
        <f>NPV('Inputs-System'!$C$20,P43+V43+AB43+AH43+AN43+AT43+AZ43+BF43+BL43+BR43+BX43+CD43+CJ43+CP43+CV43+DB43+DH43+DN43+DT43+DZ43)</f>
        <v>0</v>
      </c>
      <c r="K43" s="44">
        <f>NPV('Inputs-System'!$C$20,Q43+W43+AC43+AI43+AO43+AU43+BA43+BG43+BM43+BS43+BY43+CE43+CK43+CQ43+CW43+DC43+DI43+DO43+DU43+EA43)</f>
        <v>0</v>
      </c>
      <c r="L43" s="44">
        <f>NPV('Inputs-System'!$C$20,R43+X43+AD43+AJ43+AP43+AV43+BB43+BH43+BN43+BT43+BZ43+CF43+CL43+CR43+CX43+DD43+DJ43+DP43+DV43+EB43)</f>
        <v>0</v>
      </c>
      <c r="M43" s="44">
        <f>NPV('Inputs-System'!$C$20,S43+Y43+AE43+AK43+AQ43+AW43+BC43+BI43+BO43+BU43+CA43+CG43+CM43+CS43+CY43+DE43+DK43+DQ43+DW43+EC43)</f>
        <v>0</v>
      </c>
      <c r="N43" s="44">
        <f>NPV('Inputs-System'!$C$20,T43+Z43+AF43+AL43+AR43+AX43+BD43+BJ43+BP43+BV43+CB43+CH43+CN43+CT43+CZ43+DF43+DL43+DR43+DX43+ED43)</f>
        <v>0</v>
      </c>
      <c r="O43" s="119">
        <f>NPV('Inputs-System'!$C$20,U43+AA43+AG43+AM43+AS43+AY43+BE43+BK43+BQ43+BW43+CC43+CI43+CO43+CU43+DA43+DG43+DM43+DS43+DY43+EE43)</f>
        <v>0</v>
      </c>
      <c r="P43" s="45">
        <f>IFERROR(_xlfn.IFS($C43="1",('Inputs-System'!$C$30*'Coincidence Factors'!$B$7*(1+'Inputs-System'!$C$18)*(1+'Inputs-System'!$C$41)*('Inputs-Proposals'!$I$17*'Inputs-Proposals'!$I$19*('Inputs-Proposals'!$I$20))*(VLOOKUP(P$3,Energy!$A$51:$K$83,5,FALSE))), $C43 = "2",('Inputs-System'!$C$30*'Coincidence Factors'!$B$7)*(1+'Inputs-System'!$C$18)*(1+'Inputs-System'!$C$41)*('Inputs-Proposals'!$I$23*'Inputs-Proposals'!$I$25*('Inputs-Proposals'!$I$26))*(VLOOKUP(P$3,Energy!$A$51:$K$83,5,FALSE)), $C43= "3", ('Inputs-System'!$C$30*'Coincidence Factors'!$B$7*(1+'Inputs-System'!$C$18)*(1+'Inputs-System'!$C$41)*('Inputs-Proposals'!$I$29*'Inputs-Proposals'!$I$31*('Inputs-Proposals'!$I$32))*(VLOOKUP(P$3,Energy!$A$51:$K$83,5,FALSE))), $C43= "0", 0), 0)</f>
        <v>0</v>
      </c>
      <c r="Q43" s="44">
        <f>IFERROR(_xlfn.IFS($C43="1",'Inputs-System'!$C$30*'Coincidence Factors'!$B$7*(1+'Inputs-System'!$C$18)*(1+'Inputs-System'!$C$41)*'Inputs-Proposals'!$I$17*'Inputs-Proposals'!$I$19*('Inputs-Proposals'!$I$20)*(VLOOKUP(P$3,'Embedded Emissions'!$A$47:$B$78,2,FALSE)+VLOOKUP(P$3,'Embedded Emissions'!$A$129:$B$158,2,FALSE)), $C43 = "2",'Inputs-System'!$C$30*'Coincidence Factors'!$B$7*(1+'Inputs-System'!$C$18)*(1+'Inputs-System'!$C$41)*'Inputs-Proposals'!$I$23*'Inputs-Proposals'!$I$25*('Inputs-Proposals'!$I$20)*(VLOOKUP(P$3,'Embedded Emissions'!$A$47:$B$78,2,FALSE)+VLOOKUP(P$3,'Embedded Emissions'!$A$129:$B$158,2,FALSE)), $C43 = "3", 'Inputs-System'!$C$30*'Coincidence Factors'!$B$7*(1+'Inputs-System'!$C$18)*(1+'Inputs-System'!$C$41)*'Inputs-Proposals'!$I$29*'Inputs-Proposals'!$I$31*('Inputs-Proposals'!$I$20)*(VLOOKUP(P$3,'Embedded Emissions'!$A$47:$B$78,2,FALSE)+VLOOKUP(P$3,'Embedded Emissions'!$A$129:$B$158,2,FALSE)), $C43 = "0", 0), 0)</f>
        <v>0</v>
      </c>
      <c r="R43" s="44">
        <f>IFERROR(_xlfn.IFS($C43="1",( 'Inputs-System'!$C$30*'Coincidence Factors'!$B$7*(1+'Inputs-System'!$C$18)*(1+'Inputs-System'!$C$41))*('Inputs-Proposals'!$I$17*'Inputs-Proposals'!$I$19*('Inputs-Proposals'!$I$20))*(VLOOKUP(P$3,DRIPE!$A$54:$I$82,5,FALSE)+VLOOKUP(P$3,DRIPE!$A$54:$I$82,9,FALSE))+ ('Inputs-System'!$C$26*'Coincidence Factors'!$B$7*(1+'Inputs-System'!$C$18)*(1+'Inputs-System'!$C$42))*'Inputs-Proposals'!$I$16*VLOOKUP(P$3,DRIPE!$A$54:$I$82,8,FALSE), $C43 = "2",( 'Inputs-System'!$C$30*'Coincidence Factors'!$B$7*(1+'Inputs-System'!$C$18)*(1+'Inputs-System'!$C$41))*('Inputs-Proposals'!$I$23*'Inputs-Proposals'!$I$25*('Inputs-Proposals'!$I$26))*(VLOOKUP(P$3,DRIPE!$A$54:$I$82,5,FALSE)+VLOOKUP(P$3,DRIPE!$A$54:$I$82,12,FALSE))+ ('Inputs-System'!$C$26*'Coincidence Factors'!$B$7*(1+'Inputs-System'!$C$18)*(1+'Inputs-System'!$C$42))*'Inputs-Proposals'!$I$22*VLOOKUP(P$3,DRIPE!$A$54:$I$82,8,FALSE), $C43= "3", ( 'Inputs-System'!$C$30*'Coincidence Factors'!$B$7*(1+'Inputs-System'!$C$18)*(1+'Inputs-System'!$C$41))*('Inputs-Proposals'!$I$29*'Inputs-Proposals'!$I$31*('Inputs-Proposals'!$I$32))*(VLOOKUP(P$3,DRIPE!$A$54:$I$82,5,FALSE)+VLOOKUP(P$3,DRIPE!$A$54:$I$82,12,FALSE))+ ('Inputs-System'!$C$26*'Coincidence Factors'!$B$7*(1+'Inputs-System'!$C$18)*(1+'Inputs-System'!$C$42))*'Inputs-Proposals'!$I$28*VLOOKUP(P$3,DRIPE!$A$54:$I$82,8,FALSE), $C43 = "0", 0), 0)</f>
        <v>0</v>
      </c>
      <c r="S43" s="45">
        <f>IFERROR(_xlfn.IFS($C43="1",('Inputs-System'!$C$26*'Coincidence Factors'!$B$7*(1+'Inputs-System'!$C$18))*'Inputs-Proposals'!$I$16*(VLOOKUP(P$3,Capacity!$A$53:$E$85,4,FALSE)*(1+'Inputs-System'!$C$42)+VLOOKUP(P$3,Capacity!$A$53:$E$85,5,FALSE)*'Inputs-System'!$C$29*(1+'Inputs-System'!$C$43)), $C43 = "2", ('Inputs-System'!$C$26*'Coincidence Factors'!$B$7*(1+'Inputs-System'!$C$18))*'Inputs-Proposals'!$I$22*(VLOOKUP(P$3,Capacity!$A$53:$E$85,4,FALSE)*(1+'Inputs-System'!$C$42)+VLOOKUP(P$3,Capacity!$A$53:$E$85,5,FALSE)*'Inputs-System'!$C$29*(1+'Inputs-System'!$C$43)), $C43 = "3",('Inputs-System'!$C$26*'Coincidence Factors'!$B$7*(1+'Inputs-System'!$C$18))*'Inputs-Proposals'!$I$28*(VLOOKUP(P$3,Capacity!$A$53:$E$85,4,FALSE)*(1+'Inputs-System'!$C$42)+VLOOKUP(P$3,Capacity!$A$53:$E$85,5,FALSE)*'Inputs-System'!$C$29*(1+'Inputs-System'!$C$43)), $C43 = "0", 0), 0)</f>
        <v>0</v>
      </c>
      <c r="T43" s="44">
        <v>0</v>
      </c>
      <c r="U43" s="44">
        <f>IFERROR(_xlfn.IFS($C43="1", 'Inputs-System'!$C$30*'Coincidence Factors'!$B$7*'Inputs-Proposals'!$I$17*'Inputs-Proposals'!$I$19*(VLOOKUP(P$3,'Non-Embedded Emissions'!$A$56:$D$90,2,FALSE)+VLOOKUP(P$3,'Non-Embedded Emissions'!$A$143:$D$174,2,FALSE)+VLOOKUP(P$3,'Non-Embedded Emissions'!$A$230:$D$259,2,FALSE)), $C43 = "2", 'Inputs-System'!$C$30*'Coincidence Factors'!$B$7*'Inputs-Proposals'!$I$23*'Inputs-Proposals'!$I$25*(VLOOKUP(P$3,'Non-Embedded Emissions'!$A$56:$D$90,2,FALSE)+VLOOKUP(P$3,'Non-Embedded Emissions'!$A$143:$D$174,2,FALSE)+VLOOKUP(P$3,'Non-Embedded Emissions'!$A$230:$D$259,2,FALSE)), $C43 = "3", 'Inputs-System'!$C$30*'Coincidence Factors'!$B$7*'Inputs-Proposals'!$I$29*'Inputs-Proposals'!$I$31*(VLOOKUP(P$3,'Non-Embedded Emissions'!$A$56:$D$90,2,FALSE)+VLOOKUP(P$3,'Non-Embedded Emissions'!$A$143:$D$174,2,FALSE)+VLOOKUP(P$3,'Non-Embedded Emissions'!$A$230:$D$259,2,FALSE)), $C43 = "0", 0), 0)</f>
        <v>0</v>
      </c>
      <c r="V43" s="347">
        <f>IFERROR(_xlfn.IFS($C43="1",('Inputs-System'!$C$30*'Coincidence Factors'!$B$7*(1+'Inputs-System'!$C$18)*(1+'Inputs-System'!$C$41)*('Inputs-Proposals'!$I$17*'Inputs-Proposals'!$I$19*('Inputs-Proposals'!$I$20))*(VLOOKUP(V$3,Energy!$A$51:$K$83,5,FALSE))), $C43 = "2",('Inputs-System'!$C$30*'Coincidence Factors'!$B$7)*(1+'Inputs-System'!$C$18)*(1+'Inputs-System'!$C$41)*('Inputs-Proposals'!$I$23*'Inputs-Proposals'!$I$25*('Inputs-Proposals'!$I$26))*(VLOOKUP(V$3,Energy!$A$51:$K$83,5,FALSE)), $C43= "3", ('Inputs-System'!$C$30*'Coincidence Factors'!$B$7*(1+'Inputs-System'!$C$18)*(1+'Inputs-System'!$C$41)*('Inputs-Proposals'!$I$29*'Inputs-Proposals'!$I$31*('Inputs-Proposals'!$I$32))*(VLOOKUP(V$3,Energy!$A$51:$K$83,5,FALSE))), $C43= "0", 0), 0)</f>
        <v>0</v>
      </c>
      <c r="W43" s="44">
        <f>IFERROR(_xlfn.IFS($C43="1",'Inputs-System'!$C$30*'Coincidence Factors'!$B$7*(1+'Inputs-System'!$C$18)*(1+'Inputs-System'!$C$41)*'Inputs-Proposals'!$I$17*'Inputs-Proposals'!$I$19*('Inputs-Proposals'!$I$20)*(VLOOKUP(V$3,'Embedded Emissions'!$A$47:$B$78,2,FALSE)+VLOOKUP(V$3,'Embedded Emissions'!$A$129:$B$158,2,FALSE)), $C43 = "2",'Inputs-System'!$C$30*'Coincidence Factors'!$B$7*(1+'Inputs-System'!$C$18)*(1+'Inputs-System'!$C$41)*'Inputs-Proposals'!$I$23*'Inputs-Proposals'!$I$25*('Inputs-Proposals'!$I$20)*(VLOOKUP(V$3,'Embedded Emissions'!$A$47:$B$78,2,FALSE)+VLOOKUP(V$3,'Embedded Emissions'!$A$129:$B$158,2,FALSE)), $C43 = "3", 'Inputs-System'!$C$30*'Coincidence Factors'!$B$7*(1+'Inputs-System'!$C$18)*(1+'Inputs-System'!$C$41)*'Inputs-Proposals'!$I$29*'Inputs-Proposals'!$I$31*('Inputs-Proposals'!$I$20)*(VLOOKUP(V$3,'Embedded Emissions'!$A$47:$B$78,2,FALSE)+VLOOKUP(V$3,'Embedded Emissions'!$A$129:$B$158,2,FALSE)), $C43 = "0", 0), 0)</f>
        <v>0</v>
      </c>
      <c r="X43" s="44">
        <f>IFERROR(_xlfn.IFS($C43="1",( 'Inputs-System'!$C$30*'Coincidence Factors'!$B$7*(1+'Inputs-System'!$C$18)*(1+'Inputs-System'!$C$41))*('Inputs-Proposals'!$I$17*'Inputs-Proposals'!$I$19*('Inputs-Proposals'!$I$20))*(VLOOKUP(V$3,DRIPE!$A$54:$I$82,5,FALSE)+VLOOKUP(V$3,DRIPE!$A$54:$I$82,9,FALSE))+ ('Inputs-System'!$C$26*'Coincidence Factors'!$B$7*(1+'Inputs-System'!$C$18)*(1+'Inputs-System'!$C$42))*'Inputs-Proposals'!$I$16*VLOOKUP(V$3,DRIPE!$A$54:$I$82,8,FALSE), $C43 = "2",( 'Inputs-System'!$C$30*'Coincidence Factors'!$B$7*(1+'Inputs-System'!$C$18)*(1+'Inputs-System'!$C$41))*('Inputs-Proposals'!$I$23*'Inputs-Proposals'!$I$25*('Inputs-Proposals'!$I$26))*(VLOOKUP(V$3,DRIPE!$A$54:$I$82,5,FALSE)+VLOOKUP(V$3,DRIPE!$A$54:$I$82,12,FALSE))+ ('Inputs-System'!$C$26*'Coincidence Factors'!$B$7*(1+'Inputs-System'!$C$18)*(1+'Inputs-System'!$C$42))*'Inputs-Proposals'!$I$22*VLOOKUP(V$3,DRIPE!$A$54:$I$82,8,FALSE), $C43= "3", ( 'Inputs-System'!$C$30*'Coincidence Factors'!$B$7*(1+'Inputs-System'!$C$18)*(1+'Inputs-System'!$C$41))*('Inputs-Proposals'!$I$29*'Inputs-Proposals'!$I$31*('Inputs-Proposals'!$I$32))*(VLOOKUP(V$3,DRIPE!$A$54:$I$82,5,FALSE)+VLOOKUP(V$3,DRIPE!$A$54:$I$82,12,FALSE))+ ('Inputs-System'!$C$26*'Coincidence Factors'!$B$7*(1+'Inputs-System'!$C$18)*(1+'Inputs-System'!$C$42))*'Inputs-Proposals'!$I$28*VLOOKUP(V$3,DRIPE!$A$54:$I$82,8,FALSE), $C43 = "0", 0), 0)</f>
        <v>0</v>
      </c>
      <c r="Y43" s="45">
        <f>IFERROR(_xlfn.IFS($C43="1",('Inputs-System'!$C$26*'Coincidence Factors'!$B$7*(1+'Inputs-System'!$C$18))*'Inputs-Proposals'!$I$16*(VLOOKUP(V$3,Capacity!$A$53:$E$85,4,FALSE)*(1+'Inputs-System'!$C$42)+VLOOKUP(V$3,Capacity!$A$53:$E$85,5,FALSE)*'Inputs-System'!$C$29*(1+'Inputs-System'!$C$43)), $C43 = "2", ('Inputs-System'!$C$26*'Coincidence Factors'!$B$7*(1+'Inputs-System'!$C$18))*'Inputs-Proposals'!$I$22*(VLOOKUP(V$3,Capacity!$A$53:$E$85,4,FALSE)*(1+'Inputs-System'!$C$42)+VLOOKUP(V$3,Capacity!$A$53:$E$85,5,FALSE)*'Inputs-System'!$C$29*(1+'Inputs-System'!$C$43)), $C43 = "3",('Inputs-System'!$C$26*'Coincidence Factors'!$B$7*(1+'Inputs-System'!$C$18))*'Inputs-Proposals'!$I$28*(VLOOKUP(V$3,Capacity!$A$53:$E$85,4,FALSE)*(1+'Inputs-System'!$C$42)+VLOOKUP(V$3,Capacity!$A$53:$E$85,5,FALSE)*'Inputs-System'!$C$29*(1+'Inputs-System'!$C$43)), $C43 = "0", 0), 0)</f>
        <v>0</v>
      </c>
      <c r="Z43" s="44">
        <v>0</v>
      </c>
      <c r="AA43" s="342">
        <f>IFERROR(_xlfn.IFS($C43="1", 'Inputs-System'!$C$30*'Coincidence Factors'!$B$7*'Inputs-Proposals'!$I$17*'Inputs-Proposals'!$I$19*(VLOOKUP(V$3,'Non-Embedded Emissions'!$A$56:$D$90,2,FALSE)+VLOOKUP(V$3,'Non-Embedded Emissions'!$A$143:$D$174,2,FALSE)+VLOOKUP(V$3,'Non-Embedded Emissions'!$A$230:$D$259,2,FALSE)), $C43 = "2", 'Inputs-System'!$C$30*'Coincidence Factors'!$B$7*'Inputs-Proposals'!$I$23*'Inputs-Proposals'!$I$25*(VLOOKUP(V$3,'Non-Embedded Emissions'!$A$56:$D$90,2,FALSE)+VLOOKUP(V$3,'Non-Embedded Emissions'!$A$143:$D$174,2,FALSE)+VLOOKUP(V$3,'Non-Embedded Emissions'!$A$230:$D$259,2,FALSE)), $C43 = "3", 'Inputs-System'!$C$30*'Coincidence Factors'!$B$7*'Inputs-Proposals'!$I$29*'Inputs-Proposals'!$I$31*(VLOOKUP(V$3,'Non-Embedded Emissions'!$A$56:$D$90,2,FALSE)+VLOOKUP(V$3,'Non-Embedded Emissions'!$A$143:$D$174,2,FALSE)+VLOOKUP(V$3,'Non-Embedded Emissions'!$A$230:$D$259,2,FALSE)), $C43 = "0", 0), 0)</f>
        <v>0</v>
      </c>
      <c r="AB43" s="347">
        <f>IFERROR(_xlfn.IFS($C43="1",('Inputs-System'!$C$30*'Coincidence Factors'!$B$7*(1+'Inputs-System'!$C$18)*(1+'Inputs-System'!$C$41)*('Inputs-Proposals'!$I$17*'Inputs-Proposals'!$I$19*('Inputs-Proposals'!$I$20))*(VLOOKUP(AB$3,Energy!$A$51:$K$83,5,FALSE))), $C43 = "2",('Inputs-System'!$C$30*'Coincidence Factors'!$B$7)*(1+'Inputs-System'!$C$18)*(1+'Inputs-System'!$C$41)*('Inputs-Proposals'!$I$23*'Inputs-Proposals'!$I$25*('Inputs-Proposals'!$I$26))*(VLOOKUP(AB$3,Energy!$A$51:$K$83,5,FALSE)), $C43= "3", ('Inputs-System'!$C$30*'Coincidence Factors'!$B$7*(1+'Inputs-System'!$C$18)*(1+'Inputs-System'!$C$41)*('Inputs-Proposals'!$I$29*'Inputs-Proposals'!$I$31*('Inputs-Proposals'!$I$32))*(VLOOKUP(AB$3,Energy!$A$51:$K$83,5,FALSE))), $C43= "0", 0), 0)</f>
        <v>0</v>
      </c>
      <c r="AC43" s="44">
        <f>IFERROR(_xlfn.IFS($C43="1",'Inputs-System'!$C$30*'Coincidence Factors'!$B$7*(1+'Inputs-System'!$C$18)*(1+'Inputs-System'!$C$41)*'Inputs-Proposals'!$I$17*'Inputs-Proposals'!$I$19*('Inputs-Proposals'!$I$20)*(VLOOKUP(AB$3,'Embedded Emissions'!$A$47:$B$78,2,FALSE)+VLOOKUP(AB$3,'Embedded Emissions'!$A$129:$B$158,2,FALSE)), $C43 = "2",'Inputs-System'!$C$30*'Coincidence Factors'!$B$7*(1+'Inputs-System'!$C$18)*(1+'Inputs-System'!$C$41)*'Inputs-Proposals'!$I$23*'Inputs-Proposals'!$I$25*('Inputs-Proposals'!$I$20)*(VLOOKUP(AB$3,'Embedded Emissions'!$A$47:$B$78,2,FALSE)+VLOOKUP(AB$3,'Embedded Emissions'!$A$129:$B$158,2,FALSE)), $C43 = "3", 'Inputs-System'!$C$30*'Coincidence Factors'!$B$7*(1+'Inputs-System'!$C$18)*(1+'Inputs-System'!$C$41)*'Inputs-Proposals'!$I$29*'Inputs-Proposals'!$I$31*('Inputs-Proposals'!$I$20)*(VLOOKUP(AB$3,'Embedded Emissions'!$A$47:$B$78,2,FALSE)+VLOOKUP(AB$3,'Embedded Emissions'!$A$129:$B$158,2,FALSE)), $C43 = "0", 0), 0)</f>
        <v>0</v>
      </c>
      <c r="AD43" s="44">
        <f>IFERROR(_xlfn.IFS($C43="1",( 'Inputs-System'!$C$30*'Coincidence Factors'!$B$7*(1+'Inputs-System'!$C$18)*(1+'Inputs-System'!$C$41))*('Inputs-Proposals'!$I$17*'Inputs-Proposals'!$I$19*('Inputs-Proposals'!$I$20))*(VLOOKUP(AB$3,DRIPE!$A$54:$I$82,5,FALSE)+VLOOKUP(AB$3,DRIPE!$A$54:$I$82,9,FALSE))+ ('Inputs-System'!$C$26*'Coincidence Factors'!$B$7*(1+'Inputs-System'!$C$18)*(1+'Inputs-System'!$C$42))*'Inputs-Proposals'!$I$16*VLOOKUP(AB$3,DRIPE!$A$54:$I$82,8,FALSE), $C43 = "2",( 'Inputs-System'!$C$30*'Coincidence Factors'!$B$7*(1+'Inputs-System'!$C$18)*(1+'Inputs-System'!$C$41))*('Inputs-Proposals'!$I$23*'Inputs-Proposals'!$I$25*('Inputs-Proposals'!$I$26))*(VLOOKUP(AB$3,DRIPE!$A$54:$I$82,5,FALSE)+VLOOKUP(AB$3,DRIPE!$A$54:$I$82,12,FALSE))+ ('Inputs-System'!$C$26*'Coincidence Factors'!$B$7*(1+'Inputs-System'!$C$18)*(1+'Inputs-System'!$C$42))*'Inputs-Proposals'!$I$22*VLOOKUP(AB$3,DRIPE!$A$54:$I$82,8,FALSE), $C43= "3", ( 'Inputs-System'!$C$30*'Coincidence Factors'!$B$7*(1+'Inputs-System'!$C$18)*(1+'Inputs-System'!$C$41))*('Inputs-Proposals'!$I$29*'Inputs-Proposals'!$I$31*('Inputs-Proposals'!$I$32))*(VLOOKUP(AB$3,DRIPE!$A$54:$I$82,5,FALSE)+VLOOKUP(AB$3,DRIPE!$A$54:$I$82,12,FALSE))+ ('Inputs-System'!$C$26*'Coincidence Factors'!$B$7*(1+'Inputs-System'!$C$18)*(1+'Inputs-System'!$C$42))*'Inputs-Proposals'!$I$28*VLOOKUP(AB$3,DRIPE!$A$54:$I$82,8,FALSE), $C43 = "0", 0), 0)</f>
        <v>0</v>
      </c>
      <c r="AE43" s="45">
        <f>IFERROR(_xlfn.IFS($C43="1",('Inputs-System'!$C$26*'Coincidence Factors'!$B$7*(1+'Inputs-System'!$C$18))*'Inputs-Proposals'!$I$16*(VLOOKUP(AB$3,Capacity!$A$53:$E$85,4,FALSE)*(1+'Inputs-System'!$C$42)+VLOOKUP(AB$3,Capacity!$A$53:$E$85,5,FALSE)*'Inputs-System'!$C$29*(1+'Inputs-System'!$C$43)), $C43 = "2", ('Inputs-System'!$C$26*'Coincidence Factors'!$B$7*(1+'Inputs-System'!$C$18))*'Inputs-Proposals'!$I$22*(VLOOKUP(AB$3,Capacity!$A$53:$E$85,4,FALSE)*(1+'Inputs-System'!$C$42)+VLOOKUP(AB$3,Capacity!$A$53:$E$85,5,FALSE)*'Inputs-System'!$C$29*(1+'Inputs-System'!$C$43)), $C43 = "3",('Inputs-System'!$C$26*'Coincidence Factors'!$B$7*(1+'Inputs-System'!$C$18))*'Inputs-Proposals'!$I$28*(VLOOKUP(AB$3,Capacity!$A$53:$E$85,4,FALSE)*(1+'Inputs-System'!$C$42)+VLOOKUP(AB$3,Capacity!$A$53:$E$85,5,FALSE)*'Inputs-System'!$C$29*(1+'Inputs-System'!$C$43)), $C43 = "0", 0), 0)</f>
        <v>0</v>
      </c>
      <c r="AF43" s="44">
        <v>0</v>
      </c>
      <c r="AG43" s="342">
        <f>IFERROR(_xlfn.IFS($C43="1", 'Inputs-System'!$C$30*'Coincidence Factors'!$B$7*'Inputs-Proposals'!$I$17*'Inputs-Proposals'!$I$19*(VLOOKUP(AB$3,'Non-Embedded Emissions'!$A$56:$D$90,2,FALSE)+VLOOKUP(AB$3,'Non-Embedded Emissions'!$A$143:$D$174,2,FALSE)+VLOOKUP(AB$3,'Non-Embedded Emissions'!$A$230:$D$259,2,FALSE)), $C43 = "2", 'Inputs-System'!$C$30*'Coincidence Factors'!$B$7*'Inputs-Proposals'!$I$23*'Inputs-Proposals'!$I$25*(VLOOKUP(AB$3,'Non-Embedded Emissions'!$A$56:$D$90,2,FALSE)+VLOOKUP(AB$3,'Non-Embedded Emissions'!$A$143:$D$174,2,FALSE)+VLOOKUP(AB$3,'Non-Embedded Emissions'!$A$230:$D$259,2,FALSE)), $C43 = "3", 'Inputs-System'!$C$30*'Coincidence Factors'!$B$7*'Inputs-Proposals'!$I$29*'Inputs-Proposals'!$I$31*(VLOOKUP(AB$3,'Non-Embedded Emissions'!$A$56:$D$90,2,FALSE)+VLOOKUP(AB$3,'Non-Embedded Emissions'!$A$143:$D$174,2,FALSE)+VLOOKUP(AB$3,'Non-Embedded Emissions'!$A$230:$D$259,2,FALSE)), $C43 = "0", 0), 0)</f>
        <v>0</v>
      </c>
      <c r="AH43" s="347">
        <f>IFERROR(_xlfn.IFS($C43="1",('Inputs-System'!$C$30*'Coincidence Factors'!$B$7*(1+'Inputs-System'!$C$18)*(1+'Inputs-System'!$C$41)*('Inputs-Proposals'!$I$17*'Inputs-Proposals'!$I$19*('Inputs-Proposals'!$I$20))*(VLOOKUP(AH$3,Energy!$A$51:$K$83,5,FALSE))), $C43 = "2",('Inputs-System'!$C$30*'Coincidence Factors'!$B$7)*(1+'Inputs-System'!$C$18)*(1+'Inputs-System'!$C$41)*('Inputs-Proposals'!$I$23*'Inputs-Proposals'!$I$25*('Inputs-Proposals'!$I$26))*(VLOOKUP(AH$3,Energy!$A$51:$K$83,5,FALSE)), $C43= "3", ('Inputs-System'!$C$30*'Coincidence Factors'!$B$7*(1+'Inputs-System'!$C$18)*(1+'Inputs-System'!$C$41)*('Inputs-Proposals'!$I$29*'Inputs-Proposals'!$I$31*('Inputs-Proposals'!$I$32))*(VLOOKUP(AH$3,Energy!$A$51:$K$83,5,FALSE))), $C43= "0", 0), 0)</f>
        <v>0</v>
      </c>
      <c r="AI43" s="44">
        <f>IFERROR(_xlfn.IFS($C43="1",'Inputs-System'!$C$30*'Coincidence Factors'!$B$7*(1+'Inputs-System'!$C$18)*(1+'Inputs-System'!$C$41)*'Inputs-Proposals'!$I$17*'Inputs-Proposals'!$I$19*('Inputs-Proposals'!$I$20)*(VLOOKUP(AH$3,'Embedded Emissions'!$A$47:$B$78,2,FALSE)+VLOOKUP(AH$3,'Embedded Emissions'!$A$129:$B$158,2,FALSE)), $C43 = "2",'Inputs-System'!$C$30*'Coincidence Factors'!$B$7*(1+'Inputs-System'!$C$18)*(1+'Inputs-System'!$C$41)*'Inputs-Proposals'!$I$23*'Inputs-Proposals'!$I$25*('Inputs-Proposals'!$I$20)*(VLOOKUP(AH$3,'Embedded Emissions'!$A$47:$B$78,2,FALSE)+VLOOKUP(AH$3,'Embedded Emissions'!$A$129:$B$158,2,FALSE)), $C43 = "3", 'Inputs-System'!$C$30*'Coincidence Factors'!$B$7*(1+'Inputs-System'!$C$18)*(1+'Inputs-System'!$C$41)*'Inputs-Proposals'!$I$29*'Inputs-Proposals'!$I$31*('Inputs-Proposals'!$I$20)*(VLOOKUP(AH$3,'Embedded Emissions'!$A$47:$B$78,2,FALSE)+VLOOKUP(AH$3,'Embedded Emissions'!$A$129:$B$158,2,FALSE)), $C43 = "0", 0), 0)</f>
        <v>0</v>
      </c>
      <c r="AJ43" s="44">
        <f>IFERROR(_xlfn.IFS($C43="1",( 'Inputs-System'!$C$30*'Coincidence Factors'!$B$7*(1+'Inputs-System'!$C$18)*(1+'Inputs-System'!$C$41))*('Inputs-Proposals'!$I$17*'Inputs-Proposals'!$I$19*('Inputs-Proposals'!$I$20))*(VLOOKUP(AH$3,DRIPE!$A$54:$I$82,5,FALSE)+VLOOKUP(AH$3,DRIPE!$A$54:$I$82,9,FALSE))+ ('Inputs-System'!$C$26*'Coincidence Factors'!$B$7*(1+'Inputs-System'!$C$18)*(1+'Inputs-System'!$C$42))*'Inputs-Proposals'!$I$16*VLOOKUP(AH$3,DRIPE!$A$54:$I$82,8,FALSE), $C43 = "2",( 'Inputs-System'!$C$30*'Coincidence Factors'!$B$7*(1+'Inputs-System'!$C$18)*(1+'Inputs-System'!$C$41))*('Inputs-Proposals'!$I$23*'Inputs-Proposals'!$I$25*('Inputs-Proposals'!$I$26))*(VLOOKUP(AH$3,DRIPE!$A$54:$I$82,5,FALSE)+VLOOKUP(AH$3,DRIPE!$A$54:$I$82,12,FALSE))+ ('Inputs-System'!$C$26*'Coincidence Factors'!$B$7*(1+'Inputs-System'!$C$18)*(1+'Inputs-System'!$C$42))*'Inputs-Proposals'!$I$22*VLOOKUP(AH$3,DRIPE!$A$54:$I$82,8,FALSE), $C43= "3", ( 'Inputs-System'!$C$30*'Coincidence Factors'!$B$7*(1+'Inputs-System'!$C$18)*(1+'Inputs-System'!$C$41))*('Inputs-Proposals'!$I$29*'Inputs-Proposals'!$I$31*('Inputs-Proposals'!$I$32))*(VLOOKUP(AH$3,DRIPE!$A$54:$I$82,5,FALSE)+VLOOKUP(AH$3,DRIPE!$A$54:$I$82,12,FALSE))+ ('Inputs-System'!$C$26*'Coincidence Factors'!$B$7*(1+'Inputs-System'!$C$18)*(1+'Inputs-System'!$C$42))*'Inputs-Proposals'!$I$28*VLOOKUP(AH$3,DRIPE!$A$54:$I$82,8,FALSE), $C43 = "0", 0), 0)</f>
        <v>0</v>
      </c>
      <c r="AK43" s="45">
        <f>IFERROR(_xlfn.IFS($C43="1",('Inputs-System'!$C$26*'Coincidence Factors'!$B$7*(1+'Inputs-System'!$C$18))*'Inputs-Proposals'!$I$16*(VLOOKUP(AH$3,Capacity!$A$53:$E$85,4,FALSE)*(1+'Inputs-System'!$C$42)+VLOOKUP(AH$3,Capacity!$A$53:$E$85,5,FALSE)*'Inputs-System'!$C$29*(1+'Inputs-System'!$C$43)), $C43 = "2", ('Inputs-System'!$C$26*'Coincidence Factors'!$B$7*(1+'Inputs-System'!$C$18))*'Inputs-Proposals'!$I$22*(VLOOKUP(AH$3,Capacity!$A$53:$E$85,4,FALSE)*(1+'Inputs-System'!$C$42)+VLOOKUP(AH$3,Capacity!$A$53:$E$85,5,FALSE)*'Inputs-System'!$C$29*(1+'Inputs-System'!$C$43)), $C43 = "3",('Inputs-System'!$C$26*'Coincidence Factors'!$B$7*(1+'Inputs-System'!$C$18))*'Inputs-Proposals'!$I$28*(VLOOKUP(AH$3,Capacity!$A$53:$E$85,4,FALSE)*(1+'Inputs-System'!$C$42)+VLOOKUP(AH$3,Capacity!$A$53:$E$85,5,FALSE)*'Inputs-System'!$C$29*(1+'Inputs-System'!$C$43)), $C43 = "0", 0), 0)</f>
        <v>0</v>
      </c>
      <c r="AL43" s="44">
        <v>0</v>
      </c>
      <c r="AM43" s="342">
        <f>IFERROR(_xlfn.IFS($C43="1", 'Inputs-System'!$C$30*'Coincidence Factors'!$B$7*'Inputs-Proposals'!$I$17*'Inputs-Proposals'!$I$19*(VLOOKUP(AH$3,'Non-Embedded Emissions'!$A$56:$D$90,2,FALSE)+VLOOKUP(AH$3,'Non-Embedded Emissions'!$A$143:$D$174,2,FALSE)+VLOOKUP(AH$3,'Non-Embedded Emissions'!$A$230:$D$259,2,FALSE)), $C43 = "2", 'Inputs-System'!$C$30*'Coincidence Factors'!$B$7*'Inputs-Proposals'!$I$23*'Inputs-Proposals'!$I$25*(VLOOKUP(AH$3,'Non-Embedded Emissions'!$A$56:$D$90,2,FALSE)+VLOOKUP(AH$3,'Non-Embedded Emissions'!$A$143:$D$174,2,FALSE)+VLOOKUP(AH$3,'Non-Embedded Emissions'!$A$230:$D$259,2,FALSE)), $C43 = "3", 'Inputs-System'!$C$30*'Coincidence Factors'!$B$7*'Inputs-Proposals'!$I$29*'Inputs-Proposals'!$I$31*(VLOOKUP(AH$3,'Non-Embedded Emissions'!$A$56:$D$90,2,FALSE)+VLOOKUP(AH$3,'Non-Embedded Emissions'!$A$143:$D$174,2,FALSE)+VLOOKUP(AH$3,'Non-Embedded Emissions'!$A$230:$D$259,2,FALSE)), $C43 = "0", 0), 0)</f>
        <v>0</v>
      </c>
      <c r="AN43" s="347">
        <f>IFERROR(_xlfn.IFS($C43="1",('Inputs-System'!$C$30*'Coincidence Factors'!$B$7*(1+'Inputs-System'!$C$18)*(1+'Inputs-System'!$C$41)*('Inputs-Proposals'!$I$17*'Inputs-Proposals'!$I$19*('Inputs-Proposals'!$I$20))*(VLOOKUP(AN$3,Energy!$A$51:$K$83,5,FALSE))), $C43 = "2",('Inputs-System'!$C$30*'Coincidence Factors'!$B$7)*(1+'Inputs-System'!$C$18)*(1+'Inputs-System'!$C$41)*('Inputs-Proposals'!$I$23*'Inputs-Proposals'!$I$25*('Inputs-Proposals'!$I$26))*(VLOOKUP(AN$3,Energy!$A$51:$K$83,5,FALSE)), $C43= "3", ('Inputs-System'!$C$30*'Coincidence Factors'!$B$7*(1+'Inputs-System'!$C$18)*(1+'Inputs-System'!$C$41)*('Inputs-Proposals'!$I$29*'Inputs-Proposals'!$I$31*('Inputs-Proposals'!$I$32))*(VLOOKUP(AN$3,Energy!$A$51:$K$83,5,FALSE))), $C43= "0", 0), 0)</f>
        <v>0</v>
      </c>
      <c r="AO43" s="44">
        <f>IFERROR(_xlfn.IFS($C43="1",'Inputs-System'!$C$30*'Coincidence Factors'!$B$7*(1+'Inputs-System'!$C$18)*(1+'Inputs-System'!$C$41)*'Inputs-Proposals'!$I$17*'Inputs-Proposals'!$I$19*('Inputs-Proposals'!$I$20)*(VLOOKUP(AN$3,'Embedded Emissions'!$A$47:$B$78,2,FALSE)+VLOOKUP(AN$3,'Embedded Emissions'!$A$129:$B$158,2,FALSE)), $C43 = "2",'Inputs-System'!$C$30*'Coincidence Factors'!$B$7*(1+'Inputs-System'!$C$18)*(1+'Inputs-System'!$C$41)*'Inputs-Proposals'!$I$23*'Inputs-Proposals'!$I$25*('Inputs-Proposals'!$I$20)*(VLOOKUP(AN$3,'Embedded Emissions'!$A$47:$B$78,2,FALSE)+VLOOKUP(AN$3,'Embedded Emissions'!$A$129:$B$158,2,FALSE)), $C43 = "3", 'Inputs-System'!$C$30*'Coincidence Factors'!$B$7*(1+'Inputs-System'!$C$18)*(1+'Inputs-System'!$C$41)*'Inputs-Proposals'!$I$29*'Inputs-Proposals'!$I$31*('Inputs-Proposals'!$I$20)*(VLOOKUP(AN$3,'Embedded Emissions'!$A$47:$B$78,2,FALSE)+VLOOKUP(AN$3,'Embedded Emissions'!$A$129:$B$158,2,FALSE)), $C43 = "0", 0), 0)</f>
        <v>0</v>
      </c>
      <c r="AP43" s="44">
        <f>IFERROR(_xlfn.IFS($C43="1",( 'Inputs-System'!$C$30*'Coincidence Factors'!$B$7*(1+'Inputs-System'!$C$18)*(1+'Inputs-System'!$C$41))*('Inputs-Proposals'!$I$17*'Inputs-Proposals'!$I$19*('Inputs-Proposals'!$I$20))*(VLOOKUP(AN$3,DRIPE!$A$54:$I$82,5,FALSE)+VLOOKUP(AN$3,DRIPE!$A$54:$I$82,9,FALSE))+ ('Inputs-System'!$C$26*'Coincidence Factors'!$B$7*(1+'Inputs-System'!$C$18)*(1+'Inputs-System'!$C$42))*'Inputs-Proposals'!$I$16*VLOOKUP(AN$3,DRIPE!$A$54:$I$82,8,FALSE), $C43 = "2",( 'Inputs-System'!$C$30*'Coincidence Factors'!$B$7*(1+'Inputs-System'!$C$18)*(1+'Inputs-System'!$C$41))*('Inputs-Proposals'!$I$23*'Inputs-Proposals'!$I$25*('Inputs-Proposals'!$I$26))*(VLOOKUP(AN$3,DRIPE!$A$54:$I$82,5,FALSE)+VLOOKUP(AN$3,DRIPE!$A$54:$I$82,12,FALSE))+ ('Inputs-System'!$C$26*'Coincidence Factors'!$B$7*(1+'Inputs-System'!$C$18)*(1+'Inputs-System'!$C$42))*'Inputs-Proposals'!$I$22*VLOOKUP(AN$3,DRIPE!$A$54:$I$82,8,FALSE), $C43= "3", ( 'Inputs-System'!$C$30*'Coincidence Factors'!$B$7*(1+'Inputs-System'!$C$18)*(1+'Inputs-System'!$C$41))*('Inputs-Proposals'!$I$29*'Inputs-Proposals'!$I$31*('Inputs-Proposals'!$I$32))*(VLOOKUP(AN$3,DRIPE!$A$54:$I$82,5,FALSE)+VLOOKUP(AN$3,DRIPE!$A$54:$I$82,12,FALSE))+ ('Inputs-System'!$C$26*'Coincidence Factors'!$B$7*(1+'Inputs-System'!$C$18)*(1+'Inputs-System'!$C$42))*'Inputs-Proposals'!$I$28*VLOOKUP(AN$3,DRIPE!$A$54:$I$82,8,FALSE), $C43 = "0", 0), 0)</f>
        <v>0</v>
      </c>
      <c r="AQ43" s="45">
        <f>IFERROR(_xlfn.IFS($C43="1",('Inputs-System'!$C$26*'Coincidence Factors'!$B$7*(1+'Inputs-System'!$C$18))*'Inputs-Proposals'!$I$16*(VLOOKUP(AN$3,Capacity!$A$53:$E$85,4,FALSE)*(1+'Inputs-System'!$C$42)+VLOOKUP(AN$3,Capacity!$A$53:$E$85,5,FALSE)*'Inputs-System'!$C$29*(1+'Inputs-System'!$C$43)), $C43 = "2", ('Inputs-System'!$C$26*'Coincidence Factors'!$B$7*(1+'Inputs-System'!$C$18))*'Inputs-Proposals'!$I$22*(VLOOKUP(AN$3,Capacity!$A$53:$E$85,4,FALSE)*(1+'Inputs-System'!$C$42)+VLOOKUP(AN$3,Capacity!$A$53:$E$85,5,FALSE)*'Inputs-System'!$C$29*(1+'Inputs-System'!$C$43)), $C43 = "3",('Inputs-System'!$C$26*'Coincidence Factors'!$B$7*(1+'Inputs-System'!$C$18))*'Inputs-Proposals'!$I$28*(VLOOKUP(AN$3,Capacity!$A$53:$E$85,4,FALSE)*(1+'Inputs-System'!$C$42)+VLOOKUP(AN$3,Capacity!$A$53:$E$85,5,FALSE)*'Inputs-System'!$C$29*(1+'Inputs-System'!$C$43)), $C43 = "0", 0), 0)</f>
        <v>0</v>
      </c>
      <c r="AR43" s="44">
        <v>0</v>
      </c>
      <c r="AS43" s="342">
        <f>IFERROR(_xlfn.IFS($C43="1", 'Inputs-System'!$C$30*'Coincidence Factors'!$B$7*'Inputs-Proposals'!$I$17*'Inputs-Proposals'!$I$19*(VLOOKUP(AN$3,'Non-Embedded Emissions'!$A$56:$D$90,2,FALSE)+VLOOKUP(AN$3,'Non-Embedded Emissions'!$A$143:$D$174,2,FALSE)+VLOOKUP(AN$3,'Non-Embedded Emissions'!$A$230:$D$259,2,FALSE)), $C43 = "2", 'Inputs-System'!$C$30*'Coincidence Factors'!$B$7*'Inputs-Proposals'!$I$23*'Inputs-Proposals'!$I$25*(VLOOKUP(AN$3,'Non-Embedded Emissions'!$A$56:$D$90,2,FALSE)+VLOOKUP(AN$3,'Non-Embedded Emissions'!$A$143:$D$174,2,FALSE)+VLOOKUP(AN$3,'Non-Embedded Emissions'!$A$230:$D$259,2,FALSE)), $C43 = "3", 'Inputs-System'!$C$30*'Coincidence Factors'!$B$7*'Inputs-Proposals'!$I$29*'Inputs-Proposals'!$I$31*(VLOOKUP(AN$3,'Non-Embedded Emissions'!$A$56:$D$90,2,FALSE)+VLOOKUP(AN$3,'Non-Embedded Emissions'!$A$143:$D$174,2,FALSE)+VLOOKUP(AN$3,'Non-Embedded Emissions'!$A$230:$D$259,2,FALSE)), $C43 = "0", 0), 0)</f>
        <v>0</v>
      </c>
      <c r="AT43" s="347">
        <f>IFERROR(_xlfn.IFS($C43="1",('Inputs-System'!$C$30*'Coincidence Factors'!$B$7*(1+'Inputs-System'!$C$18)*(1+'Inputs-System'!$C$41)*('Inputs-Proposals'!$I$17*'Inputs-Proposals'!$I$19*('Inputs-Proposals'!$I$20))*(VLOOKUP(AT$3,Energy!$A$51:$K$83,5,FALSE))), $C43 = "2",('Inputs-System'!$C$30*'Coincidence Factors'!$B$7)*(1+'Inputs-System'!$C$18)*(1+'Inputs-System'!$C$41)*('Inputs-Proposals'!$I$23*'Inputs-Proposals'!$I$25*('Inputs-Proposals'!$I$26))*(VLOOKUP(AT$3,Energy!$A$51:$K$83,5,FALSE)), $C43= "3", ('Inputs-System'!$C$30*'Coincidence Factors'!$B$7*(1+'Inputs-System'!$C$18)*(1+'Inputs-System'!$C$41)*('Inputs-Proposals'!$I$29*'Inputs-Proposals'!$I$31*('Inputs-Proposals'!$I$32))*(VLOOKUP(AT$3,Energy!$A$51:$K$83,5,FALSE))), $C43= "0", 0), 0)</f>
        <v>0</v>
      </c>
      <c r="AU43" s="44">
        <f>IFERROR(_xlfn.IFS($C43="1",'Inputs-System'!$C$30*'Coincidence Factors'!$B$7*(1+'Inputs-System'!$C$18)*(1+'Inputs-System'!$C$41)*'Inputs-Proposals'!$I$17*'Inputs-Proposals'!$I$19*('Inputs-Proposals'!$I$20)*(VLOOKUP(AT$3,'Embedded Emissions'!$A$47:$B$78,2,FALSE)+VLOOKUP(AT$3,'Embedded Emissions'!$A$129:$B$158,2,FALSE)), $C43 = "2",'Inputs-System'!$C$30*'Coincidence Factors'!$B$7*(1+'Inputs-System'!$C$18)*(1+'Inputs-System'!$C$41)*'Inputs-Proposals'!$I$23*'Inputs-Proposals'!$I$25*('Inputs-Proposals'!$I$20)*(VLOOKUP(AT$3,'Embedded Emissions'!$A$47:$B$78,2,FALSE)+VLOOKUP(AT$3,'Embedded Emissions'!$A$129:$B$158,2,FALSE)), $C43 = "3", 'Inputs-System'!$C$30*'Coincidence Factors'!$B$7*(1+'Inputs-System'!$C$18)*(1+'Inputs-System'!$C$41)*'Inputs-Proposals'!$I$29*'Inputs-Proposals'!$I$31*('Inputs-Proposals'!$I$20)*(VLOOKUP(AT$3,'Embedded Emissions'!$A$47:$B$78,2,FALSE)+VLOOKUP(AT$3,'Embedded Emissions'!$A$129:$B$158,2,FALSE)), $C43 = "0", 0), 0)</f>
        <v>0</v>
      </c>
      <c r="AV43" s="44">
        <f>IFERROR(_xlfn.IFS($C43="1",( 'Inputs-System'!$C$30*'Coincidence Factors'!$B$7*(1+'Inputs-System'!$C$18)*(1+'Inputs-System'!$C$41))*('Inputs-Proposals'!$I$17*'Inputs-Proposals'!$I$19*('Inputs-Proposals'!$I$20))*(VLOOKUP(AT$3,DRIPE!$A$54:$I$82,5,FALSE)+VLOOKUP(AT$3,DRIPE!$A$54:$I$82,9,FALSE))+ ('Inputs-System'!$C$26*'Coincidence Factors'!$B$7*(1+'Inputs-System'!$C$18)*(1+'Inputs-System'!$C$42))*'Inputs-Proposals'!$I$16*VLOOKUP(AT$3,DRIPE!$A$54:$I$82,8,FALSE), $C43 = "2",( 'Inputs-System'!$C$30*'Coincidence Factors'!$B$7*(1+'Inputs-System'!$C$18)*(1+'Inputs-System'!$C$41))*('Inputs-Proposals'!$I$23*'Inputs-Proposals'!$I$25*('Inputs-Proposals'!$I$26))*(VLOOKUP(AT$3,DRIPE!$A$54:$I$82,5,FALSE)+VLOOKUP(AT$3,DRIPE!$A$54:$I$82,12,FALSE))+ ('Inputs-System'!$C$26*'Coincidence Factors'!$B$7*(1+'Inputs-System'!$C$18)*(1+'Inputs-System'!$C$42))*'Inputs-Proposals'!$I$22*VLOOKUP(AT$3,DRIPE!$A$54:$I$82,8,FALSE), $C43= "3", ( 'Inputs-System'!$C$30*'Coincidence Factors'!$B$7*(1+'Inputs-System'!$C$18)*(1+'Inputs-System'!$C$41))*('Inputs-Proposals'!$I$29*'Inputs-Proposals'!$I$31*('Inputs-Proposals'!$I$32))*(VLOOKUP(AT$3,DRIPE!$A$54:$I$82,5,FALSE)+VLOOKUP(AT$3,DRIPE!$A$54:$I$82,12,FALSE))+ ('Inputs-System'!$C$26*'Coincidence Factors'!$B$7*(1+'Inputs-System'!$C$18)*(1+'Inputs-System'!$C$42))*'Inputs-Proposals'!$I$28*VLOOKUP(AT$3,DRIPE!$A$54:$I$82,8,FALSE), $C43 = "0", 0), 0)</f>
        <v>0</v>
      </c>
      <c r="AW43" s="45">
        <f>IFERROR(_xlfn.IFS($C43="1",('Inputs-System'!$C$26*'Coincidence Factors'!$B$7*(1+'Inputs-System'!$C$18))*'Inputs-Proposals'!$I$16*(VLOOKUP(AT$3,Capacity!$A$53:$E$85,4,FALSE)*(1+'Inputs-System'!$C$42)+VLOOKUP(AT$3,Capacity!$A$53:$E$85,5,FALSE)*'Inputs-System'!$C$29*(1+'Inputs-System'!$C$43)), $C43 = "2", ('Inputs-System'!$C$26*'Coincidence Factors'!$B$7*(1+'Inputs-System'!$C$18))*'Inputs-Proposals'!$I$22*(VLOOKUP(AT$3,Capacity!$A$53:$E$85,4,FALSE)*(1+'Inputs-System'!$C$42)+VLOOKUP(AT$3,Capacity!$A$53:$E$85,5,FALSE)*'Inputs-System'!$C$29*(1+'Inputs-System'!$C$43)), $C43 = "3",('Inputs-System'!$C$26*'Coincidence Factors'!$B$7*(1+'Inputs-System'!$C$18))*'Inputs-Proposals'!$I$28*(VLOOKUP(AT$3,Capacity!$A$53:$E$85,4,FALSE)*(1+'Inputs-System'!$C$42)+VLOOKUP(AT$3,Capacity!$A$53:$E$85,5,FALSE)*'Inputs-System'!$C$29*(1+'Inputs-System'!$C$43)), $C43 = "0", 0), 0)</f>
        <v>0</v>
      </c>
      <c r="AX43" s="44">
        <v>0</v>
      </c>
      <c r="AY43" s="342">
        <f>IFERROR(_xlfn.IFS($C43="1", 'Inputs-System'!$C$30*'Coincidence Factors'!$B$7*'Inputs-Proposals'!$I$17*'Inputs-Proposals'!$I$19*(VLOOKUP(AT$3,'Non-Embedded Emissions'!$A$56:$D$90,2,FALSE)+VLOOKUP(AT$3,'Non-Embedded Emissions'!$A$143:$D$174,2,FALSE)+VLOOKUP(AT$3,'Non-Embedded Emissions'!$A$230:$D$259,2,FALSE)), $C43 = "2", 'Inputs-System'!$C$30*'Coincidence Factors'!$B$7*'Inputs-Proposals'!$I$23*'Inputs-Proposals'!$I$25*(VLOOKUP(AT$3,'Non-Embedded Emissions'!$A$56:$D$90,2,FALSE)+VLOOKUP(AT$3,'Non-Embedded Emissions'!$A$143:$D$174,2,FALSE)+VLOOKUP(AT$3,'Non-Embedded Emissions'!$A$230:$D$259,2,FALSE)), $C43 = "3", 'Inputs-System'!$C$30*'Coincidence Factors'!$B$7*'Inputs-Proposals'!$I$29*'Inputs-Proposals'!$I$31*(VLOOKUP(AT$3,'Non-Embedded Emissions'!$A$56:$D$90,2,FALSE)+VLOOKUP(AT$3,'Non-Embedded Emissions'!$A$143:$D$174,2,FALSE)+VLOOKUP(AT$3,'Non-Embedded Emissions'!$A$230:$D$259,2,FALSE)), $C43 = "0", 0), 0)</f>
        <v>0</v>
      </c>
      <c r="AZ43" s="347">
        <f>IFERROR(_xlfn.IFS($C43="1",('Inputs-System'!$C$30*'Coincidence Factors'!$B$7*(1+'Inputs-System'!$C$18)*(1+'Inputs-System'!$C$41)*('Inputs-Proposals'!$I$17*'Inputs-Proposals'!$I$19*('Inputs-Proposals'!$I$20))*(VLOOKUP(AZ$3,Energy!$A$51:$K$83,5,FALSE))), $C43 = "2",('Inputs-System'!$C$30*'Coincidence Factors'!$B$7)*(1+'Inputs-System'!$C$18)*(1+'Inputs-System'!$C$41)*('Inputs-Proposals'!$I$23*'Inputs-Proposals'!$I$25*('Inputs-Proposals'!$I$26))*(VLOOKUP(AZ$3,Energy!$A$51:$K$83,5,FALSE)), $C43= "3", ('Inputs-System'!$C$30*'Coincidence Factors'!$B$7*(1+'Inputs-System'!$C$18)*(1+'Inputs-System'!$C$41)*('Inputs-Proposals'!$I$29*'Inputs-Proposals'!$I$31*('Inputs-Proposals'!$I$32))*(VLOOKUP(AZ$3,Energy!$A$51:$K$83,5,FALSE))), $C43= "0", 0), 0)</f>
        <v>0</v>
      </c>
      <c r="BA43" s="44">
        <f>IFERROR(_xlfn.IFS($C43="1",'Inputs-System'!$C$30*'Coincidence Factors'!$B$7*(1+'Inputs-System'!$C$18)*(1+'Inputs-System'!$C$41)*'Inputs-Proposals'!$I$17*'Inputs-Proposals'!$I$19*('Inputs-Proposals'!$I$20)*(VLOOKUP(AZ$3,'Embedded Emissions'!$A$47:$B$78,2,FALSE)+VLOOKUP(AZ$3,'Embedded Emissions'!$A$129:$B$158,2,FALSE)), $C43 = "2",'Inputs-System'!$C$30*'Coincidence Factors'!$B$7*(1+'Inputs-System'!$C$18)*(1+'Inputs-System'!$C$41)*'Inputs-Proposals'!$I$23*'Inputs-Proposals'!$I$25*('Inputs-Proposals'!$I$20)*(VLOOKUP(AZ$3,'Embedded Emissions'!$A$47:$B$78,2,FALSE)+VLOOKUP(AZ$3,'Embedded Emissions'!$A$129:$B$158,2,FALSE)), $C43 = "3", 'Inputs-System'!$C$30*'Coincidence Factors'!$B$7*(1+'Inputs-System'!$C$18)*(1+'Inputs-System'!$C$41)*'Inputs-Proposals'!$I$29*'Inputs-Proposals'!$I$31*('Inputs-Proposals'!$I$20)*(VLOOKUP(AZ$3,'Embedded Emissions'!$A$47:$B$78,2,FALSE)+VLOOKUP(AZ$3,'Embedded Emissions'!$A$129:$B$158,2,FALSE)), $C43 = "0", 0), 0)</f>
        <v>0</v>
      </c>
      <c r="BB43" s="44">
        <f>IFERROR(_xlfn.IFS($C43="1",( 'Inputs-System'!$C$30*'Coincidence Factors'!$B$7*(1+'Inputs-System'!$C$18)*(1+'Inputs-System'!$C$41))*('Inputs-Proposals'!$I$17*'Inputs-Proposals'!$I$19*('Inputs-Proposals'!$I$20))*(VLOOKUP(AZ$3,DRIPE!$A$54:$I$82,5,FALSE)+VLOOKUP(AZ$3,DRIPE!$A$54:$I$82,9,FALSE))+ ('Inputs-System'!$C$26*'Coincidence Factors'!$B$7*(1+'Inputs-System'!$C$18)*(1+'Inputs-System'!$C$42))*'Inputs-Proposals'!$I$16*VLOOKUP(AZ$3,DRIPE!$A$54:$I$82,8,FALSE), $C43 = "2",( 'Inputs-System'!$C$30*'Coincidence Factors'!$B$7*(1+'Inputs-System'!$C$18)*(1+'Inputs-System'!$C$41))*('Inputs-Proposals'!$I$23*'Inputs-Proposals'!$I$25*('Inputs-Proposals'!$I$26))*(VLOOKUP(AZ$3,DRIPE!$A$54:$I$82,5,FALSE)+VLOOKUP(AZ$3,DRIPE!$A$54:$I$82,12,FALSE))+ ('Inputs-System'!$C$26*'Coincidence Factors'!$B$7*(1+'Inputs-System'!$C$18)*(1+'Inputs-System'!$C$42))*'Inputs-Proposals'!$I$22*VLOOKUP(AZ$3,DRIPE!$A$54:$I$82,8,FALSE), $C43= "3", ( 'Inputs-System'!$C$30*'Coincidence Factors'!$B$7*(1+'Inputs-System'!$C$18)*(1+'Inputs-System'!$C$41))*('Inputs-Proposals'!$I$29*'Inputs-Proposals'!$I$31*('Inputs-Proposals'!$I$32))*(VLOOKUP(AZ$3,DRIPE!$A$54:$I$82,5,FALSE)+VLOOKUP(AZ$3,DRIPE!$A$54:$I$82,12,FALSE))+ ('Inputs-System'!$C$26*'Coincidence Factors'!$B$7*(1+'Inputs-System'!$C$18)*(1+'Inputs-System'!$C$42))*'Inputs-Proposals'!$I$28*VLOOKUP(AZ$3,DRIPE!$A$54:$I$82,8,FALSE), $C43 = "0", 0), 0)</f>
        <v>0</v>
      </c>
      <c r="BC43" s="45">
        <f>IFERROR(_xlfn.IFS($C43="1",('Inputs-System'!$C$26*'Coincidence Factors'!$B$7*(1+'Inputs-System'!$C$18))*'Inputs-Proposals'!$I$16*(VLOOKUP(AZ$3,Capacity!$A$53:$E$85,4,FALSE)*(1+'Inputs-System'!$C$42)+VLOOKUP(AZ$3,Capacity!$A$53:$E$85,5,FALSE)*'Inputs-System'!$C$29*(1+'Inputs-System'!$C$43)), $C43 = "2", ('Inputs-System'!$C$26*'Coincidence Factors'!$B$7*(1+'Inputs-System'!$C$18))*'Inputs-Proposals'!$I$22*(VLOOKUP(AZ$3,Capacity!$A$53:$E$85,4,FALSE)*(1+'Inputs-System'!$C$42)+VLOOKUP(AZ$3,Capacity!$A$53:$E$85,5,FALSE)*'Inputs-System'!$C$29*(1+'Inputs-System'!$C$43)), $C43 = "3",('Inputs-System'!$C$26*'Coincidence Factors'!$B$7*(1+'Inputs-System'!$C$18))*'Inputs-Proposals'!$I$28*(VLOOKUP(AZ$3,Capacity!$A$53:$E$85,4,FALSE)*(1+'Inputs-System'!$C$42)+VLOOKUP(AZ$3,Capacity!$A$53:$E$85,5,FALSE)*'Inputs-System'!$C$29*(1+'Inputs-System'!$C$43)), $C43 = "0", 0), 0)</f>
        <v>0</v>
      </c>
      <c r="BD43" s="44">
        <v>0</v>
      </c>
      <c r="BE43" s="342">
        <f>IFERROR(_xlfn.IFS($C43="1", 'Inputs-System'!$C$30*'Coincidence Factors'!$B$7*'Inputs-Proposals'!$I$17*'Inputs-Proposals'!$I$19*(VLOOKUP(AZ$3,'Non-Embedded Emissions'!$A$56:$D$90,2,FALSE)+VLOOKUP(AZ$3,'Non-Embedded Emissions'!$A$143:$D$174,2,FALSE)+VLOOKUP(AZ$3,'Non-Embedded Emissions'!$A$230:$D$259,2,FALSE)), $C43 = "2", 'Inputs-System'!$C$30*'Coincidence Factors'!$B$7*'Inputs-Proposals'!$I$23*'Inputs-Proposals'!$I$25*(VLOOKUP(AZ$3,'Non-Embedded Emissions'!$A$56:$D$90,2,FALSE)+VLOOKUP(AZ$3,'Non-Embedded Emissions'!$A$143:$D$174,2,FALSE)+VLOOKUP(AZ$3,'Non-Embedded Emissions'!$A$230:$D$259,2,FALSE)), $C43 = "3", 'Inputs-System'!$C$30*'Coincidence Factors'!$B$7*'Inputs-Proposals'!$I$29*'Inputs-Proposals'!$I$31*(VLOOKUP(AZ$3,'Non-Embedded Emissions'!$A$56:$D$90,2,FALSE)+VLOOKUP(AZ$3,'Non-Embedded Emissions'!$A$143:$D$174,2,FALSE)+VLOOKUP(AZ$3,'Non-Embedded Emissions'!$A$230:$D$259,2,FALSE)), $C43 = "0", 0), 0)</f>
        <v>0</v>
      </c>
      <c r="BF43" s="347">
        <f>IFERROR(_xlfn.IFS($C43="1",('Inputs-System'!$C$30*'Coincidence Factors'!$B$7*(1+'Inputs-System'!$C$18)*(1+'Inputs-System'!$C$41)*('Inputs-Proposals'!$I$17*'Inputs-Proposals'!$I$19*('Inputs-Proposals'!$I$20))*(VLOOKUP(BF$3,Energy!$A$51:$K$83,5,FALSE))), $C43 = "2",('Inputs-System'!$C$30*'Coincidence Factors'!$B$7)*(1+'Inputs-System'!$C$18)*(1+'Inputs-System'!$C$41)*('Inputs-Proposals'!$I$23*'Inputs-Proposals'!$I$25*('Inputs-Proposals'!$I$26))*(VLOOKUP(BF$3,Energy!$A$51:$K$83,5,FALSE)), $C43= "3", ('Inputs-System'!$C$30*'Coincidence Factors'!$B$7*(1+'Inputs-System'!$C$18)*(1+'Inputs-System'!$C$41)*('Inputs-Proposals'!$I$29*'Inputs-Proposals'!$I$31*('Inputs-Proposals'!$I$32))*(VLOOKUP(BF$3,Energy!$A$51:$K$83,5,FALSE))), $C43= "0", 0), 0)</f>
        <v>0</v>
      </c>
      <c r="BG43" s="44">
        <f>IFERROR(_xlfn.IFS($C43="1",'Inputs-System'!$C$30*'Coincidence Factors'!$B$7*(1+'Inputs-System'!$C$18)*(1+'Inputs-System'!$C$41)*'Inputs-Proposals'!$I$17*'Inputs-Proposals'!$I$19*('Inputs-Proposals'!$I$20)*(VLOOKUP(BF$3,'Embedded Emissions'!$A$47:$B$78,2,FALSE)+VLOOKUP(BF$3,'Embedded Emissions'!$A$129:$B$158,2,FALSE)), $C43 = "2",'Inputs-System'!$C$30*'Coincidence Factors'!$B$7*(1+'Inputs-System'!$C$18)*(1+'Inputs-System'!$C$41)*'Inputs-Proposals'!$I$23*'Inputs-Proposals'!$I$25*('Inputs-Proposals'!$I$20)*(VLOOKUP(BF$3,'Embedded Emissions'!$A$47:$B$78,2,FALSE)+VLOOKUP(BF$3,'Embedded Emissions'!$A$129:$B$158,2,FALSE)), $C43 = "3", 'Inputs-System'!$C$30*'Coincidence Factors'!$B$7*(1+'Inputs-System'!$C$18)*(1+'Inputs-System'!$C$41)*'Inputs-Proposals'!$I$29*'Inputs-Proposals'!$I$31*('Inputs-Proposals'!$I$20)*(VLOOKUP(BF$3,'Embedded Emissions'!$A$47:$B$78,2,FALSE)+VLOOKUP(BF$3,'Embedded Emissions'!$A$129:$B$158,2,FALSE)), $C43 = "0", 0), 0)</f>
        <v>0</v>
      </c>
      <c r="BH43" s="44">
        <f>IFERROR(_xlfn.IFS($C43="1",( 'Inputs-System'!$C$30*'Coincidence Factors'!$B$7*(1+'Inputs-System'!$C$18)*(1+'Inputs-System'!$C$41))*('Inputs-Proposals'!$I$17*'Inputs-Proposals'!$I$19*('Inputs-Proposals'!$I$20))*(VLOOKUP(BF$3,DRIPE!$A$54:$I$82,5,FALSE)+VLOOKUP(BF$3,DRIPE!$A$54:$I$82,9,FALSE))+ ('Inputs-System'!$C$26*'Coincidence Factors'!$B$7*(1+'Inputs-System'!$C$18)*(1+'Inputs-System'!$C$42))*'Inputs-Proposals'!$I$16*VLOOKUP(BF$3,DRIPE!$A$54:$I$82,8,FALSE), $C43 = "2",( 'Inputs-System'!$C$30*'Coincidence Factors'!$B$7*(1+'Inputs-System'!$C$18)*(1+'Inputs-System'!$C$41))*('Inputs-Proposals'!$I$23*'Inputs-Proposals'!$I$25*('Inputs-Proposals'!$I$26))*(VLOOKUP(BF$3,DRIPE!$A$54:$I$82,5,FALSE)+VLOOKUP(BF$3,DRIPE!$A$54:$I$82,12,FALSE))+ ('Inputs-System'!$C$26*'Coincidence Factors'!$B$7*(1+'Inputs-System'!$C$18)*(1+'Inputs-System'!$C$42))*'Inputs-Proposals'!$I$22*VLOOKUP(BF$3,DRIPE!$A$54:$I$82,8,FALSE), $C43= "3", ( 'Inputs-System'!$C$30*'Coincidence Factors'!$B$7*(1+'Inputs-System'!$C$18)*(1+'Inputs-System'!$C$41))*('Inputs-Proposals'!$I$29*'Inputs-Proposals'!$I$31*('Inputs-Proposals'!$I$32))*(VLOOKUP(BF$3,DRIPE!$A$54:$I$82,5,FALSE)+VLOOKUP(BF$3,DRIPE!$A$54:$I$82,12,FALSE))+ ('Inputs-System'!$C$26*'Coincidence Factors'!$B$7*(1+'Inputs-System'!$C$18)*(1+'Inputs-System'!$C$42))*'Inputs-Proposals'!$I$28*VLOOKUP(BF$3,DRIPE!$A$54:$I$82,8,FALSE), $C43 = "0", 0), 0)</f>
        <v>0</v>
      </c>
      <c r="BI43" s="45">
        <f>IFERROR(_xlfn.IFS($C43="1",('Inputs-System'!$C$26*'Coincidence Factors'!$B$7*(1+'Inputs-System'!$C$18))*'Inputs-Proposals'!$I$16*(VLOOKUP(BF$3,Capacity!$A$53:$E$85,4,FALSE)*(1+'Inputs-System'!$C$42)+VLOOKUP(BF$3,Capacity!$A$53:$E$85,5,FALSE)*'Inputs-System'!$C$29*(1+'Inputs-System'!$C$43)), $C43 = "2", ('Inputs-System'!$C$26*'Coincidence Factors'!$B$7*(1+'Inputs-System'!$C$18))*'Inputs-Proposals'!$I$22*(VLOOKUP(BF$3,Capacity!$A$53:$E$85,4,FALSE)*(1+'Inputs-System'!$C$42)+VLOOKUP(BF$3,Capacity!$A$53:$E$85,5,FALSE)*'Inputs-System'!$C$29*(1+'Inputs-System'!$C$43)), $C43 = "3",('Inputs-System'!$C$26*'Coincidence Factors'!$B$7*(1+'Inputs-System'!$C$18))*'Inputs-Proposals'!$I$28*(VLOOKUP(BF$3,Capacity!$A$53:$E$85,4,FALSE)*(1+'Inputs-System'!$C$42)+VLOOKUP(BF$3,Capacity!$A$53:$E$85,5,FALSE)*'Inputs-System'!$C$29*(1+'Inputs-System'!$C$43)), $C43 = "0", 0), 0)</f>
        <v>0</v>
      </c>
      <c r="BJ43" s="44">
        <v>0</v>
      </c>
      <c r="BK43" s="342">
        <f>IFERROR(_xlfn.IFS($C43="1", 'Inputs-System'!$C$30*'Coincidence Factors'!$B$7*'Inputs-Proposals'!$I$17*'Inputs-Proposals'!$I$19*(VLOOKUP(BF$3,'Non-Embedded Emissions'!$A$56:$D$90,2,FALSE)+VLOOKUP(BF$3,'Non-Embedded Emissions'!$A$143:$D$174,2,FALSE)+VLOOKUP(BF$3,'Non-Embedded Emissions'!$A$230:$D$259,2,FALSE)), $C43 = "2", 'Inputs-System'!$C$30*'Coincidence Factors'!$B$7*'Inputs-Proposals'!$I$23*'Inputs-Proposals'!$I$25*(VLOOKUP(BF$3,'Non-Embedded Emissions'!$A$56:$D$90,2,FALSE)+VLOOKUP(BF$3,'Non-Embedded Emissions'!$A$143:$D$174,2,FALSE)+VLOOKUP(BF$3,'Non-Embedded Emissions'!$A$230:$D$259,2,FALSE)), $C43 = "3", 'Inputs-System'!$C$30*'Coincidence Factors'!$B$7*'Inputs-Proposals'!$I$29*'Inputs-Proposals'!$I$31*(VLOOKUP(BF$3,'Non-Embedded Emissions'!$A$56:$D$90,2,FALSE)+VLOOKUP(BF$3,'Non-Embedded Emissions'!$A$143:$D$174,2,FALSE)+VLOOKUP(BF$3,'Non-Embedded Emissions'!$A$230:$D$259,2,FALSE)), $C43 = "0", 0), 0)</f>
        <v>0</v>
      </c>
      <c r="BL43" s="347">
        <f>IFERROR(_xlfn.IFS($C43="1",('Inputs-System'!$C$30*'Coincidence Factors'!$B$7*(1+'Inputs-System'!$C$18)*(1+'Inputs-System'!$C$41)*('Inputs-Proposals'!$I$17*'Inputs-Proposals'!$I$19*('Inputs-Proposals'!$I$20))*(VLOOKUP(BL$3,Energy!$A$51:$K$83,5,FALSE))), $C43 = "2",('Inputs-System'!$C$30*'Coincidence Factors'!$B$7)*(1+'Inputs-System'!$C$18)*(1+'Inputs-System'!$C$41)*('Inputs-Proposals'!$I$23*'Inputs-Proposals'!$I$25*('Inputs-Proposals'!$I$26))*(VLOOKUP(BL$3,Energy!$A$51:$K$83,5,FALSE)), $C43= "3", ('Inputs-System'!$C$30*'Coincidence Factors'!$B$7*(1+'Inputs-System'!$C$18)*(1+'Inputs-System'!$C$41)*('Inputs-Proposals'!$I$29*'Inputs-Proposals'!$I$31*('Inputs-Proposals'!$I$32))*(VLOOKUP(BL$3,Energy!$A$51:$K$83,5,FALSE))), $C43= "0", 0), 0)</f>
        <v>0</v>
      </c>
      <c r="BM43" s="44">
        <f>IFERROR(_xlfn.IFS($C43="1",'Inputs-System'!$C$30*'Coincidence Factors'!$B$7*(1+'Inputs-System'!$C$18)*(1+'Inputs-System'!$C$41)*'Inputs-Proposals'!$I$17*'Inputs-Proposals'!$I$19*('Inputs-Proposals'!$I$20)*(VLOOKUP(BL$3,'Embedded Emissions'!$A$47:$B$78,2,FALSE)+VLOOKUP(BL$3,'Embedded Emissions'!$A$129:$B$158,2,FALSE)), $C43 = "2",'Inputs-System'!$C$30*'Coincidence Factors'!$B$7*(1+'Inputs-System'!$C$18)*(1+'Inputs-System'!$C$41)*'Inputs-Proposals'!$I$23*'Inputs-Proposals'!$I$25*('Inputs-Proposals'!$I$20)*(VLOOKUP(BL$3,'Embedded Emissions'!$A$47:$B$78,2,FALSE)+VLOOKUP(BL$3,'Embedded Emissions'!$A$129:$B$158,2,FALSE)), $C43 = "3", 'Inputs-System'!$C$30*'Coincidence Factors'!$B$7*(1+'Inputs-System'!$C$18)*(1+'Inputs-System'!$C$41)*'Inputs-Proposals'!$I$29*'Inputs-Proposals'!$I$31*('Inputs-Proposals'!$I$20)*(VLOOKUP(BL$3,'Embedded Emissions'!$A$47:$B$78,2,FALSE)+VLOOKUP(BL$3,'Embedded Emissions'!$A$129:$B$158,2,FALSE)), $C43 = "0", 0), 0)</f>
        <v>0</v>
      </c>
      <c r="BN43" s="44">
        <f>IFERROR(_xlfn.IFS($C43="1",( 'Inputs-System'!$C$30*'Coincidence Factors'!$B$7*(1+'Inputs-System'!$C$18)*(1+'Inputs-System'!$C$41))*('Inputs-Proposals'!$I$17*'Inputs-Proposals'!$I$19*('Inputs-Proposals'!$I$20))*(VLOOKUP(BL$3,DRIPE!$A$54:$I$82,5,FALSE)+VLOOKUP(BL$3,DRIPE!$A$54:$I$82,9,FALSE))+ ('Inputs-System'!$C$26*'Coincidence Factors'!$B$7*(1+'Inputs-System'!$C$18)*(1+'Inputs-System'!$C$42))*'Inputs-Proposals'!$I$16*VLOOKUP(BL$3,DRIPE!$A$54:$I$82,8,FALSE), $C43 = "2",( 'Inputs-System'!$C$30*'Coincidence Factors'!$B$7*(1+'Inputs-System'!$C$18)*(1+'Inputs-System'!$C$41))*('Inputs-Proposals'!$I$23*'Inputs-Proposals'!$I$25*('Inputs-Proposals'!$I$26))*(VLOOKUP(BL$3,DRIPE!$A$54:$I$82,5,FALSE)+VLOOKUP(BL$3,DRIPE!$A$54:$I$82,12,FALSE))+ ('Inputs-System'!$C$26*'Coincidence Factors'!$B$7*(1+'Inputs-System'!$C$18)*(1+'Inputs-System'!$C$42))*'Inputs-Proposals'!$I$22*VLOOKUP(BL$3,DRIPE!$A$54:$I$82,8,FALSE), $C43= "3", ( 'Inputs-System'!$C$30*'Coincidence Factors'!$B$7*(1+'Inputs-System'!$C$18)*(1+'Inputs-System'!$C$41))*('Inputs-Proposals'!$I$29*'Inputs-Proposals'!$I$31*('Inputs-Proposals'!$I$32))*(VLOOKUP(BL$3,DRIPE!$A$54:$I$82,5,FALSE)+VLOOKUP(BL$3,DRIPE!$A$54:$I$82,12,FALSE))+ ('Inputs-System'!$C$26*'Coincidence Factors'!$B$7*(1+'Inputs-System'!$C$18)*(1+'Inputs-System'!$C$42))*'Inputs-Proposals'!$I$28*VLOOKUP(BL$3,DRIPE!$A$54:$I$82,8,FALSE), $C43 = "0", 0), 0)</f>
        <v>0</v>
      </c>
      <c r="BO43" s="45">
        <f>IFERROR(_xlfn.IFS($C43="1",('Inputs-System'!$C$26*'Coincidence Factors'!$B$7*(1+'Inputs-System'!$C$18))*'Inputs-Proposals'!$I$16*(VLOOKUP(BL$3,Capacity!$A$53:$E$85,4,FALSE)*(1+'Inputs-System'!$C$42)+VLOOKUP(BL$3,Capacity!$A$53:$E$85,5,FALSE)*'Inputs-System'!$C$29*(1+'Inputs-System'!$C$43)), $C43 = "2", ('Inputs-System'!$C$26*'Coincidence Factors'!$B$7*(1+'Inputs-System'!$C$18))*'Inputs-Proposals'!$I$22*(VLOOKUP(BL$3,Capacity!$A$53:$E$85,4,FALSE)*(1+'Inputs-System'!$C$42)+VLOOKUP(BL$3,Capacity!$A$53:$E$85,5,FALSE)*'Inputs-System'!$C$29*(1+'Inputs-System'!$C$43)), $C43 = "3",('Inputs-System'!$C$26*'Coincidence Factors'!$B$7*(1+'Inputs-System'!$C$18))*'Inputs-Proposals'!$I$28*(VLOOKUP(BL$3,Capacity!$A$53:$E$85,4,FALSE)*(1+'Inputs-System'!$C$42)+VLOOKUP(BL$3,Capacity!$A$53:$E$85,5,FALSE)*'Inputs-System'!$C$29*(1+'Inputs-System'!$C$43)), $C43 = "0", 0), 0)</f>
        <v>0</v>
      </c>
      <c r="BP43" s="44">
        <v>0</v>
      </c>
      <c r="BQ43" s="342">
        <f>IFERROR(_xlfn.IFS($C43="1", 'Inputs-System'!$C$30*'Coincidence Factors'!$B$7*'Inputs-Proposals'!$I$17*'Inputs-Proposals'!$I$19*(VLOOKUP(BL$3,'Non-Embedded Emissions'!$A$56:$D$90,2,FALSE)+VLOOKUP(BL$3,'Non-Embedded Emissions'!$A$143:$D$174,2,FALSE)+VLOOKUP(BL$3,'Non-Embedded Emissions'!$A$230:$D$259,2,FALSE)), $C43 = "2", 'Inputs-System'!$C$30*'Coincidence Factors'!$B$7*'Inputs-Proposals'!$I$23*'Inputs-Proposals'!$I$25*(VLOOKUP(BL$3,'Non-Embedded Emissions'!$A$56:$D$90,2,FALSE)+VLOOKUP(BL$3,'Non-Embedded Emissions'!$A$143:$D$174,2,FALSE)+VLOOKUP(BL$3,'Non-Embedded Emissions'!$A$230:$D$259,2,FALSE)), $C43 = "3", 'Inputs-System'!$C$30*'Coincidence Factors'!$B$7*'Inputs-Proposals'!$I$29*'Inputs-Proposals'!$I$31*(VLOOKUP(BL$3,'Non-Embedded Emissions'!$A$56:$D$90,2,FALSE)+VLOOKUP(BL$3,'Non-Embedded Emissions'!$A$143:$D$174,2,FALSE)+VLOOKUP(BL$3,'Non-Embedded Emissions'!$A$230:$D$259,2,FALSE)), $C43 = "0", 0), 0)</f>
        <v>0</v>
      </c>
      <c r="BR43" s="347">
        <f>IFERROR(_xlfn.IFS($C43="1",('Inputs-System'!$C$30*'Coincidence Factors'!$B$7*(1+'Inputs-System'!$C$18)*(1+'Inputs-System'!$C$41)*('Inputs-Proposals'!$I$17*'Inputs-Proposals'!$I$19*('Inputs-Proposals'!$I$20))*(VLOOKUP(BR$3,Energy!$A$51:$K$83,5,FALSE))), $C43 = "2",('Inputs-System'!$C$30*'Coincidence Factors'!$B$7)*(1+'Inputs-System'!$C$18)*(1+'Inputs-System'!$C$41)*('Inputs-Proposals'!$I$23*'Inputs-Proposals'!$I$25*('Inputs-Proposals'!$I$26))*(VLOOKUP(BR$3,Energy!$A$51:$K$83,5,FALSE)), $C43= "3", ('Inputs-System'!$C$30*'Coincidence Factors'!$B$7*(1+'Inputs-System'!$C$18)*(1+'Inputs-System'!$C$41)*('Inputs-Proposals'!$I$29*'Inputs-Proposals'!$I$31*('Inputs-Proposals'!$I$32))*(VLOOKUP(BR$3,Energy!$A$51:$K$83,5,FALSE))), $C43= "0", 0), 0)</f>
        <v>0</v>
      </c>
      <c r="BS43" s="44">
        <f>IFERROR(_xlfn.IFS($C43="1",'Inputs-System'!$C$30*'Coincidence Factors'!$B$7*(1+'Inputs-System'!$C$18)*(1+'Inputs-System'!$C$41)*'Inputs-Proposals'!$I$17*'Inputs-Proposals'!$I$19*('Inputs-Proposals'!$I$20)*(VLOOKUP(BR$3,'Embedded Emissions'!$A$47:$B$78,2,FALSE)+VLOOKUP(BR$3,'Embedded Emissions'!$A$129:$B$158,2,FALSE)), $C43 = "2",'Inputs-System'!$C$30*'Coincidence Factors'!$B$7*(1+'Inputs-System'!$C$18)*(1+'Inputs-System'!$C$41)*'Inputs-Proposals'!$I$23*'Inputs-Proposals'!$I$25*('Inputs-Proposals'!$I$20)*(VLOOKUP(BR$3,'Embedded Emissions'!$A$47:$B$78,2,FALSE)+VLOOKUP(BR$3,'Embedded Emissions'!$A$129:$B$158,2,FALSE)), $C43 = "3", 'Inputs-System'!$C$30*'Coincidence Factors'!$B$7*(1+'Inputs-System'!$C$18)*(1+'Inputs-System'!$C$41)*'Inputs-Proposals'!$I$29*'Inputs-Proposals'!$I$31*('Inputs-Proposals'!$I$20)*(VLOOKUP(BR$3,'Embedded Emissions'!$A$47:$B$78,2,FALSE)+VLOOKUP(BR$3,'Embedded Emissions'!$A$129:$B$158,2,FALSE)), $C43 = "0", 0), 0)</f>
        <v>0</v>
      </c>
      <c r="BT43" s="44">
        <f>IFERROR(_xlfn.IFS($C43="1",( 'Inputs-System'!$C$30*'Coincidence Factors'!$B$7*(1+'Inputs-System'!$C$18)*(1+'Inputs-System'!$C$41))*('Inputs-Proposals'!$I$17*'Inputs-Proposals'!$I$19*('Inputs-Proposals'!$I$20))*(VLOOKUP(BR$3,DRIPE!$A$54:$I$82,5,FALSE)+VLOOKUP(BR$3,DRIPE!$A$54:$I$82,9,FALSE))+ ('Inputs-System'!$C$26*'Coincidence Factors'!$B$7*(1+'Inputs-System'!$C$18)*(1+'Inputs-System'!$C$42))*'Inputs-Proposals'!$I$16*VLOOKUP(BR$3,DRIPE!$A$54:$I$82,8,FALSE), $C43 = "2",( 'Inputs-System'!$C$30*'Coincidence Factors'!$B$7*(1+'Inputs-System'!$C$18)*(1+'Inputs-System'!$C$41))*('Inputs-Proposals'!$I$23*'Inputs-Proposals'!$I$25*('Inputs-Proposals'!$I$26))*(VLOOKUP(BR$3,DRIPE!$A$54:$I$82,5,FALSE)+VLOOKUP(BR$3,DRIPE!$A$54:$I$82,12,FALSE))+ ('Inputs-System'!$C$26*'Coincidence Factors'!$B$7*(1+'Inputs-System'!$C$18)*(1+'Inputs-System'!$C$42))*'Inputs-Proposals'!$I$22*VLOOKUP(BR$3,DRIPE!$A$54:$I$82,8,FALSE), $C43= "3", ( 'Inputs-System'!$C$30*'Coincidence Factors'!$B$7*(1+'Inputs-System'!$C$18)*(1+'Inputs-System'!$C$41))*('Inputs-Proposals'!$I$29*'Inputs-Proposals'!$I$31*('Inputs-Proposals'!$I$32))*(VLOOKUP(BR$3,DRIPE!$A$54:$I$82,5,FALSE)+VLOOKUP(BR$3,DRIPE!$A$54:$I$82,12,FALSE))+ ('Inputs-System'!$C$26*'Coincidence Factors'!$B$7*(1+'Inputs-System'!$C$18)*(1+'Inputs-System'!$C$42))*'Inputs-Proposals'!$I$28*VLOOKUP(BR$3,DRIPE!$A$54:$I$82,8,FALSE), $C43 = "0", 0), 0)</f>
        <v>0</v>
      </c>
      <c r="BU43" s="45">
        <f>IFERROR(_xlfn.IFS($C43="1",('Inputs-System'!$C$26*'Coincidence Factors'!$B$7*(1+'Inputs-System'!$C$18))*'Inputs-Proposals'!$I$16*(VLOOKUP(BR$3,Capacity!$A$53:$E$85,4,FALSE)*(1+'Inputs-System'!$C$42)+VLOOKUP(BR$3,Capacity!$A$53:$E$85,5,FALSE)*'Inputs-System'!$C$29*(1+'Inputs-System'!$C$43)), $C43 = "2", ('Inputs-System'!$C$26*'Coincidence Factors'!$B$7*(1+'Inputs-System'!$C$18))*'Inputs-Proposals'!$I$22*(VLOOKUP(BR$3,Capacity!$A$53:$E$85,4,FALSE)*(1+'Inputs-System'!$C$42)+VLOOKUP(BR$3,Capacity!$A$53:$E$85,5,FALSE)*'Inputs-System'!$C$29*(1+'Inputs-System'!$C$43)), $C43 = "3",('Inputs-System'!$C$26*'Coincidence Factors'!$B$7*(1+'Inputs-System'!$C$18))*'Inputs-Proposals'!$I$28*(VLOOKUP(BR$3,Capacity!$A$53:$E$85,4,FALSE)*(1+'Inputs-System'!$C$42)+VLOOKUP(BR$3,Capacity!$A$53:$E$85,5,FALSE)*'Inputs-System'!$C$29*(1+'Inputs-System'!$C$43)), $C43 = "0", 0), 0)</f>
        <v>0</v>
      </c>
      <c r="BV43" s="44">
        <v>0</v>
      </c>
      <c r="BW43" s="342">
        <f>IFERROR(_xlfn.IFS($C43="1", 'Inputs-System'!$C$30*'Coincidence Factors'!$B$7*'Inputs-Proposals'!$I$17*'Inputs-Proposals'!$I$19*(VLOOKUP(BR$3,'Non-Embedded Emissions'!$A$56:$D$90,2,FALSE)+VLOOKUP(BR$3,'Non-Embedded Emissions'!$A$143:$D$174,2,FALSE)+VLOOKUP(BR$3,'Non-Embedded Emissions'!$A$230:$D$259,2,FALSE)), $C43 = "2", 'Inputs-System'!$C$30*'Coincidence Factors'!$B$7*'Inputs-Proposals'!$I$23*'Inputs-Proposals'!$I$25*(VLOOKUP(BR$3,'Non-Embedded Emissions'!$A$56:$D$90,2,FALSE)+VLOOKUP(BR$3,'Non-Embedded Emissions'!$A$143:$D$174,2,FALSE)+VLOOKUP(BR$3,'Non-Embedded Emissions'!$A$230:$D$259,2,FALSE)), $C43 = "3", 'Inputs-System'!$C$30*'Coincidence Factors'!$B$7*'Inputs-Proposals'!$I$29*'Inputs-Proposals'!$I$31*(VLOOKUP(BR$3,'Non-Embedded Emissions'!$A$56:$D$90,2,FALSE)+VLOOKUP(BR$3,'Non-Embedded Emissions'!$A$143:$D$174,2,FALSE)+VLOOKUP(BR$3,'Non-Embedded Emissions'!$A$230:$D$259,2,FALSE)), $C43 = "0", 0), 0)</f>
        <v>0</v>
      </c>
      <c r="BX43" s="347">
        <f>IFERROR(_xlfn.IFS($C43="1",('Inputs-System'!$C$30*'Coincidence Factors'!$B$7*(1+'Inputs-System'!$C$18)*(1+'Inputs-System'!$C$41)*('Inputs-Proposals'!$I$17*'Inputs-Proposals'!$I$19*('Inputs-Proposals'!$I$20))*(VLOOKUP(BX$3,Energy!$A$51:$K$83,5,FALSE))), $C43 = "2",('Inputs-System'!$C$30*'Coincidence Factors'!$B$7)*(1+'Inputs-System'!$C$18)*(1+'Inputs-System'!$C$41)*('Inputs-Proposals'!$I$23*'Inputs-Proposals'!$I$25*('Inputs-Proposals'!$I$26))*(VLOOKUP(BX$3,Energy!$A$51:$K$83,5,FALSE)), $C43= "3", ('Inputs-System'!$C$30*'Coincidence Factors'!$B$7*(1+'Inputs-System'!$C$18)*(1+'Inputs-System'!$C$41)*('Inputs-Proposals'!$I$29*'Inputs-Proposals'!$I$31*('Inputs-Proposals'!$I$32))*(VLOOKUP(BX$3,Energy!$A$51:$K$83,5,FALSE))), $C43= "0", 0), 0)</f>
        <v>0</v>
      </c>
      <c r="BY43" s="44">
        <f>IFERROR(_xlfn.IFS($C43="1",'Inputs-System'!$C$30*'Coincidence Factors'!$B$7*(1+'Inputs-System'!$C$18)*(1+'Inputs-System'!$C$41)*'Inputs-Proposals'!$I$17*'Inputs-Proposals'!$I$19*('Inputs-Proposals'!$I$20)*(VLOOKUP(BX$3,'Embedded Emissions'!$A$47:$B$78,2,FALSE)+VLOOKUP(BX$3,'Embedded Emissions'!$A$129:$B$158,2,FALSE)), $C43 = "2",'Inputs-System'!$C$30*'Coincidence Factors'!$B$7*(1+'Inputs-System'!$C$18)*(1+'Inputs-System'!$C$41)*'Inputs-Proposals'!$I$23*'Inputs-Proposals'!$I$25*('Inputs-Proposals'!$I$20)*(VLOOKUP(BX$3,'Embedded Emissions'!$A$47:$B$78,2,FALSE)+VLOOKUP(BX$3,'Embedded Emissions'!$A$129:$B$158,2,FALSE)), $C43 = "3", 'Inputs-System'!$C$30*'Coincidence Factors'!$B$7*(1+'Inputs-System'!$C$18)*(1+'Inputs-System'!$C$41)*'Inputs-Proposals'!$I$29*'Inputs-Proposals'!$I$31*('Inputs-Proposals'!$I$20)*(VLOOKUP(BX$3,'Embedded Emissions'!$A$47:$B$78,2,FALSE)+VLOOKUP(BX$3,'Embedded Emissions'!$A$129:$B$158,2,FALSE)), $C43 = "0", 0), 0)</f>
        <v>0</v>
      </c>
      <c r="BZ43" s="44">
        <f>IFERROR(_xlfn.IFS($C43="1",( 'Inputs-System'!$C$30*'Coincidence Factors'!$B$7*(1+'Inputs-System'!$C$18)*(1+'Inputs-System'!$C$41))*('Inputs-Proposals'!$I$17*'Inputs-Proposals'!$I$19*('Inputs-Proposals'!$I$20))*(VLOOKUP(BX$3,DRIPE!$A$54:$I$82,5,FALSE)+VLOOKUP(BX$3,DRIPE!$A$54:$I$82,9,FALSE))+ ('Inputs-System'!$C$26*'Coincidence Factors'!$B$7*(1+'Inputs-System'!$C$18)*(1+'Inputs-System'!$C$42))*'Inputs-Proposals'!$I$16*VLOOKUP(BX$3,DRIPE!$A$54:$I$82,8,FALSE), $C43 = "2",( 'Inputs-System'!$C$30*'Coincidence Factors'!$B$7*(1+'Inputs-System'!$C$18)*(1+'Inputs-System'!$C$41))*('Inputs-Proposals'!$I$23*'Inputs-Proposals'!$I$25*('Inputs-Proposals'!$I$26))*(VLOOKUP(BX$3,DRIPE!$A$54:$I$82,5,FALSE)+VLOOKUP(BX$3,DRIPE!$A$54:$I$82,12,FALSE))+ ('Inputs-System'!$C$26*'Coincidence Factors'!$B$7*(1+'Inputs-System'!$C$18)*(1+'Inputs-System'!$C$42))*'Inputs-Proposals'!$I$22*VLOOKUP(BX$3,DRIPE!$A$54:$I$82,8,FALSE), $C43= "3", ( 'Inputs-System'!$C$30*'Coincidence Factors'!$B$7*(1+'Inputs-System'!$C$18)*(1+'Inputs-System'!$C$41))*('Inputs-Proposals'!$I$29*'Inputs-Proposals'!$I$31*('Inputs-Proposals'!$I$32))*(VLOOKUP(BX$3,DRIPE!$A$54:$I$82,5,FALSE)+VLOOKUP(BX$3,DRIPE!$A$54:$I$82,12,FALSE))+ ('Inputs-System'!$C$26*'Coincidence Factors'!$B$7*(1+'Inputs-System'!$C$18)*(1+'Inputs-System'!$C$42))*'Inputs-Proposals'!$I$28*VLOOKUP(BX$3,DRIPE!$A$54:$I$82,8,FALSE), $C43 = "0", 0), 0)</f>
        <v>0</v>
      </c>
      <c r="CA43" s="45">
        <f>IFERROR(_xlfn.IFS($C43="1",('Inputs-System'!$C$26*'Coincidence Factors'!$B$7*(1+'Inputs-System'!$C$18))*'Inputs-Proposals'!$I$16*(VLOOKUP(BX$3,Capacity!$A$53:$E$85,4,FALSE)*(1+'Inputs-System'!$C$42)+VLOOKUP(BX$3,Capacity!$A$53:$E$85,5,FALSE)*'Inputs-System'!$C$29*(1+'Inputs-System'!$C$43)), $C43 = "2", ('Inputs-System'!$C$26*'Coincidence Factors'!$B$7*(1+'Inputs-System'!$C$18))*'Inputs-Proposals'!$I$22*(VLOOKUP(BX$3,Capacity!$A$53:$E$85,4,FALSE)*(1+'Inputs-System'!$C$42)+VLOOKUP(BX$3,Capacity!$A$53:$E$85,5,FALSE)*'Inputs-System'!$C$29*(1+'Inputs-System'!$C$43)), $C43 = "3",('Inputs-System'!$C$26*'Coincidence Factors'!$B$7*(1+'Inputs-System'!$C$18))*'Inputs-Proposals'!$I$28*(VLOOKUP(BX$3,Capacity!$A$53:$E$85,4,FALSE)*(1+'Inputs-System'!$C$42)+VLOOKUP(BX$3,Capacity!$A$53:$E$85,5,FALSE)*'Inputs-System'!$C$29*(1+'Inputs-System'!$C$43)), $C43 = "0", 0), 0)</f>
        <v>0</v>
      </c>
      <c r="CB43" s="44">
        <v>0</v>
      </c>
      <c r="CC43" s="342">
        <f>IFERROR(_xlfn.IFS($C43="1", 'Inputs-System'!$C$30*'Coincidence Factors'!$B$7*'Inputs-Proposals'!$I$17*'Inputs-Proposals'!$I$19*(VLOOKUP(BX$3,'Non-Embedded Emissions'!$A$56:$D$90,2,FALSE)+VLOOKUP(BX$3,'Non-Embedded Emissions'!$A$143:$D$174,2,FALSE)+VLOOKUP(BX$3,'Non-Embedded Emissions'!$A$230:$D$259,2,FALSE)), $C43 = "2", 'Inputs-System'!$C$30*'Coincidence Factors'!$B$7*'Inputs-Proposals'!$I$23*'Inputs-Proposals'!$I$25*(VLOOKUP(BX$3,'Non-Embedded Emissions'!$A$56:$D$90,2,FALSE)+VLOOKUP(BX$3,'Non-Embedded Emissions'!$A$143:$D$174,2,FALSE)+VLOOKUP(BX$3,'Non-Embedded Emissions'!$A$230:$D$259,2,FALSE)), $C43 = "3", 'Inputs-System'!$C$30*'Coincidence Factors'!$B$7*'Inputs-Proposals'!$I$29*'Inputs-Proposals'!$I$31*(VLOOKUP(BX$3,'Non-Embedded Emissions'!$A$56:$D$90,2,FALSE)+VLOOKUP(BX$3,'Non-Embedded Emissions'!$A$143:$D$174,2,FALSE)+VLOOKUP(BX$3,'Non-Embedded Emissions'!$A$230:$D$259,2,FALSE)), $C43 = "0", 0), 0)</f>
        <v>0</v>
      </c>
      <c r="CD43" s="347">
        <f>IFERROR(_xlfn.IFS($C43="1",('Inputs-System'!$C$30*'Coincidence Factors'!$B$7*(1+'Inputs-System'!$C$18)*(1+'Inputs-System'!$C$41)*('Inputs-Proposals'!$I$17*'Inputs-Proposals'!$I$19*('Inputs-Proposals'!$I$20))*(VLOOKUP(CD$3,Energy!$A$51:$K$83,5,FALSE))), $C43 = "2",('Inputs-System'!$C$30*'Coincidence Factors'!$B$7)*(1+'Inputs-System'!$C$18)*(1+'Inputs-System'!$C$41)*('Inputs-Proposals'!$I$23*'Inputs-Proposals'!$I$25*('Inputs-Proposals'!$I$26))*(VLOOKUP(CD$3,Energy!$A$51:$K$83,5,FALSE)), $C43= "3", ('Inputs-System'!$C$30*'Coincidence Factors'!$B$7*(1+'Inputs-System'!$C$18)*(1+'Inputs-System'!$C$41)*('Inputs-Proposals'!$I$29*'Inputs-Proposals'!$I$31*('Inputs-Proposals'!$I$32))*(VLOOKUP(CD$3,Energy!$A$51:$K$83,5,FALSE))), $C43= "0", 0), 0)</f>
        <v>0</v>
      </c>
      <c r="CE43" s="44">
        <f>IFERROR(_xlfn.IFS($C43="1",'Inputs-System'!$C$30*'Coincidence Factors'!$B$7*(1+'Inputs-System'!$C$18)*(1+'Inputs-System'!$C$41)*'Inputs-Proposals'!$I$17*'Inputs-Proposals'!$I$19*('Inputs-Proposals'!$I$20)*(VLOOKUP(CD$3,'Embedded Emissions'!$A$47:$B$78,2,FALSE)+VLOOKUP(CD$3,'Embedded Emissions'!$A$129:$B$158,2,FALSE)), $C43 = "2",'Inputs-System'!$C$30*'Coincidence Factors'!$B$7*(1+'Inputs-System'!$C$18)*(1+'Inputs-System'!$C$41)*'Inputs-Proposals'!$I$23*'Inputs-Proposals'!$I$25*('Inputs-Proposals'!$I$20)*(VLOOKUP(CD$3,'Embedded Emissions'!$A$47:$B$78,2,FALSE)+VLOOKUP(CD$3,'Embedded Emissions'!$A$129:$B$158,2,FALSE)), $C43 = "3", 'Inputs-System'!$C$30*'Coincidence Factors'!$B$7*(1+'Inputs-System'!$C$18)*(1+'Inputs-System'!$C$41)*'Inputs-Proposals'!$I$29*'Inputs-Proposals'!$I$31*('Inputs-Proposals'!$I$20)*(VLOOKUP(CD$3,'Embedded Emissions'!$A$47:$B$78,2,FALSE)+VLOOKUP(CD$3,'Embedded Emissions'!$A$129:$B$158,2,FALSE)), $C43 = "0", 0), 0)</f>
        <v>0</v>
      </c>
      <c r="CF43" s="44">
        <f>IFERROR(_xlfn.IFS($C43="1",( 'Inputs-System'!$C$30*'Coincidence Factors'!$B$7*(1+'Inputs-System'!$C$18)*(1+'Inputs-System'!$C$41))*('Inputs-Proposals'!$I$17*'Inputs-Proposals'!$I$19*('Inputs-Proposals'!$I$20))*(VLOOKUP(CD$3,DRIPE!$A$54:$I$82,5,FALSE)+VLOOKUP(CD$3,DRIPE!$A$54:$I$82,9,FALSE))+ ('Inputs-System'!$C$26*'Coincidence Factors'!$B$7*(1+'Inputs-System'!$C$18)*(1+'Inputs-System'!$C$42))*'Inputs-Proposals'!$I$16*VLOOKUP(CD$3,DRIPE!$A$54:$I$82,8,FALSE), $C43 = "2",( 'Inputs-System'!$C$30*'Coincidence Factors'!$B$7*(1+'Inputs-System'!$C$18)*(1+'Inputs-System'!$C$41))*('Inputs-Proposals'!$I$23*'Inputs-Proposals'!$I$25*('Inputs-Proposals'!$I$26))*(VLOOKUP(CD$3,DRIPE!$A$54:$I$82,5,FALSE)+VLOOKUP(CD$3,DRIPE!$A$54:$I$82,12,FALSE))+ ('Inputs-System'!$C$26*'Coincidence Factors'!$B$7*(1+'Inputs-System'!$C$18)*(1+'Inputs-System'!$C$42))*'Inputs-Proposals'!$I$22*VLOOKUP(CD$3,DRIPE!$A$54:$I$82,8,FALSE), $C43= "3", ( 'Inputs-System'!$C$30*'Coincidence Factors'!$B$7*(1+'Inputs-System'!$C$18)*(1+'Inputs-System'!$C$41))*('Inputs-Proposals'!$I$29*'Inputs-Proposals'!$I$31*('Inputs-Proposals'!$I$32))*(VLOOKUP(CD$3,DRIPE!$A$54:$I$82,5,FALSE)+VLOOKUP(CD$3,DRIPE!$A$54:$I$82,12,FALSE))+ ('Inputs-System'!$C$26*'Coincidence Factors'!$B$7*(1+'Inputs-System'!$C$18)*(1+'Inputs-System'!$C$42))*'Inputs-Proposals'!$I$28*VLOOKUP(CD$3,DRIPE!$A$54:$I$82,8,FALSE), $C43 = "0", 0), 0)</f>
        <v>0</v>
      </c>
      <c r="CG43" s="45">
        <f>IFERROR(_xlfn.IFS($C43="1",('Inputs-System'!$C$26*'Coincidence Factors'!$B$7*(1+'Inputs-System'!$C$18))*'Inputs-Proposals'!$I$16*(VLOOKUP(CD$3,Capacity!$A$53:$E$85,4,FALSE)*(1+'Inputs-System'!$C$42)+VLOOKUP(CD$3,Capacity!$A$53:$E$85,5,FALSE)*'Inputs-System'!$C$29*(1+'Inputs-System'!$C$43)), $C43 = "2", ('Inputs-System'!$C$26*'Coincidence Factors'!$B$7*(1+'Inputs-System'!$C$18))*'Inputs-Proposals'!$I$22*(VLOOKUP(CD$3,Capacity!$A$53:$E$85,4,FALSE)*(1+'Inputs-System'!$C$42)+VLOOKUP(CD$3,Capacity!$A$53:$E$85,5,FALSE)*'Inputs-System'!$C$29*(1+'Inputs-System'!$C$43)), $C43 = "3",('Inputs-System'!$C$26*'Coincidence Factors'!$B$7*(1+'Inputs-System'!$C$18))*'Inputs-Proposals'!$I$28*(VLOOKUP(CD$3,Capacity!$A$53:$E$85,4,FALSE)*(1+'Inputs-System'!$C$42)+VLOOKUP(CD$3,Capacity!$A$53:$E$85,5,FALSE)*'Inputs-System'!$C$29*(1+'Inputs-System'!$C$43)), $C43 = "0", 0), 0)</f>
        <v>0</v>
      </c>
      <c r="CH43" s="44">
        <v>0</v>
      </c>
      <c r="CI43" s="342">
        <f>IFERROR(_xlfn.IFS($C43="1", 'Inputs-System'!$C$30*'Coincidence Factors'!$B$7*'Inputs-Proposals'!$I$17*'Inputs-Proposals'!$I$19*(VLOOKUP(CD$3,'Non-Embedded Emissions'!$A$56:$D$90,2,FALSE)+VLOOKUP(CD$3,'Non-Embedded Emissions'!$A$143:$D$174,2,FALSE)+VLOOKUP(CD$3,'Non-Embedded Emissions'!$A$230:$D$259,2,FALSE)), $C43 = "2", 'Inputs-System'!$C$30*'Coincidence Factors'!$B$7*'Inputs-Proposals'!$I$23*'Inputs-Proposals'!$I$25*(VLOOKUP(CD$3,'Non-Embedded Emissions'!$A$56:$D$90,2,FALSE)+VLOOKUP(CD$3,'Non-Embedded Emissions'!$A$143:$D$174,2,FALSE)+VLOOKUP(CD$3,'Non-Embedded Emissions'!$A$230:$D$259,2,FALSE)), $C43 = "3", 'Inputs-System'!$C$30*'Coincidence Factors'!$B$7*'Inputs-Proposals'!$I$29*'Inputs-Proposals'!$I$31*(VLOOKUP(CD$3,'Non-Embedded Emissions'!$A$56:$D$90,2,FALSE)+VLOOKUP(CD$3,'Non-Embedded Emissions'!$A$143:$D$174,2,FALSE)+VLOOKUP(CD$3,'Non-Embedded Emissions'!$A$230:$D$259,2,FALSE)), $C43 = "0", 0), 0)</f>
        <v>0</v>
      </c>
      <c r="CJ43" s="347">
        <f>IFERROR(_xlfn.IFS($C43="1",('Inputs-System'!$C$30*'Coincidence Factors'!$B$7*(1+'Inputs-System'!$C$18)*(1+'Inputs-System'!$C$41)*('Inputs-Proposals'!$I$17*'Inputs-Proposals'!$I$19*('Inputs-Proposals'!$I$20))*(VLOOKUP(CJ$3,Energy!$A$51:$K$83,5,FALSE))), $C43 = "2",('Inputs-System'!$C$30*'Coincidence Factors'!$B$7)*(1+'Inputs-System'!$C$18)*(1+'Inputs-System'!$C$41)*('Inputs-Proposals'!$I$23*'Inputs-Proposals'!$I$25*('Inputs-Proposals'!$I$26))*(VLOOKUP(CJ$3,Energy!$A$51:$K$83,5,FALSE)), $C43= "3", ('Inputs-System'!$C$30*'Coincidence Factors'!$B$7*(1+'Inputs-System'!$C$18)*(1+'Inputs-System'!$C$41)*('Inputs-Proposals'!$I$29*'Inputs-Proposals'!$I$31*('Inputs-Proposals'!$I$32))*(VLOOKUP(CJ$3,Energy!$A$51:$K$83,5,FALSE))), $C43= "0", 0), 0)</f>
        <v>0</v>
      </c>
      <c r="CK43" s="44">
        <f>IFERROR(_xlfn.IFS($C43="1",'Inputs-System'!$C$30*'Coincidence Factors'!$B$7*(1+'Inputs-System'!$C$18)*(1+'Inputs-System'!$C$41)*'Inputs-Proposals'!$I$17*'Inputs-Proposals'!$I$19*('Inputs-Proposals'!$I$20)*(VLOOKUP(CJ$3,'Embedded Emissions'!$A$47:$B$78,2,FALSE)+VLOOKUP(CJ$3,'Embedded Emissions'!$A$129:$B$158,2,FALSE)), $C43 = "2",'Inputs-System'!$C$30*'Coincidence Factors'!$B$7*(1+'Inputs-System'!$C$18)*(1+'Inputs-System'!$C$41)*'Inputs-Proposals'!$I$23*'Inputs-Proposals'!$I$25*('Inputs-Proposals'!$I$20)*(VLOOKUP(CJ$3,'Embedded Emissions'!$A$47:$B$78,2,FALSE)+VLOOKUP(CJ$3,'Embedded Emissions'!$A$129:$B$158,2,FALSE)), $C43 = "3", 'Inputs-System'!$C$30*'Coincidence Factors'!$B$7*(1+'Inputs-System'!$C$18)*(1+'Inputs-System'!$C$41)*'Inputs-Proposals'!$I$29*'Inputs-Proposals'!$I$31*('Inputs-Proposals'!$I$20)*(VLOOKUP(CJ$3,'Embedded Emissions'!$A$47:$B$78,2,FALSE)+VLOOKUP(CJ$3,'Embedded Emissions'!$A$129:$B$158,2,FALSE)), $C43 = "0", 0), 0)</f>
        <v>0</v>
      </c>
      <c r="CL43" s="44">
        <f>IFERROR(_xlfn.IFS($C43="1",( 'Inputs-System'!$C$30*'Coincidence Factors'!$B$7*(1+'Inputs-System'!$C$18)*(1+'Inputs-System'!$C$41))*('Inputs-Proposals'!$I$17*'Inputs-Proposals'!$I$19*('Inputs-Proposals'!$I$20))*(VLOOKUP(CJ$3,DRIPE!$A$54:$I$82,5,FALSE)+VLOOKUP(CJ$3,DRIPE!$A$54:$I$82,9,FALSE))+ ('Inputs-System'!$C$26*'Coincidence Factors'!$B$7*(1+'Inputs-System'!$C$18)*(1+'Inputs-System'!$C$42))*'Inputs-Proposals'!$I$16*VLOOKUP(CJ$3,DRIPE!$A$54:$I$82,8,FALSE), $C43 = "2",( 'Inputs-System'!$C$30*'Coincidence Factors'!$B$7*(1+'Inputs-System'!$C$18)*(1+'Inputs-System'!$C$41))*('Inputs-Proposals'!$I$23*'Inputs-Proposals'!$I$25*('Inputs-Proposals'!$I$26))*(VLOOKUP(CJ$3,DRIPE!$A$54:$I$82,5,FALSE)+VLOOKUP(CJ$3,DRIPE!$A$54:$I$82,12,FALSE))+ ('Inputs-System'!$C$26*'Coincidence Factors'!$B$7*(1+'Inputs-System'!$C$18)*(1+'Inputs-System'!$C$42))*'Inputs-Proposals'!$I$22*VLOOKUP(CJ$3,DRIPE!$A$54:$I$82,8,FALSE), $C43= "3", ( 'Inputs-System'!$C$30*'Coincidence Factors'!$B$7*(1+'Inputs-System'!$C$18)*(1+'Inputs-System'!$C$41))*('Inputs-Proposals'!$I$29*'Inputs-Proposals'!$I$31*('Inputs-Proposals'!$I$32))*(VLOOKUP(CJ$3,DRIPE!$A$54:$I$82,5,FALSE)+VLOOKUP(CJ$3,DRIPE!$A$54:$I$82,12,FALSE))+ ('Inputs-System'!$C$26*'Coincidence Factors'!$B$7*(1+'Inputs-System'!$C$18)*(1+'Inputs-System'!$C$42))*'Inputs-Proposals'!$I$28*VLOOKUP(CJ$3,DRIPE!$A$54:$I$82,8,FALSE), $C43 = "0", 0), 0)</f>
        <v>0</v>
      </c>
      <c r="CM43" s="45">
        <f>IFERROR(_xlfn.IFS($C43="1",('Inputs-System'!$C$26*'Coincidence Factors'!$B$7*(1+'Inputs-System'!$C$18))*'Inputs-Proposals'!$I$16*(VLOOKUP(CJ$3,Capacity!$A$53:$E$85,4,FALSE)*(1+'Inputs-System'!$C$42)+VLOOKUP(CJ$3,Capacity!$A$53:$E$85,5,FALSE)*'Inputs-System'!$C$29*(1+'Inputs-System'!$C$43)), $C43 = "2", ('Inputs-System'!$C$26*'Coincidence Factors'!$B$7*(1+'Inputs-System'!$C$18))*'Inputs-Proposals'!$I$22*(VLOOKUP(CJ$3,Capacity!$A$53:$E$85,4,FALSE)*(1+'Inputs-System'!$C$42)+VLOOKUP(CJ$3,Capacity!$A$53:$E$85,5,FALSE)*'Inputs-System'!$C$29*(1+'Inputs-System'!$C$43)), $C43 = "3",('Inputs-System'!$C$26*'Coincidence Factors'!$B$7*(1+'Inputs-System'!$C$18))*'Inputs-Proposals'!$I$28*(VLOOKUP(CJ$3,Capacity!$A$53:$E$85,4,FALSE)*(1+'Inputs-System'!$C$42)+VLOOKUP(CJ$3,Capacity!$A$53:$E$85,5,FALSE)*'Inputs-System'!$C$29*(1+'Inputs-System'!$C$43)), $C43 = "0", 0), 0)</f>
        <v>0</v>
      </c>
      <c r="CN43" s="44">
        <v>0</v>
      </c>
      <c r="CO43" s="342">
        <f>IFERROR(_xlfn.IFS($C43="1", 'Inputs-System'!$C$30*'Coincidence Factors'!$B$7*'Inputs-Proposals'!$I$17*'Inputs-Proposals'!$I$19*(VLOOKUP(CJ$3,'Non-Embedded Emissions'!$A$56:$D$90,2,FALSE)+VLOOKUP(CJ$3,'Non-Embedded Emissions'!$A$143:$D$174,2,FALSE)+VLOOKUP(CJ$3,'Non-Embedded Emissions'!$A$230:$D$259,2,FALSE)), $C43 = "2", 'Inputs-System'!$C$30*'Coincidence Factors'!$B$7*'Inputs-Proposals'!$I$23*'Inputs-Proposals'!$I$25*(VLOOKUP(CJ$3,'Non-Embedded Emissions'!$A$56:$D$90,2,FALSE)+VLOOKUP(CJ$3,'Non-Embedded Emissions'!$A$143:$D$174,2,FALSE)+VLOOKUP(CJ$3,'Non-Embedded Emissions'!$A$230:$D$259,2,FALSE)), $C43 = "3", 'Inputs-System'!$C$30*'Coincidence Factors'!$B$7*'Inputs-Proposals'!$I$29*'Inputs-Proposals'!$I$31*(VLOOKUP(CJ$3,'Non-Embedded Emissions'!$A$56:$D$90,2,FALSE)+VLOOKUP(CJ$3,'Non-Embedded Emissions'!$A$143:$D$174,2,FALSE)+VLOOKUP(CJ$3,'Non-Embedded Emissions'!$A$230:$D$259,2,FALSE)), $C43 = "0", 0), 0)</f>
        <v>0</v>
      </c>
      <c r="CP43" s="347">
        <f>IFERROR(_xlfn.IFS($C43="1",('Inputs-System'!$C$30*'Coincidence Factors'!$B$7*(1+'Inputs-System'!$C$18)*(1+'Inputs-System'!$C$41)*('Inputs-Proposals'!$I$17*'Inputs-Proposals'!$I$19*('Inputs-Proposals'!$I$20))*(VLOOKUP(CP$3,Energy!$A$51:$K$83,5,FALSE))), $C43 = "2",('Inputs-System'!$C$30*'Coincidence Factors'!$B$7)*(1+'Inputs-System'!$C$18)*(1+'Inputs-System'!$C$41)*('Inputs-Proposals'!$I$23*'Inputs-Proposals'!$I$25*('Inputs-Proposals'!$I$26))*(VLOOKUP(CP$3,Energy!$A$51:$K$83,5,FALSE)), $C43= "3", ('Inputs-System'!$C$30*'Coincidence Factors'!$B$7*(1+'Inputs-System'!$C$18)*(1+'Inputs-System'!$C$41)*('Inputs-Proposals'!$I$29*'Inputs-Proposals'!$I$31*('Inputs-Proposals'!$I$32))*(VLOOKUP(CP$3,Energy!$A$51:$K$83,5,FALSE))), $C43= "0", 0), 0)</f>
        <v>0</v>
      </c>
      <c r="CQ43" s="44">
        <f>IFERROR(_xlfn.IFS($C43="1",'Inputs-System'!$C$30*'Coincidence Factors'!$B$7*(1+'Inputs-System'!$C$18)*(1+'Inputs-System'!$C$41)*'Inputs-Proposals'!$I$17*'Inputs-Proposals'!$I$19*('Inputs-Proposals'!$I$20)*(VLOOKUP(CP$3,'Embedded Emissions'!$A$47:$B$78,2,FALSE)+VLOOKUP(CP$3,'Embedded Emissions'!$A$129:$B$158,2,FALSE)), $C43 = "2",'Inputs-System'!$C$30*'Coincidence Factors'!$B$7*(1+'Inputs-System'!$C$18)*(1+'Inputs-System'!$C$41)*'Inputs-Proposals'!$I$23*'Inputs-Proposals'!$I$25*('Inputs-Proposals'!$I$20)*(VLOOKUP(CP$3,'Embedded Emissions'!$A$47:$B$78,2,FALSE)+VLOOKUP(CP$3,'Embedded Emissions'!$A$129:$B$158,2,FALSE)), $C43 = "3", 'Inputs-System'!$C$30*'Coincidence Factors'!$B$7*(1+'Inputs-System'!$C$18)*(1+'Inputs-System'!$C$41)*'Inputs-Proposals'!$I$29*'Inputs-Proposals'!$I$31*('Inputs-Proposals'!$I$20)*(VLOOKUP(CP$3,'Embedded Emissions'!$A$47:$B$78,2,FALSE)+VLOOKUP(CP$3,'Embedded Emissions'!$A$129:$B$158,2,FALSE)), $C43 = "0", 0), 0)</f>
        <v>0</v>
      </c>
      <c r="CR43" s="44">
        <f>IFERROR(_xlfn.IFS($C43="1",( 'Inputs-System'!$C$30*'Coincidence Factors'!$B$7*(1+'Inputs-System'!$C$18)*(1+'Inputs-System'!$C$41))*('Inputs-Proposals'!$I$17*'Inputs-Proposals'!$I$19*('Inputs-Proposals'!$I$20))*(VLOOKUP(CP$3,DRIPE!$A$54:$I$82,5,FALSE)+VLOOKUP(CP$3,DRIPE!$A$54:$I$82,9,FALSE))+ ('Inputs-System'!$C$26*'Coincidence Factors'!$B$7*(1+'Inputs-System'!$C$18)*(1+'Inputs-System'!$C$42))*'Inputs-Proposals'!$I$16*VLOOKUP(CP$3,DRIPE!$A$54:$I$82,8,FALSE), $C43 = "2",( 'Inputs-System'!$C$30*'Coincidence Factors'!$B$7*(1+'Inputs-System'!$C$18)*(1+'Inputs-System'!$C$41))*('Inputs-Proposals'!$I$23*'Inputs-Proposals'!$I$25*('Inputs-Proposals'!$I$26))*(VLOOKUP(CP$3,DRIPE!$A$54:$I$82,5,FALSE)+VLOOKUP(CP$3,DRIPE!$A$54:$I$82,12,FALSE))+ ('Inputs-System'!$C$26*'Coincidence Factors'!$B$7*(1+'Inputs-System'!$C$18)*(1+'Inputs-System'!$C$42))*'Inputs-Proposals'!$I$22*VLOOKUP(CP$3,DRIPE!$A$54:$I$82,8,FALSE), $C43= "3", ( 'Inputs-System'!$C$30*'Coincidence Factors'!$B$7*(1+'Inputs-System'!$C$18)*(1+'Inputs-System'!$C$41))*('Inputs-Proposals'!$I$29*'Inputs-Proposals'!$I$31*('Inputs-Proposals'!$I$32))*(VLOOKUP(CP$3,DRIPE!$A$54:$I$82,5,FALSE)+VLOOKUP(CP$3,DRIPE!$A$54:$I$82,12,FALSE))+ ('Inputs-System'!$C$26*'Coincidence Factors'!$B$7*(1+'Inputs-System'!$C$18)*(1+'Inputs-System'!$C$42))*'Inputs-Proposals'!$I$28*VLOOKUP(CP$3,DRIPE!$A$54:$I$82,8,FALSE), $C43 = "0", 0), 0)</f>
        <v>0</v>
      </c>
      <c r="CS43" s="45">
        <f>IFERROR(_xlfn.IFS($C43="1",('Inputs-System'!$C$26*'Coincidence Factors'!$B$7*(1+'Inputs-System'!$C$18))*'Inputs-Proposals'!$I$16*(VLOOKUP(CP$3,Capacity!$A$53:$E$85,4,FALSE)*(1+'Inputs-System'!$C$42)+VLOOKUP(CP$3,Capacity!$A$53:$E$85,5,FALSE)*'Inputs-System'!$C$29*(1+'Inputs-System'!$C$43)), $C43 = "2", ('Inputs-System'!$C$26*'Coincidence Factors'!$B$7*(1+'Inputs-System'!$C$18))*'Inputs-Proposals'!$I$22*(VLOOKUP(CP$3,Capacity!$A$53:$E$85,4,FALSE)*(1+'Inputs-System'!$C$42)+VLOOKUP(CP$3,Capacity!$A$53:$E$85,5,FALSE)*'Inputs-System'!$C$29*(1+'Inputs-System'!$C$43)), $C43 = "3",('Inputs-System'!$C$26*'Coincidence Factors'!$B$7*(1+'Inputs-System'!$C$18))*'Inputs-Proposals'!$I$28*(VLOOKUP(CP$3,Capacity!$A$53:$E$85,4,FALSE)*(1+'Inputs-System'!$C$42)+VLOOKUP(CP$3,Capacity!$A$53:$E$85,5,FALSE)*'Inputs-System'!$C$29*(1+'Inputs-System'!$C$43)), $C43 = "0", 0), 0)</f>
        <v>0</v>
      </c>
      <c r="CT43" s="44">
        <v>0</v>
      </c>
      <c r="CU43" s="342">
        <f>IFERROR(_xlfn.IFS($C43="1", 'Inputs-System'!$C$30*'Coincidence Factors'!$B$7*'Inputs-Proposals'!$I$17*'Inputs-Proposals'!$I$19*(VLOOKUP(CP$3,'Non-Embedded Emissions'!$A$56:$D$90,2,FALSE)+VLOOKUP(CP$3,'Non-Embedded Emissions'!$A$143:$D$174,2,FALSE)+VLOOKUP(CP$3,'Non-Embedded Emissions'!$A$230:$D$259,2,FALSE)), $C43 = "2", 'Inputs-System'!$C$30*'Coincidence Factors'!$B$7*'Inputs-Proposals'!$I$23*'Inputs-Proposals'!$I$25*(VLOOKUP(CP$3,'Non-Embedded Emissions'!$A$56:$D$90,2,FALSE)+VLOOKUP(CP$3,'Non-Embedded Emissions'!$A$143:$D$174,2,FALSE)+VLOOKUP(CP$3,'Non-Embedded Emissions'!$A$230:$D$259,2,FALSE)), $C43 = "3", 'Inputs-System'!$C$30*'Coincidence Factors'!$B$7*'Inputs-Proposals'!$I$29*'Inputs-Proposals'!$I$31*(VLOOKUP(CP$3,'Non-Embedded Emissions'!$A$56:$D$90,2,FALSE)+VLOOKUP(CP$3,'Non-Embedded Emissions'!$A$143:$D$174,2,FALSE)+VLOOKUP(CP$3,'Non-Embedded Emissions'!$A$230:$D$259,2,FALSE)), $C43 = "0", 0), 0)</f>
        <v>0</v>
      </c>
      <c r="CV43" s="347">
        <f>IFERROR(_xlfn.IFS($C43="1",('Inputs-System'!$C$30*'Coincidence Factors'!$B$7*(1+'Inputs-System'!$C$18)*(1+'Inputs-System'!$C$41)*('Inputs-Proposals'!$I$17*'Inputs-Proposals'!$I$19*('Inputs-Proposals'!$I$20))*(VLOOKUP(CV$3,Energy!$A$51:$K$83,5,FALSE))), $C43 = "2",('Inputs-System'!$C$30*'Coincidence Factors'!$B$7)*(1+'Inputs-System'!$C$18)*(1+'Inputs-System'!$C$41)*('Inputs-Proposals'!$I$23*'Inputs-Proposals'!$I$25*('Inputs-Proposals'!$I$26))*(VLOOKUP(CV$3,Energy!$A$51:$K$83,5,FALSE)), $C43= "3", ('Inputs-System'!$C$30*'Coincidence Factors'!$B$7*(1+'Inputs-System'!$C$18)*(1+'Inputs-System'!$C$41)*('Inputs-Proposals'!$I$29*'Inputs-Proposals'!$I$31*('Inputs-Proposals'!$I$32))*(VLOOKUP(CV$3,Energy!$A$51:$K$83,5,FALSE))), $C43= "0", 0), 0)</f>
        <v>0</v>
      </c>
      <c r="CW43" s="44">
        <f>IFERROR(_xlfn.IFS($C43="1",'Inputs-System'!$C$30*'Coincidence Factors'!$B$7*(1+'Inputs-System'!$C$18)*(1+'Inputs-System'!$C$41)*'Inputs-Proposals'!$I$17*'Inputs-Proposals'!$I$19*('Inputs-Proposals'!$I$20)*(VLOOKUP(CV$3,'Embedded Emissions'!$A$47:$B$78,2,FALSE)+VLOOKUP(CV$3,'Embedded Emissions'!$A$129:$B$158,2,FALSE)), $C43 = "2",'Inputs-System'!$C$30*'Coincidence Factors'!$B$7*(1+'Inputs-System'!$C$18)*(1+'Inputs-System'!$C$41)*'Inputs-Proposals'!$I$23*'Inputs-Proposals'!$I$25*('Inputs-Proposals'!$I$20)*(VLOOKUP(CV$3,'Embedded Emissions'!$A$47:$B$78,2,FALSE)+VLOOKUP(CV$3,'Embedded Emissions'!$A$129:$B$158,2,FALSE)), $C43 = "3", 'Inputs-System'!$C$30*'Coincidence Factors'!$B$7*(1+'Inputs-System'!$C$18)*(1+'Inputs-System'!$C$41)*'Inputs-Proposals'!$I$29*'Inputs-Proposals'!$I$31*('Inputs-Proposals'!$I$20)*(VLOOKUP(CV$3,'Embedded Emissions'!$A$47:$B$78,2,FALSE)+VLOOKUP(CV$3,'Embedded Emissions'!$A$129:$B$158,2,FALSE)), $C43 = "0", 0), 0)</f>
        <v>0</v>
      </c>
      <c r="CX43" s="44">
        <f>IFERROR(_xlfn.IFS($C43="1",( 'Inputs-System'!$C$30*'Coincidence Factors'!$B$7*(1+'Inputs-System'!$C$18)*(1+'Inputs-System'!$C$41))*('Inputs-Proposals'!$I$17*'Inputs-Proposals'!$I$19*('Inputs-Proposals'!$I$20))*(VLOOKUP(CV$3,DRIPE!$A$54:$I$82,5,FALSE)+VLOOKUP(CV$3,DRIPE!$A$54:$I$82,9,FALSE))+ ('Inputs-System'!$C$26*'Coincidence Factors'!$B$7*(1+'Inputs-System'!$C$18)*(1+'Inputs-System'!$C$42))*'Inputs-Proposals'!$I$16*VLOOKUP(CV$3,DRIPE!$A$54:$I$82,8,FALSE), $C43 = "2",( 'Inputs-System'!$C$30*'Coincidence Factors'!$B$7*(1+'Inputs-System'!$C$18)*(1+'Inputs-System'!$C$41))*('Inputs-Proposals'!$I$23*'Inputs-Proposals'!$I$25*('Inputs-Proposals'!$I$26))*(VLOOKUP(CV$3,DRIPE!$A$54:$I$82,5,FALSE)+VLOOKUP(CV$3,DRIPE!$A$54:$I$82,12,FALSE))+ ('Inputs-System'!$C$26*'Coincidence Factors'!$B$7*(1+'Inputs-System'!$C$18)*(1+'Inputs-System'!$C$42))*'Inputs-Proposals'!$I$22*VLOOKUP(CV$3,DRIPE!$A$54:$I$82,8,FALSE), $C43= "3", ( 'Inputs-System'!$C$30*'Coincidence Factors'!$B$7*(1+'Inputs-System'!$C$18)*(1+'Inputs-System'!$C$41))*('Inputs-Proposals'!$I$29*'Inputs-Proposals'!$I$31*('Inputs-Proposals'!$I$32))*(VLOOKUP(CV$3,DRIPE!$A$54:$I$82,5,FALSE)+VLOOKUP(CV$3,DRIPE!$A$54:$I$82,12,FALSE))+ ('Inputs-System'!$C$26*'Coincidence Factors'!$B$7*(1+'Inputs-System'!$C$18)*(1+'Inputs-System'!$C$42))*'Inputs-Proposals'!$I$28*VLOOKUP(CV$3,DRIPE!$A$54:$I$82,8,FALSE), $C43 = "0", 0), 0)</f>
        <v>0</v>
      </c>
      <c r="CY43" s="45">
        <f>IFERROR(_xlfn.IFS($C43="1",('Inputs-System'!$C$26*'Coincidence Factors'!$B$7*(1+'Inputs-System'!$C$18))*'Inputs-Proposals'!$I$16*(VLOOKUP(CV$3,Capacity!$A$53:$E$85,4,FALSE)*(1+'Inputs-System'!$C$42)+VLOOKUP(CV$3,Capacity!$A$53:$E$85,5,FALSE)*'Inputs-System'!$C$29*(1+'Inputs-System'!$C$43)), $C43 = "2", ('Inputs-System'!$C$26*'Coincidence Factors'!$B$7*(1+'Inputs-System'!$C$18))*'Inputs-Proposals'!$I$22*(VLOOKUP(CV$3,Capacity!$A$53:$E$85,4,FALSE)*(1+'Inputs-System'!$C$42)+VLOOKUP(CV$3,Capacity!$A$53:$E$85,5,FALSE)*'Inputs-System'!$C$29*(1+'Inputs-System'!$C$43)), $C43 = "3",('Inputs-System'!$C$26*'Coincidence Factors'!$B$7*(1+'Inputs-System'!$C$18))*'Inputs-Proposals'!$I$28*(VLOOKUP(CV$3,Capacity!$A$53:$E$85,4,FALSE)*(1+'Inputs-System'!$C$42)+VLOOKUP(CV$3,Capacity!$A$53:$E$85,5,FALSE)*'Inputs-System'!$C$29*(1+'Inputs-System'!$C$43)), $C43 = "0", 0), 0)</f>
        <v>0</v>
      </c>
      <c r="CZ43" s="44">
        <v>0</v>
      </c>
      <c r="DA43" s="342">
        <f>IFERROR(_xlfn.IFS($C43="1", 'Inputs-System'!$C$30*'Coincidence Factors'!$B$7*'Inputs-Proposals'!$I$17*'Inputs-Proposals'!$I$19*(VLOOKUP(CV$3,'Non-Embedded Emissions'!$A$56:$D$90,2,FALSE)+VLOOKUP(CV$3,'Non-Embedded Emissions'!$A$143:$D$174,2,FALSE)+VLOOKUP(CV$3,'Non-Embedded Emissions'!$A$230:$D$259,2,FALSE)), $C43 = "2", 'Inputs-System'!$C$30*'Coincidence Factors'!$B$7*'Inputs-Proposals'!$I$23*'Inputs-Proposals'!$I$25*(VLOOKUP(CV$3,'Non-Embedded Emissions'!$A$56:$D$90,2,FALSE)+VLOOKUP(CV$3,'Non-Embedded Emissions'!$A$143:$D$174,2,FALSE)+VLOOKUP(CV$3,'Non-Embedded Emissions'!$A$230:$D$259,2,FALSE)), $C43 = "3", 'Inputs-System'!$C$30*'Coincidence Factors'!$B$7*'Inputs-Proposals'!$I$29*'Inputs-Proposals'!$I$31*(VLOOKUP(CV$3,'Non-Embedded Emissions'!$A$56:$D$90,2,FALSE)+VLOOKUP(CV$3,'Non-Embedded Emissions'!$A$143:$D$174,2,FALSE)+VLOOKUP(CV$3,'Non-Embedded Emissions'!$A$230:$D$259,2,FALSE)), $C43 = "0", 0), 0)</f>
        <v>0</v>
      </c>
      <c r="DB43" s="347">
        <f>IFERROR(_xlfn.IFS($C43="1",('Inputs-System'!$C$30*'Coincidence Factors'!$B$7*(1+'Inputs-System'!$C$18)*(1+'Inputs-System'!$C$41)*('Inputs-Proposals'!$I$17*'Inputs-Proposals'!$I$19*('Inputs-Proposals'!$I$20))*(VLOOKUP(DB$3,Energy!$A$51:$K$83,5,FALSE))), $C43 = "2",('Inputs-System'!$C$30*'Coincidence Factors'!$B$7)*(1+'Inputs-System'!$C$18)*(1+'Inputs-System'!$C$41)*('Inputs-Proposals'!$I$23*'Inputs-Proposals'!$I$25*('Inputs-Proposals'!$I$26))*(VLOOKUP(DB$3,Energy!$A$51:$K$83,5,FALSE)), $C43= "3", ('Inputs-System'!$C$30*'Coincidence Factors'!$B$7*(1+'Inputs-System'!$C$18)*(1+'Inputs-System'!$C$41)*('Inputs-Proposals'!$I$29*'Inputs-Proposals'!$I$31*('Inputs-Proposals'!$I$32))*(VLOOKUP(DB$3,Energy!$A$51:$K$83,5,FALSE))), $C43= "0", 0), 0)</f>
        <v>0</v>
      </c>
      <c r="DC43" s="44">
        <f>IFERROR(_xlfn.IFS($C43="1",'Inputs-System'!$C$30*'Coincidence Factors'!$B$7*(1+'Inputs-System'!$C$18)*(1+'Inputs-System'!$C$41)*'Inputs-Proposals'!$I$17*'Inputs-Proposals'!$I$19*('Inputs-Proposals'!$I$20)*(VLOOKUP(DB$3,'Embedded Emissions'!$A$47:$B$78,2,FALSE)+VLOOKUP(DB$3,'Embedded Emissions'!$A$129:$B$158,2,FALSE)), $C43 = "2",'Inputs-System'!$C$30*'Coincidence Factors'!$B$7*(1+'Inputs-System'!$C$18)*(1+'Inputs-System'!$C$41)*'Inputs-Proposals'!$I$23*'Inputs-Proposals'!$I$25*('Inputs-Proposals'!$I$20)*(VLOOKUP(DB$3,'Embedded Emissions'!$A$47:$B$78,2,FALSE)+VLOOKUP(DB$3,'Embedded Emissions'!$A$129:$B$158,2,FALSE)), $C43 = "3", 'Inputs-System'!$C$30*'Coincidence Factors'!$B$7*(1+'Inputs-System'!$C$18)*(1+'Inputs-System'!$C$41)*'Inputs-Proposals'!$I$29*'Inputs-Proposals'!$I$31*('Inputs-Proposals'!$I$20)*(VLOOKUP(DB$3,'Embedded Emissions'!$A$47:$B$78,2,FALSE)+VLOOKUP(DB$3,'Embedded Emissions'!$A$129:$B$158,2,FALSE)), $C43 = "0", 0), 0)</f>
        <v>0</v>
      </c>
      <c r="DD43" s="44">
        <f>IFERROR(_xlfn.IFS($C43="1",( 'Inputs-System'!$C$30*'Coincidence Factors'!$B$7*(1+'Inputs-System'!$C$18)*(1+'Inputs-System'!$C$41))*('Inputs-Proposals'!$I$17*'Inputs-Proposals'!$I$19*('Inputs-Proposals'!$I$20))*(VLOOKUP(DB$3,DRIPE!$A$54:$I$82,5,FALSE)+VLOOKUP(DB$3,DRIPE!$A$54:$I$82,9,FALSE))+ ('Inputs-System'!$C$26*'Coincidence Factors'!$B$7*(1+'Inputs-System'!$C$18)*(1+'Inputs-System'!$C$42))*'Inputs-Proposals'!$I$16*VLOOKUP(DB$3,DRIPE!$A$54:$I$82,8,FALSE), $C43 = "2",( 'Inputs-System'!$C$30*'Coincidence Factors'!$B$7*(1+'Inputs-System'!$C$18)*(1+'Inputs-System'!$C$41))*('Inputs-Proposals'!$I$23*'Inputs-Proposals'!$I$25*('Inputs-Proposals'!$I$26))*(VLOOKUP(DB$3,DRIPE!$A$54:$I$82,5,FALSE)+VLOOKUP(DB$3,DRIPE!$A$54:$I$82,12,FALSE))+ ('Inputs-System'!$C$26*'Coincidence Factors'!$B$7*(1+'Inputs-System'!$C$18)*(1+'Inputs-System'!$C$42))*'Inputs-Proposals'!$I$22*VLOOKUP(DB$3,DRIPE!$A$54:$I$82,8,FALSE), $C43= "3", ( 'Inputs-System'!$C$30*'Coincidence Factors'!$B$7*(1+'Inputs-System'!$C$18)*(1+'Inputs-System'!$C$41))*('Inputs-Proposals'!$I$29*'Inputs-Proposals'!$I$31*('Inputs-Proposals'!$I$32))*(VLOOKUP(DB$3,DRIPE!$A$54:$I$82,5,FALSE)+VLOOKUP(DB$3,DRIPE!$A$54:$I$82,12,FALSE))+ ('Inputs-System'!$C$26*'Coincidence Factors'!$B$7*(1+'Inputs-System'!$C$18)*(1+'Inputs-System'!$C$42))*'Inputs-Proposals'!$I$28*VLOOKUP(DB$3,DRIPE!$A$54:$I$82,8,FALSE), $C43 = "0", 0), 0)</f>
        <v>0</v>
      </c>
      <c r="DE43" s="45">
        <f>IFERROR(_xlfn.IFS($C43="1",('Inputs-System'!$C$26*'Coincidence Factors'!$B$7*(1+'Inputs-System'!$C$18))*'Inputs-Proposals'!$I$16*(VLOOKUP(DB$3,Capacity!$A$53:$E$85,4,FALSE)*(1+'Inputs-System'!$C$42)+VLOOKUP(DB$3,Capacity!$A$53:$E$85,5,FALSE)*'Inputs-System'!$C$29*(1+'Inputs-System'!$C$43)), $C43 = "2", ('Inputs-System'!$C$26*'Coincidence Factors'!$B$7*(1+'Inputs-System'!$C$18))*'Inputs-Proposals'!$I$22*(VLOOKUP(DB$3,Capacity!$A$53:$E$85,4,FALSE)*(1+'Inputs-System'!$C$42)+VLOOKUP(DB$3,Capacity!$A$53:$E$85,5,FALSE)*'Inputs-System'!$C$29*(1+'Inputs-System'!$C$43)), $C43 = "3",('Inputs-System'!$C$26*'Coincidence Factors'!$B$7*(1+'Inputs-System'!$C$18))*'Inputs-Proposals'!$I$28*(VLOOKUP(DB$3,Capacity!$A$53:$E$85,4,FALSE)*(1+'Inputs-System'!$C$42)+VLOOKUP(DB$3,Capacity!$A$53:$E$85,5,FALSE)*'Inputs-System'!$C$29*(1+'Inputs-System'!$C$43)), $C43 = "0", 0), 0)</f>
        <v>0</v>
      </c>
      <c r="DF43" s="44">
        <v>0</v>
      </c>
      <c r="DG43" s="342">
        <f>IFERROR(_xlfn.IFS($C43="1", 'Inputs-System'!$C$30*'Coincidence Factors'!$B$7*'Inputs-Proposals'!$I$17*'Inputs-Proposals'!$I$19*(VLOOKUP(DB$3,'Non-Embedded Emissions'!$A$56:$D$90,2,FALSE)+VLOOKUP(DB$3,'Non-Embedded Emissions'!$A$143:$D$174,2,FALSE)+VLOOKUP(DB$3,'Non-Embedded Emissions'!$A$230:$D$259,2,FALSE)), $C43 = "2", 'Inputs-System'!$C$30*'Coincidence Factors'!$B$7*'Inputs-Proposals'!$I$23*'Inputs-Proposals'!$I$25*(VLOOKUP(DB$3,'Non-Embedded Emissions'!$A$56:$D$90,2,FALSE)+VLOOKUP(DB$3,'Non-Embedded Emissions'!$A$143:$D$174,2,FALSE)+VLOOKUP(DB$3,'Non-Embedded Emissions'!$A$230:$D$259,2,FALSE)), $C43 = "3", 'Inputs-System'!$C$30*'Coincidence Factors'!$B$7*'Inputs-Proposals'!$I$29*'Inputs-Proposals'!$I$31*(VLOOKUP(DB$3,'Non-Embedded Emissions'!$A$56:$D$90,2,FALSE)+VLOOKUP(DB$3,'Non-Embedded Emissions'!$A$143:$D$174,2,FALSE)+VLOOKUP(DB$3,'Non-Embedded Emissions'!$A$230:$D$259,2,FALSE)), $C43 = "0", 0), 0)</f>
        <v>0</v>
      </c>
      <c r="DH43" s="347">
        <f>IFERROR(_xlfn.IFS($C43="1",('Inputs-System'!$C$30*'Coincidence Factors'!$B$7*(1+'Inputs-System'!$C$18)*(1+'Inputs-System'!$C$41)*('Inputs-Proposals'!$I$17*'Inputs-Proposals'!$I$19*('Inputs-Proposals'!$I$20))*(VLOOKUP(DH$3,Energy!$A$51:$K$83,5,FALSE))), $C43 = "2",('Inputs-System'!$C$30*'Coincidence Factors'!$B$7)*(1+'Inputs-System'!$C$18)*(1+'Inputs-System'!$C$41)*('Inputs-Proposals'!$I$23*'Inputs-Proposals'!$I$25*('Inputs-Proposals'!$I$26))*(VLOOKUP(DH$3,Energy!$A$51:$K$83,5,FALSE)), $C43= "3", ('Inputs-System'!$C$30*'Coincidence Factors'!$B$7*(1+'Inputs-System'!$C$18)*(1+'Inputs-System'!$C$41)*('Inputs-Proposals'!$I$29*'Inputs-Proposals'!$I$31*('Inputs-Proposals'!$I$32))*(VLOOKUP(DH$3,Energy!$A$51:$K$83,5,FALSE))), $C43= "0", 0), 0)</f>
        <v>0</v>
      </c>
      <c r="DI43" s="44">
        <f>IFERROR(_xlfn.IFS($C43="1",'Inputs-System'!$C$30*'Coincidence Factors'!$B$7*(1+'Inputs-System'!$C$18)*(1+'Inputs-System'!$C$41)*'Inputs-Proposals'!$I$17*'Inputs-Proposals'!$I$19*('Inputs-Proposals'!$I$20)*(VLOOKUP(DH$3,'Embedded Emissions'!$A$47:$B$78,2,FALSE)+VLOOKUP(DH$3,'Embedded Emissions'!$A$129:$B$158,2,FALSE)), $C43 = "2",'Inputs-System'!$C$30*'Coincidence Factors'!$B$7*(1+'Inputs-System'!$C$18)*(1+'Inputs-System'!$C$41)*'Inputs-Proposals'!$I$23*'Inputs-Proposals'!$I$25*('Inputs-Proposals'!$I$20)*(VLOOKUP(DH$3,'Embedded Emissions'!$A$47:$B$78,2,FALSE)+VLOOKUP(DH$3,'Embedded Emissions'!$A$129:$B$158,2,FALSE)), $C43 = "3", 'Inputs-System'!$C$30*'Coincidence Factors'!$B$7*(1+'Inputs-System'!$C$18)*(1+'Inputs-System'!$C$41)*'Inputs-Proposals'!$I$29*'Inputs-Proposals'!$I$31*('Inputs-Proposals'!$I$20)*(VLOOKUP(DH$3,'Embedded Emissions'!$A$47:$B$78,2,FALSE)+VLOOKUP(DH$3,'Embedded Emissions'!$A$129:$B$158,2,FALSE)), $C43 = "0", 0), 0)</f>
        <v>0</v>
      </c>
      <c r="DJ43" s="44">
        <f>IFERROR(_xlfn.IFS($C43="1",( 'Inputs-System'!$C$30*'Coincidence Factors'!$B$7*(1+'Inputs-System'!$C$18)*(1+'Inputs-System'!$C$41))*('Inputs-Proposals'!$I$17*'Inputs-Proposals'!$I$19*('Inputs-Proposals'!$I$20))*(VLOOKUP(DH$3,DRIPE!$A$54:$I$82,5,FALSE)+VLOOKUP(DH$3,DRIPE!$A$54:$I$82,9,FALSE))+ ('Inputs-System'!$C$26*'Coincidence Factors'!$B$7*(1+'Inputs-System'!$C$18)*(1+'Inputs-System'!$C$42))*'Inputs-Proposals'!$I$16*VLOOKUP(DH$3,DRIPE!$A$54:$I$82,8,FALSE), $C43 = "2",( 'Inputs-System'!$C$30*'Coincidence Factors'!$B$7*(1+'Inputs-System'!$C$18)*(1+'Inputs-System'!$C$41))*('Inputs-Proposals'!$I$23*'Inputs-Proposals'!$I$25*('Inputs-Proposals'!$I$26))*(VLOOKUP(DH$3,DRIPE!$A$54:$I$82,5,FALSE)+VLOOKUP(DH$3,DRIPE!$A$54:$I$82,12,FALSE))+ ('Inputs-System'!$C$26*'Coincidence Factors'!$B$7*(1+'Inputs-System'!$C$18)*(1+'Inputs-System'!$C$42))*'Inputs-Proposals'!$I$22*VLOOKUP(DH$3,DRIPE!$A$54:$I$82,8,FALSE), $C43= "3", ( 'Inputs-System'!$C$30*'Coincidence Factors'!$B$7*(1+'Inputs-System'!$C$18)*(1+'Inputs-System'!$C$41))*('Inputs-Proposals'!$I$29*'Inputs-Proposals'!$I$31*('Inputs-Proposals'!$I$32))*(VLOOKUP(DH$3,DRIPE!$A$54:$I$82,5,FALSE)+VLOOKUP(DH$3,DRIPE!$A$54:$I$82,12,FALSE))+ ('Inputs-System'!$C$26*'Coincidence Factors'!$B$7*(1+'Inputs-System'!$C$18)*(1+'Inputs-System'!$C$42))*'Inputs-Proposals'!$I$28*VLOOKUP(DH$3,DRIPE!$A$54:$I$82,8,FALSE), $C43 = "0", 0), 0)</f>
        <v>0</v>
      </c>
      <c r="DK43" s="45">
        <f>IFERROR(_xlfn.IFS($C43="1",('Inputs-System'!$C$26*'Coincidence Factors'!$B$7*(1+'Inputs-System'!$C$18))*'Inputs-Proposals'!$I$16*(VLOOKUP(DH$3,Capacity!$A$53:$E$85,4,FALSE)*(1+'Inputs-System'!$C$42)+VLOOKUP(DH$3,Capacity!$A$53:$E$85,5,FALSE)*'Inputs-System'!$C$29*(1+'Inputs-System'!$C$43)), $C43 = "2", ('Inputs-System'!$C$26*'Coincidence Factors'!$B$7*(1+'Inputs-System'!$C$18))*'Inputs-Proposals'!$I$22*(VLOOKUP(DH$3,Capacity!$A$53:$E$85,4,FALSE)*(1+'Inputs-System'!$C$42)+VLOOKUP(DH$3,Capacity!$A$53:$E$85,5,FALSE)*'Inputs-System'!$C$29*(1+'Inputs-System'!$C$43)), $C43 = "3",('Inputs-System'!$C$26*'Coincidence Factors'!$B$7*(1+'Inputs-System'!$C$18))*'Inputs-Proposals'!$I$28*(VLOOKUP(DH$3,Capacity!$A$53:$E$85,4,FALSE)*(1+'Inputs-System'!$C$42)+VLOOKUP(DH$3,Capacity!$A$53:$E$85,5,FALSE)*'Inputs-System'!$C$29*(1+'Inputs-System'!$C$43)), $C43 = "0", 0), 0)</f>
        <v>0</v>
      </c>
      <c r="DL43" s="44">
        <v>0</v>
      </c>
      <c r="DM43" s="342">
        <f>IFERROR(_xlfn.IFS($C43="1", 'Inputs-System'!$C$30*'Coincidence Factors'!$B$7*'Inputs-Proposals'!$I$17*'Inputs-Proposals'!$I$19*(VLOOKUP(DH$3,'Non-Embedded Emissions'!$A$56:$D$90,2,FALSE)+VLOOKUP(DH$3,'Non-Embedded Emissions'!$A$143:$D$174,2,FALSE)+VLOOKUP(DH$3,'Non-Embedded Emissions'!$A$230:$D$259,2,FALSE)), $C43 = "2", 'Inputs-System'!$C$30*'Coincidence Factors'!$B$7*'Inputs-Proposals'!$I$23*'Inputs-Proposals'!$I$25*(VLOOKUP(DH$3,'Non-Embedded Emissions'!$A$56:$D$90,2,FALSE)+VLOOKUP(DH$3,'Non-Embedded Emissions'!$A$143:$D$174,2,FALSE)+VLOOKUP(DH$3,'Non-Embedded Emissions'!$A$230:$D$259,2,FALSE)), $C43 = "3", 'Inputs-System'!$C$30*'Coincidence Factors'!$B$7*'Inputs-Proposals'!$I$29*'Inputs-Proposals'!$I$31*(VLOOKUP(DH$3,'Non-Embedded Emissions'!$A$56:$D$90,2,FALSE)+VLOOKUP(DH$3,'Non-Embedded Emissions'!$A$143:$D$174,2,FALSE)+VLOOKUP(DH$3,'Non-Embedded Emissions'!$A$230:$D$259,2,FALSE)), $C43 = "0", 0), 0)</f>
        <v>0</v>
      </c>
      <c r="DN43" s="347">
        <f>IFERROR(_xlfn.IFS($C43="1",('Inputs-System'!$C$30*'Coincidence Factors'!$B$7*(1+'Inputs-System'!$C$18)*(1+'Inputs-System'!$C$41)*('Inputs-Proposals'!$I$17*'Inputs-Proposals'!$I$19*('Inputs-Proposals'!$I$20))*(VLOOKUP(DN$3,Energy!$A$51:$K$83,5,FALSE))), $C43 = "2",('Inputs-System'!$C$30*'Coincidence Factors'!$B$7)*(1+'Inputs-System'!$C$18)*(1+'Inputs-System'!$C$41)*('Inputs-Proposals'!$I$23*'Inputs-Proposals'!$I$25*('Inputs-Proposals'!$I$26))*(VLOOKUP(DN$3,Energy!$A$51:$K$83,5,FALSE)), $C43= "3", ('Inputs-System'!$C$30*'Coincidence Factors'!$B$7*(1+'Inputs-System'!$C$18)*(1+'Inputs-System'!$C$41)*('Inputs-Proposals'!$I$29*'Inputs-Proposals'!$I$31*('Inputs-Proposals'!$I$32))*(VLOOKUP(DN$3,Energy!$A$51:$K$83,5,FALSE))), $C43= "0", 0), 0)</f>
        <v>0</v>
      </c>
      <c r="DO43" s="44">
        <f>IFERROR(_xlfn.IFS($C43="1",'Inputs-System'!$C$30*'Coincidence Factors'!$B$7*(1+'Inputs-System'!$C$18)*(1+'Inputs-System'!$C$41)*'Inputs-Proposals'!$I$17*'Inputs-Proposals'!$I$19*('Inputs-Proposals'!$I$20)*(VLOOKUP(DN$3,'Embedded Emissions'!$A$47:$B$78,2,FALSE)+VLOOKUP(DN$3,'Embedded Emissions'!$A$129:$B$158,2,FALSE)), $C43 = "2",'Inputs-System'!$C$30*'Coincidence Factors'!$B$7*(1+'Inputs-System'!$C$18)*(1+'Inputs-System'!$C$41)*'Inputs-Proposals'!$I$23*'Inputs-Proposals'!$I$25*('Inputs-Proposals'!$I$20)*(VLOOKUP(DN$3,'Embedded Emissions'!$A$47:$B$78,2,FALSE)+VLOOKUP(DN$3,'Embedded Emissions'!$A$129:$B$158,2,FALSE)), $C43 = "3", 'Inputs-System'!$C$30*'Coincidence Factors'!$B$7*(1+'Inputs-System'!$C$18)*(1+'Inputs-System'!$C$41)*'Inputs-Proposals'!$I$29*'Inputs-Proposals'!$I$31*('Inputs-Proposals'!$I$20)*(VLOOKUP(DN$3,'Embedded Emissions'!$A$47:$B$78,2,FALSE)+VLOOKUP(DN$3,'Embedded Emissions'!$A$129:$B$158,2,FALSE)), $C43 = "0", 0), 0)</f>
        <v>0</v>
      </c>
      <c r="DP43" s="44">
        <f>IFERROR(_xlfn.IFS($C43="1",( 'Inputs-System'!$C$30*'Coincidence Factors'!$B$7*(1+'Inputs-System'!$C$18)*(1+'Inputs-System'!$C$41))*('Inputs-Proposals'!$I$17*'Inputs-Proposals'!$I$19*('Inputs-Proposals'!$I$20))*(VLOOKUP(DN$3,DRIPE!$A$54:$I$82,5,FALSE)+VLOOKUP(DN$3,DRIPE!$A$54:$I$82,9,FALSE))+ ('Inputs-System'!$C$26*'Coincidence Factors'!$B$7*(1+'Inputs-System'!$C$18)*(1+'Inputs-System'!$C$42))*'Inputs-Proposals'!$I$16*VLOOKUP(DN$3,DRIPE!$A$54:$I$82,8,FALSE), $C43 = "2",( 'Inputs-System'!$C$30*'Coincidence Factors'!$B$7*(1+'Inputs-System'!$C$18)*(1+'Inputs-System'!$C$41))*('Inputs-Proposals'!$I$23*'Inputs-Proposals'!$I$25*('Inputs-Proposals'!$I$26))*(VLOOKUP(DN$3,DRIPE!$A$54:$I$82,5,FALSE)+VLOOKUP(DN$3,DRIPE!$A$54:$I$82,12,FALSE))+ ('Inputs-System'!$C$26*'Coincidence Factors'!$B$7*(1+'Inputs-System'!$C$18)*(1+'Inputs-System'!$C$42))*'Inputs-Proposals'!$I$22*VLOOKUP(DN$3,DRIPE!$A$54:$I$82,8,FALSE), $C43= "3", ( 'Inputs-System'!$C$30*'Coincidence Factors'!$B$7*(1+'Inputs-System'!$C$18)*(1+'Inputs-System'!$C$41))*('Inputs-Proposals'!$I$29*'Inputs-Proposals'!$I$31*('Inputs-Proposals'!$I$32))*(VLOOKUP(DN$3,DRIPE!$A$54:$I$82,5,FALSE)+VLOOKUP(DN$3,DRIPE!$A$54:$I$82,12,FALSE))+ ('Inputs-System'!$C$26*'Coincidence Factors'!$B$7*(1+'Inputs-System'!$C$18)*(1+'Inputs-System'!$C$42))*'Inputs-Proposals'!$I$28*VLOOKUP(DN$3,DRIPE!$A$54:$I$82,8,FALSE), $C43 = "0", 0), 0)</f>
        <v>0</v>
      </c>
      <c r="DQ43" s="45">
        <f>IFERROR(_xlfn.IFS($C43="1",('Inputs-System'!$C$26*'Coincidence Factors'!$B$7*(1+'Inputs-System'!$C$18))*'Inputs-Proposals'!$I$16*(VLOOKUP(DN$3,Capacity!$A$53:$E$85,4,FALSE)*(1+'Inputs-System'!$C$42)+VLOOKUP(DN$3,Capacity!$A$53:$E$85,5,FALSE)*'Inputs-System'!$C$29*(1+'Inputs-System'!$C$43)), $C43 = "2", ('Inputs-System'!$C$26*'Coincidence Factors'!$B$7*(1+'Inputs-System'!$C$18))*'Inputs-Proposals'!$I$22*(VLOOKUP(DN$3,Capacity!$A$53:$E$85,4,FALSE)*(1+'Inputs-System'!$C$42)+VLOOKUP(DN$3,Capacity!$A$53:$E$85,5,FALSE)*'Inputs-System'!$C$29*(1+'Inputs-System'!$C$43)), $C43 = "3",('Inputs-System'!$C$26*'Coincidence Factors'!$B$7*(1+'Inputs-System'!$C$18))*'Inputs-Proposals'!$I$28*(VLOOKUP(DN$3,Capacity!$A$53:$E$85,4,FALSE)*(1+'Inputs-System'!$C$42)+VLOOKUP(DN$3,Capacity!$A$53:$E$85,5,FALSE)*'Inputs-System'!$C$29*(1+'Inputs-System'!$C$43)), $C43 = "0", 0), 0)</f>
        <v>0</v>
      </c>
      <c r="DR43" s="44">
        <v>0</v>
      </c>
      <c r="DS43" s="342">
        <f>IFERROR(_xlfn.IFS($C43="1", 'Inputs-System'!$C$30*'Coincidence Factors'!$B$7*'Inputs-Proposals'!$I$17*'Inputs-Proposals'!$I$19*(VLOOKUP(DN$3,'Non-Embedded Emissions'!$A$56:$D$90,2,FALSE)+VLOOKUP(DN$3,'Non-Embedded Emissions'!$A$143:$D$174,2,FALSE)+VLOOKUP(DN$3,'Non-Embedded Emissions'!$A$230:$D$259,2,FALSE)), $C43 = "2", 'Inputs-System'!$C$30*'Coincidence Factors'!$B$7*'Inputs-Proposals'!$I$23*'Inputs-Proposals'!$I$25*(VLOOKUP(DN$3,'Non-Embedded Emissions'!$A$56:$D$90,2,FALSE)+VLOOKUP(DN$3,'Non-Embedded Emissions'!$A$143:$D$174,2,FALSE)+VLOOKUP(DN$3,'Non-Embedded Emissions'!$A$230:$D$259,2,FALSE)), $C43 = "3", 'Inputs-System'!$C$30*'Coincidence Factors'!$B$7*'Inputs-Proposals'!$I$29*'Inputs-Proposals'!$I$31*(VLOOKUP(DN$3,'Non-Embedded Emissions'!$A$56:$D$90,2,FALSE)+VLOOKUP(DN$3,'Non-Embedded Emissions'!$A$143:$D$174,2,FALSE)+VLOOKUP(DN$3,'Non-Embedded Emissions'!$A$230:$D$259,2,FALSE)), $C43 = "0", 0), 0)</f>
        <v>0</v>
      </c>
      <c r="DT43" s="347">
        <f>IFERROR(_xlfn.IFS($C43="1",('Inputs-System'!$C$30*'Coincidence Factors'!$B$7*(1+'Inputs-System'!$C$18)*(1+'Inputs-System'!$C$41)*('Inputs-Proposals'!$I$17*'Inputs-Proposals'!$I$19*('Inputs-Proposals'!$I$20))*(VLOOKUP(DT$3,Energy!$A$51:$K$83,5,FALSE))), $C43 = "2",('Inputs-System'!$C$30*'Coincidence Factors'!$B$7)*(1+'Inputs-System'!$C$18)*(1+'Inputs-System'!$C$41)*('Inputs-Proposals'!$I$23*'Inputs-Proposals'!$I$25*('Inputs-Proposals'!$I$26))*(VLOOKUP(DT$3,Energy!$A$51:$K$83,5,FALSE)), $C43= "3", ('Inputs-System'!$C$30*'Coincidence Factors'!$B$7*(1+'Inputs-System'!$C$18)*(1+'Inputs-System'!$C$41)*('Inputs-Proposals'!$I$29*'Inputs-Proposals'!$I$31*('Inputs-Proposals'!$I$32))*(VLOOKUP(DT$3,Energy!$A$51:$K$83,5,FALSE))), $C43= "0", 0), 0)</f>
        <v>0</v>
      </c>
      <c r="DU43" s="44">
        <f>IFERROR(_xlfn.IFS($C43="1",'Inputs-System'!$C$30*'Coincidence Factors'!$B$7*(1+'Inputs-System'!$C$18)*(1+'Inputs-System'!$C$41)*'Inputs-Proposals'!$I$17*'Inputs-Proposals'!$I$19*('Inputs-Proposals'!$I$20)*(VLOOKUP(DT$3,'Embedded Emissions'!$A$47:$B$78,2,FALSE)+VLOOKUP(DT$3,'Embedded Emissions'!$A$129:$B$158,2,FALSE)), $C43 = "2",'Inputs-System'!$C$30*'Coincidence Factors'!$B$7*(1+'Inputs-System'!$C$18)*(1+'Inputs-System'!$C$41)*'Inputs-Proposals'!$I$23*'Inputs-Proposals'!$I$25*('Inputs-Proposals'!$I$20)*(VLOOKUP(DT$3,'Embedded Emissions'!$A$47:$B$78,2,FALSE)+VLOOKUP(DT$3,'Embedded Emissions'!$A$129:$B$158,2,FALSE)), $C43 = "3", 'Inputs-System'!$C$30*'Coincidence Factors'!$B$7*(1+'Inputs-System'!$C$18)*(1+'Inputs-System'!$C$41)*'Inputs-Proposals'!$I$29*'Inputs-Proposals'!$I$31*('Inputs-Proposals'!$I$20)*(VLOOKUP(DT$3,'Embedded Emissions'!$A$47:$B$78,2,FALSE)+VLOOKUP(DT$3,'Embedded Emissions'!$A$129:$B$158,2,FALSE)), $C43 = "0", 0), 0)</f>
        <v>0</v>
      </c>
      <c r="DV43" s="44">
        <f>IFERROR(_xlfn.IFS($C43="1",( 'Inputs-System'!$C$30*'Coincidence Factors'!$B$7*(1+'Inputs-System'!$C$18)*(1+'Inputs-System'!$C$41))*('Inputs-Proposals'!$I$17*'Inputs-Proposals'!$I$19*('Inputs-Proposals'!$I$20))*(VLOOKUP(DT$3,DRIPE!$A$54:$I$82,5,FALSE)+VLOOKUP(DT$3,DRIPE!$A$54:$I$82,9,FALSE))+ ('Inputs-System'!$C$26*'Coincidence Factors'!$B$7*(1+'Inputs-System'!$C$18)*(1+'Inputs-System'!$C$42))*'Inputs-Proposals'!$I$16*VLOOKUP(DT$3,DRIPE!$A$54:$I$82,8,FALSE), $C43 = "2",( 'Inputs-System'!$C$30*'Coincidence Factors'!$B$7*(1+'Inputs-System'!$C$18)*(1+'Inputs-System'!$C$41))*('Inputs-Proposals'!$I$23*'Inputs-Proposals'!$I$25*('Inputs-Proposals'!$I$26))*(VLOOKUP(DT$3,DRIPE!$A$54:$I$82,5,FALSE)+VLOOKUP(DT$3,DRIPE!$A$54:$I$82,12,FALSE))+ ('Inputs-System'!$C$26*'Coincidence Factors'!$B$7*(1+'Inputs-System'!$C$18)*(1+'Inputs-System'!$C$42))*'Inputs-Proposals'!$I$22*VLOOKUP(DT$3,DRIPE!$A$54:$I$82,8,FALSE), $C43= "3", ( 'Inputs-System'!$C$30*'Coincidence Factors'!$B$7*(1+'Inputs-System'!$C$18)*(1+'Inputs-System'!$C$41))*('Inputs-Proposals'!$I$29*'Inputs-Proposals'!$I$31*('Inputs-Proposals'!$I$32))*(VLOOKUP(DT$3,DRIPE!$A$54:$I$82,5,FALSE)+VLOOKUP(DT$3,DRIPE!$A$54:$I$82,12,FALSE))+ ('Inputs-System'!$C$26*'Coincidence Factors'!$B$7*(1+'Inputs-System'!$C$18)*(1+'Inputs-System'!$C$42))*'Inputs-Proposals'!$I$28*VLOOKUP(DT$3,DRIPE!$A$54:$I$82,8,FALSE), $C43 = "0", 0), 0)</f>
        <v>0</v>
      </c>
      <c r="DW43" s="45">
        <f>IFERROR(_xlfn.IFS($C43="1",('Inputs-System'!$C$26*'Coincidence Factors'!$B$7*(1+'Inputs-System'!$C$18))*'Inputs-Proposals'!$I$16*(VLOOKUP(DT$3,Capacity!$A$53:$E$85,4,FALSE)*(1+'Inputs-System'!$C$42)+VLOOKUP(DT$3,Capacity!$A$53:$E$85,5,FALSE)*'Inputs-System'!$C$29*(1+'Inputs-System'!$C$43)), $C43 = "2", ('Inputs-System'!$C$26*'Coincidence Factors'!$B$7*(1+'Inputs-System'!$C$18))*'Inputs-Proposals'!$I$22*(VLOOKUP(DT$3,Capacity!$A$53:$E$85,4,FALSE)*(1+'Inputs-System'!$C$42)+VLOOKUP(DT$3,Capacity!$A$53:$E$85,5,FALSE)*'Inputs-System'!$C$29*(1+'Inputs-System'!$C$43)), $C43 = "3",('Inputs-System'!$C$26*'Coincidence Factors'!$B$7*(1+'Inputs-System'!$C$18))*'Inputs-Proposals'!$I$28*(VLOOKUP(DT$3,Capacity!$A$53:$E$85,4,FALSE)*(1+'Inputs-System'!$C$42)+VLOOKUP(DT$3,Capacity!$A$53:$E$85,5,FALSE)*'Inputs-System'!$C$29*(1+'Inputs-System'!$C$43)), $C43 = "0", 0), 0)</f>
        <v>0</v>
      </c>
      <c r="DX43" s="44">
        <v>0</v>
      </c>
      <c r="DY43" s="342">
        <f>IFERROR(_xlfn.IFS($C43="1", 'Inputs-System'!$C$30*'Coincidence Factors'!$B$7*'Inputs-Proposals'!$I$17*'Inputs-Proposals'!$I$19*(VLOOKUP(DT$3,'Non-Embedded Emissions'!$A$56:$D$90,2,FALSE)+VLOOKUP(DT$3,'Non-Embedded Emissions'!$A$143:$D$174,2,FALSE)+VLOOKUP(DT$3,'Non-Embedded Emissions'!$A$230:$D$259,2,FALSE)), $C43 = "2", 'Inputs-System'!$C$30*'Coincidence Factors'!$B$7*'Inputs-Proposals'!$I$23*'Inputs-Proposals'!$I$25*(VLOOKUP(DT$3,'Non-Embedded Emissions'!$A$56:$D$90,2,FALSE)+VLOOKUP(DT$3,'Non-Embedded Emissions'!$A$143:$D$174,2,FALSE)+VLOOKUP(DT$3,'Non-Embedded Emissions'!$A$230:$D$259,2,FALSE)), $C43 = "3", 'Inputs-System'!$C$30*'Coincidence Factors'!$B$7*'Inputs-Proposals'!$I$29*'Inputs-Proposals'!$I$31*(VLOOKUP(DT$3,'Non-Embedded Emissions'!$A$56:$D$90,2,FALSE)+VLOOKUP(DT$3,'Non-Embedded Emissions'!$A$143:$D$174,2,FALSE)+VLOOKUP(DT$3,'Non-Embedded Emissions'!$A$230:$D$259,2,FALSE)), $C43 = "0", 0), 0)</f>
        <v>0</v>
      </c>
      <c r="DZ43" s="347">
        <f>IFERROR(_xlfn.IFS($C43="1",('Inputs-System'!$C$30*'Coincidence Factors'!$B$7*(1+'Inputs-System'!$C$18)*(1+'Inputs-System'!$C$41)*('Inputs-Proposals'!$I$17*'Inputs-Proposals'!$I$19*('Inputs-Proposals'!$I$20))*(VLOOKUP(DZ$3,Energy!$A$51:$K$83,5,FALSE))), $C43 = "2",('Inputs-System'!$C$30*'Coincidence Factors'!$B$7)*(1+'Inputs-System'!$C$18)*(1+'Inputs-System'!$C$41)*('Inputs-Proposals'!$I$23*'Inputs-Proposals'!$I$25*('Inputs-Proposals'!$I$26))*(VLOOKUP(DZ$3,Energy!$A$51:$K$83,5,FALSE)), $C43= "3", ('Inputs-System'!$C$30*'Coincidence Factors'!$B$7*(1+'Inputs-System'!$C$18)*(1+'Inputs-System'!$C$41)*('Inputs-Proposals'!$I$29*'Inputs-Proposals'!$I$31*('Inputs-Proposals'!$I$32))*(VLOOKUP(DZ$3,Energy!$A$51:$K$83,5,FALSE))), $C43= "0", 0), 0)</f>
        <v>0</v>
      </c>
      <c r="EA43" s="44">
        <f>IFERROR(_xlfn.IFS($C43="1",'Inputs-System'!$C$30*'Coincidence Factors'!$B$7*(1+'Inputs-System'!$C$18)*(1+'Inputs-System'!$C$41)*'Inputs-Proposals'!$I$17*'Inputs-Proposals'!$I$19*('Inputs-Proposals'!$I$20)*(VLOOKUP(DZ$3,'Embedded Emissions'!$A$47:$B$78,2,FALSE)+VLOOKUP(DZ$3,'Embedded Emissions'!$A$129:$B$158,2,FALSE)), $C43 = "2",'Inputs-System'!$C$30*'Coincidence Factors'!$B$7*(1+'Inputs-System'!$C$18)*(1+'Inputs-System'!$C$41)*'Inputs-Proposals'!$I$23*'Inputs-Proposals'!$I$25*('Inputs-Proposals'!$I$20)*(VLOOKUP(DZ$3,'Embedded Emissions'!$A$47:$B$78,2,FALSE)+VLOOKUP(DZ$3,'Embedded Emissions'!$A$129:$B$158,2,FALSE)), $C43 = "3", 'Inputs-System'!$C$30*'Coincidence Factors'!$B$7*(1+'Inputs-System'!$C$18)*(1+'Inputs-System'!$C$41)*'Inputs-Proposals'!$I$29*'Inputs-Proposals'!$I$31*('Inputs-Proposals'!$I$20)*(VLOOKUP(DZ$3,'Embedded Emissions'!$A$47:$B$78,2,FALSE)+VLOOKUP(DZ$3,'Embedded Emissions'!$A$129:$B$158,2,FALSE)), $C43 = "0", 0), 0)</f>
        <v>0</v>
      </c>
      <c r="EB43" s="44">
        <f>IFERROR(_xlfn.IFS($C43="1",( 'Inputs-System'!$C$30*'Coincidence Factors'!$B$7*(1+'Inputs-System'!$C$18)*(1+'Inputs-System'!$C$41))*('Inputs-Proposals'!$I$17*'Inputs-Proposals'!$I$19*('Inputs-Proposals'!$I$20))*(VLOOKUP(DZ$3,DRIPE!$A$54:$I$82,5,FALSE)+VLOOKUP(DZ$3,DRIPE!$A$54:$I$82,9,FALSE))+ ('Inputs-System'!$C$26*'Coincidence Factors'!$B$7*(1+'Inputs-System'!$C$18)*(1+'Inputs-System'!$C$42))*'Inputs-Proposals'!$I$16*VLOOKUP(DZ$3,DRIPE!$A$54:$I$82,8,FALSE), $C43 = "2",( 'Inputs-System'!$C$30*'Coincidence Factors'!$B$7*(1+'Inputs-System'!$C$18)*(1+'Inputs-System'!$C$41))*('Inputs-Proposals'!$I$23*'Inputs-Proposals'!$I$25*('Inputs-Proposals'!$I$26))*(VLOOKUP(DZ$3,DRIPE!$A$54:$I$82,5,FALSE)+VLOOKUP(DZ$3,DRIPE!$A$54:$I$82,12,FALSE))+ ('Inputs-System'!$C$26*'Coincidence Factors'!$B$7*(1+'Inputs-System'!$C$18)*(1+'Inputs-System'!$C$42))*'Inputs-Proposals'!$I$22*VLOOKUP(DZ$3,DRIPE!$A$54:$I$82,8,FALSE), $C43= "3", ( 'Inputs-System'!$C$30*'Coincidence Factors'!$B$7*(1+'Inputs-System'!$C$18)*(1+'Inputs-System'!$C$41))*('Inputs-Proposals'!$I$29*'Inputs-Proposals'!$I$31*('Inputs-Proposals'!$I$32))*(VLOOKUP(DZ$3,DRIPE!$A$54:$I$82,5,FALSE)+VLOOKUP(DZ$3,DRIPE!$A$54:$I$82,12,FALSE))+ ('Inputs-System'!$C$26*'Coincidence Factors'!$B$7*(1+'Inputs-System'!$C$18)*(1+'Inputs-System'!$C$42))*'Inputs-Proposals'!$I$28*VLOOKUP(DZ$3,DRIPE!$A$54:$I$82,8,FALSE), $C43 = "0", 0), 0)</f>
        <v>0</v>
      </c>
      <c r="EC43" s="45">
        <f>IFERROR(_xlfn.IFS($C43="1",('Inputs-System'!$C$26*'Coincidence Factors'!$B$7*(1+'Inputs-System'!$C$18))*'Inputs-Proposals'!$I$16*(VLOOKUP(DZ$3,Capacity!$A$53:$E$85,4,FALSE)*(1+'Inputs-System'!$C$42)+VLOOKUP(DZ$3,Capacity!$A$53:$E$85,5,FALSE)*'Inputs-System'!$C$29*(1+'Inputs-System'!$C$43)), $C43 = "2", ('Inputs-System'!$C$26*'Coincidence Factors'!$B$7*(1+'Inputs-System'!$C$18))*'Inputs-Proposals'!$I$22*(VLOOKUP(DZ$3,Capacity!$A$53:$E$85,4,FALSE)*(1+'Inputs-System'!$C$42)+VLOOKUP(DZ$3,Capacity!$A$53:$E$85,5,FALSE)*'Inputs-System'!$C$29*(1+'Inputs-System'!$C$43)), $C43 = "3",('Inputs-System'!$C$26*'Coincidence Factors'!$B$7*(1+'Inputs-System'!$C$18))*'Inputs-Proposals'!$I$28*(VLOOKUP(DZ$3,Capacity!$A$53:$E$85,4,FALSE)*(1+'Inputs-System'!$C$42)+VLOOKUP(DZ$3,Capacity!$A$53:$E$85,5,FALSE)*'Inputs-System'!$C$29*(1+'Inputs-System'!$C$43)), $C43 = "0", 0), 0)</f>
        <v>0</v>
      </c>
      <c r="ED43" s="44">
        <v>0</v>
      </c>
      <c r="EE43" s="342">
        <f>IFERROR(_xlfn.IFS($C43="1", 'Inputs-System'!$C$30*'Coincidence Factors'!$B$7*'Inputs-Proposals'!$I$17*'Inputs-Proposals'!$I$19*(VLOOKUP(DZ$3,'Non-Embedded Emissions'!$A$56:$D$90,2,FALSE)+VLOOKUP(DZ$3,'Non-Embedded Emissions'!$A$143:$D$174,2,FALSE)+VLOOKUP(DZ$3,'Non-Embedded Emissions'!$A$230:$D$259,2,FALSE)), $C43 = "2", 'Inputs-System'!$C$30*'Coincidence Factors'!$B$7*'Inputs-Proposals'!$I$23*'Inputs-Proposals'!$I$25*(VLOOKUP(DZ$3,'Non-Embedded Emissions'!$A$56:$D$90,2,FALSE)+VLOOKUP(DZ$3,'Non-Embedded Emissions'!$A$143:$D$174,2,FALSE)+VLOOKUP(DZ$3,'Non-Embedded Emissions'!$A$230:$D$259,2,FALSE)), $C43 = "3", 'Inputs-System'!$C$30*'Coincidence Factors'!$B$7*'Inputs-Proposals'!$I$29*'Inputs-Proposals'!$I$31*(VLOOKUP(DZ$3,'Non-Embedded Emissions'!$A$56:$D$90,2,FALSE)+VLOOKUP(DZ$3,'Non-Embedded Emissions'!$A$143:$D$174,2,FALSE)+VLOOKUP(DZ$3,'Non-Embedded Emissions'!$A$230:$D$259,2,FALSE)), $C43 = "0", 0), 0)</f>
        <v>0</v>
      </c>
    </row>
    <row r="44" spans="1:135" x14ac:dyDescent="0.35">
      <c r="A44" s="708"/>
      <c r="B44" s="3" t="s">
        <v>160</v>
      </c>
      <c r="C44" s="3" t="str">
        <f>IFERROR(_xlfn.IFS('Benefits Calc'!B44='Inputs-Proposals'!$I$15, "1", 'Benefits Calc'!B44='Inputs-Proposals'!$I$21, "2", 'Benefits Calc'!B44='Inputs-Proposals'!$I$27, "3"), "0")</f>
        <v>0</v>
      </c>
      <c r="D44" s="323">
        <f t="shared" si="0"/>
        <v>0</v>
      </c>
      <c r="E44" s="44">
        <f t="shared" si="1"/>
        <v>0</v>
      </c>
      <c r="F44" s="44">
        <f t="shared" si="2"/>
        <v>0</v>
      </c>
      <c r="G44" s="44">
        <f t="shared" si="3"/>
        <v>0</v>
      </c>
      <c r="H44" s="44">
        <f t="shared" si="4"/>
        <v>0</v>
      </c>
      <c r="I44" s="44">
        <f t="shared" si="5"/>
        <v>0</v>
      </c>
      <c r="J44" s="323">
        <f>NPV('Inputs-System'!$C$20,P44+V44+AB44+AH44+AN44+AT44+AZ44+BF44+BL44+BR44+BX44+CD44+CJ44+CP44+CV44+DB44+DH44+DN44+DT44+DZ44)</f>
        <v>0</v>
      </c>
      <c r="K44" s="44">
        <f>NPV('Inputs-System'!$C$20,Q44+W44+AC44+AI44+AO44+AU44+BA44+BG44+BM44+BS44+BY44+CE44+CK44+CQ44+CW44+DC44+DI44+DO44+DU44+EA44)</f>
        <v>0</v>
      </c>
      <c r="L44" s="44">
        <f>NPV('Inputs-System'!$C$20,R44+X44+AD44+AJ44+AP44+AV44+BB44+BH44+BN44+BT44+BZ44+CF44+CL44+CR44+CX44+DD44+DJ44+DP44+DV44+EB44)</f>
        <v>0</v>
      </c>
      <c r="M44" s="44">
        <f>NPV('Inputs-System'!$C$20,S44+Y44+AE44+AK44+AQ44+AW44+BC44+BI44+BO44+BU44+CA44+CG44+CM44+CS44+CY44+DE44+DK44+DQ44+DW44+EC44)</f>
        <v>0</v>
      </c>
      <c r="N44" s="44">
        <f>NPV('Inputs-System'!$C$20,T44+Z44+AF44+AL44+AR44+AX44+BD44+BJ44+BP44+BV44+CB44+CH44+CN44+CT44+CZ44+DF44+DL44+DR44+DX44+ED44)</f>
        <v>0</v>
      </c>
      <c r="O44" s="119">
        <f>NPV('Inputs-System'!$C$20,U44+AA44+AG44+AM44+AS44+AY44+BE44+BK44+BQ44+BW44+CC44+CI44+CO44+CU44+DA44+DG44+DM44+DS44+DY44+EE44)</f>
        <v>0</v>
      </c>
      <c r="P44" s="45">
        <f>IFERROR(_xlfn.IFS($C44="1",('Inputs-System'!$C$30*'Coincidence Factors'!$B$8*(1+'Inputs-System'!$C$18)*(1+'Inputs-System'!$C$41)*('Inputs-Proposals'!$I$17*'Inputs-Proposals'!$I$19*('Inputs-Proposals'!$I$20))*(VLOOKUP(P$3,Energy!$A$51:$K$83,5,FALSE))), $C44 = "2",('Inputs-System'!$C$30*'Coincidence Factors'!$B$8)*(1+'Inputs-System'!$C$18)*(1+'Inputs-System'!$C$41)*('Inputs-Proposals'!$I$23*'Inputs-Proposals'!$I$25*('Inputs-Proposals'!$I$26))*(VLOOKUP(P$3,Energy!$A$51:$K$83,5,FALSE)), $C44= "3", ('Inputs-System'!$C$30*'Coincidence Factors'!$B$8*(1+'Inputs-System'!$C$18)*(1+'Inputs-System'!$C$41)*('Inputs-Proposals'!$I$29*'Inputs-Proposals'!$I$31*('Inputs-Proposals'!$I$32))*(VLOOKUP(P$3,Energy!$A$51:$K$83,5,FALSE))), $C44= "0", 0), 0)</f>
        <v>0</v>
      </c>
      <c r="Q44" s="44">
        <f>IFERROR(_xlfn.IFS($C44="1",'Inputs-System'!$C$30*'Coincidence Factors'!$B$8*(1+'Inputs-System'!$C$18)*(1+'Inputs-System'!$C$41)*'Inputs-Proposals'!$I$17*'Inputs-Proposals'!$I$19*('Inputs-Proposals'!$I$20)*(VLOOKUP(P$3,'Embedded Emissions'!$A$47:$B$78,2,FALSE)+VLOOKUP(P$3,'Embedded Emissions'!$A$129:$B$158,2,FALSE)), $C44 = "2", 'Inputs-System'!$C$30*'Coincidence Factors'!$B$8*(1+'Inputs-System'!$C$18)*(1+'Inputs-System'!$C$41)*'Inputs-Proposals'!$I$23*'Inputs-Proposals'!$I$25*('Inputs-Proposals'!$I$20)*(VLOOKUP(P$3,'Embedded Emissions'!$A$47:$B$78,2,FALSE)+VLOOKUP(P$3,'Embedded Emissions'!$A$129:$B$158,2,FALSE)), $C44 = "3",'Inputs-System'!$C$30*'Coincidence Factors'!$B$8*(1+'Inputs-System'!$C$18)*(1+'Inputs-System'!$C$41)*'Inputs-Proposals'!$I$29*'Inputs-Proposals'!$I$31*('Inputs-Proposals'!$I$20)*(VLOOKUP(P$3,'Embedded Emissions'!$A$47:$B$78,2,FALSE)+VLOOKUP(P$3,'Embedded Emissions'!$A$129:$B$158,2,FALSE)), $C44 = "0", 0), 0)</f>
        <v>0</v>
      </c>
      <c r="R44" s="44">
        <f>IFERROR(_xlfn.IFS($C44="1",( 'Inputs-System'!$C$30*'Coincidence Factors'!$B$8*(1+'Inputs-System'!$C$18)*(1+'Inputs-System'!$C$41))*('Inputs-Proposals'!$I$17*'Inputs-Proposals'!$I$19*('Inputs-Proposals'!$I$20))*(VLOOKUP(P$3,DRIPE!$A$54:$I$82,5,FALSE)+VLOOKUP(P$3,DRIPE!$A$54:$I$82,9,FALSE))+ ('Inputs-System'!$C$26*'Coincidence Factors'!$B$8*(1+'Inputs-System'!$C$18)*(1+'Inputs-System'!$C$42))*'Inputs-Proposals'!$I$16*VLOOKUP(P$3,DRIPE!$A$54:$I$82,8,FALSE), $C44 = "2",( 'Inputs-System'!$C$30*'Coincidence Factors'!$B$8*(1+'Inputs-System'!$C$18)*(1+'Inputs-System'!$C$41))*('Inputs-Proposals'!$I$23*'Inputs-Proposals'!$I$25*('Inputs-Proposals'!$I$26))*(VLOOKUP(P$3,DRIPE!$A$54:$I$82,5,FALSE)+VLOOKUP(P$3,DRIPE!$A$54:$I$82,9,FALSE))+  ('Inputs-System'!$C$26*'Coincidence Factors'!$B$8*(1+'Inputs-System'!$C$18)*(1+'Inputs-System'!$C$42))*'Inputs-Proposals'!$I$22*VLOOKUP(P$3,DRIPE!$A$54:$I$82,8,FALSE), $C44= "3", ( 'Inputs-System'!$C$30*'Coincidence Factors'!$B$8*(1+'Inputs-System'!$C$18)*(1+'Inputs-System'!$C$41))*('Inputs-Proposals'!$I$29*'Inputs-Proposals'!$I$31*('Inputs-Proposals'!$I$32))*(VLOOKUP(P$3,DRIPE!$A$54:$I$82,5,FALSE)+VLOOKUP(P$3,DRIPE!$A$54:$I$82,9,FALSE))+  ('Inputs-System'!$C$26*'Coincidence Factors'!$B$8*(1+'Inputs-System'!$C$18)*(1+'Inputs-System'!$C$42))*'Inputs-Proposals'!$I$28*VLOOKUP(P$3,DRIPE!$A$54:$I$82,8,FALSE), $C44 = "0", 0), 0)</f>
        <v>0</v>
      </c>
      <c r="S44" s="45">
        <f>IFERROR(_xlfn.IFS($C44="1",('Inputs-System'!$C$30*'Coincidence Factors'!$B$8*(1+'Inputs-System'!$C$18))*'Inputs-Proposals'!$I$16*(VLOOKUP(P$3,Capacity!$A$53:$E$85,4,FALSE)*(1+'Inputs-System'!$C$42)+VLOOKUP(P$3,Capacity!$A$53:$E$85,5,FALSE)*'Inputs-System'!$C$29*(1+'Inputs-System'!$C$43)), $C44 = "2", ('Inputs-System'!$C$30*'Coincidence Factors'!$B$8*(1+'Inputs-System'!$C$18))*'Inputs-Proposals'!$I$22*(VLOOKUP(P$3,Capacity!$A$53:$E$85,4,FALSE)*(1+'Inputs-System'!$C$42)+VLOOKUP(P$3,Capacity!$A$53:$E$85,5,FALSE)*'Inputs-System'!$C$29*(1+'Inputs-System'!$C$43)), $C44 = "3",('Inputs-System'!$C$30*'Coincidence Factors'!$B$8*(1+'Inputs-System'!$C$18))*'Inputs-Proposals'!$I$28*(VLOOKUP(P$3,Capacity!$A$53:$E$85,4,FALSE)*(1+'Inputs-System'!$C$42)+VLOOKUP(P$3,Capacity!$A$53:$E$85,5,FALSE)*'Inputs-System'!$C$29*(1+'Inputs-System'!$C$43)), $C44 = "0", 0), 0)</f>
        <v>0</v>
      </c>
      <c r="T44" s="44">
        <v>0</v>
      </c>
      <c r="U44" s="44">
        <f>IFERROR(_xlfn.IFS($C44="1", 'Inputs-System'!$C$30*'Coincidence Factors'!$B$8*'Inputs-Proposals'!$I$17*'Inputs-Proposals'!$I$19*(VLOOKUP(P$3,'Non-Embedded Emissions'!$A$56:$D$90,2,FALSE)+VLOOKUP(P$3,'Non-Embedded Emissions'!$A$143:$D$174,2,FALSE)+VLOOKUP(P$3,'Non-Embedded Emissions'!$A$230:$D$259,2,FALSE)), $C44 = "2", 'Inputs-System'!$C$30*'Coincidence Factors'!$B$8*'Inputs-Proposals'!$I$23*'Inputs-Proposals'!$I$25*(VLOOKUP(P$3,'Non-Embedded Emissions'!$A$56:$D$90,2,FALSE)+VLOOKUP(P$3,'Non-Embedded Emissions'!$A$143:$D$174,2,FALSE)+VLOOKUP(P$3,'Non-Embedded Emissions'!$A$230:$D$259,2,FALSE)), $C44 = "3", 'Inputs-System'!$C$30*'Coincidence Factors'!$B$8*'Inputs-Proposals'!$I$29*'Inputs-Proposals'!$I$31*(VLOOKUP(P$3,'Non-Embedded Emissions'!$A$56:$D$90,2,FALSE)+VLOOKUP(P$3,'Non-Embedded Emissions'!$A$143:$D$174,2,FALSE)+VLOOKUP(P$3,'Non-Embedded Emissions'!$A$230:$D$259,2,FALSE)), $C44 = "0", 0), 0)</f>
        <v>0</v>
      </c>
      <c r="V44" s="347">
        <f>IFERROR(_xlfn.IFS($C44="1",('Inputs-System'!$C$30*'Coincidence Factors'!$B$8*(1+'Inputs-System'!$C$18)*(1+'Inputs-System'!$C$41)*('Inputs-Proposals'!$I$17*'Inputs-Proposals'!$I$19*('Inputs-Proposals'!$I$20))*(VLOOKUP(V$3,Energy!$A$51:$K$83,5,FALSE))), $C44 = "2",('Inputs-System'!$C$30*'Coincidence Factors'!$B$8)*(1+'Inputs-System'!$C$18)*(1+'Inputs-System'!$C$41)*('Inputs-Proposals'!$I$23*'Inputs-Proposals'!$I$25*('Inputs-Proposals'!$I$26))*(VLOOKUP(V$3,Energy!$A$51:$K$83,5,FALSE)), $C44= "3", ('Inputs-System'!$C$30*'Coincidence Factors'!$B$8*(1+'Inputs-System'!$C$18)*(1+'Inputs-System'!$C$41)*('Inputs-Proposals'!$I$29*'Inputs-Proposals'!$I$31*('Inputs-Proposals'!$I$32))*(VLOOKUP(V$3,Energy!$A$51:$K$83,5,FALSE))), $C44= "0", 0), 0)</f>
        <v>0</v>
      </c>
      <c r="W44" s="44">
        <f>IFERROR(_xlfn.IFS($C44="1",'Inputs-System'!$C$30*'Coincidence Factors'!$B$8*(1+'Inputs-System'!$C$18)*(1+'Inputs-System'!$C$41)*'Inputs-Proposals'!$I$17*'Inputs-Proposals'!$I$19*('Inputs-Proposals'!$I$20)*(VLOOKUP(V$3,'Embedded Emissions'!$A$47:$B$78,2,FALSE)+VLOOKUP(V$3,'Embedded Emissions'!$A$129:$B$158,2,FALSE)), $C44 = "2", 'Inputs-System'!$C$30*'Coincidence Factors'!$B$8*(1+'Inputs-System'!$C$18)*(1+'Inputs-System'!$C$41)*'Inputs-Proposals'!$I$23*'Inputs-Proposals'!$I$25*('Inputs-Proposals'!$I$20)*(VLOOKUP(V$3,'Embedded Emissions'!$A$47:$B$78,2,FALSE)+VLOOKUP(V$3,'Embedded Emissions'!$A$129:$B$158,2,FALSE)), $C44 = "3",'Inputs-System'!$C$30*'Coincidence Factors'!$B$8*(1+'Inputs-System'!$C$18)*(1+'Inputs-System'!$C$41)*'Inputs-Proposals'!$I$29*'Inputs-Proposals'!$I$31*('Inputs-Proposals'!$I$20)*(VLOOKUP(V$3,'Embedded Emissions'!$A$47:$B$78,2,FALSE)+VLOOKUP(V$3,'Embedded Emissions'!$A$129:$B$158,2,FALSE)), $C44 = "0", 0), 0)</f>
        <v>0</v>
      </c>
      <c r="X44" s="44">
        <f>IFERROR(_xlfn.IFS($C44="1",( 'Inputs-System'!$C$30*'Coincidence Factors'!$B$8*(1+'Inputs-System'!$C$18)*(1+'Inputs-System'!$C$41))*('Inputs-Proposals'!$I$17*'Inputs-Proposals'!$I$19*('Inputs-Proposals'!$I$20))*(VLOOKUP(V$3,DRIPE!$A$54:$I$82,5,FALSE)+VLOOKUP(V$3,DRIPE!$A$54:$I$82,9,FALSE))+ ('Inputs-System'!$C$26*'Coincidence Factors'!$B$8*(1+'Inputs-System'!$C$18)*(1+'Inputs-System'!$C$42))*'Inputs-Proposals'!$I$16*VLOOKUP(V$3,DRIPE!$A$54:$I$82,8,FALSE), $C44 = "2",( 'Inputs-System'!$C$30*'Coincidence Factors'!$B$8*(1+'Inputs-System'!$C$18)*(1+'Inputs-System'!$C$41))*('Inputs-Proposals'!$I$23*'Inputs-Proposals'!$I$25*('Inputs-Proposals'!$I$26))*(VLOOKUP(V$3,DRIPE!$A$54:$I$82,5,FALSE)+VLOOKUP(V$3,DRIPE!$A$54:$I$82,9,FALSE))+  ('Inputs-System'!$C$26*'Coincidence Factors'!$B$8*(1+'Inputs-System'!$C$18)*(1+'Inputs-System'!$C$42))*'Inputs-Proposals'!$I$22*VLOOKUP(V$3,DRIPE!$A$54:$I$82,8,FALSE), $C44= "3", ( 'Inputs-System'!$C$30*'Coincidence Factors'!$B$8*(1+'Inputs-System'!$C$18)*(1+'Inputs-System'!$C$41))*('Inputs-Proposals'!$I$29*'Inputs-Proposals'!$I$31*('Inputs-Proposals'!$I$32))*(VLOOKUP(V$3,DRIPE!$A$54:$I$82,5,FALSE)+VLOOKUP(V$3,DRIPE!$A$54:$I$82,9,FALSE))+  ('Inputs-System'!$C$26*'Coincidence Factors'!$B$8*(1+'Inputs-System'!$C$18)*(1+'Inputs-System'!$C$42))*'Inputs-Proposals'!$I$28*VLOOKUP(V$3,DRIPE!$A$54:$I$82,8,FALSE), $C44 = "0", 0), 0)</f>
        <v>0</v>
      </c>
      <c r="Y44" s="45">
        <f>IFERROR(_xlfn.IFS($C44="1",('Inputs-System'!$C$30*'Coincidence Factors'!$B$8*(1+'Inputs-System'!$C$18))*'Inputs-Proposals'!$I$16*(VLOOKUP(V$3,Capacity!$A$53:$E$85,4,FALSE)*(1+'Inputs-System'!$C$42)+VLOOKUP(V$3,Capacity!$A$53:$E$85,5,FALSE)*'Inputs-System'!$C$29*(1+'Inputs-System'!$C$43)), $C44 = "2", ('Inputs-System'!$C$30*'Coincidence Factors'!$B$8*(1+'Inputs-System'!$C$18))*'Inputs-Proposals'!$I$22*(VLOOKUP(V$3,Capacity!$A$53:$E$85,4,FALSE)*(1+'Inputs-System'!$C$42)+VLOOKUP(V$3,Capacity!$A$53:$E$85,5,FALSE)*'Inputs-System'!$C$29*(1+'Inputs-System'!$C$43)), $C44 = "3",('Inputs-System'!$C$30*'Coincidence Factors'!$B$8*(1+'Inputs-System'!$C$18))*'Inputs-Proposals'!$I$28*(VLOOKUP(V$3,Capacity!$A$53:$E$85,4,FALSE)*(1+'Inputs-System'!$C$42)+VLOOKUP(V$3,Capacity!$A$53:$E$85,5,FALSE)*'Inputs-System'!$C$29*(1+'Inputs-System'!$C$43)), $C44 = "0", 0), 0)</f>
        <v>0</v>
      </c>
      <c r="Z44" s="44">
        <v>0</v>
      </c>
      <c r="AA44" s="342">
        <f>IFERROR(_xlfn.IFS($C44="1", 'Inputs-System'!$C$30*'Coincidence Factors'!$B$8*'Inputs-Proposals'!$I$17*'Inputs-Proposals'!$I$19*(VLOOKUP(V$3,'Non-Embedded Emissions'!$A$56:$D$90,2,FALSE)+VLOOKUP(V$3,'Non-Embedded Emissions'!$A$143:$D$174,2,FALSE)+VLOOKUP(V$3,'Non-Embedded Emissions'!$A$230:$D$259,2,FALSE)), $C44 = "2", 'Inputs-System'!$C$30*'Coincidence Factors'!$B$8*'Inputs-Proposals'!$I$23*'Inputs-Proposals'!$I$25*(VLOOKUP(V$3,'Non-Embedded Emissions'!$A$56:$D$90,2,FALSE)+VLOOKUP(V$3,'Non-Embedded Emissions'!$A$143:$D$174,2,FALSE)+VLOOKUP(V$3,'Non-Embedded Emissions'!$A$230:$D$259,2,FALSE)), $C44 = "3", 'Inputs-System'!$C$30*'Coincidence Factors'!$B$8*'Inputs-Proposals'!$I$29*'Inputs-Proposals'!$I$31*(VLOOKUP(V$3,'Non-Embedded Emissions'!$A$56:$D$90,2,FALSE)+VLOOKUP(V$3,'Non-Embedded Emissions'!$A$143:$D$174,2,FALSE)+VLOOKUP(V$3,'Non-Embedded Emissions'!$A$230:$D$259,2,FALSE)), $C44 = "0", 0), 0)</f>
        <v>0</v>
      </c>
      <c r="AB44" s="347">
        <f>IFERROR(_xlfn.IFS($C44="1",('Inputs-System'!$C$30*'Coincidence Factors'!$B$8*(1+'Inputs-System'!$C$18)*(1+'Inputs-System'!$C$41)*('Inputs-Proposals'!$I$17*'Inputs-Proposals'!$I$19*('Inputs-Proposals'!$I$20))*(VLOOKUP(AB$3,Energy!$A$51:$K$83,5,FALSE))), $C44 = "2",('Inputs-System'!$C$30*'Coincidence Factors'!$B$8)*(1+'Inputs-System'!$C$18)*(1+'Inputs-System'!$C$41)*('Inputs-Proposals'!$I$23*'Inputs-Proposals'!$I$25*('Inputs-Proposals'!$I$26))*(VLOOKUP(AB$3,Energy!$A$51:$K$83,5,FALSE)), $C44= "3", ('Inputs-System'!$C$30*'Coincidence Factors'!$B$8*(1+'Inputs-System'!$C$18)*(1+'Inputs-System'!$C$41)*('Inputs-Proposals'!$I$29*'Inputs-Proposals'!$I$31*('Inputs-Proposals'!$I$32))*(VLOOKUP(AB$3,Energy!$A$51:$K$83,5,FALSE))), $C44= "0", 0), 0)</f>
        <v>0</v>
      </c>
      <c r="AC44" s="44">
        <f>IFERROR(_xlfn.IFS($C44="1",'Inputs-System'!$C$30*'Coincidence Factors'!$B$8*(1+'Inputs-System'!$C$18)*(1+'Inputs-System'!$C$41)*'Inputs-Proposals'!$I$17*'Inputs-Proposals'!$I$19*('Inputs-Proposals'!$I$20)*(VLOOKUP(AB$3,'Embedded Emissions'!$A$47:$B$78,2,FALSE)+VLOOKUP(AB$3,'Embedded Emissions'!$A$129:$B$158,2,FALSE)), $C44 = "2", 'Inputs-System'!$C$30*'Coincidence Factors'!$B$8*(1+'Inputs-System'!$C$18)*(1+'Inputs-System'!$C$41)*'Inputs-Proposals'!$I$23*'Inputs-Proposals'!$I$25*('Inputs-Proposals'!$I$20)*(VLOOKUP(AB$3,'Embedded Emissions'!$A$47:$B$78,2,FALSE)+VLOOKUP(AB$3,'Embedded Emissions'!$A$129:$B$158,2,FALSE)), $C44 = "3",'Inputs-System'!$C$30*'Coincidence Factors'!$B$8*(1+'Inputs-System'!$C$18)*(1+'Inputs-System'!$C$41)*'Inputs-Proposals'!$I$29*'Inputs-Proposals'!$I$31*('Inputs-Proposals'!$I$20)*(VLOOKUP(AB$3,'Embedded Emissions'!$A$47:$B$78,2,FALSE)+VLOOKUP(AB$3,'Embedded Emissions'!$A$129:$B$158,2,FALSE)), $C44 = "0", 0), 0)</f>
        <v>0</v>
      </c>
      <c r="AD44" s="44">
        <f>IFERROR(_xlfn.IFS($C44="1",( 'Inputs-System'!$C$30*'Coincidence Factors'!$B$8*(1+'Inputs-System'!$C$18)*(1+'Inputs-System'!$C$41))*('Inputs-Proposals'!$I$17*'Inputs-Proposals'!$I$19*('Inputs-Proposals'!$I$20))*(VLOOKUP(AB$3,DRIPE!$A$54:$I$82,5,FALSE)+VLOOKUP(AB$3,DRIPE!$A$54:$I$82,9,FALSE))+ ('Inputs-System'!$C$26*'Coincidence Factors'!$B$8*(1+'Inputs-System'!$C$18)*(1+'Inputs-System'!$C$42))*'Inputs-Proposals'!$I$16*VLOOKUP(AB$3,DRIPE!$A$54:$I$82,8,FALSE), $C44 = "2",( 'Inputs-System'!$C$30*'Coincidence Factors'!$B$8*(1+'Inputs-System'!$C$18)*(1+'Inputs-System'!$C$41))*('Inputs-Proposals'!$I$23*'Inputs-Proposals'!$I$25*('Inputs-Proposals'!$I$26))*(VLOOKUP(AB$3,DRIPE!$A$54:$I$82,5,FALSE)+VLOOKUP(AB$3,DRIPE!$A$54:$I$82,9,FALSE))+  ('Inputs-System'!$C$26*'Coincidence Factors'!$B$8*(1+'Inputs-System'!$C$18)*(1+'Inputs-System'!$C$42))*'Inputs-Proposals'!$I$22*VLOOKUP(AB$3,DRIPE!$A$54:$I$82,8,FALSE), $C44= "3", ( 'Inputs-System'!$C$30*'Coincidence Factors'!$B$8*(1+'Inputs-System'!$C$18)*(1+'Inputs-System'!$C$41))*('Inputs-Proposals'!$I$29*'Inputs-Proposals'!$I$31*('Inputs-Proposals'!$I$32))*(VLOOKUP(AB$3,DRIPE!$A$54:$I$82,5,FALSE)+VLOOKUP(AB$3,DRIPE!$A$54:$I$82,9,FALSE))+  ('Inputs-System'!$C$26*'Coincidence Factors'!$B$8*(1+'Inputs-System'!$C$18)*(1+'Inputs-System'!$C$42))*'Inputs-Proposals'!$I$28*VLOOKUP(AB$3,DRIPE!$A$54:$I$82,8,FALSE), $C44 = "0", 0), 0)</f>
        <v>0</v>
      </c>
      <c r="AE44" s="45">
        <f>IFERROR(_xlfn.IFS($C44="1",('Inputs-System'!$C$30*'Coincidence Factors'!$B$8*(1+'Inputs-System'!$C$18))*'Inputs-Proposals'!$I$16*(VLOOKUP(AB$3,Capacity!$A$53:$E$85,4,FALSE)*(1+'Inputs-System'!$C$42)+VLOOKUP(AB$3,Capacity!$A$53:$E$85,5,FALSE)*'Inputs-System'!$C$29*(1+'Inputs-System'!$C$43)), $C44 = "2", ('Inputs-System'!$C$30*'Coincidence Factors'!$B$8*(1+'Inputs-System'!$C$18))*'Inputs-Proposals'!$I$22*(VLOOKUP(AB$3,Capacity!$A$53:$E$85,4,FALSE)*(1+'Inputs-System'!$C$42)+VLOOKUP(AB$3,Capacity!$A$53:$E$85,5,FALSE)*'Inputs-System'!$C$29*(1+'Inputs-System'!$C$43)), $C44 = "3",('Inputs-System'!$C$30*'Coincidence Factors'!$B$8*(1+'Inputs-System'!$C$18))*'Inputs-Proposals'!$I$28*(VLOOKUP(AB$3,Capacity!$A$53:$E$85,4,FALSE)*(1+'Inputs-System'!$C$42)+VLOOKUP(AB$3,Capacity!$A$53:$E$85,5,FALSE)*'Inputs-System'!$C$29*(1+'Inputs-System'!$C$43)), $C44 = "0", 0), 0)</f>
        <v>0</v>
      </c>
      <c r="AF44" s="44">
        <v>0</v>
      </c>
      <c r="AG44" s="342">
        <f>IFERROR(_xlfn.IFS($C44="1", 'Inputs-System'!$C$30*'Coincidence Factors'!$B$8*'Inputs-Proposals'!$I$17*'Inputs-Proposals'!$I$19*(VLOOKUP(AB$3,'Non-Embedded Emissions'!$A$56:$D$90,2,FALSE)+VLOOKUP(AB$3,'Non-Embedded Emissions'!$A$143:$D$174,2,FALSE)+VLOOKUP(AB$3,'Non-Embedded Emissions'!$A$230:$D$259,2,FALSE)), $C44 = "2", 'Inputs-System'!$C$30*'Coincidence Factors'!$B$8*'Inputs-Proposals'!$I$23*'Inputs-Proposals'!$I$25*(VLOOKUP(AB$3,'Non-Embedded Emissions'!$A$56:$D$90,2,FALSE)+VLOOKUP(AB$3,'Non-Embedded Emissions'!$A$143:$D$174,2,FALSE)+VLOOKUP(AB$3,'Non-Embedded Emissions'!$A$230:$D$259,2,FALSE)), $C44 = "3", 'Inputs-System'!$C$30*'Coincidence Factors'!$B$8*'Inputs-Proposals'!$I$29*'Inputs-Proposals'!$I$31*(VLOOKUP(AB$3,'Non-Embedded Emissions'!$A$56:$D$90,2,FALSE)+VLOOKUP(AB$3,'Non-Embedded Emissions'!$A$143:$D$174,2,FALSE)+VLOOKUP(AB$3,'Non-Embedded Emissions'!$A$230:$D$259,2,FALSE)), $C44 = "0", 0), 0)</f>
        <v>0</v>
      </c>
      <c r="AH44" s="347">
        <f>IFERROR(_xlfn.IFS($C44="1",('Inputs-System'!$C$30*'Coincidence Factors'!$B$8*(1+'Inputs-System'!$C$18)*(1+'Inputs-System'!$C$41)*('Inputs-Proposals'!$I$17*'Inputs-Proposals'!$I$19*('Inputs-Proposals'!$I$20))*(VLOOKUP(AH$3,Energy!$A$51:$K$83,5,FALSE))), $C44 = "2",('Inputs-System'!$C$30*'Coincidence Factors'!$B$8)*(1+'Inputs-System'!$C$18)*(1+'Inputs-System'!$C$41)*('Inputs-Proposals'!$I$23*'Inputs-Proposals'!$I$25*('Inputs-Proposals'!$I$26))*(VLOOKUP(AH$3,Energy!$A$51:$K$83,5,FALSE)), $C44= "3", ('Inputs-System'!$C$30*'Coincidence Factors'!$B$8*(1+'Inputs-System'!$C$18)*(1+'Inputs-System'!$C$41)*('Inputs-Proposals'!$I$29*'Inputs-Proposals'!$I$31*('Inputs-Proposals'!$I$32))*(VLOOKUP(AH$3,Energy!$A$51:$K$83,5,FALSE))), $C44= "0", 0), 0)</f>
        <v>0</v>
      </c>
      <c r="AI44" s="44">
        <f>IFERROR(_xlfn.IFS($C44="1",'Inputs-System'!$C$30*'Coincidence Factors'!$B$8*(1+'Inputs-System'!$C$18)*(1+'Inputs-System'!$C$41)*'Inputs-Proposals'!$I$17*'Inputs-Proposals'!$I$19*('Inputs-Proposals'!$I$20)*(VLOOKUP(AH$3,'Embedded Emissions'!$A$47:$B$78,2,FALSE)+VLOOKUP(AH$3,'Embedded Emissions'!$A$129:$B$158,2,FALSE)), $C44 = "2", 'Inputs-System'!$C$30*'Coincidence Factors'!$B$8*(1+'Inputs-System'!$C$18)*(1+'Inputs-System'!$C$41)*'Inputs-Proposals'!$I$23*'Inputs-Proposals'!$I$25*('Inputs-Proposals'!$I$20)*(VLOOKUP(AH$3,'Embedded Emissions'!$A$47:$B$78,2,FALSE)+VLOOKUP(AH$3,'Embedded Emissions'!$A$129:$B$158,2,FALSE)), $C44 = "3",'Inputs-System'!$C$30*'Coincidence Factors'!$B$8*(1+'Inputs-System'!$C$18)*(1+'Inputs-System'!$C$41)*'Inputs-Proposals'!$I$29*'Inputs-Proposals'!$I$31*('Inputs-Proposals'!$I$20)*(VLOOKUP(AH$3,'Embedded Emissions'!$A$47:$B$78,2,FALSE)+VLOOKUP(AH$3,'Embedded Emissions'!$A$129:$B$158,2,FALSE)), $C44 = "0", 0), 0)</f>
        <v>0</v>
      </c>
      <c r="AJ44" s="44">
        <f>IFERROR(_xlfn.IFS($C44="1",( 'Inputs-System'!$C$30*'Coincidence Factors'!$B$8*(1+'Inputs-System'!$C$18)*(1+'Inputs-System'!$C$41))*('Inputs-Proposals'!$I$17*'Inputs-Proposals'!$I$19*('Inputs-Proposals'!$I$20))*(VLOOKUP(AH$3,DRIPE!$A$54:$I$82,5,FALSE)+VLOOKUP(AH$3,DRIPE!$A$54:$I$82,9,FALSE))+ ('Inputs-System'!$C$26*'Coincidence Factors'!$B$8*(1+'Inputs-System'!$C$18)*(1+'Inputs-System'!$C$42))*'Inputs-Proposals'!$I$16*VLOOKUP(AH$3,DRIPE!$A$54:$I$82,8,FALSE), $C44 = "2",( 'Inputs-System'!$C$30*'Coincidence Factors'!$B$8*(1+'Inputs-System'!$C$18)*(1+'Inputs-System'!$C$41))*('Inputs-Proposals'!$I$23*'Inputs-Proposals'!$I$25*('Inputs-Proposals'!$I$26))*(VLOOKUP(AH$3,DRIPE!$A$54:$I$82,5,FALSE)+VLOOKUP(AH$3,DRIPE!$A$54:$I$82,9,FALSE))+  ('Inputs-System'!$C$26*'Coincidence Factors'!$B$8*(1+'Inputs-System'!$C$18)*(1+'Inputs-System'!$C$42))*'Inputs-Proposals'!$I$22*VLOOKUP(AH$3,DRIPE!$A$54:$I$82,8,FALSE), $C44= "3", ( 'Inputs-System'!$C$30*'Coincidence Factors'!$B$8*(1+'Inputs-System'!$C$18)*(1+'Inputs-System'!$C$41))*('Inputs-Proposals'!$I$29*'Inputs-Proposals'!$I$31*('Inputs-Proposals'!$I$32))*(VLOOKUP(AH$3,DRIPE!$A$54:$I$82,5,FALSE)+VLOOKUP(AH$3,DRIPE!$A$54:$I$82,9,FALSE))+  ('Inputs-System'!$C$26*'Coincidence Factors'!$B$8*(1+'Inputs-System'!$C$18)*(1+'Inputs-System'!$C$42))*'Inputs-Proposals'!$I$28*VLOOKUP(AH$3,DRIPE!$A$54:$I$82,8,FALSE), $C44 = "0", 0), 0)</f>
        <v>0</v>
      </c>
      <c r="AK44" s="45">
        <f>IFERROR(_xlfn.IFS($C44="1",('Inputs-System'!$C$30*'Coincidence Factors'!$B$8*(1+'Inputs-System'!$C$18))*'Inputs-Proposals'!$I$16*(VLOOKUP(AH$3,Capacity!$A$53:$E$85,4,FALSE)*(1+'Inputs-System'!$C$42)+VLOOKUP(AH$3,Capacity!$A$53:$E$85,5,FALSE)*'Inputs-System'!$C$29*(1+'Inputs-System'!$C$43)), $C44 = "2", ('Inputs-System'!$C$30*'Coincidence Factors'!$B$8*(1+'Inputs-System'!$C$18))*'Inputs-Proposals'!$I$22*(VLOOKUP(AH$3,Capacity!$A$53:$E$85,4,FALSE)*(1+'Inputs-System'!$C$42)+VLOOKUP(AH$3,Capacity!$A$53:$E$85,5,FALSE)*'Inputs-System'!$C$29*(1+'Inputs-System'!$C$43)), $C44 = "3",('Inputs-System'!$C$30*'Coincidence Factors'!$B$8*(1+'Inputs-System'!$C$18))*'Inputs-Proposals'!$I$28*(VLOOKUP(AH$3,Capacity!$A$53:$E$85,4,FALSE)*(1+'Inputs-System'!$C$42)+VLOOKUP(AH$3,Capacity!$A$53:$E$85,5,FALSE)*'Inputs-System'!$C$29*(1+'Inputs-System'!$C$43)), $C44 = "0", 0), 0)</f>
        <v>0</v>
      </c>
      <c r="AL44" s="44">
        <v>0</v>
      </c>
      <c r="AM44" s="342">
        <f>IFERROR(_xlfn.IFS($C44="1", 'Inputs-System'!$C$30*'Coincidence Factors'!$B$8*'Inputs-Proposals'!$I$17*'Inputs-Proposals'!$I$19*(VLOOKUP(AH$3,'Non-Embedded Emissions'!$A$56:$D$90,2,FALSE)+VLOOKUP(AH$3,'Non-Embedded Emissions'!$A$143:$D$174,2,FALSE)+VLOOKUP(AH$3,'Non-Embedded Emissions'!$A$230:$D$259,2,FALSE)), $C44 = "2", 'Inputs-System'!$C$30*'Coincidence Factors'!$B$8*'Inputs-Proposals'!$I$23*'Inputs-Proposals'!$I$25*(VLOOKUP(AH$3,'Non-Embedded Emissions'!$A$56:$D$90,2,FALSE)+VLOOKUP(AH$3,'Non-Embedded Emissions'!$A$143:$D$174,2,FALSE)+VLOOKUP(AH$3,'Non-Embedded Emissions'!$A$230:$D$259,2,FALSE)), $C44 = "3", 'Inputs-System'!$C$30*'Coincidence Factors'!$B$8*'Inputs-Proposals'!$I$29*'Inputs-Proposals'!$I$31*(VLOOKUP(AH$3,'Non-Embedded Emissions'!$A$56:$D$90,2,FALSE)+VLOOKUP(AH$3,'Non-Embedded Emissions'!$A$143:$D$174,2,FALSE)+VLOOKUP(AH$3,'Non-Embedded Emissions'!$A$230:$D$259,2,FALSE)), $C44 = "0", 0), 0)</f>
        <v>0</v>
      </c>
      <c r="AN44" s="347">
        <f>IFERROR(_xlfn.IFS($C44="1",('Inputs-System'!$C$30*'Coincidence Factors'!$B$8*(1+'Inputs-System'!$C$18)*(1+'Inputs-System'!$C$41)*('Inputs-Proposals'!$I$17*'Inputs-Proposals'!$I$19*('Inputs-Proposals'!$I$20))*(VLOOKUP(AN$3,Energy!$A$51:$K$83,5,FALSE))), $C44 = "2",('Inputs-System'!$C$30*'Coincidence Factors'!$B$8)*(1+'Inputs-System'!$C$18)*(1+'Inputs-System'!$C$41)*('Inputs-Proposals'!$I$23*'Inputs-Proposals'!$I$25*('Inputs-Proposals'!$I$26))*(VLOOKUP(AN$3,Energy!$A$51:$K$83,5,FALSE)), $C44= "3", ('Inputs-System'!$C$30*'Coincidence Factors'!$B$8*(1+'Inputs-System'!$C$18)*(1+'Inputs-System'!$C$41)*('Inputs-Proposals'!$I$29*'Inputs-Proposals'!$I$31*('Inputs-Proposals'!$I$32))*(VLOOKUP(AN$3,Energy!$A$51:$K$83,5,FALSE))), $C44= "0", 0), 0)</f>
        <v>0</v>
      </c>
      <c r="AO44" s="44">
        <f>IFERROR(_xlfn.IFS($C44="1",'Inputs-System'!$C$30*'Coincidence Factors'!$B$8*(1+'Inputs-System'!$C$18)*(1+'Inputs-System'!$C$41)*'Inputs-Proposals'!$I$17*'Inputs-Proposals'!$I$19*('Inputs-Proposals'!$I$20)*(VLOOKUP(AN$3,'Embedded Emissions'!$A$47:$B$78,2,FALSE)+VLOOKUP(AN$3,'Embedded Emissions'!$A$129:$B$158,2,FALSE)), $C44 = "2", 'Inputs-System'!$C$30*'Coincidence Factors'!$B$8*(1+'Inputs-System'!$C$18)*(1+'Inputs-System'!$C$41)*'Inputs-Proposals'!$I$23*'Inputs-Proposals'!$I$25*('Inputs-Proposals'!$I$20)*(VLOOKUP(AN$3,'Embedded Emissions'!$A$47:$B$78,2,FALSE)+VLOOKUP(AN$3,'Embedded Emissions'!$A$129:$B$158,2,FALSE)), $C44 = "3",'Inputs-System'!$C$30*'Coincidence Factors'!$B$8*(1+'Inputs-System'!$C$18)*(1+'Inputs-System'!$C$41)*'Inputs-Proposals'!$I$29*'Inputs-Proposals'!$I$31*('Inputs-Proposals'!$I$20)*(VLOOKUP(AN$3,'Embedded Emissions'!$A$47:$B$78,2,FALSE)+VLOOKUP(AN$3,'Embedded Emissions'!$A$129:$B$158,2,FALSE)), $C44 = "0", 0), 0)</f>
        <v>0</v>
      </c>
      <c r="AP44" s="44">
        <f>IFERROR(_xlfn.IFS($C44="1",( 'Inputs-System'!$C$30*'Coincidence Factors'!$B$8*(1+'Inputs-System'!$C$18)*(1+'Inputs-System'!$C$41))*('Inputs-Proposals'!$I$17*'Inputs-Proposals'!$I$19*('Inputs-Proposals'!$I$20))*(VLOOKUP(AN$3,DRIPE!$A$54:$I$82,5,FALSE)+VLOOKUP(AN$3,DRIPE!$A$54:$I$82,9,FALSE))+ ('Inputs-System'!$C$26*'Coincidence Factors'!$B$8*(1+'Inputs-System'!$C$18)*(1+'Inputs-System'!$C$42))*'Inputs-Proposals'!$I$16*VLOOKUP(AN$3,DRIPE!$A$54:$I$82,8,FALSE), $C44 = "2",( 'Inputs-System'!$C$30*'Coincidence Factors'!$B$8*(1+'Inputs-System'!$C$18)*(1+'Inputs-System'!$C$41))*('Inputs-Proposals'!$I$23*'Inputs-Proposals'!$I$25*('Inputs-Proposals'!$I$26))*(VLOOKUP(AN$3,DRIPE!$A$54:$I$82,5,FALSE)+VLOOKUP(AN$3,DRIPE!$A$54:$I$82,9,FALSE))+  ('Inputs-System'!$C$26*'Coincidence Factors'!$B$8*(1+'Inputs-System'!$C$18)*(1+'Inputs-System'!$C$42))*'Inputs-Proposals'!$I$22*VLOOKUP(AN$3,DRIPE!$A$54:$I$82,8,FALSE), $C44= "3", ( 'Inputs-System'!$C$30*'Coincidence Factors'!$B$8*(1+'Inputs-System'!$C$18)*(1+'Inputs-System'!$C$41))*('Inputs-Proposals'!$I$29*'Inputs-Proposals'!$I$31*('Inputs-Proposals'!$I$32))*(VLOOKUP(AN$3,DRIPE!$A$54:$I$82,5,FALSE)+VLOOKUP(AN$3,DRIPE!$A$54:$I$82,9,FALSE))+  ('Inputs-System'!$C$26*'Coincidence Factors'!$B$8*(1+'Inputs-System'!$C$18)*(1+'Inputs-System'!$C$42))*'Inputs-Proposals'!$I$28*VLOOKUP(AN$3,DRIPE!$A$54:$I$82,8,FALSE), $C44 = "0", 0), 0)</f>
        <v>0</v>
      </c>
      <c r="AQ44" s="45">
        <f>IFERROR(_xlfn.IFS($C44="1",('Inputs-System'!$C$30*'Coincidence Factors'!$B$8*(1+'Inputs-System'!$C$18))*'Inputs-Proposals'!$I$16*(VLOOKUP(AN$3,Capacity!$A$53:$E$85,4,FALSE)*(1+'Inputs-System'!$C$42)+VLOOKUP(AN$3,Capacity!$A$53:$E$85,5,FALSE)*'Inputs-System'!$C$29*(1+'Inputs-System'!$C$43)), $C44 = "2", ('Inputs-System'!$C$30*'Coincidence Factors'!$B$8*(1+'Inputs-System'!$C$18))*'Inputs-Proposals'!$I$22*(VLOOKUP(AN$3,Capacity!$A$53:$E$85,4,FALSE)*(1+'Inputs-System'!$C$42)+VLOOKUP(AN$3,Capacity!$A$53:$E$85,5,FALSE)*'Inputs-System'!$C$29*(1+'Inputs-System'!$C$43)), $C44 = "3",('Inputs-System'!$C$30*'Coincidence Factors'!$B$8*(1+'Inputs-System'!$C$18))*'Inputs-Proposals'!$I$28*(VLOOKUP(AN$3,Capacity!$A$53:$E$85,4,FALSE)*(1+'Inputs-System'!$C$42)+VLOOKUP(AN$3,Capacity!$A$53:$E$85,5,FALSE)*'Inputs-System'!$C$29*(1+'Inputs-System'!$C$43)), $C44 = "0", 0), 0)</f>
        <v>0</v>
      </c>
      <c r="AR44" s="44">
        <v>0</v>
      </c>
      <c r="AS44" s="342">
        <f>IFERROR(_xlfn.IFS($C44="1", 'Inputs-System'!$C$30*'Coincidence Factors'!$B$8*'Inputs-Proposals'!$I$17*'Inputs-Proposals'!$I$19*(VLOOKUP(AN$3,'Non-Embedded Emissions'!$A$56:$D$90,2,FALSE)+VLOOKUP(AN$3,'Non-Embedded Emissions'!$A$143:$D$174,2,FALSE)+VLOOKUP(AN$3,'Non-Embedded Emissions'!$A$230:$D$259,2,FALSE)), $C44 = "2", 'Inputs-System'!$C$30*'Coincidence Factors'!$B$8*'Inputs-Proposals'!$I$23*'Inputs-Proposals'!$I$25*(VLOOKUP(AN$3,'Non-Embedded Emissions'!$A$56:$D$90,2,FALSE)+VLOOKUP(AN$3,'Non-Embedded Emissions'!$A$143:$D$174,2,FALSE)+VLOOKUP(AN$3,'Non-Embedded Emissions'!$A$230:$D$259,2,FALSE)), $C44 = "3", 'Inputs-System'!$C$30*'Coincidence Factors'!$B$8*'Inputs-Proposals'!$I$29*'Inputs-Proposals'!$I$31*(VLOOKUP(AN$3,'Non-Embedded Emissions'!$A$56:$D$90,2,FALSE)+VLOOKUP(AN$3,'Non-Embedded Emissions'!$A$143:$D$174,2,FALSE)+VLOOKUP(AN$3,'Non-Embedded Emissions'!$A$230:$D$259,2,FALSE)), $C44 = "0", 0), 0)</f>
        <v>0</v>
      </c>
      <c r="AT44" s="347">
        <f>IFERROR(_xlfn.IFS($C44="1",('Inputs-System'!$C$30*'Coincidence Factors'!$B$8*(1+'Inputs-System'!$C$18)*(1+'Inputs-System'!$C$41)*('Inputs-Proposals'!$I$17*'Inputs-Proposals'!$I$19*('Inputs-Proposals'!$I$20))*(VLOOKUP(AT$3,Energy!$A$51:$K$83,5,FALSE))), $C44 = "2",('Inputs-System'!$C$30*'Coincidence Factors'!$B$8)*(1+'Inputs-System'!$C$18)*(1+'Inputs-System'!$C$41)*('Inputs-Proposals'!$I$23*'Inputs-Proposals'!$I$25*('Inputs-Proposals'!$I$26))*(VLOOKUP(AT$3,Energy!$A$51:$K$83,5,FALSE)), $C44= "3", ('Inputs-System'!$C$30*'Coincidence Factors'!$B$8*(1+'Inputs-System'!$C$18)*(1+'Inputs-System'!$C$41)*('Inputs-Proposals'!$I$29*'Inputs-Proposals'!$I$31*('Inputs-Proposals'!$I$32))*(VLOOKUP(AT$3,Energy!$A$51:$K$83,5,FALSE))), $C44= "0", 0), 0)</f>
        <v>0</v>
      </c>
      <c r="AU44" s="44">
        <f>IFERROR(_xlfn.IFS($C44="1",'Inputs-System'!$C$30*'Coincidence Factors'!$B$8*(1+'Inputs-System'!$C$18)*(1+'Inputs-System'!$C$41)*'Inputs-Proposals'!$I$17*'Inputs-Proposals'!$I$19*('Inputs-Proposals'!$I$20)*(VLOOKUP(AT$3,'Embedded Emissions'!$A$47:$B$78,2,FALSE)+VLOOKUP(AT$3,'Embedded Emissions'!$A$129:$B$158,2,FALSE)), $C44 = "2", 'Inputs-System'!$C$30*'Coincidence Factors'!$B$8*(1+'Inputs-System'!$C$18)*(1+'Inputs-System'!$C$41)*'Inputs-Proposals'!$I$23*'Inputs-Proposals'!$I$25*('Inputs-Proposals'!$I$20)*(VLOOKUP(AT$3,'Embedded Emissions'!$A$47:$B$78,2,FALSE)+VLOOKUP(AT$3,'Embedded Emissions'!$A$129:$B$158,2,FALSE)), $C44 = "3",'Inputs-System'!$C$30*'Coincidence Factors'!$B$8*(1+'Inputs-System'!$C$18)*(1+'Inputs-System'!$C$41)*'Inputs-Proposals'!$I$29*'Inputs-Proposals'!$I$31*('Inputs-Proposals'!$I$20)*(VLOOKUP(AT$3,'Embedded Emissions'!$A$47:$B$78,2,FALSE)+VLOOKUP(AT$3,'Embedded Emissions'!$A$129:$B$158,2,FALSE)), $C44 = "0", 0), 0)</f>
        <v>0</v>
      </c>
      <c r="AV44" s="44">
        <f>IFERROR(_xlfn.IFS($C44="1",( 'Inputs-System'!$C$30*'Coincidence Factors'!$B$8*(1+'Inputs-System'!$C$18)*(1+'Inputs-System'!$C$41))*('Inputs-Proposals'!$I$17*'Inputs-Proposals'!$I$19*('Inputs-Proposals'!$I$20))*(VLOOKUP(AT$3,DRIPE!$A$54:$I$82,5,FALSE)+VLOOKUP(AT$3,DRIPE!$A$54:$I$82,9,FALSE))+ ('Inputs-System'!$C$26*'Coincidence Factors'!$B$8*(1+'Inputs-System'!$C$18)*(1+'Inputs-System'!$C$42))*'Inputs-Proposals'!$I$16*VLOOKUP(AT$3,DRIPE!$A$54:$I$82,8,FALSE), $C44 = "2",( 'Inputs-System'!$C$30*'Coincidence Factors'!$B$8*(1+'Inputs-System'!$C$18)*(1+'Inputs-System'!$C$41))*('Inputs-Proposals'!$I$23*'Inputs-Proposals'!$I$25*('Inputs-Proposals'!$I$26))*(VLOOKUP(AT$3,DRIPE!$A$54:$I$82,5,FALSE)+VLOOKUP(AT$3,DRIPE!$A$54:$I$82,9,FALSE))+  ('Inputs-System'!$C$26*'Coincidence Factors'!$B$8*(1+'Inputs-System'!$C$18)*(1+'Inputs-System'!$C$42))*'Inputs-Proposals'!$I$22*VLOOKUP(AT$3,DRIPE!$A$54:$I$82,8,FALSE), $C44= "3", ( 'Inputs-System'!$C$30*'Coincidence Factors'!$B$8*(1+'Inputs-System'!$C$18)*(1+'Inputs-System'!$C$41))*('Inputs-Proposals'!$I$29*'Inputs-Proposals'!$I$31*('Inputs-Proposals'!$I$32))*(VLOOKUP(AT$3,DRIPE!$A$54:$I$82,5,FALSE)+VLOOKUP(AT$3,DRIPE!$A$54:$I$82,9,FALSE))+  ('Inputs-System'!$C$26*'Coincidence Factors'!$B$8*(1+'Inputs-System'!$C$18)*(1+'Inputs-System'!$C$42))*'Inputs-Proposals'!$I$28*VLOOKUP(AT$3,DRIPE!$A$54:$I$82,8,FALSE), $C44 = "0", 0), 0)</f>
        <v>0</v>
      </c>
      <c r="AW44" s="45">
        <f>IFERROR(_xlfn.IFS($C44="1",('Inputs-System'!$C$30*'Coincidence Factors'!$B$8*(1+'Inputs-System'!$C$18))*'Inputs-Proposals'!$I$16*(VLOOKUP(AT$3,Capacity!$A$53:$E$85,4,FALSE)*(1+'Inputs-System'!$C$42)+VLOOKUP(AT$3,Capacity!$A$53:$E$85,5,FALSE)*'Inputs-System'!$C$29*(1+'Inputs-System'!$C$43)), $C44 = "2", ('Inputs-System'!$C$30*'Coincidence Factors'!$B$8*(1+'Inputs-System'!$C$18))*'Inputs-Proposals'!$I$22*(VLOOKUP(AT$3,Capacity!$A$53:$E$85,4,FALSE)*(1+'Inputs-System'!$C$42)+VLOOKUP(AT$3,Capacity!$A$53:$E$85,5,FALSE)*'Inputs-System'!$C$29*(1+'Inputs-System'!$C$43)), $C44 = "3",('Inputs-System'!$C$30*'Coincidence Factors'!$B$8*(1+'Inputs-System'!$C$18))*'Inputs-Proposals'!$I$28*(VLOOKUP(AT$3,Capacity!$A$53:$E$85,4,FALSE)*(1+'Inputs-System'!$C$42)+VLOOKUP(AT$3,Capacity!$A$53:$E$85,5,FALSE)*'Inputs-System'!$C$29*(1+'Inputs-System'!$C$43)), $C44 = "0", 0), 0)</f>
        <v>0</v>
      </c>
      <c r="AX44" s="44">
        <v>0</v>
      </c>
      <c r="AY44" s="342">
        <f>IFERROR(_xlfn.IFS($C44="1", 'Inputs-System'!$C$30*'Coincidence Factors'!$B$8*'Inputs-Proposals'!$I$17*'Inputs-Proposals'!$I$19*(VLOOKUP(AT$3,'Non-Embedded Emissions'!$A$56:$D$90,2,FALSE)+VLOOKUP(AT$3,'Non-Embedded Emissions'!$A$143:$D$174,2,FALSE)+VLOOKUP(AT$3,'Non-Embedded Emissions'!$A$230:$D$259,2,FALSE)), $C44 = "2", 'Inputs-System'!$C$30*'Coincidence Factors'!$B$8*'Inputs-Proposals'!$I$23*'Inputs-Proposals'!$I$25*(VLOOKUP(AT$3,'Non-Embedded Emissions'!$A$56:$D$90,2,FALSE)+VLOOKUP(AT$3,'Non-Embedded Emissions'!$A$143:$D$174,2,FALSE)+VLOOKUP(AT$3,'Non-Embedded Emissions'!$A$230:$D$259,2,FALSE)), $C44 = "3", 'Inputs-System'!$C$30*'Coincidence Factors'!$B$8*'Inputs-Proposals'!$I$29*'Inputs-Proposals'!$I$31*(VLOOKUP(AT$3,'Non-Embedded Emissions'!$A$56:$D$90,2,FALSE)+VLOOKUP(AT$3,'Non-Embedded Emissions'!$A$143:$D$174,2,FALSE)+VLOOKUP(AT$3,'Non-Embedded Emissions'!$A$230:$D$259,2,FALSE)), $C44 = "0", 0), 0)</f>
        <v>0</v>
      </c>
      <c r="AZ44" s="347">
        <f>IFERROR(_xlfn.IFS($C44="1",('Inputs-System'!$C$30*'Coincidence Factors'!$B$8*(1+'Inputs-System'!$C$18)*(1+'Inputs-System'!$C$41)*('Inputs-Proposals'!$I$17*'Inputs-Proposals'!$I$19*('Inputs-Proposals'!$I$20))*(VLOOKUP(AZ$3,Energy!$A$51:$K$83,5,FALSE))), $C44 = "2",('Inputs-System'!$C$30*'Coincidence Factors'!$B$8)*(1+'Inputs-System'!$C$18)*(1+'Inputs-System'!$C$41)*('Inputs-Proposals'!$I$23*'Inputs-Proposals'!$I$25*('Inputs-Proposals'!$I$26))*(VLOOKUP(AZ$3,Energy!$A$51:$K$83,5,FALSE)), $C44= "3", ('Inputs-System'!$C$30*'Coincidence Factors'!$B$8*(1+'Inputs-System'!$C$18)*(1+'Inputs-System'!$C$41)*('Inputs-Proposals'!$I$29*'Inputs-Proposals'!$I$31*('Inputs-Proposals'!$I$32))*(VLOOKUP(AZ$3,Energy!$A$51:$K$83,5,FALSE))), $C44= "0", 0), 0)</f>
        <v>0</v>
      </c>
      <c r="BA44" s="44">
        <f>IFERROR(_xlfn.IFS($C44="1",'Inputs-System'!$C$30*'Coincidence Factors'!$B$8*(1+'Inputs-System'!$C$18)*(1+'Inputs-System'!$C$41)*'Inputs-Proposals'!$I$17*'Inputs-Proposals'!$I$19*('Inputs-Proposals'!$I$20)*(VLOOKUP(AZ$3,'Embedded Emissions'!$A$47:$B$78,2,FALSE)+VLOOKUP(AZ$3,'Embedded Emissions'!$A$129:$B$158,2,FALSE)), $C44 = "2", 'Inputs-System'!$C$30*'Coincidence Factors'!$B$8*(1+'Inputs-System'!$C$18)*(1+'Inputs-System'!$C$41)*'Inputs-Proposals'!$I$23*'Inputs-Proposals'!$I$25*('Inputs-Proposals'!$I$20)*(VLOOKUP(AZ$3,'Embedded Emissions'!$A$47:$B$78,2,FALSE)+VLOOKUP(AZ$3,'Embedded Emissions'!$A$129:$B$158,2,FALSE)), $C44 = "3",'Inputs-System'!$C$30*'Coincidence Factors'!$B$8*(1+'Inputs-System'!$C$18)*(1+'Inputs-System'!$C$41)*'Inputs-Proposals'!$I$29*'Inputs-Proposals'!$I$31*('Inputs-Proposals'!$I$20)*(VLOOKUP(AZ$3,'Embedded Emissions'!$A$47:$B$78,2,FALSE)+VLOOKUP(AZ$3,'Embedded Emissions'!$A$129:$B$158,2,FALSE)), $C44 = "0", 0), 0)</f>
        <v>0</v>
      </c>
      <c r="BB44" s="44">
        <f>IFERROR(_xlfn.IFS($C44="1",( 'Inputs-System'!$C$30*'Coincidence Factors'!$B$8*(1+'Inputs-System'!$C$18)*(1+'Inputs-System'!$C$41))*('Inputs-Proposals'!$I$17*'Inputs-Proposals'!$I$19*('Inputs-Proposals'!$I$20))*(VLOOKUP(AZ$3,DRIPE!$A$54:$I$82,5,FALSE)+VLOOKUP(AZ$3,DRIPE!$A$54:$I$82,9,FALSE))+ ('Inputs-System'!$C$26*'Coincidence Factors'!$B$8*(1+'Inputs-System'!$C$18)*(1+'Inputs-System'!$C$42))*'Inputs-Proposals'!$I$16*VLOOKUP(AZ$3,DRIPE!$A$54:$I$82,8,FALSE), $C44 = "2",( 'Inputs-System'!$C$30*'Coincidence Factors'!$B$8*(1+'Inputs-System'!$C$18)*(1+'Inputs-System'!$C$41))*('Inputs-Proposals'!$I$23*'Inputs-Proposals'!$I$25*('Inputs-Proposals'!$I$26))*(VLOOKUP(AZ$3,DRIPE!$A$54:$I$82,5,FALSE)+VLOOKUP(AZ$3,DRIPE!$A$54:$I$82,9,FALSE))+  ('Inputs-System'!$C$26*'Coincidence Factors'!$B$8*(1+'Inputs-System'!$C$18)*(1+'Inputs-System'!$C$42))*'Inputs-Proposals'!$I$22*VLOOKUP(AZ$3,DRIPE!$A$54:$I$82,8,FALSE), $C44= "3", ( 'Inputs-System'!$C$30*'Coincidence Factors'!$B$8*(1+'Inputs-System'!$C$18)*(1+'Inputs-System'!$C$41))*('Inputs-Proposals'!$I$29*'Inputs-Proposals'!$I$31*('Inputs-Proposals'!$I$32))*(VLOOKUP(AZ$3,DRIPE!$A$54:$I$82,5,FALSE)+VLOOKUP(AZ$3,DRIPE!$A$54:$I$82,9,FALSE))+  ('Inputs-System'!$C$26*'Coincidence Factors'!$B$8*(1+'Inputs-System'!$C$18)*(1+'Inputs-System'!$C$42))*'Inputs-Proposals'!$I$28*VLOOKUP(AZ$3,DRIPE!$A$54:$I$82,8,FALSE), $C44 = "0", 0), 0)</f>
        <v>0</v>
      </c>
      <c r="BC44" s="45">
        <f>IFERROR(_xlfn.IFS($C44="1",('Inputs-System'!$C$30*'Coincidence Factors'!$B$8*(1+'Inputs-System'!$C$18))*'Inputs-Proposals'!$I$16*(VLOOKUP(AZ$3,Capacity!$A$53:$E$85,4,FALSE)*(1+'Inputs-System'!$C$42)+VLOOKUP(AZ$3,Capacity!$A$53:$E$85,5,FALSE)*'Inputs-System'!$C$29*(1+'Inputs-System'!$C$43)), $C44 = "2", ('Inputs-System'!$C$30*'Coincidence Factors'!$B$8*(1+'Inputs-System'!$C$18))*'Inputs-Proposals'!$I$22*(VLOOKUP(AZ$3,Capacity!$A$53:$E$85,4,FALSE)*(1+'Inputs-System'!$C$42)+VLOOKUP(AZ$3,Capacity!$A$53:$E$85,5,FALSE)*'Inputs-System'!$C$29*(1+'Inputs-System'!$C$43)), $C44 = "3",('Inputs-System'!$C$30*'Coincidence Factors'!$B$8*(1+'Inputs-System'!$C$18))*'Inputs-Proposals'!$I$28*(VLOOKUP(AZ$3,Capacity!$A$53:$E$85,4,FALSE)*(1+'Inputs-System'!$C$42)+VLOOKUP(AZ$3,Capacity!$A$53:$E$85,5,FALSE)*'Inputs-System'!$C$29*(1+'Inputs-System'!$C$43)), $C44 = "0", 0), 0)</f>
        <v>0</v>
      </c>
      <c r="BD44" s="44">
        <v>0</v>
      </c>
      <c r="BE44" s="342">
        <f>IFERROR(_xlfn.IFS($C44="1", 'Inputs-System'!$C$30*'Coincidence Factors'!$B$8*'Inputs-Proposals'!$I$17*'Inputs-Proposals'!$I$19*(VLOOKUP(AZ$3,'Non-Embedded Emissions'!$A$56:$D$90,2,FALSE)+VLOOKUP(AZ$3,'Non-Embedded Emissions'!$A$143:$D$174,2,FALSE)+VLOOKUP(AZ$3,'Non-Embedded Emissions'!$A$230:$D$259,2,FALSE)), $C44 = "2", 'Inputs-System'!$C$30*'Coincidence Factors'!$B$8*'Inputs-Proposals'!$I$23*'Inputs-Proposals'!$I$25*(VLOOKUP(AZ$3,'Non-Embedded Emissions'!$A$56:$D$90,2,FALSE)+VLOOKUP(AZ$3,'Non-Embedded Emissions'!$A$143:$D$174,2,FALSE)+VLOOKUP(AZ$3,'Non-Embedded Emissions'!$A$230:$D$259,2,FALSE)), $C44 = "3", 'Inputs-System'!$C$30*'Coincidence Factors'!$B$8*'Inputs-Proposals'!$I$29*'Inputs-Proposals'!$I$31*(VLOOKUP(AZ$3,'Non-Embedded Emissions'!$A$56:$D$90,2,FALSE)+VLOOKUP(AZ$3,'Non-Embedded Emissions'!$A$143:$D$174,2,FALSE)+VLOOKUP(AZ$3,'Non-Embedded Emissions'!$A$230:$D$259,2,FALSE)), $C44 = "0", 0), 0)</f>
        <v>0</v>
      </c>
      <c r="BF44" s="347">
        <f>IFERROR(_xlfn.IFS($C44="1",('Inputs-System'!$C$30*'Coincidence Factors'!$B$8*(1+'Inputs-System'!$C$18)*(1+'Inputs-System'!$C$41)*('Inputs-Proposals'!$I$17*'Inputs-Proposals'!$I$19*('Inputs-Proposals'!$I$20))*(VLOOKUP(BF$3,Energy!$A$51:$K$83,5,FALSE))), $C44 = "2",('Inputs-System'!$C$30*'Coincidence Factors'!$B$8)*(1+'Inputs-System'!$C$18)*(1+'Inputs-System'!$C$41)*('Inputs-Proposals'!$I$23*'Inputs-Proposals'!$I$25*('Inputs-Proposals'!$I$26))*(VLOOKUP(BF$3,Energy!$A$51:$K$83,5,FALSE)), $C44= "3", ('Inputs-System'!$C$30*'Coincidence Factors'!$B$8*(1+'Inputs-System'!$C$18)*(1+'Inputs-System'!$C$41)*('Inputs-Proposals'!$I$29*'Inputs-Proposals'!$I$31*('Inputs-Proposals'!$I$32))*(VLOOKUP(BF$3,Energy!$A$51:$K$83,5,FALSE))), $C44= "0", 0), 0)</f>
        <v>0</v>
      </c>
      <c r="BG44" s="44">
        <f>IFERROR(_xlfn.IFS($C44="1",'Inputs-System'!$C$30*'Coincidence Factors'!$B$8*(1+'Inputs-System'!$C$18)*(1+'Inputs-System'!$C$41)*'Inputs-Proposals'!$I$17*'Inputs-Proposals'!$I$19*('Inputs-Proposals'!$I$20)*(VLOOKUP(BF$3,'Embedded Emissions'!$A$47:$B$78,2,FALSE)+VLOOKUP(BF$3,'Embedded Emissions'!$A$129:$B$158,2,FALSE)), $C44 = "2", 'Inputs-System'!$C$30*'Coincidence Factors'!$B$8*(1+'Inputs-System'!$C$18)*(1+'Inputs-System'!$C$41)*'Inputs-Proposals'!$I$23*'Inputs-Proposals'!$I$25*('Inputs-Proposals'!$I$20)*(VLOOKUP(BF$3,'Embedded Emissions'!$A$47:$B$78,2,FALSE)+VLOOKUP(BF$3,'Embedded Emissions'!$A$129:$B$158,2,FALSE)), $C44 = "3",'Inputs-System'!$C$30*'Coincidence Factors'!$B$8*(1+'Inputs-System'!$C$18)*(1+'Inputs-System'!$C$41)*'Inputs-Proposals'!$I$29*'Inputs-Proposals'!$I$31*('Inputs-Proposals'!$I$20)*(VLOOKUP(BF$3,'Embedded Emissions'!$A$47:$B$78,2,FALSE)+VLOOKUP(BF$3,'Embedded Emissions'!$A$129:$B$158,2,FALSE)), $C44 = "0", 0), 0)</f>
        <v>0</v>
      </c>
      <c r="BH44" s="44">
        <f>IFERROR(_xlfn.IFS($C44="1",( 'Inputs-System'!$C$30*'Coincidence Factors'!$B$8*(1+'Inputs-System'!$C$18)*(1+'Inputs-System'!$C$41))*('Inputs-Proposals'!$I$17*'Inputs-Proposals'!$I$19*('Inputs-Proposals'!$I$20))*(VLOOKUP(BF$3,DRIPE!$A$54:$I$82,5,FALSE)+VLOOKUP(BF$3,DRIPE!$A$54:$I$82,9,FALSE))+ ('Inputs-System'!$C$26*'Coincidence Factors'!$B$8*(1+'Inputs-System'!$C$18)*(1+'Inputs-System'!$C$42))*'Inputs-Proposals'!$I$16*VLOOKUP(BF$3,DRIPE!$A$54:$I$82,8,FALSE), $C44 = "2",( 'Inputs-System'!$C$30*'Coincidence Factors'!$B$8*(1+'Inputs-System'!$C$18)*(1+'Inputs-System'!$C$41))*('Inputs-Proposals'!$I$23*'Inputs-Proposals'!$I$25*('Inputs-Proposals'!$I$26))*(VLOOKUP(BF$3,DRIPE!$A$54:$I$82,5,FALSE)+VLOOKUP(BF$3,DRIPE!$A$54:$I$82,9,FALSE))+  ('Inputs-System'!$C$26*'Coincidence Factors'!$B$8*(1+'Inputs-System'!$C$18)*(1+'Inputs-System'!$C$42))*'Inputs-Proposals'!$I$22*VLOOKUP(BF$3,DRIPE!$A$54:$I$82,8,FALSE), $C44= "3", ( 'Inputs-System'!$C$30*'Coincidence Factors'!$B$8*(1+'Inputs-System'!$C$18)*(1+'Inputs-System'!$C$41))*('Inputs-Proposals'!$I$29*'Inputs-Proposals'!$I$31*('Inputs-Proposals'!$I$32))*(VLOOKUP(BF$3,DRIPE!$A$54:$I$82,5,FALSE)+VLOOKUP(BF$3,DRIPE!$A$54:$I$82,9,FALSE))+  ('Inputs-System'!$C$26*'Coincidence Factors'!$B$8*(1+'Inputs-System'!$C$18)*(1+'Inputs-System'!$C$42))*'Inputs-Proposals'!$I$28*VLOOKUP(BF$3,DRIPE!$A$54:$I$82,8,FALSE), $C44 = "0", 0), 0)</f>
        <v>0</v>
      </c>
      <c r="BI44" s="45">
        <f>IFERROR(_xlfn.IFS($C44="1",('Inputs-System'!$C$30*'Coincidence Factors'!$B$8*(1+'Inputs-System'!$C$18))*'Inputs-Proposals'!$I$16*(VLOOKUP(BF$3,Capacity!$A$53:$E$85,4,FALSE)*(1+'Inputs-System'!$C$42)+VLOOKUP(BF$3,Capacity!$A$53:$E$85,5,FALSE)*'Inputs-System'!$C$29*(1+'Inputs-System'!$C$43)), $C44 = "2", ('Inputs-System'!$C$30*'Coincidence Factors'!$B$8*(1+'Inputs-System'!$C$18))*'Inputs-Proposals'!$I$22*(VLOOKUP(BF$3,Capacity!$A$53:$E$85,4,FALSE)*(1+'Inputs-System'!$C$42)+VLOOKUP(BF$3,Capacity!$A$53:$E$85,5,FALSE)*'Inputs-System'!$C$29*(1+'Inputs-System'!$C$43)), $C44 = "3",('Inputs-System'!$C$30*'Coincidence Factors'!$B$8*(1+'Inputs-System'!$C$18))*'Inputs-Proposals'!$I$28*(VLOOKUP(BF$3,Capacity!$A$53:$E$85,4,FALSE)*(1+'Inputs-System'!$C$42)+VLOOKUP(BF$3,Capacity!$A$53:$E$85,5,FALSE)*'Inputs-System'!$C$29*(1+'Inputs-System'!$C$43)), $C44 = "0", 0), 0)</f>
        <v>0</v>
      </c>
      <c r="BJ44" s="44">
        <v>0</v>
      </c>
      <c r="BK44" s="342">
        <f>IFERROR(_xlfn.IFS($C44="1", 'Inputs-System'!$C$30*'Coincidence Factors'!$B$8*'Inputs-Proposals'!$I$17*'Inputs-Proposals'!$I$19*(VLOOKUP(BF$3,'Non-Embedded Emissions'!$A$56:$D$90,2,FALSE)+VLOOKUP(BF$3,'Non-Embedded Emissions'!$A$143:$D$174,2,FALSE)+VLOOKUP(BF$3,'Non-Embedded Emissions'!$A$230:$D$259,2,FALSE)), $C44 = "2", 'Inputs-System'!$C$30*'Coincidence Factors'!$B$8*'Inputs-Proposals'!$I$23*'Inputs-Proposals'!$I$25*(VLOOKUP(BF$3,'Non-Embedded Emissions'!$A$56:$D$90,2,FALSE)+VLOOKUP(BF$3,'Non-Embedded Emissions'!$A$143:$D$174,2,FALSE)+VLOOKUP(BF$3,'Non-Embedded Emissions'!$A$230:$D$259,2,FALSE)), $C44 = "3", 'Inputs-System'!$C$30*'Coincidence Factors'!$B$8*'Inputs-Proposals'!$I$29*'Inputs-Proposals'!$I$31*(VLOOKUP(BF$3,'Non-Embedded Emissions'!$A$56:$D$90,2,FALSE)+VLOOKUP(BF$3,'Non-Embedded Emissions'!$A$143:$D$174,2,FALSE)+VLOOKUP(BF$3,'Non-Embedded Emissions'!$A$230:$D$259,2,FALSE)), $C44 = "0", 0), 0)</f>
        <v>0</v>
      </c>
      <c r="BL44" s="347">
        <f>IFERROR(_xlfn.IFS($C44="1",('Inputs-System'!$C$30*'Coincidence Factors'!$B$8*(1+'Inputs-System'!$C$18)*(1+'Inputs-System'!$C$41)*('Inputs-Proposals'!$I$17*'Inputs-Proposals'!$I$19*('Inputs-Proposals'!$I$20))*(VLOOKUP(BL$3,Energy!$A$51:$K$83,5,FALSE))), $C44 = "2",('Inputs-System'!$C$30*'Coincidence Factors'!$B$8)*(1+'Inputs-System'!$C$18)*(1+'Inputs-System'!$C$41)*('Inputs-Proposals'!$I$23*'Inputs-Proposals'!$I$25*('Inputs-Proposals'!$I$26))*(VLOOKUP(BL$3,Energy!$A$51:$K$83,5,FALSE)), $C44= "3", ('Inputs-System'!$C$30*'Coincidence Factors'!$B$8*(1+'Inputs-System'!$C$18)*(1+'Inputs-System'!$C$41)*('Inputs-Proposals'!$I$29*'Inputs-Proposals'!$I$31*('Inputs-Proposals'!$I$32))*(VLOOKUP(BL$3,Energy!$A$51:$K$83,5,FALSE))), $C44= "0", 0), 0)</f>
        <v>0</v>
      </c>
      <c r="BM44" s="44">
        <f>IFERROR(_xlfn.IFS($C44="1",'Inputs-System'!$C$30*'Coincidence Factors'!$B$8*(1+'Inputs-System'!$C$18)*(1+'Inputs-System'!$C$41)*'Inputs-Proposals'!$I$17*'Inputs-Proposals'!$I$19*('Inputs-Proposals'!$I$20)*(VLOOKUP(BL$3,'Embedded Emissions'!$A$47:$B$78,2,FALSE)+VLOOKUP(BL$3,'Embedded Emissions'!$A$129:$B$158,2,FALSE)), $C44 = "2", 'Inputs-System'!$C$30*'Coincidence Factors'!$B$8*(1+'Inputs-System'!$C$18)*(1+'Inputs-System'!$C$41)*'Inputs-Proposals'!$I$23*'Inputs-Proposals'!$I$25*('Inputs-Proposals'!$I$20)*(VLOOKUP(BL$3,'Embedded Emissions'!$A$47:$B$78,2,FALSE)+VLOOKUP(BL$3,'Embedded Emissions'!$A$129:$B$158,2,FALSE)), $C44 = "3",'Inputs-System'!$C$30*'Coincidence Factors'!$B$8*(1+'Inputs-System'!$C$18)*(1+'Inputs-System'!$C$41)*'Inputs-Proposals'!$I$29*'Inputs-Proposals'!$I$31*('Inputs-Proposals'!$I$20)*(VLOOKUP(BL$3,'Embedded Emissions'!$A$47:$B$78,2,FALSE)+VLOOKUP(BL$3,'Embedded Emissions'!$A$129:$B$158,2,FALSE)), $C44 = "0", 0), 0)</f>
        <v>0</v>
      </c>
      <c r="BN44" s="44">
        <f>IFERROR(_xlfn.IFS($C44="1",( 'Inputs-System'!$C$30*'Coincidence Factors'!$B$8*(1+'Inputs-System'!$C$18)*(1+'Inputs-System'!$C$41))*('Inputs-Proposals'!$I$17*'Inputs-Proposals'!$I$19*('Inputs-Proposals'!$I$20))*(VLOOKUP(BL$3,DRIPE!$A$54:$I$82,5,FALSE)+VLOOKUP(BL$3,DRIPE!$A$54:$I$82,9,FALSE))+ ('Inputs-System'!$C$26*'Coincidence Factors'!$B$8*(1+'Inputs-System'!$C$18)*(1+'Inputs-System'!$C$42))*'Inputs-Proposals'!$I$16*VLOOKUP(BL$3,DRIPE!$A$54:$I$82,8,FALSE), $C44 = "2",( 'Inputs-System'!$C$30*'Coincidence Factors'!$B$8*(1+'Inputs-System'!$C$18)*(1+'Inputs-System'!$C$41))*('Inputs-Proposals'!$I$23*'Inputs-Proposals'!$I$25*('Inputs-Proposals'!$I$26))*(VLOOKUP(BL$3,DRIPE!$A$54:$I$82,5,FALSE)+VLOOKUP(BL$3,DRIPE!$A$54:$I$82,9,FALSE))+  ('Inputs-System'!$C$26*'Coincidence Factors'!$B$8*(1+'Inputs-System'!$C$18)*(1+'Inputs-System'!$C$42))*'Inputs-Proposals'!$I$22*VLOOKUP(BL$3,DRIPE!$A$54:$I$82,8,FALSE), $C44= "3", ( 'Inputs-System'!$C$30*'Coincidence Factors'!$B$8*(1+'Inputs-System'!$C$18)*(1+'Inputs-System'!$C$41))*('Inputs-Proposals'!$I$29*'Inputs-Proposals'!$I$31*('Inputs-Proposals'!$I$32))*(VLOOKUP(BL$3,DRIPE!$A$54:$I$82,5,FALSE)+VLOOKUP(BL$3,DRIPE!$A$54:$I$82,9,FALSE))+  ('Inputs-System'!$C$26*'Coincidence Factors'!$B$8*(1+'Inputs-System'!$C$18)*(1+'Inputs-System'!$C$42))*'Inputs-Proposals'!$I$28*VLOOKUP(BL$3,DRIPE!$A$54:$I$82,8,FALSE), $C44 = "0", 0), 0)</f>
        <v>0</v>
      </c>
      <c r="BO44" s="45">
        <f>IFERROR(_xlfn.IFS($C44="1",('Inputs-System'!$C$30*'Coincidence Factors'!$B$8*(1+'Inputs-System'!$C$18))*'Inputs-Proposals'!$I$16*(VLOOKUP(BL$3,Capacity!$A$53:$E$85,4,FALSE)*(1+'Inputs-System'!$C$42)+VLOOKUP(BL$3,Capacity!$A$53:$E$85,5,FALSE)*'Inputs-System'!$C$29*(1+'Inputs-System'!$C$43)), $C44 = "2", ('Inputs-System'!$C$30*'Coincidence Factors'!$B$8*(1+'Inputs-System'!$C$18))*'Inputs-Proposals'!$I$22*(VLOOKUP(BL$3,Capacity!$A$53:$E$85,4,FALSE)*(1+'Inputs-System'!$C$42)+VLOOKUP(BL$3,Capacity!$A$53:$E$85,5,FALSE)*'Inputs-System'!$C$29*(1+'Inputs-System'!$C$43)), $C44 = "3",('Inputs-System'!$C$30*'Coincidence Factors'!$B$8*(1+'Inputs-System'!$C$18))*'Inputs-Proposals'!$I$28*(VLOOKUP(BL$3,Capacity!$A$53:$E$85,4,FALSE)*(1+'Inputs-System'!$C$42)+VLOOKUP(BL$3,Capacity!$A$53:$E$85,5,FALSE)*'Inputs-System'!$C$29*(1+'Inputs-System'!$C$43)), $C44 = "0", 0), 0)</f>
        <v>0</v>
      </c>
      <c r="BP44" s="44">
        <v>0</v>
      </c>
      <c r="BQ44" s="342">
        <f>IFERROR(_xlfn.IFS($C44="1", 'Inputs-System'!$C$30*'Coincidence Factors'!$B$8*'Inputs-Proposals'!$I$17*'Inputs-Proposals'!$I$19*(VLOOKUP(BL$3,'Non-Embedded Emissions'!$A$56:$D$90,2,FALSE)+VLOOKUP(BL$3,'Non-Embedded Emissions'!$A$143:$D$174,2,FALSE)+VLOOKUP(BL$3,'Non-Embedded Emissions'!$A$230:$D$259,2,FALSE)), $C44 = "2", 'Inputs-System'!$C$30*'Coincidence Factors'!$B$8*'Inputs-Proposals'!$I$23*'Inputs-Proposals'!$I$25*(VLOOKUP(BL$3,'Non-Embedded Emissions'!$A$56:$D$90,2,FALSE)+VLOOKUP(BL$3,'Non-Embedded Emissions'!$A$143:$D$174,2,FALSE)+VLOOKUP(BL$3,'Non-Embedded Emissions'!$A$230:$D$259,2,FALSE)), $C44 = "3", 'Inputs-System'!$C$30*'Coincidence Factors'!$B$8*'Inputs-Proposals'!$I$29*'Inputs-Proposals'!$I$31*(VLOOKUP(BL$3,'Non-Embedded Emissions'!$A$56:$D$90,2,FALSE)+VLOOKUP(BL$3,'Non-Embedded Emissions'!$A$143:$D$174,2,FALSE)+VLOOKUP(BL$3,'Non-Embedded Emissions'!$A$230:$D$259,2,FALSE)), $C44 = "0", 0), 0)</f>
        <v>0</v>
      </c>
      <c r="BR44" s="347">
        <f>IFERROR(_xlfn.IFS($C44="1",('Inputs-System'!$C$30*'Coincidence Factors'!$B$8*(1+'Inputs-System'!$C$18)*(1+'Inputs-System'!$C$41)*('Inputs-Proposals'!$I$17*'Inputs-Proposals'!$I$19*('Inputs-Proposals'!$I$20))*(VLOOKUP(BR$3,Energy!$A$51:$K$83,5,FALSE))), $C44 = "2",('Inputs-System'!$C$30*'Coincidence Factors'!$B$8)*(1+'Inputs-System'!$C$18)*(1+'Inputs-System'!$C$41)*('Inputs-Proposals'!$I$23*'Inputs-Proposals'!$I$25*('Inputs-Proposals'!$I$26))*(VLOOKUP(BR$3,Energy!$A$51:$K$83,5,FALSE)), $C44= "3", ('Inputs-System'!$C$30*'Coincidence Factors'!$B$8*(1+'Inputs-System'!$C$18)*(1+'Inputs-System'!$C$41)*('Inputs-Proposals'!$I$29*'Inputs-Proposals'!$I$31*('Inputs-Proposals'!$I$32))*(VLOOKUP(BR$3,Energy!$A$51:$K$83,5,FALSE))), $C44= "0", 0), 0)</f>
        <v>0</v>
      </c>
      <c r="BS44" s="44">
        <f>IFERROR(_xlfn.IFS($C44="1",'Inputs-System'!$C$30*'Coincidence Factors'!$B$8*(1+'Inputs-System'!$C$18)*(1+'Inputs-System'!$C$41)*'Inputs-Proposals'!$I$17*'Inputs-Proposals'!$I$19*('Inputs-Proposals'!$I$20)*(VLOOKUP(BR$3,'Embedded Emissions'!$A$47:$B$78,2,FALSE)+VLOOKUP(BR$3,'Embedded Emissions'!$A$129:$B$158,2,FALSE)), $C44 = "2", 'Inputs-System'!$C$30*'Coincidence Factors'!$B$8*(1+'Inputs-System'!$C$18)*(1+'Inputs-System'!$C$41)*'Inputs-Proposals'!$I$23*'Inputs-Proposals'!$I$25*('Inputs-Proposals'!$I$20)*(VLOOKUP(BR$3,'Embedded Emissions'!$A$47:$B$78,2,FALSE)+VLOOKUP(BR$3,'Embedded Emissions'!$A$129:$B$158,2,FALSE)), $C44 = "3",'Inputs-System'!$C$30*'Coincidence Factors'!$B$8*(1+'Inputs-System'!$C$18)*(1+'Inputs-System'!$C$41)*'Inputs-Proposals'!$I$29*'Inputs-Proposals'!$I$31*('Inputs-Proposals'!$I$20)*(VLOOKUP(BR$3,'Embedded Emissions'!$A$47:$B$78,2,FALSE)+VLOOKUP(BR$3,'Embedded Emissions'!$A$129:$B$158,2,FALSE)), $C44 = "0", 0), 0)</f>
        <v>0</v>
      </c>
      <c r="BT44" s="44">
        <f>IFERROR(_xlfn.IFS($C44="1",( 'Inputs-System'!$C$30*'Coincidence Factors'!$B$8*(1+'Inputs-System'!$C$18)*(1+'Inputs-System'!$C$41))*('Inputs-Proposals'!$I$17*'Inputs-Proposals'!$I$19*('Inputs-Proposals'!$I$20))*(VLOOKUP(BR$3,DRIPE!$A$54:$I$82,5,FALSE)+VLOOKUP(BR$3,DRIPE!$A$54:$I$82,9,FALSE))+ ('Inputs-System'!$C$26*'Coincidence Factors'!$B$8*(1+'Inputs-System'!$C$18)*(1+'Inputs-System'!$C$42))*'Inputs-Proposals'!$I$16*VLOOKUP(BR$3,DRIPE!$A$54:$I$82,8,FALSE), $C44 = "2",( 'Inputs-System'!$C$30*'Coincidence Factors'!$B$8*(1+'Inputs-System'!$C$18)*(1+'Inputs-System'!$C$41))*('Inputs-Proposals'!$I$23*'Inputs-Proposals'!$I$25*('Inputs-Proposals'!$I$26))*(VLOOKUP(BR$3,DRIPE!$A$54:$I$82,5,FALSE)+VLOOKUP(BR$3,DRIPE!$A$54:$I$82,9,FALSE))+  ('Inputs-System'!$C$26*'Coincidence Factors'!$B$8*(1+'Inputs-System'!$C$18)*(1+'Inputs-System'!$C$42))*'Inputs-Proposals'!$I$22*VLOOKUP(BR$3,DRIPE!$A$54:$I$82,8,FALSE), $C44= "3", ( 'Inputs-System'!$C$30*'Coincidence Factors'!$B$8*(1+'Inputs-System'!$C$18)*(1+'Inputs-System'!$C$41))*('Inputs-Proposals'!$I$29*'Inputs-Proposals'!$I$31*('Inputs-Proposals'!$I$32))*(VLOOKUP(BR$3,DRIPE!$A$54:$I$82,5,FALSE)+VLOOKUP(BR$3,DRIPE!$A$54:$I$82,9,FALSE))+  ('Inputs-System'!$C$26*'Coincidence Factors'!$B$8*(1+'Inputs-System'!$C$18)*(1+'Inputs-System'!$C$42))*'Inputs-Proposals'!$I$28*VLOOKUP(BR$3,DRIPE!$A$54:$I$82,8,FALSE), $C44 = "0", 0), 0)</f>
        <v>0</v>
      </c>
      <c r="BU44" s="45">
        <f>IFERROR(_xlfn.IFS($C44="1",('Inputs-System'!$C$30*'Coincidence Factors'!$B$8*(1+'Inputs-System'!$C$18))*'Inputs-Proposals'!$I$16*(VLOOKUP(BR$3,Capacity!$A$53:$E$85,4,FALSE)*(1+'Inputs-System'!$C$42)+VLOOKUP(BR$3,Capacity!$A$53:$E$85,5,FALSE)*'Inputs-System'!$C$29*(1+'Inputs-System'!$C$43)), $C44 = "2", ('Inputs-System'!$C$30*'Coincidence Factors'!$B$8*(1+'Inputs-System'!$C$18))*'Inputs-Proposals'!$I$22*(VLOOKUP(BR$3,Capacity!$A$53:$E$85,4,FALSE)*(1+'Inputs-System'!$C$42)+VLOOKUP(BR$3,Capacity!$A$53:$E$85,5,FALSE)*'Inputs-System'!$C$29*(1+'Inputs-System'!$C$43)), $C44 = "3",('Inputs-System'!$C$30*'Coincidence Factors'!$B$8*(1+'Inputs-System'!$C$18))*'Inputs-Proposals'!$I$28*(VLOOKUP(BR$3,Capacity!$A$53:$E$85,4,FALSE)*(1+'Inputs-System'!$C$42)+VLOOKUP(BR$3,Capacity!$A$53:$E$85,5,FALSE)*'Inputs-System'!$C$29*(1+'Inputs-System'!$C$43)), $C44 = "0", 0), 0)</f>
        <v>0</v>
      </c>
      <c r="BV44" s="44">
        <v>0</v>
      </c>
      <c r="BW44" s="342">
        <f>IFERROR(_xlfn.IFS($C44="1", 'Inputs-System'!$C$30*'Coincidence Factors'!$B$8*'Inputs-Proposals'!$I$17*'Inputs-Proposals'!$I$19*(VLOOKUP(BR$3,'Non-Embedded Emissions'!$A$56:$D$90,2,FALSE)+VLOOKUP(BR$3,'Non-Embedded Emissions'!$A$143:$D$174,2,FALSE)+VLOOKUP(BR$3,'Non-Embedded Emissions'!$A$230:$D$259,2,FALSE)), $C44 = "2", 'Inputs-System'!$C$30*'Coincidence Factors'!$B$8*'Inputs-Proposals'!$I$23*'Inputs-Proposals'!$I$25*(VLOOKUP(BR$3,'Non-Embedded Emissions'!$A$56:$D$90,2,FALSE)+VLOOKUP(BR$3,'Non-Embedded Emissions'!$A$143:$D$174,2,FALSE)+VLOOKUP(BR$3,'Non-Embedded Emissions'!$A$230:$D$259,2,FALSE)), $C44 = "3", 'Inputs-System'!$C$30*'Coincidence Factors'!$B$8*'Inputs-Proposals'!$I$29*'Inputs-Proposals'!$I$31*(VLOOKUP(BR$3,'Non-Embedded Emissions'!$A$56:$D$90,2,FALSE)+VLOOKUP(BR$3,'Non-Embedded Emissions'!$A$143:$D$174,2,FALSE)+VLOOKUP(BR$3,'Non-Embedded Emissions'!$A$230:$D$259,2,FALSE)), $C44 = "0", 0), 0)</f>
        <v>0</v>
      </c>
      <c r="BX44" s="347">
        <f>IFERROR(_xlfn.IFS($C44="1",('Inputs-System'!$C$30*'Coincidence Factors'!$B$8*(1+'Inputs-System'!$C$18)*(1+'Inputs-System'!$C$41)*('Inputs-Proposals'!$I$17*'Inputs-Proposals'!$I$19*('Inputs-Proposals'!$I$20))*(VLOOKUP(BX$3,Energy!$A$51:$K$83,5,FALSE))), $C44 = "2",('Inputs-System'!$C$30*'Coincidence Factors'!$B$8)*(1+'Inputs-System'!$C$18)*(1+'Inputs-System'!$C$41)*('Inputs-Proposals'!$I$23*'Inputs-Proposals'!$I$25*('Inputs-Proposals'!$I$26))*(VLOOKUP(BX$3,Energy!$A$51:$K$83,5,FALSE)), $C44= "3", ('Inputs-System'!$C$30*'Coincidence Factors'!$B$8*(1+'Inputs-System'!$C$18)*(1+'Inputs-System'!$C$41)*('Inputs-Proposals'!$I$29*'Inputs-Proposals'!$I$31*('Inputs-Proposals'!$I$32))*(VLOOKUP(BX$3,Energy!$A$51:$K$83,5,FALSE))), $C44= "0", 0), 0)</f>
        <v>0</v>
      </c>
      <c r="BY44" s="44">
        <f>IFERROR(_xlfn.IFS($C44="1",'Inputs-System'!$C$30*'Coincidence Factors'!$B$8*(1+'Inputs-System'!$C$18)*(1+'Inputs-System'!$C$41)*'Inputs-Proposals'!$I$17*'Inputs-Proposals'!$I$19*('Inputs-Proposals'!$I$20)*(VLOOKUP(BX$3,'Embedded Emissions'!$A$47:$B$78,2,FALSE)+VLOOKUP(BX$3,'Embedded Emissions'!$A$129:$B$158,2,FALSE)), $C44 = "2", 'Inputs-System'!$C$30*'Coincidence Factors'!$B$8*(1+'Inputs-System'!$C$18)*(1+'Inputs-System'!$C$41)*'Inputs-Proposals'!$I$23*'Inputs-Proposals'!$I$25*('Inputs-Proposals'!$I$20)*(VLOOKUP(BX$3,'Embedded Emissions'!$A$47:$B$78,2,FALSE)+VLOOKUP(BX$3,'Embedded Emissions'!$A$129:$B$158,2,FALSE)), $C44 = "3",'Inputs-System'!$C$30*'Coincidence Factors'!$B$8*(1+'Inputs-System'!$C$18)*(1+'Inputs-System'!$C$41)*'Inputs-Proposals'!$I$29*'Inputs-Proposals'!$I$31*('Inputs-Proposals'!$I$20)*(VLOOKUP(BX$3,'Embedded Emissions'!$A$47:$B$78,2,FALSE)+VLOOKUP(BX$3,'Embedded Emissions'!$A$129:$B$158,2,FALSE)), $C44 = "0", 0), 0)</f>
        <v>0</v>
      </c>
      <c r="BZ44" s="44">
        <f>IFERROR(_xlfn.IFS($C44="1",( 'Inputs-System'!$C$30*'Coincidence Factors'!$B$8*(1+'Inputs-System'!$C$18)*(1+'Inputs-System'!$C$41))*('Inputs-Proposals'!$I$17*'Inputs-Proposals'!$I$19*('Inputs-Proposals'!$I$20))*(VLOOKUP(BX$3,DRIPE!$A$54:$I$82,5,FALSE)+VLOOKUP(BX$3,DRIPE!$A$54:$I$82,9,FALSE))+ ('Inputs-System'!$C$26*'Coincidence Factors'!$B$8*(1+'Inputs-System'!$C$18)*(1+'Inputs-System'!$C$42))*'Inputs-Proposals'!$I$16*VLOOKUP(BX$3,DRIPE!$A$54:$I$82,8,FALSE), $C44 = "2",( 'Inputs-System'!$C$30*'Coincidence Factors'!$B$8*(1+'Inputs-System'!$C$18)*(1+'Inputs-System'!$C$41))*('Inputs-Proposals'!$I$23*'Inputs-Proposals'!$I$25*('Inputs-Proposals'!$I$26))*(VLOOKUP(BX$3,DRIPE!$A$54:$I$82,5,FALSE)+VLOOKUP(BX$3,DRIPE!$A$54:$I$82,9,FALSE))+  ('Inputs-System'!$C$26*'Coincidence Factors'!$B$8*(1+'Inputs-System'!$C$18)*(1+'Inputs-System'!$C$42))*'Inputs-Proposals'!$I$22*VLOOKUP(BX$3,DRIPE!$A$54:$I$82,8,FALSE), $C44= "3", ( 'Inputs-System'!$C$30*'Coincidence Factors'!$B$8*(1+'Inputs-System'!$C$18)*(1+'Inputs-System'!$C$41))*('Inputs-Proposals'!$I$29*'Inputs-Proposals'!$I$31*('Inputs-Proposals'!$I$32))*(VLOOKUP(BX$3,DRIPE!$A$54:$I$82,5,FALSE)+VLOOKUP(BX$3,DRIPE!$A$54:$I$82,9,FALSE))+  ('Inputs-System'!$C$26*'Coincidence Factors'!$B$8*(1+'Inputs-System'!$C$18)*(1+'Inputs-System'!$C$42))*'Inputs-Proposals'!$I$28*VLOOKUP(BX$3,DRIPE!$A$54:$I$82,8,FALSE), $C44 = "0", 0), 0)</f>
        <v>0</v>
      </c>
      <c r="CA44" s="45">
        <f>IFERROR(_xlfn.IFS($C44="1",('Inputs-System'!$C$30*'Coincidence Factors'!$B$8*(1+'Inputs-System'!$C$18))*'Inputs-Proposals'!$I$16*(VLOOKUP(BX$3,Capacity!$A$53:$E$85,4,FALSE)*(1+'Inputs-System'!$C$42)+VLOOKUP(BX$3,Capacity!$A$53:$E$85,5,FALSE)*'Inputs-System'!$C$29*(1+'Inputs-System'!$C$43)), $C44 = "2", ('Inputs-System'!$C$30*'Coincidence Factors'!$B$8*(1+'Inputs-System'!$C$18))*'Inputs-Proposals'!$I$22*(VLOOKUP(BX$3,Capacity!$A$53:$E$85,4,FALSE)*(1+'Inputs-System'!$C$42)+VLOOKUP(BX$3,Capacity!$A$53:$E$85,5,FALSE)*'Inputs-System'!$C$29*(1+'Inputs-System'!$C$43)), $C44 = "3",('Inputs-System'!$C$30*'Coincidence Factors'!$B$8*(1+'Inputs-System'!$C$18))*'Inputs-Proposals'!$I$28*(VLOOKUP(BX$3,Capacity!$A$53:$E$85,4,FALSE)*(1+'Inputs-System'!$C$42)+VLOOKUP(BX$3,Capacity!$A$53:$E$85,5,FALSE)*'Inputs-System'!$C$29*(1+'Inputs-System'!$C$43)), $C44 = "0", 0), 0)</f>
        <v>0</v>
      </c>
      <c r="CB44" s="44">
        <v>0</v>
      </c>
      <c r="CC44" s="342">
        <f>IFERROR(_xlfn.IFS($C44="1", 'Inputs-System'!$C$30*'Coincidence Factors'!$B$8*'Inputs-Proposals'!$I$17*'Inputs-Proposals'!$I$19*(VLOOKUP(BX$3,'Non-Embedded Emissions'!$A$56:$D$90,2,FALSE)+VLOOKUP(BX$3,'Non-Embedded Emissions'!$A$143:$D$174,2,FALSE)+VLOOKUP(BX$3,'Non-Embedded Emissions'!$A$230:$D$259,2,FALSE)), $C44 = "2", 'Inputs-System'!$C$30*'Coincidence Factors'!$B$8*'Inputs-Proposals'!$I$23*'Inputs-Proposals'!$I$25*(VLOOKUP(BX$3,'Non-Embedded Emissions'!$A$56:$D$90,2,FALSE)+VLOOKUP(BX$3,'Non-Embedded Emissions'!$A$143:$D$174,2,FALSE)+VLOOKUP(BX$3,'Non-Embedded Emissions'!$A$230:$D$259,2,FALSE)), $C44 = "3", 'Inputs-System'!$C$30*'Coincidence Factors'!$B$8*'Inputs-Proposals'!$I$29*'Inputs-Proposals'!$I$31*(VLOOKUP(BX$3,'Non-Embedded Emissions'!$A$56:$D$90,2,FALSE)+VLOOKUP(BX$3,'Non-Embedded Emissions'!$A$143:$D$174,2,FALSE)+VLOOKUP(BX$3,'Non-Embedded Emissions'!$A$230:$D$259,2,FALSE)), $C44 = "0", 0), 0)</f>
        <v>0</v>
      </c>
      <c r="CD44" s="347">
        <f>IFERROR(_xlfn.IFS($C44="1",('Inputs-System'!$C$30*'Coincidence Factors'!$B$8*(1+'Inputs-System'!$C$18)*(1+'Inputs-System'!$C$41)*('Inputs-Proposals'!$I$17*'Inputs-Proposals'!$I$19*('Inputs-Proposals'!$I$20))*(VLOOKUP(CD$3,Energy!$A$51:$K$83,5,FALSE))), $C44 = "2",('Inputs-System'!$C$30*'Coincidence Factors'!$B$8)*(1+'Inputs-System'!$C$18)*(1+'Inputs-System'!$C$41)*('Inputs-Proposals'!$I$23*'Inputs-Proposals'!$I$25*('Inputs-Proposals'!$I$26))*(VLOOKUP(CD$3,Energy!$A$51:$K$83,5,FALSE)), $C44= "3", ('Inputs-System'!$C$30*'Coincidence Factors'!$B$8*(1+'Inputs-System'!$C$18)*(1+'Inputs-System'!$C$41)*('Inputs-Proposals'!$I$29*'Inputs-Proposals'!$I$31*('Inputs-Proposals'!$I$32))*(VLOOKUP(CD$3,Energy!$A$51:$K$83,5,FALSE))), $C44= "0", 0), 0)</f>
        <v>0</v>
      </c>
      <c r="CE44" s="44">
        <f>IFERROR(_xlfn.IFS($C44="1",'Inputs-System'!$C$30*'Coincidence Factors'!$B$8*(1+'Inputs-System'!$C$18)*(1+'Inputs-System'!$C$41)*'Inputs-Proposals'!$I$17*'Inputs-Proposals'!$I$19*('Inputs-Proposals'!$I$20)*(VLOOKUP(CD$3,'Embedded Emissions'!$A$47:$B$78,2,FALSE)+VLOOKUP(CD$3,'Embedded Emissions'!$A$129:$B$158,2,FALSE)), $C44 = "2", 'Inputs-System'!$C$30*'Coincidence Factors'!$B$8*(1+'Inputs-System'!$C$18)*(1+'Inputs-System'!$C$41)*'Inputs-Proposals'!$I$23*'Inputs-Proposals'!$I$25*('Inputs-Proposals'!$I$20)*(VLOOKUP(CD$3,'Embedded Emissions'!$A$47:$B$78,2,FALSE)+VLOOKUP(CD$3,'Embedded Emissions'!$A$129:$B$158,2,FALSE)), $C44 = "3",'Inputs-System'!$C$30*'Coincidence Factors'!$B$8*(1+'Inputs-System'!$C$18)*(1+'Inputs-System'!$C$41)*'Inputs-Proposals'!$I$29*'Inputs-Proposals'!$I$31*('Inputs-Proposals'!$I$20)*(VLOOKUP(CD$3,'Embedded Emissions'!$A$47:$B$78,2,FALSE)+VLOOKUP(CD$3,'Embedded Emissions'!$A$129:$B$158,2,FALSE)), $C44 = "0", 0), 0)</f>
        <v>0</v>
      </c>
      <c r="CF44" s="44">
        <f>IFERROR(_xlfn.IFS($C44="1",( 'Inputs-System'!$C$30*'Coincidence Factors'!$B$8*(1+'Inputs-System'!$C$18)*(1+'Inputs-System'!$C$41))*('Inputs-Proposals'!$I$17*'Inputs-Proposals'!$I$19*('Inputs-Proposals'!$I$20))*(VLOOKUP(CD$3,DRIPE!$A$54:$I$82,5,FALSE)+VLOOKUP(CD$3,DRIPE!$A$54:$I$82,9,FALSE))+ ('Inputs-System'!$C$26*'Coincidence Factors'!$B$8*(1+'Inputs-System'!$C$18)*(1+'Inputs-System'!$C$42))*'Inputs-Proposals'!$I$16*VLOOKUP(CD$3,DRIPE!$A$54:$I$82,8,FALSE), $C44 = "2",( 'Inputs-System'!$C$30*'Coincidence Factors'!$B$8*(1+'Inputs-System'!$C$18)*(1+'Inputs-System'!$C$41))*('Inputs-Proposals'!$I$23*'Inputs-Proposals'!$I$25*('Inputs-Proposals'!$I$26))*(VLOOKUP(CD$3,DRIPE!$A$54:$I$82,5,FALSE)+VLOOKUP(CD$3,DRIPE!$A$54:$I$82,9,FALSE))+  ('Inputs-System'!$C$26*'Coincidence Factors'!$B$8*(1+'Inputs-System'!$C$18)*(1+'Inputs-System'!$C$42))*'Inputs-Proposals'!$I$22*VLOOKUP(CD$3,DRIPE!$A$54:$I$82,8,FALSE), $C44= "3", ( 'Inputs-System'!$C$30*'Coincidence Factors'!$B$8*(1+'Inputs-System'!$C$18)*(1+'Inputs-System'!$C$41))*('Inputs-Proposals'!$I$29*'Inputs-Proposals'!$I$31*('Inputs-Proposals'!$I$32))*(VLOOKUP(CD$3,DRIPE!$A$54:$I$82,5,FALSE)+VLOOKUP(CD$3,DRIPE!$A$54:$I$82,9,FALSE))+  ('Inputs-System'!$C$26*'Coincidence Factors'!$B$8*(1+'Inputs-System'!$C$18)*(1+'Inputs-System'!$C$42))*'Inputs-Proposals'!$I$28*VLOOKUP(CD$3,DRIPE!$A$54:$I$82,8,FALSE), $C44 = "0", 0), 0)</f>
        <v>0</v>
      </c>
      <c r="CG44" s="45">
        <f>IFERROR(_xlfn.IFS($C44="1",('Inputs-System'!$C$30*'Coincidence Factors'!$B$8*(1+'Inputs-System'!$C$18))*'Inputs-Proposals'!$I$16*(VLOOKUP(CD$3,Capacity!$A$53:$E$85,4,FALSE)*(1+'Inputs-System'!$C$42)+VLOOKUP(CD$3,Capacity!$A$53:$E$85,5,FALSE)*'Inputs-System'!$C$29*(1+'Inputs-System'!$C$43)), $C44 = "2", ('Inputs-System'!$C$30*'Coincidence Factors'!$B$8*(1+'Inputs-System'!$C$18))*'Inputs-Proposals'!$I$22*(VLOOKUP(CD$3,Capacity!$A$53:$E$85,4,FALSE)*(1+'Inputs-System'!$C$42)+VLOOKUP(CD$3,Capacity!$A$53:$E$85,5,FALSE)*'Inputs-System'!$C$29*(1+'Inputs-System'!$C$43)), $C44 = "3",('Inputs-System'!$C$30*'Coincidence Factors'!$B$8*(1+'Inputs-System'!$C$18))*'Inputs-Proposals'!$I$28*(VLOOKUP(CD$3,Capacity!$A$53:$E$85,4,FALSE)*(1+'Inputs-System'!$C$42)+VLOOKUP(CD$3,Capacity!$A$53:$E$85,5,FALSE)*'Inputs-System'!$C$29*(1+'Inputs-System'!$C$43)), $C44 = "0", 0), 0)</f>
        <v>0</v>
      </c>
      <c r="CH44" s="44">
        <v>0</v>
      </c>
      <c r="CI44" s="342">
        <f>IFERROR(_xlfn.IFS($C44="1", 'Inputs-System'!$C$30*'Coincidence Factors'!$B$8*'Inputs-Proposals'!$I$17*'Inputs-Proposals'!$I$19*(VLOOKUP(CD$3,'Non-Embedded Emissions'!$A$56:$D$90,2,FALSE)+VLOOKUP(CD$3,'Non-Embedded Emissions'!$A$143:$D$174,2,FALSE)+VLOOKUP(CD$3,'Non-Embedded Emissions'!$A$230:$D$259,2,FALSE)), $C44 = "2", 'Inputs-System'!$C$30*'Coincidence Factors'!$B$8*'Inputs-Proposals'!$I$23*'Inputs-Proposals'!$I$25*(VLOOKUP(CD$3,'Non-Embedded Emissions'!$A$56:$D$90,2,FALSE)+VLOOKUP(CD$3,'Non-Embedded Emissions'!$A$143:$D$174,2,FALSE)+VLOOKUP(CD$3,'Non-Embedded Emissions'!$A$230:$D$259,2,FALSE)), $C44 = "3", 'Inputs-System'!$C$30*'Coincidence Factors'!$B$8*'Inputs-Proposals'!$I$29*'Inputs-Proposals'!$I$31*(VLOOKUP(CD$3,'Non-Embedded Emissions'!$A$56:$D$90,2,FALSE)+VLOOKUP(CD$3,'Non-Embedded Emissions'!$A$143:$D$174,2,FALSE)+VLOOKUP(CD$3,'Non-Embedded Emissions'!$A$230:$D$259,2,FALSE)), $C44 = "0", 0), 0)</f>
        <v>0</v>
      </c>
      <c r="CJ44" s="347">
        <f>IFERROR(_xlfn.IFS($C44="1",('Inputs-System'!$C$30*'Coincidence Factors'!$B$8*(1+'Inputs-System'!$C$18)*(1+'Inputs-System'!$C$41)*('Inputs-Proposals'!$I$17*'Inputs-Proposals'!$I$19*('Inputs-Proposals'!$I$20))*(VLOOKUP(CJ$3,Energy!$A$51:$K$83,5,FALSE))), $C44 = "2",('Inputs-System'!$C$30*'Coincidence Factors'!$B$8)*(1+'Inputs-System'!$C$18)*(1+'Inputs-System'!$C$41)*('Inputs-Proposals'!$I$23*'Inputs-Proposals'!$I$25*('Inputs-Proposals'!$I$26))*(VLOOKUP(CJ$3,Energy!$A$51:$K$83,5,FALSE)), $C44= "3", ('Inputs-System'!$C$30*'Coincidence Factors'!$B$8*(1+'Inputs-System'!$C$18)*(1+'Inputs-System'!$C$41)*('Inputs-Proposals'!$I$29*'Inputs-Proposals'!$I$31*('Inputs-Proposals'!$I$32))*(VLOOKUP(CJ$3,Energy!$A$51:$K$83,5,FALSE))), $C44= "0", 0), 0)</f>
        <v>0</v>
      </c>
      <c r="CK44" s="44">
        <f>IFERROR(_xlfn.IFS($C44="1",'Inputs-System'!$C$30*'Coincidence Factors'!$B$8*(1+'Inputs-System'!$C$18)*(1+'Inputs-System'!$C$41)*'Inputs-Proposals'!$I$17*'Inputs-Proposals'!$I$19*('Inputs-Proposals'!$I$20)*(VLOOKUP(CJ$3,'Embedded Emissions'!$A$47:$B$78,2,FALSE)+VLOOKUP(CJ$3,'Embedded Emissions'!$A$129:$B$158,2,FALSE)), $C44 = "2", 'Inputs-System'!$C$30*'Coincidence Factors'!$B$8*(1+'Inputs-System'!$C$18)*(1+'Inputs-System'!$C$41)*'Inputs-Proposals'!$I$23*'Inputs-Proposals'!$I$25*('Inputs-Proposals'!$I$20)*(VLOOKUP(CJ$3,'Embedded Emissions'!$A$47:$B$78,2,FALSE)+VLOOKUP(CJ$3,'Embedded Emissions'!$A$129:$B$158,2,FALSE)), $C44 = "3",'Inputs-System'!$C$30*'Coincidence Factors'!$B$8*(1+'Inputs-System'!$C$18)*(1+'Inputs-System'!$C$41)*'Inputs-Proposals'!$I$29*'Inputs-Proposals'!$I$31*('Inputs-Proposals'!$I$20)*(VLOOKUP(CJ$3,'Embedded Emissions'!$A$47:$B$78,2,FALSE)+VLOOKUP(CJ$3,'Embedded Emissions'!$A$129:$B$158,2,FALSE)), $C44 = "0", 0), 0)</f>
        <v>0</v>
      </c>
      <c r="CL44" s="44">
        <f>IFERROR(_xlfn.IFS($C44="1",( 'Inputs-System'!$C$30*'Coincidence Factors'!$B$8*(1+'Inputs-System'!$C$18)*(1+'Inputs-System'!$C$41))*('Inputs-Proposals'!$I$17*'Inputs-Proposals'!$I$19*('Inputs-Proposals'!$I$20))*(VLOOKUP(CJ$3,DRIPE!$A$54:$I$82,5,FALSE)+VLOOKUP(CJ$3,DRIPE!$A$54:$I$82,9,FALSE))+ ('Inputs-System'!$C$26*'Coincidence Factors'!$B$8*(1+'Inputs-System'!$C$18)*(1+'Inputs-System'!$C$42))*'Inputs-Proposals'!$I$16*VLOOKUP(CJ$3,DRIPE!$A$54:$I$82,8,FALSE), $C44 = "2",( 'Inputs-System'!$C$30*'Coincidence Factors'!$B$8*(1+'Inputs-System'!$C$18)*(1+'Inputs-System'!$C$41))*('Inputs-Proposals'!$I$23*'Inputs-Proposals'!$I$25*('Inputs-Proposals'!$I$26))*(VLOOKUP(CJ$3,DRIPE!$A$54:$I$82,5,FALSE)+VLOOKUP(CJ$3,DRIPE!$A$54:$I$82,9,FALSE))+  ('Inputs-System'!$C$26*'Coincidence Factors'!$B$8*(1+'Inputs-System'!$C$18)*(1+'Inputs-System'!$C$42))*'Inputs-Proposals'!$I$22*VLOOKUP(CJ$3,DRIPE!$A$54:$I$82,8,FALSE), $C44= "3", ( 'Inputs-System'!$C$30*'Coincidence Factors'!$B$8*(1+'Inputs-System'!$C$18)*(1+'Inputs-System'!$C$41))*('Inputs-Proposals'!$I$29*'Inputs-Proposals'!$I$31*('Inputs-Proposals'!$I$32))*(VLOOKUP(CJ$3,DRIPE!$A$54:$I$82,5,FALSE)+VLOOKUP(CJ$3,DRIPE!$A$54:$I$82,9,FALSE))+  ('Inputs-System'!$C$26*'Coincidence Factors'!$B$8*(1+'Inputs-System'!$C$18)*(1+'Inputs-System'!$C$42))*'Inputs-Proposals'!$I$28*VLOOKUP(CJ$3,DRIPE!$A$54:$I$82,8,FALSE), $C44 = "0", 0), 0)</f>
        <v>0</v>
      </c>
      <c r="CM44" s="45">
        <f>IFERROR(_xlfn.IFS($C44="1",('Inputs-System'!$C$30*'Coincidence Factors'!$B$8*(1+'Inputs-System'!$C$18))*'Inputs-Proposals'!$I$16*(VLOOKUP(CJ$3,Capacity!$A$53:$E$85,4,FALSE)*(1+'Inputs-System'!$C$42)+VLOOKUP(CJ$3,Capacity!$A$53:$E$85,5,FALSE)*'Inputs-System'!$C$29*(1+'Inputs-System'!$C$43)), $C44 = "2", ('Inputs-System'!$C$30*'Coincidence Factors'!$B$8*(1+'Inputs-System'!$C$18))*'Inputs-Proposals'!$I$22*(VLOOKUP(CJ$3,Capacity!$A$53:$E$85,4,FALSE)*(1+'Inputs-System'!$C$42)+VLOOKUP(CJ$3,Capacity!$A$53:$E$85,5,FALSE)*'Inputs-System'!$C$29*(1+'Inputs-System'!$C$43)), $C44 = "3",('Inputs-System'!$C$30*'Coincidence Factors'!$B$8*(1+'Inputs-System'!$C$18))*'Inputs-Proposals'!$I$28*(VLOOKUP(CJ$3,Capacity!$A$53:$E$85,4,FALSE)*(1+'Inputs-System'!$C$42)+VLOOKUP(CJ$3,Capacity!$A$53:$E$85,5,FALSE)*'Inputs-System'!$C$29*(1+'Inputs-System'!$C$43)), $C44 = "0", 0), 0)</f>
        <v>0</v>
      </c>
      <c r="CN44" s="44">
        <v>0</v>
      </c>
      <c r="CO44" s="342">
        <f>IFERROR(_xlfn.IFS($C44="1", 'Inputs-System'!$C$30*'Coincidence Factors'!$B$8*'Inputs-Proposals'!$I$17*'Inputs-Proposals'!$I$19*(VLOOKUP(CJ$3,'Non-Embedded Emissions'!$A$56:$D$90,2,FALSE)+VLOOKUP(CJ$3,'Non-Embedded Emissions'!$A$143:$D$174,2,FALSE)+VLOOKUP(CJ$3,'Non-Embedded Emissions'!$A$230:$D$259,2,FALSE)), $C44 = "2", 'Inputs-System'!$C$30*'Coincidence Factors'!$B$8*'Inputs-Proposals'!$I$23*'Inputs-Proposals'!$I$25*(VLOOKUP(CJ$3,'Non-Embedded Emissions'!$A$56:$D$90,2,FALSE)+VLOOKUP(CJ$3,'Non-Embedded Emissions'!$A$143:$D$174,2,FALSE)+VLOOKUP(CJ$3,'Non-Embedded Emissions'!$A$230:$D$259,2,FALSE)), $C44 = "3", 'Inputs-System'!$C$30*'Coincidence Factors'!$B$8*'Inputs-Proposals'!$I$29*'Inputs-Proposals'!$I$31*(VLOOKUP(CJ$3,'Non-Embedded Emissions'!$A$56:$D$90,2,FALSE)+VLOOKUP(CJ$3,'Non-Embedded Emissions'!$A$143:$D$174,2,FALSE)+VLOOKUP(CJ$3,'Non-Embedded Emissions'!$A$230:$D$259,2,FALSE)), $C44 = "0", 0), 0)</f>
        <v>0</v>
      </c>
      <c r="CP44" s="347">
        <f>IFERROR(_xlfn.IFS($C44="1",('Inputs-System'!$C$30*'Coincidence Factors'!$B$8*(1+'Inputs-System'!$C$18)*(1+'Inputs-System'!$C$41)*('Inputs-Proposals'!$I$17*'Inputs-Proposals'!$I$19*('Inputs-Proposals'!$I$20))*(VLOOKUP(CP$3,Energy!$A$51:$K$83,5,FALSE))), $C44 = "2",('Inputs-System'!$C$30*'Coincidence Factors'!$B$8)*(1+'Inputs-System'!$C$18)*(1+'Inputs-System'!$C$41)*('Inputs-Proposals'!$I$23*'Inputs-Proposals'!$I$25*('Inputs-Proposals'!$I$26))*(VLOOKUP(CP$3,Energy!$A$51:$K$83,5,FALSE)), $C44= "3", ('Inputs-System'!$C$30*'Coincidence Factors'!$B$8*(1+'Inputs-System'!$C$18)*(1+'Inputs-System'!$C$41)*('Inputs-Proposals'!$I$29*'Inputs-Proposals'!$I$31*('Inputs-Proposals'!$I$32))*(VLOOKUP(CP$3,Energy!$A$51:$K$83,5,FALSE))), $C44= "0", 0), 0)</f>
        <v>0</v>
      </c>
      <c r="CQ44" s="44">
        <f>IFERROR(_xlfn.IFS($C44="1",'Inputs-System'!$C$30*'Coincidence Factors'!$B$8*(1+'Inputs-System'!$C$18)*(1+'Inputs-System'!$C$41)*'Inputs-Proposals'!$I$17*'Inputs-Proposals'!$I$19*('Inputs-Proposals'!$I$20)*(VLOOKUP(CP$3,'Embedded Emissions'!$A$47:$B$78,2,FALSE)+VLOOKUP(CP$3,'Embedded Emissions'!$A$129:$B$158,2,FALSE)), $C44 = "2", 'Inputs-System'!$C$30*'Coincidence Factors'!$B$8*(1+'Inputs-System'!$C$18)*(1+'Inputs-System'!$C$41)*'Inputs-Proposals'!$I$23*'Inputs-Proposals'!$I$25*('Inputs-Proposals'!$I$20)*(VLOOKUP(CP$3,'Embedded Emissions'!$A$47:$B$78,2,FALSE)+VLOOKUP(CP$3,'Embedded Emissions'!$A$129:$B$158,2,FALSE)), $C44 = "3",'Inputs-System'!$C$30*'Coincidence Factors'!$B$8*(1+'Inputs-System'!$C$18)*(1+'Inputs-System'!$C$41)*'Inputs-Proposals'!$I$29*'Inputs-Proposals'!$I$31*('Inputs-Proposals'!$I$20)*(VLOOKUP(CP$3,'Embedded Emissions'!$A$47:$B$78,2,FALSE)+VLOOKUP(CP$3,'Embedded Emissions'!$A$129:$B$158,2,FALSE)), $C44 = "0", 0), 0)</f>
        <v>0</v>
      </c>
      <c r="CR44" s="44">
        <f>IFERROR(_xlfn.IFS($C44="1",( 'Inputs-System'!$C$30*'Coincidence Factors'!$B$8*(1+'Inputs-System'!$C$18)*(1+'Inputs-System'!$C$41))*('Inputs-Proposals'!$I$17*'Inputs-Proposals'!$I$19*('Inputs-Proposals'!$I$20))*(VLOOKUP(CP$3,DRIPE!$A$54:$I$82,5,FALSE)+VLOOKUP(CP$3,DRIPE!$A$54:$I$82,9,FALSE))+ ('Inputs-System'!$C$26*'Coincidence Factors'!$B$8*(1+'Inputs-System'!$C$18)*(1+'Inputs-System'!$C$42))*'Inputs-Proposals'!$I$16*VLOOKUP(CP$3,DRIPE!$A$54:$I$82,8,FALSE), $C44 = "2",( 'Inputs-System'!$C$30*'Coincidence Factors'!$B$8*(1+'Inputs-System'!$C$18)*(1+'Inputs-System'!$C$41))*('Inputs-Proposals'!$I$23*'Inputs-Proposals'!$I$25*('Inputs-Proposals'!$I$26))*(VLOOKUP(CP$3,DRIPE!$A$54:$I$82,5,FALSE)+VLOOKUP(CP$3,DRIPE!$A$54:$I$82,9,FALSE))+  ('Inputs-System'!$C$26*'Coincidence Factors'!$B$8*(1+'Inputs-System'!$C$18)*(1+'Inputs-System'!$C$42))*'Inputs-Proposals'!$I$22*VLOOKUP(CP$3,DRIPE!$A$54:$I$82,8,FALSE), $C44= "3", ( 'Inputs-System'!$C$30*'Coincidence Factors'!$B$8*(1+'Inputs-System'!$C$18)*(1+'Inputs-System'!$C$41))*('Inputs-Proposals'!$I$29*'Inputs-Proposals'!$I$31*('Inputs-Proposals'!$I$32))*(VLOOKUP(CP$3,DRIPE!$A$54:$I$82,5,FALSE)+VLOOKUP(CP$3,DRIPE!$A$54:$I$82,9,FALSE))+  ('Inputs-System'!$C$26*'Coincidence Factors'!$B$8*(1+'Inputs-System'!$C$18)*(1+'Inputs-System'!$C$42))*'Inputs-Proposals'!$I$28*VLOOKUP(CP$3,DRIPE!$A$54:$I$82,8,FALSE), $C44 = "0", 0), 0)</f>
        <v>0</v>
      </c>
      <c r="CS44" s="45">
        <f>IFERROR(_xlfn.IFS($C44="1",('Inputs-System'!$C$30*'Coincidence Factors'!$B$8*(1+'Inputs-System'!$C$18))*'Inputs-Proposals'!$I$16*(VLOOKUP(CP$3,Capacity!$A$53:$E$85,4,FALSE)*(1+'Inputs-System'!$C$42)+VLOOKUP(CP$3,Capacity!$A$53:$E$85,5,FALSE)*'Inputs-System'!$C$29*(1+'Inputs-System'!$C$43)), $C44 = "2", ('Inputs-System'!$C$30*'Coincidence Factors'!$B$8*(1+'Inputs-System'!$C$18))*'Inputs-Proposals'!$I$22*(VLOOKUP(CP$3,Capacity!$A$53:$E$85,4,FALSE)*(1+'Inputs-System'!$C$42)+VLOOKUP(CP$3,Capacity!$A$53:$E$85,5,FALSE)*'Inputs-System'!$C$29*(1+'Inputs-System'!$C$43)), $C44 = "3",('Inputs-System'!$C$30*'Coincidence Factors'!$B$8*(1+'Inputs-System'!$C$18))*'Inputs-Proposals'!$I$28*(VLOOKUP(CP$3,Capacity!$A$53:$E$85,4,FALSE)*(1+'Inputs-System'!$C$42)+VLOOKUP(CP$3,Capacity!$A$53:$E$85,5,FALSE)*'Inputs-System'!$C$29*(1+'Inputs-System'!$C$43)), $C44 = "0", 0), 0)</f>
        <v>0</v>
      </c>
      <c r="CT44" s="44">
        <v>0</v>
      </c>
      <c r="CU44" s="342">
        <f>IFERROR(_xlfn.IFS($C44="1", 'Inputs-System'!$C$30*'Coincidence Factors'!$B$8*'Inputs-Proposals'!$I$17*'Inputs-Proposals'!$I$19*(VLOOKUP(CP$3,'Non-Embedded Emissions'!$A$56:$D$90,2,FALSE)+VLOOKUP(CP$3,'Non-Embedded Emissions'!$A$143:$D$174,2,FALSE)+VLOOKUP(CP$3,'Non-Embedded Emissions'!$A$230:$D$259,2,FALSE)), $C44 = "2", 'Inputs-System'!$C$30*'Coincidence Factors'!$B$8*'Inputs-Proposals'!$I$23*'Inputs-Proposals'!$I$25*(VLOOKUP(CP$3,'Non-Embedded Emissions'!$A$56:$D$90,2,FALSE)+VLOOKUP(CP$3,'Non-Embedded Emissions'!$A$143:$D$174,2,FALSE)+VLOOKUP(CP$3,'Non-Embedded Emissions'!$A$230:$D$259,2,FALSE)), $C44 = "3", 'Inputs-System'!$C$30*'Coincidence Factors'!$B$8*'Inputs-Proposals'!$I$29*'Inputs-Proposals'!$I$31*(VLOOKUP(CP$3,'Non-Embedded Emissions'!$A$56:$D$90,2,FALSE)+VLOOKUP(CP$3,'Non-Embedded Emissions'!$A$143:$D$174,2,FALSE)+VLOOKUP(CP$3,'Non-Embedded Emissions'!$A$230:$D$259,2,FALSE)), $C44 = "0", 0), 0)</f>
        <v>0</v>
      </c>
      <c r="CV44" s="347">
        <f>IFERROR(_xlfn.IFS($C44="1",('Inputs-System'!$C$30*'Coincidence Factors'!$B$8*(1+'Inputs-System'!$C$18)*(1+'Inputs-System'!$C$41)*('Inputs-Proposals'!$I$17*'Inputs-Proposals'!$I$19*('Inputs-Proposals'!$I$20))*(VLOOKUP(CV$3,Energy!$A$51:$K$83,5,FALSE))), $C44 = "2",('Inputs-System'!$C$30*'Coincidence Factors'!$B$8)*(1+'Inputs-System'!$C$18)*(1+'Inputs-System'!$C$41)*('Inputs-Proposals'!$I$23*'Inputs-Proposals'!$I$25*('Inputs-Proposals'!$I$26))*(VLOOKUP(CV$3,Energy!$A$51:$K$83,5,FALSE)), $C44= "3", ('Inputs-System'!$C$30*'Coincidence Factors'!$B$8*(1+'Inputs-System'!$C$18)*(1+'Inputs-System'!$C$41)*('Inputs-Proposals'!$I$29*'Inputs-Proposals'!$I$31*('Inputs-Proposals'!$I$32))*(VLOOKUP(CV$3,Energy!$A$51:$K$83,5,FALSE))), $C44= "0", 0), 0)</f>
        <v>0</v>
      </c>
      <c r="CW44" s="44">
        <f>IFERROR(_xlfn.IFS($C44="1",'Inputs-System'!$C$30*'Coincidence Factors'!$B$8*(1+'Inputs-System'!$C$18)*(1+'Inputs-System'!$C$41)*'Inputs-Proposals'!$I$17*'Inputs-Proposals'!$I$19*('Inputs-Proposals'!$I$20)*(VLOOKUP(CV$3,'Embedded Emissions'!$A$47:$B$78,2,FALSE)+VLOOKUP(CV$3,'Embedded Emissions'!$A$129:$B$158,2,FALSE)), $C44 = "2", 'Inputs-System'!$C$30*'Coincidence Factors'!$B$8*(1+'Inputs-System'!$C$18)*(1+'Inputs-System'!$C$41)*'Inputs-Proposals'!$I$23*'Inputs-Proposals'!$I$25*('Inputs-Proposals'!$I$20)*(VLOOKUP(CV$3,'Embedded Emissions'!$A$47:$B$78,2,FALSE)+VLOOKUP(CV$3,'Embedded Emissions'!$A$129:$B$158,2,FALSE)), $C44 = "3",'Inputs-System'!$C$30*'Coincidence Factors'!$B$8*(1+'Inputs-System'!$C$18)*(1+'Inputs-System'!$C$41)*'Inputs-Proposals'!$I$29*'Inputs-Proposals'!$I$31*('Inputs-Proposals'!$I$20)*(VLOOKUP(CV$3,'Embedded Emissions'!$A$47:$B$78,2,FALSE)+VLOOKUP(CV$3,'Embedded Emissions'!$A$129:$B$158,2,FALSE)), $C44 = "0", 0), 0)</f>
        <v>0</v>
      </c>
      <c r="CX44" s="44">
        <f>IFERROR(_xlfn.IFS($C44="1",( 'Inputs-System'!$C$30*'Coincidence Factors'!$B$8*(1+'Inputs-System'!$C$18)*(1+'Inputs-System'!$C$41))*('Inputs-Proposals'!$I$17*'Inputs-Proposals'!$I$19*('Inputs-Proposals'!$I$20))*(VLOOKUP(CV$3,DRIPE!$A$54:$I$82,5,FALSE)+VLOOKUP(CV$3,DRIPE!$A$54:$I$82,9,FALSE))+ ('Inputs-System'!$C$26*'Coincidence Factors'!$B$8*(1+'Inputs-System'!$C$18)*(1+'Inputs-System'!$C$42))*'Inputs-Proposals'!$I$16*VLOOKUP(CV$3,DRIPE!$A$54:$I$82,8,FALSE), $C44 = "2",( 'Inputs-System'!$C$30*'Coincidence Factors'!$B$8*(1+'Inputs-System'!$C$18)*(1+'Inputs-System'!$C$41))*('Inputs-Proposals'!$I$23*'Inputs-Proposals'!$I$25*('Inputs-Proposals'!$I$26))*(VLOOKUP(CV$3,DRIPE!$A$54:$I$82,5,FALSE)+VLOOKUP(CV$3,DRIPE!$A$54:$I$82,9,FALSE))+  ('Inputs-System'!$C$26*'Coincidence Factors'!$B$8*(1+'Inputs-System'!$C$18)*(1+'Inputs-System'!$C$42))*'Inputs-Proposals'!$I$22*VLOOKUP(CV$3,DRIPE!$A$54:$I$82,8,FALSE), $C44= "3", ( 'Inputs-System'!$C$30*'Coincidence Factors'!$B$8*(1+'Inputs-System'!$C$18)*(1+'Inputs-System'!$C$41))*('Inputs-Proposals'!$I$29*'Inputs-Proposals'!$I$31*('Inputs-Proposals'!$I$32))*(VLOOKUP(CV$3,DRIPE!$A$54:$I$82,5,FALSE)+VLOOKUP(CV$3,DRIPE!$A$54:$I$82,9,FALSE))+  ('Inputs-System'!$C$26*'Coincidence Factors'!$B$8*(1+'Inputs-System'!$C$18)*(1+'Inputs-System'!$C$42))*'Inputs-Proposals'!$I$28*VLOOKUP(CV$3,DRIPE!$A$54:$I$82,8,FALSE), $C44 = "0", 0), 0)</f>
        <v>0</v>
      </c>
      <c r="CY44" s="45">
        <f>IFERROR(_xlfn.IFS($C44="1",('Inputs-System'!$C$30*'Coincidence Factors'!$B$8*(1+'Inputs-System'!$C$18))*'Inputs-Proposals'!$I$16*(VLOOKUP(CV$3,Capacity!$A$53:$E$85,4,FALSE)*(1+'Inputs-System'!$C$42)+VLOOKUP(CV$3,Capacity!$A$53:$E$85,5,FALSE)*'Inputs-System'!$C$29*(1+'Inputs-System'!$C$43)), $C44 = "2", ('Inputs-System'!$C$30*'Coincidence Factors'!$B$8*(1+'Inputs-System'!$C$18))*'Inputs-Proposals'!$I$22*(VLOOKUP(CV$3,Capacity!$A$53:$E$85,4,FALSE)*(1+'Inputs-System'!$C$42)+VLOOKUP(CV$3,Capacity!$A$53:$E$85,5,FALSE)*'Inputs-System'!$C$29*(1+'Inputs-System'!$C$43)), $C44 = "3",('Inputs-System'!$C$30*'Coincidence Factors'!$B$8*(1+'Inputs-System'!$C$18))*'Inputs-Proposals'!$I$28*(VLOOKUP(CV$3,Capacity!$A$53:$E$85,4,FALSE)*(1+'Inputs-System'!$C$42)+VLOOKUP(CV$3,Capacity!$A$53:$E$85,5,FALSE)*'Inputs-System'!$C$29*(1+'Inputs-System'!$C$43)), $C44 = "0", 0), 0)</f>
        <v>0</v>
      </c>
      <c r="CZ44" s="44">
        <v>0</v>
      </c>
      <c r="DA44" s="342">
        <f>IFERROR(_xlfn.IFS($C44="1", 'Inputs-System'!$C$30*'Coincidence Factors'!$B$8*'Inputs-Proposals'!$I$17*'Inputs-Proposals'!$I$19*(VLOOKUP(CV$3,'Non-Embedded Emissions'!$A$56:$D$90,2,FALSE)+VLOOKUP(CV$3,'Non-Embedded Emissions'!$A$143:$D$174,2,FALSE)+VLOOKUP(CV$3,'Non-Embedded Emissions'!$A$230:$D$259,2,FALSE)), $C44 = "2", 'Inputs-System'!$C$30*'Coincidence Factors'!$B$8*'Inputs-Proposals'!$I$23*'Inputs-Proposals'!$I$25*(VLOOKUP(CV$3,'Non-Embedded Emissions'!$A$56:$D$90,2,FALSE)+VLOOKUP(CV$3,'Non-Embedded Emissions'!$A$143:$D$174,2,FALSE)+VLOOKUP(CV$3,'Non-Embedded Emissions'!$A$230:$D$259,2,FALSE)), $C44 = "3", 'Inputs-System'!$C$30*'Coincidence Factors'!$B$8*'Inputs-Proposals'!$I$29*'Inputs-Proposals'!$I$31*(VLOOKUP(CV$3,'Non-Embedded Emissions'!$A$56:$D$90,2,FALSE)+VLOOKUP(CV$3,'Non-Embedded Emissions'!$A$143:$D$174,2,FALSE)+VLOOKUP(CV$3,'Non-Embedded Emissions'!$A$230:$D$259,2,FALSE)), $C44 = "0", 0), 0)</f>
        <v>0</v>
      </c>
      <c r="DB44" s="347">
        <f>IFERROR(_xlfn.IFS($C44="1",('Inputs-System'!$C$30*'Coincidence Factors'!$B$8*(1+'Inputs-System'!$C$18)*(1+'Inputs-System'!$C$41)*('Inputs-Proposals'!$I$17*'Inputs-Proposals'!$I$19*('Inputs-Proposals'!$I$20))*(VLOOKUP(DB$3,Energy!$A$51:$K$83,5,FALSE))), $C44 = "2",('Inputs-System'!$C$30*'Coincidence Factors'!$B$8)*(1+'Inputs-System'!$C$18)*(1+'Inputs-System'!$C$41)*('Inputs-Proposals'!$I$23*'Inputs-Proposals'!$I$25*('Inputs-Proposals'!$I$26))*(VLOOKUP(DB$3,Energy!$A$51:$K$83,5,FALSE)), $C44= "3", ('Inputs-System'!$C$30*'Coincidence Factors'!$B$8*(1+'Inputs-System'!$C$18)*(1+'Inputs-System'!$C$41)*('Inputs-Proposals'!$I$29*'Inputs-Proposals'!$I$31*('Inputs-Proposals'!$I$32))*(VLOOKUP(DB$3,Energy!$A$51:$K$83,5,FALSE))), $C44= "0", 0), 0)</f>
        <v>0</v>
      </c>
      <c r="DC44" s="44">
        <f>IFERROR(_xlfn.IFS($C44="1",'Inputs-System'!$C$30*'Coincidence Factors'!$B$8*(1+'Inputs-System'!$C$18)*(1+'Inputs-System'!$C$41)*'Inputs-Proposals'!$I$17*'Inputs-Proposals'!$I$19*('Inputs-Proposals'!$I$20)*(VLOOKUP(DB$3,'Embedded Emissions'!$A$47:$B$78,2,FALSE)+VLOOKUP(DB$3,'Embedded Emissions'!$A$129:$B$158,2,FALSE)), $C44 = "2", 'Inputs-System'!$C$30*'Coincidence Factors'!$B$8*(1+'Inputs-System'!$C$18)*(1+'Inputs-System'!$C$41)*'Inputs-Proposals'!$I$23*'Inputs-Proposals'!$I$25*('Inputs-Proposals'!$I$20)*(VLOOKUP(DB$3,'Embedded Emissions'!$A$47:$B$78,2,FALSE)+VLOOKUP(DB$3,'Embedded Emissions'!$A$129:$B$158,2,FALSE)), $C44 = "3",'Inputs-System'!$C$30*'Coincidence Factors'!$B$8*(1+'Inputs-System'!$C$18)*(1+'Inputs-System'!$C$41)*'Inputs-Proposals'!$I$29*'Inputs-Proposals'!$I$31*('Inputs-Proposals'!$I$20)*(VLOOKUP(DB$3,'Embedded Emissions'!$A$47:$B$78,2,FALSE)+VLOOKUP(DB$3,'Embedded Emissions'!$A$129:$B$158,2,FALSE)), $C44 = "0", 0), 0)</f>
        <v>0</v>
      </c>
      <c r="DD44" s="44">
        <f>IFERROR(_xlfn.IFS($C44="1",( 'Inputs-System'!$C$30*'Coincidence Factors'!$B$8*(1+'Inputs-System'!$C$18)*(1+'Inputs-System'!$C$41))*('Inputs-Proposals'!$I$17*'Inputs-Proposals'!$I$19*('Inputs-Proposals'!$I$20))*(VLOOKUP(DB$3,DRIPE!$A$54:$I$82,5,FALSE)+VLOOKUP(DB$3,DRIPE!$A$54:$I$82,9,FALSE))+ ('Inputs-System'!$C$26*'Coincidence Factors'!$B$8*(1+'Inputs-System'!$C$18)*(1+'Inputs-System'!$C$42))*'Inputs-Proposals'!$I$16*VLOOKUP(DB$3,DRIPE!$A$54:$I$82,8,FALSE), $C44 = "2",( 'Inputs-System'!$C$30*'Coincidence Factors'!$B$8*(1+'Inputs-System'!$C$18)*(1+'Inputs-System'!$C$41))*('Inputs-Proposals'!$I$23*'Inputs-Proposals'!$I$25*('Inputs-Proposals'!$I$26))*(VLOOKUP(DB$3,DRIPE!$A$54:$I$82,5,FALSE)+VLOOKUP(DB$3,DRIPE!$A$54:$I$82,9,FALSE))+  ('Inputs-System'!$C$26*'Coincidence Factors'!$B$8*(1+'Inputs-System'!$C$18)*(1+'Inputs-System'!$C$42))*'Inputs-Proposals'!$I$22*VLOOKUP(DB$3,DRIPE!$A$54:$I$82,8,FALSE), $C44= "3", ( 'Inputs-System'!$C$30*'Coincidence Factors'!$B$8*(1+'Inputs-System'!$C$18)*(1+'Inputs-System'!$C$41))*('Inputs-Proposals'!$I$29*'Inputs-Proposals'!$I$31*('Inputs-Proposals'!$I$32))*(VLOOKUP(DB$3,DRIPE!$A$54:$I$82,5,FALSE)+VLOOKUP(DB$3,DRIPE!$A$54:$I$82,9,FALSE))+  ('Inputs-System'!$C$26*'Coincidence Factors'!$B$8*(1+'Inputs-System'!$C$18)*(1+'Inputs-System'!$C$42))*'Inputs-Proposals'!$I$28*VLOOKUP(DB$3,DRIPE!$A$54:$I$82,8,FALSE), $C44 = "0", 0), 0)</f>
        <v>0</v>
      </c>
      <c r="DE44" s="45">
        <f>IFERROR(_xlfn.IFS($C44="1",('Inputs-System'!$C$30*'Coincidence Factors'!$B$8*(1+'Inputs-System'!$C$18))*'Inputs-Proposals'!$I$16*(VLOOKUP(DB$3,Capacity!$A$53:$E$85,4,FALSE)*(1+'Inputs-System'!$C$42)+VLOOKUP(DB$3,Capacity!$A$53:$E$85,5,FALSE)*'Inputs-System'!$C$29*(1+'Inputs-System'!$C$43)), $C44 = "2", ('Inputs-System'!$C$30*'Coincidence Factors'!$B$8*(1+'Inputs-System'!$C$18))*'Inputs-Proposals'!$I$22*(VLOOKUP(DB$3,Capacity!$A$53:$E$85,4,FALSE)*(1+'Inputs-System'!$C$42)+VLOOKUP(DB$3,Capacity!$A$53:$E$85,5,FALSE)*'Inputs-System'!$C$29*(1+'Inputs-System'!$C$43)), $C44 = "3",('Inputs-System'!$C$30*'Coincidence Factors'!$B$8*(1+'Inputs-System'!$C$18))*'Inputs-Proposals'!$I$28*(VLOOKUP(DB$3,Capacity!$A$53:$E$85,4,FALSE)*(1+'Inputs-System'!$C$42)+VLOOKUP(DB$3,Capacity!$A$53:$E$85,5,FALSE)*'Inputs-System'!$C$29*(1+'Inputs-System'!$C$43)), $C44 = "0", 0), 0)</f>
        <v>0</v>
      </c>
      <c r="DF44" s="44">
        <v>0</v>
      </c>
      <c r="DG44" s="342">
        <f>IFERROR(_xlfn.IFS($C44="1", 'Inputs-System'!$C$30*'Coincidence Factors'!$B$8*'Inputs-Proposals'!$I$17*'Inputs-Proposals'!$I$19*(VLOOKUP(DB$3,'Non-Embedded Emissions'!$A$56:$D$90,2,FALSE)+VLOOKUP(DB$3,'Non-Embedded Emissions'!$A$143:$D$174,2,FALSE)+VLOOKUP(DB$3,'Non-Embedded Emissions'!$A$230:$D$259,2,FALSE)), $C44 = "2", 'Inputs-System'!$C$30*'Coincidence Factors'!$B$8*'Inputs-Proposals'!$I$23*'Inputs-Proposals'!$I$25*(VLOOKUP(DB$3,'Non-Embedded Emissions'!$A$56:$D$90,2,FALSE)+VLOOKUP(DB$3,'Non-Embedded Emissions'!$A$143:$D$174,2,FALSE)+VLOOKUP(DB$3,'Non-Embedded Emissions'!$A$230:$D$259,2,FALSE)), $C44 = "3", 'Inputs-System'!$C$30*'Coincidence Factors'!$B$8*'Inputs-Proposals'!$I$29*'Inputs-Proposals'!$I$31*(VLOOKUP(DB$3,'Non-Embedded Emissions'!$A$56:$D$90,2,FALSE)+VLOOKUP(DB$3,'Non-Embedded Emissions'!$A$143:$D$174,2,FALSE)+VLOOKUP(DB$3,'Non-Embedded Emissions'!$A$230:$D$259,2,FALSE)), $C44 = "0", 0), 0)</f>
        <v>0</v>
      </c>
      <c r="DH44" s="347">
        <f>IFERROR(_xlfn.IFS($C44="1",('Inputs-System'!$C$30*'Coincidence Factors'!$B$8*(1+'Inputs-System'!$C$18)*(1+'Inputs-System'!$C$41)*('Inputs-Proposals'!$I$17*'Inputs-Proposals'!$I$19*('Inputs-Proposals'!$I$20))*(VLOOKUP(DH$3,Energy!$A$51:$K$83,5,FALSE))), $C44 = "2",('Inputs-System'!$C$30*'Coincidence Factors'!$B$8)*(1+'Inputs-System'!$C$18)*(1+'Inputs-System'!$C$41)*('Inputs-Proposals'!$I$23*'Inputs-Proposals'!$I$25*('Inputs-Proposals'!$I$26))*(VLOOKUP(DH$3,Energy!$A$51:$K$83,5,FALSE)), $C44= "3", ('Inputs-System'!$C$30*'Coincidence Factors'!$B$8*(1+'Inputs-System'!$C$18)*(1+'Inputs-System'!$C$41)*('Inputs-Proposals'!$I$29*'Inputs-Proposals'!$I$31*('Inputs-Proposals'!$I$32))*(VLOOKUP(DH$3,Energy!$A$51:$K$83,5,FALSE))), $C44= "0", 0), 0)</f>
        <v>0</v>
      </c>
      <c r="DI44" s="44">
        <f>IFERROR(_xlfn.IFS($C44="1",'Inputs-System'!$C$30*'Coincidence Factors'!$B$8*(1+'Inputs-System'!$C$18)*(1+'Inputs-System'!$C$41)*'Inputs-Proposals'!$I$17*'Inputs-Proposals'!$I$19*('Inputs-Proposals'!$I$20)*(VLOOKUP(DH$3,'Embedded Emissions'!$A$47:$B$78,2,FALSE)+VLOOKUP(DH$3,'Embedded Emissions'!$A$129:$B$158,2,FALSE)), $C44 = "2", 'Inputs-System'!$C$30*'Coincidence Factors'!$B$8*(1+'Inputs-System'!$C$18)*(1+'Inputs-System'!$C$41)*'Inputs-Proposals'!$I$23*'Inputs-Proposals'!$I$25*('Inputs-Proposals'!$I$20)*(VLOOKUP(DH$3,'Embedded Emissions'!$A$47:$B$78,2,FALSE)+VLOOKUP(DH$3,'Embedded Emissions'!$A$129:$B$158,2,FALSE)), $C44 = "3",'Inputs-System'!$C$30*'Coincidence Factors'!$B$8*(1+'Inputs-System'!$C$18)*(1+'Inputs-System'!$C$41)*'Inputs-Proposals'!$I$29*'Inputs-Proposals'!$I$31*('Inputs-Proposals'!$I$20)*(VLOOKUP(DH$3,'Embedded Emissions'!$A$47:$B$78,2,FALSE)+VLOOKUP(DH$3,'Embedded Emissions'!$A$129:$B$158,2,FALSE)), $C44 = "0", 0), 0)</f>
        <v>0</v>
      </c>
      <c r="DJ44" s="44">
        <f>IFERROR(_xlfn.IFS($C44="1",( 'Inputs-System'!$C$30*'Coincidence Factors'!$B$8*(1+'Inputs-System'!$C$18)*(1+'Inputs-System'!$C$41))*('Inputs-Proposals'!$I$17*'Inputs-Proposals'!$I$19*('Inputs-Proposals'!$I$20))*(VLOOKUP(DH$3,DRIPE!$A$54:$I$82,5,FALSE)+VLOOKUP(DH$3,DRIPE!$A$54:$I$82,9,FALSE))+ ('Inputs-System'!$C$26*'Coincidence Factors'!$B$8*(1+'Inputs-System'!$C$18)*(1+'Inputs-System'!$C$42))*'Inputs-Proposals'!$I$16*VLOOKUP(DH$3,DRIPE!$A$54:$I$82,8,FALSE), $C44 = "2",( 'Inputs-System'!$C$30*'Coincidence Factors'!$B$8*(1+'Inputs-System'!$C$18)*(1+'Inputs-System'!$C$41))*('Inputs-Proposals'!$I$23*'Inputs-Proposals'!$I$25*('Inputs-Proposals'!$I$26))*(VLOOKUP(DH$3,DRIPE!$A$54:$I$82,5,FALSE)+VLOOKUP(DH$3,DRIPE!$A$54:$I$82,9,FALSE))+  ('Inputs-System'!$C$26*'Coincidence Factors'!$B$8*(1+'Inputs-System'!$C$18)*(1+'Inputs-System'!$C$42))*'Inputs-Proposals'!$I$22*VLOOKUP(DH$3,DRIPE!$A$54:$I$82,8,FALSE), $C44= "3", ( 'Inputs-System'!$C$30*'Coincidence Factors'!$B$8*(1+'Inputs-System'!$C$18)*(1+'Inputs-System'!$C$41))*('Inputs-Proposals'!$I$29*'Inputs-Proposals'!$I$31*('Inputs-Proposals'!$I$32))*(VLOOKUP(DH$3,DRIPE!$A$54:$I$82,5,FALSE)+VLOOKUP(DH$3,DRIPE!$A$54:$I$82,9,FALSE))+  ('Inputs-System'!$C$26*'Coincidence Factors'!$B$8*(1+'Inputs-System'!$C$18)*(1+'Inputs-System'!$C$42))*'Inputs-Proposals'!$I$28*VLOOKUP(DH$3,DRIPE!$A$54:$I$82,8,FALSE), $C44 = "0", 0), 0)</f>
        <v>0</v>
      </c>
      <c r="DK44" s="45">
        <f>IFERROR(_xlfn.IFS($C44="1",('Inputs-System'!$C$30*'Coincidence Factors'!$B$8*(1+'Inputs-System'!$C$18))*'Inputs-Proposals'!$I$16*(VLOOKUP(DH$3,Capacity!$A$53:$E$85,4,FALSE)*(1+'Inputs-System'!$C$42)+VLOOKUP(DH$3,Capacity!$A$53:$E$85,5,FALSE)*'Inputs-System'!$C$29*(1+'Inputs-System'!$C$43)), $C44 = "2", ('Inputs-System'!$C$30*'Coincidence Factors'!$B$8*(1+'Inputs-System'!$C$18))*'Inputs-Proposals'!$I$22*(VLOOKUP(DH$3,Capacity!$A$53:$E$85,4,FALSE)*(1+'Inputs-System'!$C$42)+VLOOKUP(DH$3,Capacity!$A$53:$E$85,5,FALSE)*'Inputs-System'!$C$29*(1+'Inputs-System'!$C$43)), $C44 = "3",('Inputs-System'!$C$30*'Coincidence Factors'!$B$8*(1+'Inputs-System'!$C$18))*'Inputs-Proposals'!$I$28*(VLOOKUP(DH$3,Capacity!$A$53:$E$85,4,FALSE)*(1+'Inputs-System'!$C$42)+VLOOKUP(DH$3,Capacity!$A$53:$E$85,5,FALSE)*'Inputs-System'!$C$29*(1+'Inputs-System'!$C$43)), $C44 = "0", 0), 0)</f>
        <v>0</v>
      </c>
      <c r="DL44" s="44">
        <v>0</v>
      </c>
      <c r="DM44" s="342">
        <f>IFERROR(_xlfn.IFS($C44="1", 'Inputs-System'!$C$30*'Coincidence Factors'!$B$8*'Inputs-Proposals'!$I$17*'Inputs-Proposals'!$I$19*(VLOOKUP(DH$3,'Non-Embedded Emissions'!$A$56:$D$90,2,FALSE)+VLOOKUP(DH$3,'Non-Embedded Emissions'!$A$143:$D$174,2,FALSE)+VLOOKUP(DH$3,'Non-Embedded Emissions'!$A$230:$D$259,2,FALSE)), $C44 = "2", 'Inputs-System'!$C$30*'Coincidence Factors'!$B$8*'Inputs-Proposals'!$I$23*'Inputs-Proposals'!$I$25*(VLOOKUP(DH$3,'Non-Embedded Emissions'!$A$56:$D$90,2,FALSE)+VLOOKUP(DH$3,'Non-Embedded Emissions'!$A$143:$D$174,2,FALSE)+VLOOKUP(DH$3,'Non-Embedded Emissions'!$A$230:$D$259,2,FALSE)), $C44 = "3", 'Inputs-System'!$C$30*'Coincidence Factors'!$B$8*'Inputs-Proposals'!$I$29*'Inputs-Proposals'!$I$31*(VLOOKUP(DH$3,'Non-Embedded Emissions'!$A$56:$D$90,2,FALSE)+VLOOKUP(DH$3,'Non-Embedded Emissions'!$A$143:$D$174,2,FALSE)+VLOOKUP(DH$3,'Non-Embedded Emissions'!$A$230:$D$259,2,FALSE)), $C44 = "0", 0), 0)</f>
        <v>0</v>
      </c>
      <c r="DN44" s="347">
        <f>IFERROR(_xlfn.IFS($C44="1",('Inputs-System'!$C$30*'Coincidence Factors'!$B$8*(1+'Inputs-System'!$C$18)*(1+'Inputs-System'!$C$41)*('Inputs-Proposals'!$I$17*'Inputs-Proposals'!$I$19*('Inputs-Proposals'!$I$20))*(VLOOKUP(DN$3,Energy!$A$51:$K$83,5,FALSE))), $C44 = "2",('Inputs-System'!$C$30*'Coincidence Factors'!$B$8)*(1+'Inputs-System'!$C$18)*(1+'Inputs-System'!$C$41)*('Inputs-Proposals'!$I$23*'Inputs-Proposals'!$I$25*('Inputs-Proposals'!$I$26))*(VLOOKUP(DN$3,Energy!$A$51:$K$83,5,FALSE)), $C44= "3", ('Inputs-System'!$C$30*'Coincidence Factors'!$B$8*(1+'Inputs-System'!$C$18)*(1+'Inputs-System'!$C$41)*('Inputs-Proposals'!$I$29*'Inputs-Proposals'!$I$31*('Inputs-Proposals'!$I$32))*(VLOOKUP(DN$3,Energy!$A$51:$K$83,5,FALSE))), $C44= "0", 0), 0)</f>
        <v>0</v>
      </c>
      <c r="DO44" s="44">
        <f>IFERROR(_xlfn.IFS($C44="1",'Inputs-System'!$C$30*'Coincidence Factors'!$B$8*(1+'Inputs-System'!$C$18)*(1+'Inputs-System'!$C$41)*'Inputs-Proposals'!$I$17*'Inputs-Proposals'!$I$19*('Inputs-Proposals'!$I$20)*(VLOOKUP(DN$3,'Embedded Emissions'!$A$47:$B$78,2,FALSE)+VLOOKUP(DN$3,'Embedded Emissions'!$A$129:$B$158,2,FALSE)), $C44 = "2", 'Inputs-System'!$C$30*'Coincidence Factors'!$B$8*(1+'Inputs-System'!$C$18)*(1+'Inputs-System'!$C$41)*'Inputs-Proposals'!$I$23*'Inputs-Proposals'!$I$25*('Inputs-Proposals'!$I$20)*(VLOOKUP(DN$3,'Embedded Emissions'!$A$47:$B$78,2,FALSE)+VLOOKUP(DN$3,'Embedded Emissions'!$A$129:$B$158,2,FALSE)), $C44 = "3",'Inputs-System'!$C$30*'Coincidence Factors'!$B$8*(1+'Inputs-System'!$C$18)*(1+'Inputs-System'!$C$41)*'Inputs-Proposals'!$I$29*'Inputs-Proposals'!$I$31*('Inputs-Proposals'!$I$20)*(VLOOKUP(DN$3,'Embedded Emissions'!$A$47:$B$78,2,FALSE)+VLOOKUP(DN$3,'Embedded Emissions'!$A$129:$B$158,2,FALSE)), $C44 = "0", 0), 0)</f>
        <v>0</v>
      </c>
      <c r="DP44" s="44">
        <f>IFERROR(_xlfn.IFS($C44="1",( 'Inputs-System'!$C$30*'Coincidence Factors'!$B$8*(1+'Inputs-System'!$C$18)*(1+'Inputs-System'!$C$41))*('Inputs-Proposals'!$I$17*'Inputs-Proposals'!$I$19*('Inputs-Proposals'!$I$20))*(VLOOKUP(DN$3,DRIPE!$A$54:$I$82,5,FALSE)+VLOOKUP(DN$3,DRIPE!$A$54:$I$82,9,FALSE))+ ('Inputs-System'!$C$26*'Coincidence Factors'!$B$8*(1+'Inputs-System'!$C$18)*(1+'Inputs-System'!$C$42))*'Inputs-Proposals'!$I$16*VLOOKUP(DN$3,DRIPE!$A$54:$I$82,8,FALSE), $C44 = "2",( 'Inputs-System'!$C$30*'Coincidence Factors'!$B$8*(1+'Inputs-System'!$C$18)*(1+'Inputs-System'!$C$41))*('Inputs-Proposals'!$I$23*'Inputs-Proposals'!$I$25*('Inputs-Proposals'!$I$26))*(VLOOKUP(DN$3,DRIPE!$A$54:$I$82,5,FALSE)+VLOOKUP(DN$3,DRIPE!$A$54:$I$82,9,FALSE))+  ('Inputs-System'!$C$26*'Coincidence Factors'!$B$8*(1+'Inputs-System'!$C$18)*(1+'Inputs-System'!$C$42))*'Inputs-Proposals'!$I$22*VLOOKUP(DN$3,DRIPE!$A$54:$I$82,8,FALSE), $C44= "3", ( 'Inputs-System'!$C$30*'Coincidence Factors'!$B$8*(1+'Inputs-System'!$C$18)*(1+'Inputs-System'!$C$41))*('Inputs-Proposals'!$I$29*'Inputs-Proposals'!$I$31*('Inputs-Proposals'!$I$32))*(VLOOKUP(DN$3,DRIPE!$A$54:$I$82,5,FALSE)+VLOOKUP(DN$3,DRIPE!$A$54:$I$82,9,FALSE))+  ('Inputs-System'!$C$26*'Coincidence Factors'!$B$8*(1+'Inputs-System'!$C$18)*(1+'Inputs-System'!$C$42))*'Inputs-Proposals'!$I$28*VLOOKUP(DN$3,DRIPE!$A$54:$I$82,8,FALSE), $C44 = "0", 0), 0)</f>
        <v>0</v>
      </c>
      <c r="DQ44" s="45">
        <f>IFERROR(_xlfn.IFS($C44="1",('Inputs-System'!$C$30*'Coincidence Factors'!$B$8*(1+'Inputs-System'!$C$18))*'Inputs-Proposals'!$I$16*(VLOOKUP(DN$3,Capacity!$A$53:$E$85,4,FALSE)*(1+'Inputs-System'!$C$42)+VLOOKUP(DN$3,Capacity!$A$53:$E$85,5,FALSE)*'Inputs-System'!$C$29*(1+'Inputs-System'!$C$43)), $C44 = "2", ('Inputs-System'!$C$30*'Coincidence Factors'!$B$8*(1+'Inputs-System'!$C$18))*'Inputs-Proposals'!$I$22*(VLOOKUP(DN$3,Capacity!$A$53:$E$85,4,FALSE)*(1+'Inputs-System'!$C$42)+VLOOKUP(DN$3,Capacity!$A$53:$E$85,5,FALSE)*'Inputs-System'!$C$29*(1+'Inputs-System'!$C$43)), $C44 = "3",('Inputs-System'!$C$30*'Coincidence Factors'!$B$8*(1+'Inputs-System'!$C$18))*'Inputs-Proposals'!$I$28*(VLOOKUP(DN$3,Capacity!$A$53:$E$85,4,FALSE)*(1+'Inputs-System'!$C$42)+VLOOKUP(DN$3,Capacity!$A$53:$E$85,5,FALSE)*'Inputs-System'!$C$29*(1+'Inputs-System'!$C$43)), $C44 = "0", 0), 0)</f>
        <v>0</v>
      </c>
      <c r="DR44" s="44">
        <v>0</v>
      </c>
      <c r="DS44" s="342">
        <f>IFERROR(_xlfn.IFS($C44="1", 'Inputs-System'!$C$30*'Coincidence Factors'!$B$8*'Inputs-Proposals'!$I$17*'Inputs-Proposals'!$I$19*(VLOOKUP(DN$3,'Non-Embedded Emissions'!$A$56:$D$90,2,FALSE)+VLOOKUP(DN$3,'Non-Embedded Emissions'!$A$143:$D$174,2,FALSE)+VLOOKUP(DN$3,'Non-Embedded Emissions'!$A$230:$D$259,2,FALSE)), $C44 = "2", 'Inputs-System'!$C$30*'Coincidence Factors'!$B$8*'Inputs-Proposals'!$I$23*'Inputs-Proposals'!$I$25*(VLOOKUP(DN$3,'Non-Embedded Emissions'!$A$56:$D$90,2,FALSE)+VLOOKUP(DN$3,'Non-Embedded Emissions'!$A$143:$D$174,2,FALSE)+VLOOKUP(DN$3,'Non-Embedded Emissions'!$A$230:$D$259,2,FALSE)), $C44 = "3", 'Inputs-System'!$C$30*'Coincidence Factors'!$B$8*'Inputs-Proposals'!$I$29*'Inputs-Proposals'!$I$31*(VLOOKUP(DN$3,'Non-Embedded Emissions'!$A$56:$D$90,2,FALSE)+VLOOKUP(DN$3,'Non-Embedded Emissions'!$A$143:$D$174,2,FALSE)+VLOOKUP(DN$3,'Non-Embedded Emissions'!$A$230:$D$259,2,FALSE)), $C44 = "0", 0), 0)</f>
        <v>0</v>
      </c>
      <c r="DT44" s="347">
        <f>IFERROR(_xlfn.IFS($C44="1",('Inputs-System'!$C$30*'Coincidence Factors'!$B$8*(1+'Inputs-System'!$C$18)*(1+'Inputs-System'!$C$41)*('Inputs-Proposals'!$I$17*'Inputs-Proposals'!$I$19*('Inputs-Proposals'!$I$20))*(VLOOKUP(DT$3,Energy!$A$51:$K$83,5,FALSE))), $C44 = "2",('Inputs-System'!$C$30*'Coincidence Factors'!$B$8)*(1+'Inputs-System'!$C$18)*(1+'Inputs-System'!$C$41)*('Inputs-Proposals'!$I$23*'Inputs-Proposals'!$I$25*('Inputs-Proposals'!$I$26))*(VLOOKUP(DT$3,Energy!$A$51:$K$83,5,FALSE)), $C44= "3", ('Inputs-System'!$C$30*'Coincidence Factors'!$B$8*(1+'Inputs-System'!$C$18)*(1+'Inputs-System'!$C$41)*('Inputs-Proposals'!$I$29*'Inputs-Proposals'!$I$31*('Inputs-Proposals'!$I$32))*(VLOOKUP(DT$3,Energy!$A$51:$K$83,5,FALSE))), $C44= "0", 0), 0)</f>
        <v>0</v>
      </c>
      <c r="DU44" s="44">
        <f>IFERROR(_xlfn.IFS($C44="1",'Inputs-System'!$C$30*'Coincidence Factors'!$B$8*(1+'Inputs-System'!$C$18)*(1+'Inputs-System'!$C$41)*'Inputs-Proposals'!$I$17*'Inputs-Proposals'!$I$19*('Inputs-Proposals'!$I$20)*(VLOOKUP(DT$3,'Embedded Emissions'!$A$47:$B$78,2,FALSE)+VLOOKUP(DT$3,'Embedded Emissions'!$A$129:$B$158,2,FALSE)), $C44 = "2", 'Inputs-System'!$C$30*'Coincidence Factors'!$B$8*(1+'Inputs-System'!$C$18)*(1+'Inputs-System'!$C$41)*'Inputs-Proposals'!$I$23*'Inputs-Proposals'!$I$25*('Inputs-Proposals'!$I$20)*(VLOOKUP(DT$3,'Embedded Emissions'!$A$47:$B$78,2,FALSE)+VLOOKUP(DT$3,'Embedded Emissions'!$A$129:$B$158,2,FALSE)), $C44 = "3",'Inputs-System'!$C$30*'Coincidence Factors'!$B$8*(1+'Inputs-System'!$C$18)*(1+'Inputs-System'!$C$41)*'Inputs-Proposals'!$I$29*'Inputs-Proposals'!$I$31*('Inputs-Proposals'!$I$20)*(VLOOKUP(DT$3,'Embedded Emissions'!$A$47:$B$78,2,FALSE)+VLOOKUP(DT$3,'Embedded Emissions'!$A$129:$B$158,2,FALSE)), $C44 = "0", 0), 0)</f>
        <v>0</v>
      </c>
      <c r="DV44" s="44">
        <f>IFERROR(_xlfn.IFS($C44="1",( 'Inputs-System'!$C$30*'Coincidence Factors'!$B$8*(1+'Inputs-System'!$C$18)*(1+'Inputs-System'!$C$41))*('Inputs-Proposals'!$I$17*'Inputs-Proposals'!$I$19*('Inputs-Proposals'!$I$20))*(VLOOKUP(DT$3,DRIPE!$A$54:$I$82,5,FALSE)+VLOOKUP(DT$3,DRIPE!$A$54:$I$82,9,FALSE))+ ('Inputs-System'!$C$26*'Coincidence Factors'!$B$8*(1+'Inputs-System'!$C$18)*(1+'Inputs-System'!$C$42))*'Inputs-Proposals'!$I$16*VLOOKUP(DT$3,DRIPE!$A$54:$I$82,8,FALSE), $C44 = "2",( 'Inputs-System'!$C$30*'Coincidence Factors'!$B$8*(1+'Inputs-System'!$C$18)*(1+'Inputs-System'!$C$41))*('Inputs-Proposals'!$I$23*'Inputs-Proposals'!$I$25*('Inputs-Proposals'!$I$26))*(VLOOKUP(DT$3,DRIPE!$A$54:$I$82,5,FALSE)+VLOOKUP(DT$3,DRIPE!$A$54:$I$82,9,FALSE))+  ('Inputs-System'!$C$26*'Coincidence Factors'!$B$8*(1+'Inputs-System'!$C$18)*(1+'Inputs-System'!$C$42))*'Inputs-Proposals'!$I$22*VLOOKUP(DT$3,DRIPE!$A$54:$I$82,8,FALSE), $C44= "3", ( 'Inputs-System'!$C$30*'Coincidence Factors'!$B$8*(1+'Inputs-System'!$C$18)*(1+'Inputs-System'!$C$41))*('Inputs-Proposals'!$I$29*'Inputs-Proposals'!$I$31*('Inputs-Proposals'!$I$32))*(VLOOKUP(DT$3,DRIPE!$A$54:$I$82,5,FALSE)+VLOOKUP(DT$3,DRIPE!$A$54:$I$82,9,FALSE))+  ('Inputs-System'!$C$26*'Coincidence Factors'!$B$8*(1+'Inputs-System'!$C$18)*(1+'Inputs-System'!$C$42))*'Inputs-Proposals'!$I$28*VLOOKUP(DT$3,DRIPE!$A$54:$I$82,8,FALSE), $C44 = "0", 0), 0)</f>
        <v>0</v>
      </c>
      <c r="DW44" s="45">
        <f>IFERROR(_xlfn.IFS($C44="1",('Inputs-System'!$C$30*'Coincidence Factors'!$B$8*(1+'Inputs-System'!$C$18))*'Inputs-Proposals'!$I$16*(VLOOKUP(DT$3,Capacity!$A$53:$E$85,4,FALSE)*(1+'Inputs-System'!$C$42)+VLOOKUP(DT$3,Capacity!$A$53:$E$85,5,FALSE)*'Inputs-System'!$C$29*(1+'Inputs-System'!$C$43)), $C44 = "2", ('Inputs-System'!$C$30*'Coincidence Factors'!$B$8*(1+'Inputs-System'!$C$18))*'Inputs-Proposals'!$I$22*(VLOOKUP(DT$3,Capacity!$A$53:$E$85,4,FALSE)*(1+'Inputs-System'!$C$42)+VLOOKUP(DT$3,Capacity!$A$53:$E$85,5,FALSE)*'Inputs-System'!$C$29*(1+'Inputs-System'!$C$43)), $C44 = "3",('Inputs-System'!$C$30*'Coincidence Factors'!$B$8*(1+'Inputs-System'!$C$18))*'Inputs-Proposals'!$I$28*(VLOOKUP(DT$3,Capacity!$A$53:$E$85,4,FALSE)*(1+'Inputs-System'!$C$42)+VLOOKUP(DT$3,Capacity!$A$53:$E$85,5,FALSE)*'Inputs-System'!$C$29*(1+'Inputs-System'!$C$43)), $C44 = "0", 0), 0)</f>
        <v>0</v>
      </c>
      <c r="DX44" s="44">
        <v>0</v>
      </c>
      <c r="DY44" s="342">
        <f>IFERROR(_xlfn.IFS($C44="1", 'Inputs-System'!$C$30*'Coincidence Factors'!$B$8*'Inputs-Proposals'!$I$17*'Inputs-Proposals'!$I$19*(VLOOKUP(DT$3,'Non-Embedded Emissions'!$A$56:$D$90,2,FALSE)+VLOOKUP(DT$3,'Non-Embedded Emissions'!$A$143:$D$174,2,FALSE)+VLOOKUP(DT$3,'Non-Embedded Emissions'!$A$230:$D$259,2,FALSE)), $C44 = "2", 'Inputs-System'!$C$30*'Coincidence Factors'!$B$8*'Inputs-Proposals'!$I$23*'Inputs-Proposals'!$I$25*(VLOOKUP(DT$3,'Non-Embedded Emissions'!$A$56:$D$90,2,FALSE)+VLOOKUP(DT$3,'Non-Embedded Emissions'!$A$143:$D$174,2,FALSE)+VLOOKUP(DT$3,'Non-Embedded Emissions'!$A$230:$D$259,2,FALSE)), $C44 = "3", 'Inputs-System'!$C$30*'Coincidence Factors'!$B$8*'Inputs-Proposals'!$I$29*'Inputs-Proposals'!$I$31*(VLOOKUP(DT$3,'Non-Embedded Emissions'!$A$56:$D$90,2,FALSE)+VLOOKUP(DT$3,'Non-Embedded Emissions'!$A$143:$D$174,2,FALSE)+VLOOKUP(DT$3,'Non-Embedded Emissions'!$A$230:$D$259,2,FALSE)), $C44 = "0", 0), 0)</f>
        <v>0</v>
      </c>
      <c r="DZ44" s="347">
        <f>IFERROR(_xlfn.IFS($C44="1",('Inputs-System'!$C$30*'Coincidence Factors'!$B$8*(1+'Inputs-System'!$C$18)*(1+'Inputs-System'!$C$41)*('Inputs-Proposals'!$I$17*'Inputs-Proposals'!$I$19*('Inputs-Proposals'!$I$20))*(VLOOKUP(DZ$3,Energy!$A$51:$K$83,5,FALSE))), $C44 = "2",('Inputs-System'!$C$30*'Coincidence Factors'!$B$8)*(1+'Inputs-System'!$C$18)*(1+'Inputs-System'!$C$41)*('Inputs-Proposals'!$I$23*'Inputs-Proposals'!$I$25*('Inputs-Proposals'!$I$26))*(VLOOKUP(DZ$3,Energy!$A$51:$K$83,5,FALSE)), $C44= "3", ('Inputs-System'!$C$30*'Coincidence Factors'!$B$8*(1+'Inputs-System'!$C$18)*(1+'Inputs-System'!$C$41)*('Inputs-Proposals'!$I$29*'Inputs-Proposals'!$I$31*('Inputs-Proposals'!$I$32))*(VLOOKUP(DZ$3,Energy!$A$51:$K$83,5,FALSE))), $C44= "0", 0), 0)</f>
        <v>0</v>
      </c>
      <c r="EA44" s="44">
        <f>IFERROR(_xlfn.IFS($C44="1",'Inputs-System'!$C$30*'Coincidence Factors'!$B$8*(1+'Inputs-System'!$C$18)*(1+'Inputs-System'!$C$41)*'Inputs-Proposals'!$I$17*'Inputs-Proposals'!$I$19*('Inputs-Proposals'!$I$20)*(VLOOKUP(DZ$3,'Embedded Emissions'!$A$47:$B$78,2,FALSE)+VLOOKUP(DZ$3,'Embedded Emissions'!$A$129:$B$158,2,FALSE)), $C44 = "2", 'Inputs-System'!$C$30*'Coincidence Factors'!$B$8*(1+'Inputs-System'!$C$18)*(1+'Inputs-System'!$C$41)*'Inputs-Proposals'!$I$23*'Inputs-Proposals'!$I$25*('Inputs-Proposals'!$I$20)*(VLOOKUP(DZ$3,'Embedded Emissions'!$A$47:$B$78,2,FALSE)+VLOOKUP(DZ$3,'Embedded Emissions'!$A$129:$B$158,2,FALSE)), $C44 = "3",'Inputs-System'!$C$30*'Coincidence Factors'!$B$8*(1+'Inputs-System'!$C$18)*(1+'Inputs-System'!$C$41)*'Inputs-Proposals'!$I$29*'Inputs-Proposals'!$I$31*('Inputs-Proposals'!$I$20)*(VLOOKUP(DZ$3,'Embedded Emissions'!$A$47:$B$78,2,FALSE)+VLOOKUP(DZ$3,'Embedded Emissions'!$A$129:$B$158,2,FALSE)), $C44 = "0", 0), 0)</f>
        <v>0</v>
      </c>
      <c r="EB44" s="44">
        <f>IFERROR(_xlfn.IFS($C44="1",( 'Inputs-System'!$C$30*'Coincidence Factors'!$B$8*(1+'Inputs-System'!$C$18)*(1+'Inputs-System'!$C$41))*('Inputs-Proposals'!$I$17*'Inputs-Proposals'!$I$19*('Inputs-Proposals'!$I$20))*(VLOOKUP(DZ$3,DRIPE!$A$54:$I$82,5,FALSE)+VLOOKUP(DZ$3,DRIPE!$A$54:$I$82,9,FALSE))+ ('Inputs-System'!$C$26*'Coincidence Factors'!$B$8*(1+'Inputs-System'!$C$18)*(1+'Inputs-System'!$C$42))*'Inputs-Proposals'!$I$16*VLOOKUP(DZ$3,DRIPE!$A$54:$I$82,8,FALSE), $C44 = "2",( 'Inputs-System'!$C$30*'Coincidence Factors'!$B$8*(1+'Inputs-System'!$C$18)*(1+'Inputs-System'!$C$41))*('Inputs-Proposals'!$I$23*'Inputs-Proposals'!$I$25*('Inputs-Proposals'!$I$26))*(VLOOKUP(DZ$3,DRIPE!$A$54:$I$82,5,FALSE)+VLOOKUP(DZ$3,DRIPE!$A$54:$I$82,9,FALSE))+  ('Inputs-System'!$C$26*'Coincidence Factors'!$B$8*(1+'Inputs-System'!$C$18)*(1+'Inputs-System'!$C$42))*'Inputs-Proposals'!$I$22*VLOOKUP(DZ$3,DRIPE!$A$54:$I$82,8,FALSE), $C44= "3", ( 'Inputs-System'!$C$30*'Coincidence Factors'!$B$8*(1+'Inputs-System'!$C$18)*(1+'Inputs-System'!$C$41))*('Inputs-Proposals'!$I$29*'Inputs-Proposals'!$I$31*('Inputs-Proposals'!$I$32))*(VLOOKUP(DZ$3,DRIPE!$A$54:$I$82,5,FALSE)+VLOOKUP(DZ$3,DRIPE!$A$54:$I$82,9,FALSE))+  ('Inputs-System'!$C$26*'Coincidence Factors'!$B$8*(1+'Inputs-System'!$C$18)*(1+'Inputs-System'!$C$42))*'Inputs-Proposals'!$I$28*VLOOKUP(DZ$3,DRIPE!$A$54:$I$82,8,FALSE), $C44 = "0", 0), 0)</f>
        <v>0</v>
      </c>
      <c r="EC44" s="45">
        <f>IFERROR(_xlfn.IFS($C44="1",('Inputs-System'!$C$30*'Coincidence Factors'!$B$8*(1+'Inputs-System'!$C$18))*'Inputs-Proposals'!$I$16*(VLOOKUP(DZ$3,Capacity!$A$53:$E$85,4,FALSE)*(1+'Inputs-System'!$C$42)+VLOOKUP(DZ$3,Capacity!$A$53:$E$85,5,FALSE)*'Inputs-System'!$C$29*(1+'Inputs-System'!$C$43)), $C44 = "2", ('Inputs-System'!$C$30*'Coincidence Factors'!$B$8*(1+'Inputs-System'!$C$18))*'Inputs-Proposals'!$I$22*(VLOOKUP(DZ$3,Capacity!$A$53:$E$85,4,FALSE)*(1+'Inputs-System'!$C$42)+VLOOKUP(DZ$3,Capacity!$A$53:$E$85,5,FALSE)*'Inputs-System'!$C$29*(1+'Inputs-System'!$C$43)), $C44 = "3",('Inputs-System'!$C$30*'Coincidence Factors'!$B$8*(1+'Inputs-System'!$C$18))*'Inputs-Proposals'!$I$28*(VLOOKUP(DZ$3,Capacity!$A$53:$E$85,4,FALSE)*(1+'Inputs-System'!$C$42)+VLOOKUP(DZ$3,Capacity!$A$53:$E$85,5,FALSE)*'Inputs-System'!$C$29*(1+'Inputs-System'!$C$43)), $C44 = "0", 0), 0)</f>
        <v>0</v>
      </c>
      <c r="ED44" s="44">
        <v>0</v>
      </c>
      <c r="EE44" s="342">
        <f>IFERROR(_xlfn.IFS($C44="1", 'Inputs-System'!$C$30*'Coincidence Factors'!$B$8*'Inputs-Proposals'!$I$17*'Inputs-Proposals'!$I$19*(VLOOKUP(DZ$3,'Non-Embedded Emissions'!$A$56:$D$90,2,FALSE)+VLOOKUP(DZ$3,'Non-Embedded Emissions'!$A$143:$D$174,2,FALSE)+VLOOKUP(DZ$3,'Non-Embedded Emissions'!$A$230:$D$259,2,FALSE)), $C44 = "2", 'Inputs-System'!$C$30*'Coincidence Factors'!$B$8*'Inputs-Proposals'!$I$23*'Inputs-Proposals'!$I$25*(VLOOKUP(DZ$3,'Non-Embedded Emissions'!$A$56:$D$90,2,FALSE)+VLOOKUP(DZ$3,'Non-Embedded Emissions'!$A$143:$D$174,2,FALSE)+VLOOKUP(DZ$3,'Non-Embedded Emissions'!$A$230:$D$259,2,FALSE)), $C44 = "3", 'Inputs-System'!$C$30*'Coincidence Factors'!$B$8*'Inputs-Proposals'!$I$29*'Inputs-Proposals'!$I$31*(VLOOKUP(DZ$3,'Non-Embedded Emissions'!$A$56:$D$90,2,FALSE)+VLOOKUP(DZ$3,'Non-Embedded Emissions'!$A$143:$D$174,2,FALSE)+VLOOKUP(DZ$3,'Non-Embedded Emissions'!$A$230:$D$259,2,FALSE)), $C44 = "0", 0), 0)</f>
        <v>0</v>
      </c>
    </row>
    <row r="45" spans="1:135" x14ac:dyDescent="0.35">
      <c r="A45" s="708"/>
      <c r="B45" s="3" t="str">
        <f>B39</f>
        <v>Diesel GenSet</v>
      </c>
      <c r="C45" s="3" t="str">
        <f>IFERROR(_xlfn.IFS('Benefits Calc'!B45='Inputs-Proposals'!$I$15, "1", 'Benefits Calc'!B45='Inputs-Proposals'!$I$21, "2", 'Benefits Calc'!B45='Inputs-Proposals'!$I$27, "3"), "0")</f>
        <v>0</v>
      </c>
      <c r="D45" s="323">
        <f t="shared" ref="D45:D46" si="42">P45+V45+AB45+AH45+AN45+AT45+AZ45+BF45+BL45+BR45+BX45+CD45+CJ45+CP45+CV45+DB45+DH45+DN45+DT45+DZ45</f>
        <v>0</v>
      </c>
      <c r="E45" s="44">
        <f t="shared" ref="E45:E46" si="43">Q45+W45+AC45+AI45+AO45+AU45+BA45+BG45+BM45+BS45+BY45+CE45+CK45+CQ45+CW45+DC45+DI45+DO45+DU45+EA45</f>
        <v>0</v>
      </c>
      <c r="F45" s="44">
        <f t="shared" ref="F45:F46" si="44">R45+X45+AD45+AJ45+AP45+AV45+BB45+BH45+BN45+BT45+BZ45+CF45+CL45+CR45+CX45+DD45+DJ45+DP45+DV45+EB45</f>
        <v>0</v>
      </c>
      <c r="G45" s="44">
        <f t="shared" ref="G45:G46" si="45">S45+Y45+AE45+AK45+AQ45+AW45+BC45+BI45+BO45+BU45+CA45+CG45+CM45+CS45+CY45+DE45+DK45+DQ45+DW45+EC45</f>
        <v>0</v>
      </c>
      <c r="H45" s="44">
        <f t="shared" ref="H45:H46" si="46">T45+Z45+AF45+AL45+AR45+AX45+BD45+BJ45+BP45+BV45+CB45+CH45+CN45+CT45+CZ45+DF45+DL45+DR45+DX45+ED45</f>
        <v>0</v>
      </c>
      <c r="I45" s="44">
        <f t="shared" ref="I45:I46" si="47">U45+AA45+AG45+AM45+AS45+AY45+BE45+BK45+BQ45+BW45+CC45+CI45+CO45+CU45+DA45+DG45+DM45+DS45+DY45+EE45</f>
        <v>0</v>
      </c>
      <c r="J45" s="323">
        <f>NPV('Inputs-System'!$C$20,P45+V45+AB45+AH45+AN45+AT45+AZ45+BF45+BL45+BR45+BX45+CD45+CJ45+CP45+CV45+DB45+DH45+DN45+DT45+DZ45)</f>
        <v>0</v>
      </c>
      <c r="K45" s="44">
        <f>NPV('Inputs-System'!$C$20,Q45+W45+AC45+AI45+AO45+AU45+BA45+BG45+BM45+BS45+BY45+CE45+CK45+CQ45+CW45+DC45+DI45+DO45+DU45+EA45)</f>
        <v>0</v>
      </c>
      <c r="L45" s="44">
        <f>NPV('Inputs-System'!$C$20,R45+X45+AD45+AJ45+AP45+AV45+BB45+BH45+BN45+BT45+BZ45+CF45+CL45+CR45+CX45+DD45+DJ45+DP45+DV45+EB45)</f>
        <v>0</v>
      </c>
      <c r="M45" s="44">
        <f>NPV('Inputs-System'!$C$20,S45+Y45+AE45+AK45+AQ45+AW45+BC45+BI45+BO45+BU45+CA45+CG45+CM45+CS45+CY45+DE45+DK45+DQ45+DW45+EC45)</f>
        <v>0</v>
      </c>
      <c r="N45" s="44">
        <f>NPV('Inputs-System'!$C$20,T45+Z45+AF45+AL45+AR45+AX45+BD45+BJ45+BP45+BV45+CB45+CH45+CN45+CT45+CZ45+DF45+DL45+DR45+DX45+ED45)</f>
        <v>0</v>
      </c>
      <c r="O45" s="119">
        <f>NPV('Inputs-System'!$C$20,U45+AA45+AG45+AM45+AS45+AY45+BE45+BK45+BQ45+BW45+CC45+CI45+CO45+CU45+DA45+DG45+DM45+DS45+DY45+EE45)</f>
        <v>0</v>
      </c>
      <c r="P45" s="366">
        <f>IFERROR(_xlfn.IFS($C45="1",('Inputs-System'!$C$30*'Coincidence Factors'!$B$9*(1+'Inputs-System'!$C$18)*(1+'Inputs-System'!$C$41)*('Inputs-Proposals'!$I$17*'Inputs-Proposals'!$I$19*(1-'Inputs-Proposals'!$I$20^(P$3-'Inputs-System'!$C$7+1)))*(VLOOKUP(P$3,Energy!$A$51:$K$83,5,FALSE))), $C45 = "2",('Inputs-System'!$C$30*'Coincidence Factors'!$B$9)*(1+'Inputs-System'!$C$18)*(1+'Inputs-System'!$C$41)*('Inputs-Proposals'!$I$23*'Inputs-Proposals'!$I$25*(1-'Inputs-Proposals'!$I$26^(P$3-'Inputs-System'!$C$7+1)))*(VLOOKUP(P$3,Energy!$A$51:$K$83,5,FALSE)), $C45= "3", ('Inputs-System'!$C$30*'Coincidence Factors'!$B$9*(1+'Inputs-System'!$C$18)*(1+'Inputs-System'!$C$41)*('Inputs-Proposals'!$I$29*'Inputs-Proposals'!$I$31*(1-'Inputs-Proposals'!$I$32^(P$3-'Inputs-System'!$C$7+1)))*(VLOOKUP(P$3,Energy!$A$51:$K$83,5,FALSE))), $C45= "0", 0), 0)</f>
        <v>0</v>
      </c>
      <c r="Q45" s="44">
        <f>IFERROR(_xlfn.IFS($C45="1",('Inputs-System'!$C$30*'Coincidence Factors'!$B$9*(1+'Inputs-System'!$C$18)*(1+'Inputs-System'!$C$41))*'Inputs-Proposals'!$I$17*'Inputs-Proposals'!$I$19*(1-'Inputs-Proposals'!$I$20^(P$3-'Inputs-System'!$C$7+1))*(VLOOKUP(P$3,'Embedded Emissions'!$A$47:$B$78,2,FALSE)+VLOOKUP(P$3,'Embedded Emissions'!$A$129:$B$158,2,FALSE)), $C45 = "2",('Inputs-System'!$C$30*'Coincidence Factors'!$B$9*(1+'Inputs-System'!$C$18)*(1+'Inputs-System'!$C$41))*'Inputs-Proposals'!$I$23*'Inputs-Proposals'!$I$25*(1-'Inputs-Proposals'!$I$20^(P$3-'Inputs-System'!$C$7+1))*(VLOOKUP(P$3,'Embedded Emissions'!$A$47:$B$78,2,FALSE)+VLOOKUP(P$3,'Embedded Emissions'!$A$129:$B$158,2,FALSE)), $C45 = "3", ('Inputs-System'!$C$30*'Coincidence Factors'!$B$9*(1+'Inputs-System'!$C$18)*(1+'Inputs-System'!$C$41))*'Inputs-Proposals'!$I$29*'Inputs-Proposals'!$I$31*(1-'Inputs-Proposals'!$I$20^(P$3-'Inputs-System'!$C$7+1))*(VLOOKUP(P$3,'Embedded Emissions'!$A$47:$B$78,2,FALSE)+VLOOKUP(P$3,'Embedded Emissions'!$A$129:$B$158,2,FALSE)), $C45 = "0", 0), 0)</f>
        <v>0</v>
      </c>
      <c r="R45" s="44">
        <f>IFERROR(_xlfn.IFS($C45="1",( 'Inputs-System'!$C$30*'Coincidence Factors'!$B$9*(1+'Inputs-System'!$C$18)*(1+'Inputs-System'!$C$41))*('Inputs-Proposals'!$I$17*'Inputs-Proposals'!$I$19*(1-'Inputs-Proposals'!$I$20)^(P$3-'Inputs-System'!$C$7))*(VLOOKUP(P$3,DRIPE!$A$54:$I$82,5,FALSE)+VLOOKUP(P$3,DRIPE!$A$54:$I$82,9,FALSE))+ ('Inputs-System'!$C$26*'Coincidence Factors'!$B$6*(1+'Inputs-System'!$C$18)*(1+'Inputs-System'!$C$42))*'Inputs-Proposals'!$I$16*VLOOKUP(P$3,DRIPE!$A$54:$I$82,8,FALSE), $C45 = "2",( 'Inputs-System'!$C$30*'Coincidence Factors'!$B$9*(1+'Inputs-System'!$C$18)*(1+'Inputs-System'!$C$41))*('Inputs-Proposals'!$I$23*'Inputs-Proposals'!$I$25*(1-'Inputs-Proposals'!$I$26)^(P$3-'Inputs-System'!$C$7))*(VLOOKUP(P$3,DRIPE!$A$54:$I$82,5,FALSE)+VLOOKUP(P$3,DRIPE!$A$54:$I$82,9,FALSE))+ ('Inputs-System'!$C$26*'Coincidence Factors'!$B$6*(1+'Inputs-System'!$C$18)*(1+'Inputs-System'!$C$42))*'Inputs-Proposals'!$I$22*VLOOKUP(P$3,DRIPE!$A$54:$I$82,8,FALSE), $C45= "3", ( 'Inputs-System'!$C$30*'Coincidence Factors'!$B$9*(1+'Inputs-System'!$C$18)*(1+'Inputs-System'!$C$41))*('Inputs-Proposals'!$I$29*'Inputs-Proposals'!$I$31*(1-'Inputs-Proposals'!$I$32)^(P$3-'Inputs-System'!$C$7))*(VLOOKUP(P$3,DRIPE!$A$54:$I$82,5,FALSE)+VLOOKUP(P$3,DRIPE!$A$54:$I$82,9,FALSE))+ ('Inputs-System'!$C$26*'Coincidence Factors'!$B$6*(1+'Inputs-System'!$C$18)*(1+'Inputs-System'!$C$42))*'Inputs-Proposals'!$I$28*VLOOKUP(P$3,DRIPE!$A$54:$I$82,8,FALSE), $C45 = "0", 0), 0)</f>
        <v>0</v>
      </c>
      <c r="S45" s="45">
        <f>IFERROR(_xlfn.IFS($C45="1",('Inputs-System'!$C$26*'Coincidence Factors'!$B$9*(1+'Inputs-System'!$C$18)*(1+'Inputs-System'!$C$42))*'Inputs-Proposals'!$D$16*(VLOOKUP(P$3,Capacity!$A$53:$E$85,4,FALSE)*(1+'Inputs-System'!$C$42)+VLOOKUP(P$3,Capacity!$A$53:$E$85,5,FALSE)*(1+'Inputs-System'!$C$43)*'Inputs-System'!$C$29), $C45 = "2", ('Inputs-System'!$C$26*'Coincidence Factors'!$B$9*(1+'Inputs-System'!$C$18))*'Inputs-Proposals'!$D$22*(VLOOKUP(P$3,Capacity!$A$53:$E$85,4,FALSE)*(1+'Inputs-System'!$C$42)+VLOOKUP(P$3,Capacity!$A$53:$E$85,5,FALSE)*'Inputs-System'!$C$29*(1+'Inputs-System'!$C$43)), $C45 = "3", ('Inputs-System'!$C$26*'Coincidence Factors'!$B$9*(1+'Inputs-System'!$C$18))*'Inputs-Proposals'!$D$28*(VLOOKUP(P$3,Capacity!$A$53:$E$85,4,FALSE)*(1+'Inputs-System'!$C$42)+VLOOKUP(P$3,Capacity!$A$53:$E$85,5,FALSE)*'Inputs-System'!$C$29*(1+'Inputs-System'!$C$43)), $C45 = "0", 0), 0)</f>
        <v>0</v>
      </c>
      <c r="T45" s="44">
        <v>0</v>
      </c>
      <c r="U45" s="342">
        <f>IFERROR(_xlfn.IFS($C45="1", 'Inputs-System'!$C$30*'Coincidence Factors'!$B$9*'Inputs-Proposals'!$I$17*'Inputs-Proposals'!$I$19*(VLOOKUP(P$3,'Non-Embedded Emissions'!$A$56:$D$90,2,FALSE)-VLOOKUP(P$3,'Non-Embedded Emissions'!$F$57:$H$88,2,FALSE)+VLOOKUP(P$3,'Non-Embedded Emissions'!$A$143:$D$174,2,FALSE)-VLOOKUP(P$3,'Non-Embedded Emissions'!$F$143:$H$174,2,FALSE)+VLOOKUP(P$3,'Non-Embedded Emissions'!$A$230:$D$259,2,FALSE)), $C45 = "2", 'Inputs-System'!$C$30*'Coincidence Factors'!$B$9*'Inputs-Proposals'!$I$23*'Inputs-Proposals'!$I$25*(VLOOKUP(P$3,'Non-Embedded Emissions'!$A$56:$D$90,2,FALSE)-VLOOKUP(P$3,'Non-Embedded Emissions'!$F$57:$H$88,2,FALSE)+VLOOKUP(P$3,'Non-Embedded Emissions'!$A$143:$D$174,2,FALSE)-VLOOKUP(P$3,'Non-Embedded Emissions'!$F$143:$H$174,2,FALSE)+VLOOKUP(P$3,'Non-Embedded Emissions'!$A$230:$D$259,2,FALSE)), $C45 = "3", 'Inputs-System'!$C$30*'Coincidence Factors'!$B$9*'Inputs-Proposals'!$I$29*'Inputs-Proposals'!$I$31*(VLOOKUP(P$3,'Non-Embedded Emissions'!$A$56:$D$90,2,FALSE)-VLOOKUP(P$3,'Non-Embedded Emissions'!$F$57:$H$88,2,FALSE)+VLOOKUP(P$3,'Non-Embedded Emissions'!$A$143:$D$174,2,FALSE)-VLOOKUP(P$3,'Non-Embedded Emissions'!$F$143:$H$174,2,FALSE)+VLOOKUP(P$3,'Non-Embedded Emissions'!$A$230:$D$259,2,FALSE)), $C45 = "0", 0), 0)</f>
        <v>0</v>
      </c>
      <c r="V45" s="45">
        <f>IFERROR(_xlfn.IFS($C45="1",('Inputs-System'!$C$30*'Coincidence Factors'!$B$9*(1+'Inputs-System'!$C$18)*(1+'Inputs-System'!$C$41)*('Inputs-Proposals'!$I$17*'Inputs-Proposals'!$I$19*(1-'Inputs-Proposals'!$I$20^(V$3-'Inputs-System'!$C$7)))*(VLOOKUP(V$3,Energy!$A$51:$K$83,5,FALSE))), $C45 = "2",('Inputs-System'!$C$30*'Coincidence Factors'!$B$9)*(1+'Inputs-System'!$C$18)*(1+'Inputs-System'!$C$41)*('Inputs-Proposals'!$I$23*'Inputs-Proposals'!$I$25*(1-'Inputs-Proposals'!$I$26^(V$3-'Inputs-System'!$C$7)))*(VLOOKUP(V$3,Energy!$A$51:$K$83,5,FALSE)), $C45= "3", ('Inputs-System'!$C$30*'Coincidence Factors'!$B$9*(1+'Inputs-System'!$C$18)*(1+'Inputs-System'!$C$41)*('Inputs-Proposals'!$I$29*'Inputs-Proposals'!$I$31*(1-'Inputs-Proposals'!$I$32^(V$3-'Inputs-System'!$C$7)))*(VLOOKUP(V$3,Energy!$A$51:$K$83,5,FALSE))), $C45= "0", 0), 0)</f>
        <v>0</v>
      </c>
      <c r="W45" s="44">
        <f>IFERROR(_xlfn.IFS($C45="1",('Inputs-System'!$C$30*'Coincidence Factors'!$B$9*(1+'Inputs-System'!$C$18)*(1+'Inputs-System'!$C$41))*'Inputs-Proposals'!$I$17*'Inputs-Proposals'!$I$19*(1-'Inputs-Proposals'!$I$20^(V$3-'Inputs-System'!$C$7))*(VLOOKUP(V$3,'Embedded Emissions'!$A$47:$B$78,2,FALSE)+VLOOKUP(V$3,'Embedded Emissions'!$A$129:$B$158,2,FALSE)), $C45 = "2",('Inputs-System'!$C$30*'Coincidence Factors'!$B$9*(1+'Inputs-System'!$C$18)*(1+'Inputs-System'!$C$41))*'Inputs-Proposals'!$I$23*'Inputs-Proposals'!$I$25*(1-'Inputs-Proposals'!$I$20^(V$3-'Inputs-System'!$C$7))*(VLOOKUP(V$3,'Embedded Emissions'!$A$47:$B$78,2,FALSE)+VLOOKUP(V$3,'Embedded Emissions'!$A$129:$B$158,2,FALSE)), $C45 = "3", ('Inputs-System'!$C$30*'Coincidence Factors'!$B$9*(1+'Inputs-System'!$C$18)*(1+'Inputs-System'!$C$41))*'Inputs-Proposals'!$I$29*'Inputs-Proposals'!$I$31*(1-'Inputs-Proposals'!$I$20^(V$3-'Inputs-System'!$C$7))*(VLOOKUP(V$3,'Embedded Emissions'!$A$47:$B$78,2,FALSE)+VLOOKUP(V$3,'Embedded Emissions'!$A$129:$B$158,2,FALSE)), $C45 = "0", 0), 0)</f>
        <v>0</v>
      </c>
      <c r="X45" s="44">
        <f>IFERROR(_xlfn.IFS($C45="1",( 'Inputs-System'!$C$30*'Coincidence Factors'!$B$9*(1+'Inputs-System'!$C$18)*(1+'Inputs-System'!$C$41))*('Inputs-Proposals'!$I$17*'Inputs-Proposals'!$I$19*(1-'Inputs-Proposals'!$I$20)^(V$3-'Inputs-System'!$C$7))*(VLOOKUP(V$3,DRIPE!$A$54:$I$82,5,FALSE)+VLOOKUP(V$3,DRIPE!$A$54:$I$82,9,FALSE))+ ('Inputs-System'!$C$26*'Coincidence Factors'!$B$6*(1+'Inputs-System'!$C$18)*(1+'Inputs-System'!$C$42))*'Inputs-Proposals'!$I$16*VLOOKUP(V$3,DRIPE!$A$54:$I$82,8,FALSE), $C45 = "2",( 'Inputs-System'!$C$30*'Coincidence Factors'!$B$9*(1+'Inputs-System'!$C$18)*(1+'Inputs-System'!$C$41))*('Inputs-Proposals'!$I$23*'Inputs-Proposals'!$I$25*(1-'Inputs-Proposals'!$I$26)^(V$3-'Inputs-System'!$C$7))*(VLOOKUP(V$3,DRIPE!$A$54:$I$82,5,FALSE)+VLOOKUP(V$3,DRIPE!$A$54:$I$82,9,FALSE))+ ('Inputs-System'!$C$26*'Coincidence Factors'!$B$6*(1+'Inputs-System'!$C$18)*(1+'Inputs-System'!$C$42))*'Inputs-Proposals'!$I$22*VLOOKUP(V$3,DRIPE!$A$54:$I$82,8,FALSE), $C45= "3", ( 'Inputs-System'!$C$30*'Coincidence Factors'!$B$9*(1+'Inputs-System'!$C$18)*(1+'Inputs-System'!$C$41))*('Inputs-Proposals'!$I$29*'Inputs-Proposals'!$I$31*(1-'Inputs-Proposals'!$I$32)^(V$3-'Inputs-System'!$C$7))*(VLOOKUP(V$3,DRIPE!$A$54:$I$82,5,FALSE)+VLOOKUP(V$3,DRIPE!$A$54:$I$82,9,FALSE))+ ('Inputs-System'!$C$26*'Coincidence Factors'!$B$6*(1+'Inputs-System'!$C$18)*(1+'Inputs-System'!$C$42))*'Inputs-Proposals'!$I$28*VLOOKUP(V$3,DRIPE!$A$54:$I$82,8,FALSE), $C45 = "0", 0), 0)</f>
        <v>0</v>
      </c>
      <c r="Y45" s="45">
        <f>IFERROR(_xlfn.IFS($C45="1",('Inputs-System'!$C$26*'Coincidence Factors'!$B$9*(1+'Inputs-System'!$C$18)*(1+'Inputs-System'!$C$42))*'Inputs-Proposals'!$D$16*(VLOOKUP(V$3,Capacity!$A$53:$E$85,4,FALSE)*(1+'Inputs-System'!$C$42)+VLOOKUP(V$3,Capacity!$A$53:$E$85,5,FALSE)*(1+'Inputs-System'!$C$43)*'Inputs-System'!$C$29), $C45 = "2", ('Inputs-System'!$C$26*'Coincidence Factors'!$B$9*(1+'Inputs-System'!$C$18))*'Inputs-Proposals'!$D$22*(VLOOKUP(V$3,Capacity!$A$53:$E$85,4,FALSE)*(1+'Inputs-System'!$C$42)+VLOOKUP(V$3,Capacity!$A$53:$E$85,5,FALSE)*'Inputs-System'!$C$29*(1+'Inputs-System'!$C$43)), $C45 = "3", ('Inputs-System'!$C$26*'Coincidence Factors'!$B$9*(1+'Inputs-System'!$C$18))*'Inputs-Proposals'!$D$28*(VLOOKUP(V$3,Capacity!$A$53:$E$85,4,FALSE)*(1+'Inputs-System'!$C$42)+VLOOKUP(V$3,Capacity!$A$53:$E$85,5,FALSE)*'Inputs-System'!$C$29*(1+'Inputs-System'!$C$43)), $C45 = "0", 0), 0)</f>
        <v>0</v>
      </c>
      <c r="Z45" s="44">
        <v>0</v>
      </c>
      <c r="AA45" s="342">
        <f>IFERROR(_xlfn.IFS($C45="1", 'Inputs-System'!$C$30*'Coincidence Factors'!$B$9*'Inputs-Proposals'!$I$17*'Inputs-Proposals'!$I$19*(VLOOKUP(V$3,'Non-Embedded Emissions'!$A$56:$D$90,2,FALSE)-VLOOKUP(V$3,'Non-Embedded Emissions'!$F$57:$H$88,2,FALSE)+VLOOKUP(V$3,'Non-Embedded Emissions'!$A$143:$D$174,2,FALSE)-VLOOKUP(V$3,'Non-Embedded Emissions'!$F$143:$H$174,2,FALSE)+VLOOKUP(V$3,'Non-Embedded Emissions'!$A$230:$D$259,2,FALSE)), $C45 = "2", 'Inputs-System'!$C$30*'Coincidence Factors'!$B$9*'Inputs-Proposals'!$I$23*'Inputs-Proposals'!$I$25*(VLOOKUP(V$3,'Non-Embedded Emissions'!$A$56:$D$90,2,FALSE)-VLOOKUP(V$3,'Non-Embedded Emissions'!$F$57:$H$88,2,FALSE)+VLOOKUP(V$3,'Non-Embedded Emissions'!$A$143:$D$174,2,FALSE)-VLOOKUP(V$3,'Non-Embedded Emissions'!$F$143:$H$174,2,FALSE)+VLOOKUP(V$3,'Non-Embedded Emissions'!$A$230:$D$259,2,FALSE)), $C45 = "3", 'Inputs-System'!$C$30*'Coincidence Factors'!$B$9*'Inputs-Proposals'!$I$29*'Inputs-Proposals'!$I$31*(VLOOKUP(V$3,'Non-Embedded Emissions'!$A$56:$D$90,2,FALSE)-VLOOKUP(V$3,'Non-Embedded Emissions'!$F$57:$H$88,2,FALSE)+VLOOKUP(V$3,'Non-Embedded Emissions'!$A$143:$D$174,2,FALSE)-VLOOKUP(V$3,'Non-Embedded Emissions'!$F$143:$H$174,2,FALSE)+VLOOKUP(V$3,'Non-Embedded Emissions'!$A$230:$D$259,2,FALSE)), $C45 = "0", 0), 0)</f>
        <v>0</v>
      </c>
      <c r="AB45" s="45">
        <f>IFERROR(_xlfn.IFS($C45="1",('Inputs-System'!$C$30*'Coincidence Factors'!$B$9*(1+'Inputs-System'!$C$18)*(1+'Inputs-System'!$C$41)*('Inputs-Proposals'!$I$17*'Inputs-Proposals'!$I$19*(1-'Inputs-Proposals'!$I$20^(AB$3-'Inputs-System'!$C$7)))*(VLOOKUP(AB$3,Energy!$A$51:$K$83,5,FALSE))), $C45 = "2",('Inputs-System'!$C$30*'Coincidence Factors'!$B$9)*(1+'Inputs-System'!$C$18)*(1+'Inputs-System'!$C$41)*('Inputs-Proposals'!$I$23*'Inputs-Proposals'!$I$25*(1-'Inputs-Proposals'!$I$26^(AB$3-'Inputs-System'!$C$7)))*(VLOOKUP(AB$3,Energy!$A$51:$K$83,5,FALSE)), $C45= "3", ('Inputs-System'!$C$30*'Coincidence Factors'!$B$9*(1+'Inputs-System'!$C$18)*(1+'Inputs-System'!$C$41)*('Inputs-Proposals'!$I$29*'Inputs-Proposals'!$I$31*(1-'Inputs-Proposals'!$I$32^(AB$3-'Inputs-System'!$C$7)))*(VLOOKUP(AB$3,Energy!$A$51:$K$83,5,FALSE))), $C45= "0", 0), 0)</f>
        <v>0</v>
      </c>
      <c r="AC45" s="44">
        <f>IFERROR(_xlfn.IFS($C45="1",('Inputs-System'!$C$30*'Coincidence Factors'!$B$9*(1+'Inputs-System'!$C$18)*(1+'Inputs-System'!$C$41))*'Inputs-Proposals'!$I$17*'Inputs-Proposals'!$I$19*(1-'Inputs-Proposals'!$I$20^(AB$3-'Inputs-System'!$C$7))*(VLOOKUP(AB$3,'Embedded Emissions'!$A$47:$B$78,2,FALSE)+VLOOKUP(AB$3,'Embedded Emissions'!$A$129:$B$158,2,FALSE)), $C45 = "2",('Inputs-System'!$C$30*'Coincidence Factors'!$B$9*(1+'Inputs-System'!$C$18)*(1+'Inputs-System'!$C$41))*'Inputs-Proposals'!$I$23*'Inputs-Proposals'!$I$25*(1-'Inputs-Proposals'!$I$20^(AB$3-'Inputs-System'!$C$7))*(VLOOKUP(AB$3,'Embedded Emissions'!$A$47:$B$78,2,FALSE)+VLOOKUP(AB$3,'Embedded Emissions'!$A$129:$B$158,2,FALSE)), $C45 = "3", ('Inputs-System'!$C$30*'Coincidence Factors'!$B$9*(1+'Inputs-System'!$C$18)*(1+'Inputs-System'!$C$41))*'Inputs-Proposals'!$I$29*'Inputs-Proposals'!$I$31*(1-'Inputs-Proposals'!$I$20^(AB$3-'Inputs-System'!$C$7))*(VLOOKUP(AB$3,'Embedded Emissions'!$A$47:$B$78,2,FALSE)+VLOOKUP(AB$3,'Embedded Emissions'!$A$129:$B$158,2,FALSE)), $C45 = "0", 0), 0)</f>
        <v>0</v>
      </c>
      <c r="AD45" s="44">
        <f>IFERROR(_xlfn.IFS($C45="1",( 'Inputs-System'!$C$30*'Coincidence Factors'!$B$9*(1+'Inputs-System'!$C$18)*(1+'Inputs-System'!$C$41))*('Inputs-Proposals'!$I$17*'Inputs-Proposals'!$I$19*(1-'Inputs-Proposals'!$I$20)^(AB$3-'Inputs-System'!$C$7))*(VLOOKUP(AB$3,DRIPE!$A$54:$I$82,5,FALSE)+VLOOKUP(AB$3,DRIPE!$A$54:$I$82,9,FALSE))+ ('Inputs-System'!$C$26*'Coincidence Factors'!$B$6*(1+'Inputs-System'!$C$18)*(1+'Inputs-System'!$C$42))*'Inputs-Proposals'!$I$16*VLOOKUP(AB$3,DRIPE!$A$54:$I$82,8,FALSE), $C45 = "2",( 'Inputs-System'!$C$30*'Coincidence Factors'!$B$9*(1+'Inputs-System'!$C$18)*(1+'Inputs-System'!$C$41))*('Inputs-Proposals'!$I$23*'Inputs-Proposals'!$I$25*(1-'Inputs-Proposals'!$I$26)^(AB$3-'Inputs-System'!$C$7))*(VLOOKUP(AB$3,DRIPE!$A$54:$I$82,5,FALSE)+VLOOKUP(AB$3,DRIPE!$A$54:$I$82,9,FALSE))+ ('Inputs-System'!$C$26*'Coincidence Factors'!$B$6*(1+'Inputs-System'!$C$18)*(1+'Inputs-System'!$C$42))*'Inputs-Proposals'!$I$22*VLOOKUP(AB$3,DRIPE!$A$54:$I$82,8,FALSE), $C45= "3", ( 'Inputs-System'!$C$30*'Coincidence Factors'!$B$9*(1+'Inputs-System'!$C$18)*(1+'Inputs-System'!$C$41))*('Inputs-Proposals'!$I$29*'Inputs-Proposals'!$I$31*(1-'Inputs-Proposals'!$I$32)^(AB$3-'Inputs-System'!$C$7))*(VLOOKUP(AB$3,DRIPE!$A$54:$I$82,5,FALSE)+VLOOKUP(AB$3,DRIPE!$A$54:$I$82,9,FALSE))+ ('Inputs-System'!$C$26*'Coincidence Factors'!$B$6*(1+'Inputs-System'!$C$18)*(1+'Inputs-System'!$C$42))*'Inputs-Proposals'!$I$28*VLOOKUP(AB$3,DRIPE!$A$54:$I$82,8,FALSE), $C45 = "0", 0), 0)</f>
        <v>0</v>
      </c>
      <c r="AE45" s="45">
        <f>IFERROR(_xlfn.IFS($C45="1",('Inputs-System'!$C$26*'Coincidence Factors'!$B$9*(1+'Inputs-System'!$C$18)*(1+'Inputs-System'!$C$42))*'Inputs-Proposals'!$D$16*(VLOOKUP(AB$3,Capacity!$A$53:$E$85,4,FALSE)*(1+'Inputs-System'!$C$42)+VLOOKUP(AB$3,Capacity!$A$53:$E$85,5,FALSE)*(1+'Inputs-System'!$C$43)*'Inputs-System'!$C$29), $C45 = "2", ('Inputs-System'!$C$26*'Coincidence Factors'!$B$9*(1+'Inputs-System'!$C$18))*'Inputs-Proposals'!$D$22*(VLOOKUP(AB$3,Capacity!$A$53:$E$85,4,FALSE)*(1+'Inputs-System'!$C$42)+VLOOKUP(AB$3,Capacity!$A$53:$E$85,5,FALSE)*'Inputs-System'!$C$29*(1+'Inputs-System'!$C$43)), $C45 = "3", ('Inputs-System'!$C$26*'Coincidence Factors'!$B$9*(1+'Inputs-System'!$C$18))*'Inputs-Proposals'!$D$28*(VLOOKUP(AB$3,Capacity!$A$53:$E$85,4,FALSE)*(1+'Inputs-System'!$C$42)+VLOOKUP(AB$3,Capacity!$A$53:$E$85,5,FALSE)*'Inputs-System'!$C$29*(1+'Inputs-System'!$C$43)), $C45 = "0", 0), 0)</f>
        <v>0</v>
      </c>
      <c r="AF45" s="44">
        <v>0</v>
      </c>
      <c r="AG45" s="342">
        <f>IFERROR(_xlfn.IFS($C45="1", 'Inputs-System'!$C$30*'Coincidence Factors'!$B$9*'Inputs-Proposals'!$I$17*'Inputs-Proposals'!$I$19*(VLOOKUP(AB$3,'Non-Embedded Emissions'!$A$56:$D$90,2,FALSE)-VLOOKUP(AB$3,'Non-Embedded Emissions'!$F$57:$H$88,2,FALSE)+VLOOKUP(AB$3,'Non-Embedded Emissions'!$A$143:$D$174,2,FALSE)-VLOOKUP(AB$3,'Non-Embedded Emissions'!$F$143:$H$174,2,FALSE)+VLOOKUP(AB$3,'Non-Embedded Emissions'!$A$230:$D$259,2,FALSE)), $C45 = "2", 'Inputs-System'!$C$30*'Coincidence Factors'!$B$9*'Inputs-Proposals'!$I$23*'Inputs-Proposals'!$I$25*(VLOOKUP(AB$3,'Non-Embedded Emissions'!$A$56:$D$90,2,FALSE)-VLOOKUP(AB$3,'Non-Embedded Emissions'!$F$57:$H$88,2,FALSE)+VLOOKUP(AB$3,'Non-Embedded Emissions'!$A$143:$D$174,2,FALSE)-VLOOKUP(AB$3,'Non-Embedded Emissions'!$F$143:$H$174,2,FALSE)+VLOOKUP(AB$3,'Non-Embedded Emissions'!$A$230:$D$259,2,FALSE)), $C45 = "3", 'Inputs-System'!$C$30*'Coincidence Factors'!$B$9*'Inputs-Proposals'!$I$29*'Inputs-Proposals'!$I$31*(VLOOKUP(AB$3,'Non-Embedded Emissions'!$A$56:$D$90,2,FALSE)-VLOOKUP(AB$3,'Non-Embedded Emissions'!$F$57:$H$88,2,FALSE)+VLOOKUP(AB$3,'Non-Embedded Emissions'!$A$143:$D$174,2,FALSE)-VLOOKUP(AB$3,'Non-Embedded Emissions'!$F$143:$H$174,2,FALSE)+VLOOKUP(AB$3,'Non-Embedded Emissions'!$A$230:$D$259,2,FALSE)), $C45 = "0", 0), 0)</f>
        <v>0</v>
      </c>
      <c r="AH45" s="45">
        <f>IFERROR(_xlfn.IFS($C45="1",('Inputs-System'!$C$30*'Coincidence Factors'!$B$9*(1+'Inputs-System'!$C$18)*(1+'Inputs-System'!$C$41)*('Inputs-Proposals'!$I$17*'Inputs-Proposals'!$I$19*(1-'Inputs-Proposals'!$I$20^(AH$3-'Inputs-System'!$C$7)))*(VLOOKUP(AH$3,Energy!$A$51:$K$83,5,FALSE))), $C45 = "2",('Inputs-System'!$C$30*'Coincidence Factors'!$B$9)*(1+'Inputs-System'!$C$18)*(1+'Inputs-System'!$C$41)*('Inputs-Proposals'!$I$23*'Inputs-Proposals'!$I$25*(1-'Inputs-Proposals'!$I$26^(AH$3-'Inputs-System'!$C$7)))*(VLOOKUP(AH$3,Energy!$A$51:$K$83,5,FALSE)), $C45= "3", ('Inputs-System'!$C$30*'Coincidence Factors'!$B$9*(1+'Inputs-System'!$C$18)*(1+'Inputs-System'!$C$41)*('Inputs-Proposals'!$I$29*'Inputs-Proposals'!$I$31*(1-'Inputs-Proposals'!$I$32^(AH$3-'Inputs-System'!$C$7)))*(VLOOKUP(AH$3,Energy!$A$51:$K$83,5,FALSE))), $C45= "0", 0), 0)</f>
        <v>0</v>
      </c>
      <c r="AI45" s="44">
        <f>IFERROR(_xlfn.IFS($C45="1",('Inputs-System'!$C$30*'Coincidence Factors'!$B$9*(1+'Inputs-System'!$C$18)*(1+'Inputs-System'!$C$41))*'Inputs-Proposals'!$I$17*'Inputs-Proposals'!$I$19*(1-'Inputs-Proposals'!$I$20^(AH$3-'Inputs-System'!$C$7))*(VLOOKUP(AH$3,'Embedded Emissions'!$A$47:$B$78,2,FALSE)+VLOOKUP(AH$3,'Embedded Emissions'!$A$129:$B$158,2,FALSE)), $C45 = "2",('Inputs-System'!$C$30*'Coincidence Factors'!$B$9*(1+'Inputs-System'!$C$18)*(1+'Inputs-System'!$C$41))*'Inputs-Proposals'!$I$23*'Inputs-Proposals'!$I$25*(1-'Inputs-Proposals'!$I$20^(AH$3-'Inputs-System'!$C$7))*(VLOOKUP(AH$3,'Embedded Emissions'!$A$47:$B$78,2,FALSE)+VLOOKUP(AH$3,'Embedded Emissions'!$A$129:$B$158,2,FALSE)), $C45 = "3", ('Inputs-System'!$C$30*'Coincidence Factors'!$B$9*(1+'Inputs-System'!$C$18)*(1+'Inputs-System'!$C$41))*'Inputs-Proposals'!$I$29*'Inputs-Proposals'!$I$31*(1-'Inputs-Proposals'!$I$20^(AH$3-'Inputs-System'!$C$7))*(VLOOKUP(AH$3,'Embedded Emissions'!$A$47:$B$78,2,FALSE)+VLOOKUP(AH$3,'Embedded Emissions'!$A$129:$B$158,2,FALSE)), $C45 = "0", 0), 0)</f>
        <v>0</v>
      </c>
      <c r="AJ45" s="44">
        <f>IFERROR(_xlfn.IFS($C45="1",( 'Inputs-System'!$C$30*'Coincidence Factors'!$B$9*(1+'Inputs-System'!$C$18)*(1+'Inputs-System'!$C$41))*('Inputs-Proposals'!$I$17*'Inputs-Proposals'!$I$19*(1-'Inputs-Proposals'!$I$20)^(AH$3-'Inputs-System'!$C$7))*(VLOOKUP(AH$3,DRIPE!$A$54:$I$82,5,FALSE)+VLOOKUP(AH$3,DRIPE!$A$54:$I$82,9,FALSE))+ ('Inputs-System'!$C$26*'Coincidence Factors'!$B$6*(1+'Inputs-System'!$C$18)*(1+'Inputs-System'!$C$42))*'Inputs-Proposals'!$I$16*VLOOKUP(AH$3,DRIPE!$A$54:$I$82,8,FALSE), $C45 = "2",( 'Inputs-System'!$C$30*'Coincidence Factors'!$B$9*(1+'Inputs-System'!$C$18)*(1+'Inputs-System'!$C$41))*('Inputs-Proposals'!$I$23*'Inputs-Proposals'!$I$25*(1-'Inputs-Proposals'!$I$26)^(AH$3-'Inputs-System'!$C$7))*(VLOOKUP(AH$3,DRIPE!$A$54:$I$82,5,FALSE)+VLOOKUP(AH$3,DRIPE!$A$54:$I$82,9,FALSE))+ ('Inputs-System'!$C$26*'Coincidence Factors'!$B$6*(1+'Inputs-System'!$C$18)*(1+'Inputs-System'!$C$42))*'Inputs-Proposals'!$I$22*VLOOKUP(AH$3,DRIPE!$A$54:$I$82,8,FALSE), $C45= "3", ( 'Inputs-System'!$C$30*'Coincidence Factors'!$B$9*(1+'Inputs-System'!$C$18)*(1+'Inputs-System'!$C$41))*('Inputs-Proposals'!$I$29*'Inputs-Proposals'!$I$31*(1-'Inputs-Proposals'!$I$32)^(AH$3-'Inputs-System'!$C$7))*(VLOOKUP(AH$3,DRIPE!$A$54:$I$82,5,FALSE)+VLOOKUP(AH$3,DRIPE!$A$54:$I$82,9,FALSE))+ ('Inputs-System'!$C$26*'Coincidence Factors'!$B$6*(1+'Inputs-System'!$C$18)*(1+'Inputs-System'!$C$42))*'Inputs-Proposals'!$I$28*VLOOKUP(AH$3,DRIPE!$A$54:$I$82,8,FALSE), $C45 = "0", 0), 0)</f>
        <v>0</v>
      </c>
      <c r="AK45" s="45">
        <f>IFERROR(_xlfn.IFS($C45="1",('Inputs-System'!$C$26*'Coincidence Factors'!$B$9*(1+'Inputs-System'!$C$18)*(1+'Inputs-System'!$C$42))*'Inputs-Proposals'!$D$16*(VLOOKUP(AH$3,Capacity!$A$53:$E$85,4,FALSE)*(1+'Inputs-System'!$C$42)+VLOOKUP(AH$3,Capacity!$A$53:$E$85,5,FALSE)*(1+'Inputs-System'!$C$43)*'Inputs-System'!$C$29), $C45 = "2", ('Inputs-System'!$C$26*'Coincidence Factors'!$B$9*(1+'Inputs-System'!$C$18))*'Inputs-Proposals'!$D$22*(VLOOKUP(AH$3,Capacity!$A$53:$E$85,4,FALSE)*(1+'Inputs-System'!$C$42)+VLOOKUP(AH$3,Capacity!$A$53:$E$85,5,FALSE)*'Inputs-System'!$C$29*(1+'Inputs-System'!$C$43)), $C45 = "3", ('Inputs-System'!$C$26*'Coincidence Factors'!$B$9*(1+'Inputs-System'!$C$18))*'Inputs-Proposals'!$D$28*(VLOOKUP(AH$3,Capacity!$A$53:$E$85,4,FALSE)*(1+'Inputs-System'!$C$42)+VLOOKUP(AH$3,Capacity!$A$53:$E$85,5,FALSE)*'Inputs-System'!$C$29*(1+'Inputs-System'!$C$43)), $C45 = "0", 0), 0)</f>
        <v>0</v>
      </c>
      <c r="AL45" s="44">
        <v>0</v>
      </c>
      <c r="AM45" s="342">
        <f>IFERROR(_xlfn.IFS($C45="1", 'Inputs-System'!$C$30*'Coincidence Factors'!$B$9*'Inputs-Proposals'!$I$17*'Inputs-Proposals'!$I$19*(VLOOKUP(AH$3,'Non-Embedded Emissions'!$A$56:$D$90,2,FALSE)-VLOOKUP(AH$3,'Non-Embedded Emissions'!$F$57:$H$88,2,FALSE)+VLOOKUP(AH$3,'Non-Embedded Emissions'!$A$143:$D$174,2,FALSE)-VLOOKUP(AH$3,'Non-Embedded Emissions'!$F$143:$H$174,2,FALSE)+VLOOKUP(AH$3,'Non-Embedded Emissions'!$A$230:$D$259,2,FALSE)), $C45 = "2", 'Inputs-System'!$C$30*'Coincidence Factors'!$B$9*'Inputs-Proposals'!$I$23*'Inputs-Proposals'!$I$25*(VLOOKUP(AH$3,'Non-Embedded Emissions'!$A$56:$D$90,2,FALSE)-VLOOKUP(AH$3,'Non-Embedded Emissions'!$F$57:$H$88,2,FALSE)+VLOOKUP(AH$3,'Non-Embedded Emissions'!$A$143:$D$174,2,FALSE)-VLOOKUP(AH$3,'Non-Embedded Emissions'!$F$143:$H$174,2,FALSE)+VLOOKUP(AH$3,'Non-Embedded Emissions'!$A$230:$D$259,2,FALSE)), $C45 = "3", 'Inputs-System'!$C$30*'Coincidence Factors'!$B$9*'Inputs-Proposals'!$I$29*'Inputs-Proposals'!$I$31*(VLOOKUP(AH$3,'Non-Embedded Emissions'!$A$56:$D$90,2,FALSE)-VLOOKUP(AH$3,'Non-Embedded Emissions'!$F$57:$H$88,2,FALSE)+VLOOKUP(AH$3,'Non-Embedded Emissions'!$A$143:$D$174,2,FALSE)-VLOOKUP(AH$3,'Non-Embedded Emissions'!$F$143:$H$174,2,FALSE)+VLOOKUP(AH$3,'Non-Embedded Emissions'!$A$230:$D$259,2,FALSE)), $C45 = "0", 0), 0)</f>
        <v>0</v>
      </c>
      <c r="AN45" s="45">
        <f>IFERROR(_xlfn.IFS($C45="1",('Inputs-System'!$C$30*'Coincidence Factors'!$B$9*(1+'Inputs-System'!$C$18)*(1+'Inputs-System'!$C$41)*('Inputs-Proposals'!$I$17*'Inputs-Proposals'!$I$19*(1-'Inputs-Proposals'!$I$20^(AN$3-'Inputs-System'!$C$7)))*(VLOOKUP(AN$3,Energy!$A$51:$K$83,5,FALSE))), $C45 = "2",('Inputs-System'!$C$30*'Coincidence Factors'!$B$9)*(1+'Inputs-System'!$C$18)*(1+'Inputs-System'!$C$41)*('Inputs-Proposals'!$I$23*'Inputs-Proposals'!$I$25*(1-'Inputs-Proposals'!$I$26^(AN$3-'Inputs-System'!$C$7)))*(VLOOKUP(AN$3,Energy!$A$51:$K$83,5,FALSE)), $C45= "3", ('Inputs-System'!$C$30*'Coincidence Factors'!$B$9*(1+'Inputs-System'!$C$18)*(1+'Inputs-System'!$C$41)*('Inputs-Proposals'!$I$29*'Inputs-Proposals'!$I$31*(1-'Inputs-Proposals'!$I$32^(AN$3-'Inputs-System'!$C$7)))*(VLOOKUP(AN$3,Energy!$A$51:$K$83,5,FALSE))), $C45= "0", 0), 0)</f>
        <v>0</v>
      </c>
      <c r="AO45" s="44">
        <f>IFERROR(_xlfn.IFS($C45="1",('Inputs-System'!$C$30*'Coincidence Factors'!$B$9*(1+'Inputs-System'!$C$18)*(1+'Inputs-System'!$C$41))*'Inputs-Proposals'!$I$17*'Inputs-Proposals'!$I$19*(1-'Inputs-Proposals'!$I$20^(AN$3-'Inputs-System'!$C$7))*(VLOOKUP(AN$3,'Embedded Emissions'!$A$47:$B$78,2,FALSE)+VLOOKUP(AN$3,'Embedded Emissions'!$A$129:$B$158,2,FALSE)), $C45 = "2",('Inputs-System'!$C$30*'Coincidence Factors'!$B$9*(1+'Inputs-System'!$C$18)*(1+'Inputs-System'!$C$41))*'Inputs-Proposals'!$I$23*'Inputs-Proposals'!$I$25*(1-'Inputs-Proposals'!$I$20^(AN$3-'Inputs-System'!$C$7))*(VLOOKUP(AN$3,'Embedded Emissions'!$A$47:$B$78,2,FALSE)+VLOOKUP(AN$3,'Embedded Emissions'!$A$129:$B$158,2,FALSE)), $C45 = "3", ('Inputs-System'!$C$30*'Coincidence Factors'!$B$9*(1+'Inputs-System'!$C$18)*(1+'Inputs-System'!$C$41))*'Inputs-Proposals'!$I$29*'Inputs-Proposals'!$I$31*(1-'Inputs-Proposals'!$I$20^(AN$3-'Inputs-System'!$C$7))*(VLOOKUP(AN$3,'Embedded Emissions'!$A$47:$B$78,2,FALSE)+VLOOKUP(AN$3,'Embedded Emissions'!$A$129:$B$158,2,FALSE)), $C45 = "0", 0), 0)</f>
        <v>0</v>
      </c>
      <c r="AP45" s="44">
        <f>IFERROR(_xlfn.IFS($C45="1",( 'Inputs-System'!$C$30*'Coincidence Factors'!$B$9*(1+'Inputs-System'!$C$18)*(1+'Inputs-System'!$C$41))*('Inputs-Proposals'!$I$17*'Inputs-Proposals'!$I$19*(1-'Inputs-Proposals'!$I$20)^(AN$3-'Inputs-System'!$C$7))*(VLOOKUP(AN$3,DRIPE!$A$54:$I$82,5,FALSE)+VLOOKUP(AN$3,DRIPE!$A$54:$I$82,9,FALSE))+ ('Inputs-System'!$C$26*'Coincidence Factors'!$B$6*(1+'Inputs-System'!$C$18)*(1+'Inputs-System'!$C$42))*'Inputs-Proposals'!$I$16*VLOOKUP(AN$3,DRIPE!$A$54:$I$82,8,FALSE), $C45 = "2",( 'Inputs-System'!$C$30*'Coincidence Factors'!$B$9*(1+'Inputs-System'!$C$18)*(1+'Inputs-System'!$C$41))*('Inputs-Proposals'!$I$23*'Inputs-Proposals'!$I$25*(1-'Inputs-Proposals'!$I$26)^(AN$3-'Inputs-System'!$C$7))*(VLOOKUP(AN$3,DRIPE!$A$54:$I$82,5,FALSE)+VLOOKUP(AN$3,DRIPE!$A$54:$I$82,9,FALSE))+ ('Inputs-System'!$C$26*'Coincidence Factors'!$B$6*(1+'Inputs-System'!$C$18)*(1+'Inputs-System'!$C$42))*'Inputs-Proposals'!$I$22*VLOOKUP(AN$3,DRIPE!$A$54:$I$82,8,FALSE), $C45= "3", ( 'Inputs-System'!$C$30*'Coincidence Factors'!$B$9*(1+'Inputs-System'!$C$18)*(1+'Inputs-System'!$C$41))*('Inputs-Proposals'!$I$29*'Inputs-Proposals'!$I$31*(1-'Inputs-Proposals'!$I$32)^(AN$3-'Inputs-System'!$C$7))*(VLOOKUP(AN$3,DRIPE!$A$54:$I$82,5,FALSE)+VLOOKUP(AN$3,DRIPE!$A$54:$I$82,9,FALSE))+ ('Inputs-System'!$C$26*'Coincidence Factors'!$B$6*(1+'Inputs-System'!$C$18)*(1+'Inputs-System'!$C$42))*'Inputs-Proposals'!$I$28*VLOOKUP(AN$3,DRIPE!$A$54:$I$82,8,FALSE), $C45 = "0", 0), 0)</f>
        <v>0</v>
      </c>
      <c r="AQ45" s="45">
        <f>IFERROR(_xlfn.IFS($C45="1",('Inputs-System'!$C$26*'Coincidence Factors'!$B$9*(1+'Inputs-System'!$C$18)*(1+'Inputs-System'!$C$42))*'Inputs-Proposals'!$D$16*(VLOOKUP(AN$3,Capacity!$A$53:$E$85,4,FALSE)*(1+'Inputs-System'!$C$42)+VLOOKUP(AN$3,Capacity!$A$53:$E$85,5,FALSE)*(1+'Inputs-System'!$C$43)*'Inputs-System'!$C$29), $C45 = "2", ('Inputs-System'!$C$26*'Coincidence Factors'!$B$9*(1+'Inputs-System'!$C$18))*'Inputs-Proposals'!$D$22*(VLOOKUP(AN$3,Capacity!$A$53:$E$85,4,FALSE)*(1+'Inputs-System'!$C$42)+VLOOKUP(AN$3,Capacity!$A$53:$E$85,5,FALSE)*'Inputs-System'!$C$29*(1+'Inputs-System'!$C$43)), $C45 = "3", ('Inputs-System'!$C$26*'Coincidence Factors'!$B$9*(1+'Inputs-System'!$C$18))*'Inputs-Proposals'!$D$28*(VLOOKUP(AN$3,Capacity!$A$53:$E$85,4,FALSE)*(1+'Inputs-System'!$C$42)+VLOOKUP(AN$3,Capacity!$A$53:$E$85,5,FALSE)*'Inputs-System'!$C$29*(1+'Inputs-System'!$C$43)), $C45 = "0", 0), 0)</f>
        <v>0</v>
      </c>
      <c r="AR45" s="44">
        <v>0</v>
      </c>
      <c r="AS45" s="342">
        <f>IFERROR(_xlfn.IFS($C45="1", 'Inputs-System'!$C$30*'Coincidence Factors'!$B$9*'Inputs-Proposals'!$I$17*'Inputs-Proposals'!$I$19*(VLOOKUP(AN$3,'Non-Embedded Emissions'!$A$56:$D$90,2,FALSE)-VLOOKUP(AN$3,'Non-Embedded Emissions'!$F$57:$H$88,2,FALSE)+VLOOKUP(AN$3,'Non-Embedded Emissions'!$A$143:$D$174,2,FALSE)-VLOOKUP(AN$3,'Non-Embedded Emissions'!$F$143:$H$174,2,FALSE)+VLOOKUP(AN$3,'Non-Embedded Emissions'!$A$230:$D$259,2,FALSE)), $C45 = "2", 'Inputs-System'!$C$30*'Coincidence Factors'!$B$9*'Inputs-Proposals'!$I$23*'Inputs-Proposals'!$I$25*(VLOOKUP(AN$3,'Non-Embedded Emissions'!$A$56:$D$90,2,FALSE)-VLOOKUP(AN$3,'Non-Embedded Emissions'!$F$57:$H$88,2,FALSE)+VLOOKUP(AN$3,'Non-Embedded Emissions'!$A$143:$D$174,2,FALSE)-VLOOKUP(AN$3,'Non-Embedded Emissions'!$F$143:$H$174,2,FALSE)+VLOOKUP(AN$3,'Non-Embedded Emissions'!$A$230:$D$259,2,FALSE)), $C45 = "3", 'Inputs-System'!$C$30*'Coincidence Factors'!$B$9*'Inputs-Proposals'!$I$29*'Inputs-Proposals'!$I$31*(VLOOKUP(AN$3,'Non-Embedded Emissions'!$A$56:$D$90,2,FALSE)-VLOOKUP(AN$3,'Non-Embedded Emissions'!$F$57:$H$88,2,FALSE)+VLOOKUP(AN$3,'Non-Embedded Emissions'!$A$143:$D$174,2,FALSE)-VLOOKUP(AN$3,'Non-Embedded Emissions'!$F$143:$H$174,2,FALSE)+VLOOKUP(AN$3,'Non-Embedded Emissions'!$A$230:$D$259,2,FALSE)), $C45 = "0", 0), 0)</f>
        <v>0</v>
      </c>
      <c r="AT45" s="45">
        <f>IFERROR(_xlfn.IFS($C45="1",('Inputs-System'!$C$30*'Coincidence Factors'!$B$9*(1+'Inputs-System'!$C$18)*(1+'Inputs-System'!$C$41)*('Inputs-Proposals'!$I$17*'Inputs-Proposals'!$I$19*(1-'Inputs-Proposals'!$I$20^(AT$3-'Inputs-System'!$C$7)))*(VLOOKUP(AT$3,Energy!$A$51:$K$83,5,FALSE))), $C45 = "2",('Inputs-System'!$C$30*'Coincidence Factors'!$B$9)*(1+'Inputs-System'!$C$18)*(1+'Inputs-System'!$C$41)*('Inputs-Proposals'!$I$23*'Inputs-Proposals'!$I$25*(1-'Inputs-Proposals'!$I$26^(AT$3-'Inputs-System'!$C$7)))*(VLOOKUP(AT$3,Energy!$A$51:$K$83,5,FALSE)), $C45= "3", ('Inputs-System'!$C$30*'Coincidence Factors'!$B$9*(1+'Inputs-System'!$C$18)*(1+'Inputs-System'!$C$41)*('Inputs-Proposals'!$I$29*'Inputs-Proposals'!$I$31*(1-'Inputs-Proposals'!$I$32^(AT$3-'Inputs-System'!$C$7)))*(VLOOKUP(AT$3,Energy!$A$51:$K$83,5,FALSE))), $C45= "0", 0), 0)</f>
        <v>0</v>
      </c>
      <c r="AU45" s="44">
        <f>IFERROR(_xlfn.IFS($C45="1",('Inputs-System'!$C$30*'Coincidence Factors'!$B$9*(1+'Inputs-System'!$C$18)*(1+'Inputs-System'!$C$41))*'Inputs-Proposals'!$I$17*'Inputs-Proposals'!$I$19*(1-'Inputs-Proposals'!$I$20^(AT$3-'Inputs-System'!$C$7))*(VLOOKUP(AT$3,'Embedded Emissions'!$A$47:$B$78,2,FALSE)+VLOOKUP(AT$3,'Embedded Emissions'!$A$129:$B$158,2,FALSE)), $C45 = "2",('Inputs-System'!$C$30*'Coincidence Factors'!$B$9*(1+'Inputs-System'!$C$18)*(1+'Inputs-System'!$C$41))*'Inputs-Proposals'!$I$23*'Inputs-Proposals'!$I$25*(1-'Inputs-Proposals'!$I$20^(AT$3-'Inputs-System'!$C$7))*(VLOOKUP(AT$3,'Embedded Emissions'!$A$47:$B$78,2,FALSE)+VLOOKUP(AT$3,'Embedded Emissions'!$A$129:$B$158,2,FALSE)), $C45 = "3", ('Inputs-System'!$C$30*'Coincidence Factors'!$B$9*(1+'Inputs-System'!$C$18)*(1+'Inputs-System'!$C$41))*'Inputs-Proposals'!$I$29*'Inputs-Proposals'!$I$31*(1-'Inputs-Proposals'!$I$20^(AT$3-'Inputs-System'!$C$7))*(VLOOKUP(AT$3,'Embedded Emissions'!$A$47:$B$78,2,FALSE)+VLOOKUP(AT$3,'Embedded Emissions'!$A$129:$B$158,2,FALSE)), $C45 = "0", 0), 0)</f>
        <v>0</v>
      </c>
      <c r="AV45" s="44">
        <f>IFERROR(_xlfn.IFS($C45="1",( 'Inputs-System'!$C$30*'Coincidence Factors'!$B$9*(1+'Inputs-System'!$C$18)*(1+'Inputs-System'!$C$41))*('Inputs-Proposals'!$I$17*'Inputs-Proposals'!$I$19*(1-'Inputs-Proposals'!$I$20)^(AT$3-'Inputs-System'!$C$7))*(VLOOKUP(AT$3,DRIPE!$A$54:$I$82,5,FALSE)+VLOOKUP(AT$3,DRIPE!$A$54:$I$82,9,FALSE))+ ('Inputs-System'!$C$26*'Coincidence Factors'!$B$6*(1+'Inputs-System'!$C$18)*(1+'Inputs-System'!$C$42))*'Inputs-Proposals'!$I$16*VLOOKUP(AT$3,DRIPE!$A$54:$I$82,8,FALSE), $C45 = "2",( 'Inputs-System'!$C$30*'Coincidence Factors'!$B$9*(1+'Inputs-System'!$C$18)*(1+'Inputs-System'!$C$41))*('Inputs-Proposals'!$I$23*'Inputs-Proposals'!$I$25*(1-'Inputs-Proposals'!$I$26)^(AT$3-'Inputs-System'!$C$7))*(VLOOKUP(AT$3,DRIPE!$A$54:$I$82,5,FALSE)+VLOOKUP(AT$3,DRIPE!$A$54:$I$82,9,FALSE))+ ('Inputs-System'!$C$26*'Coincidence Factors'!$B$6*(1+'Inputs-System'!$C$18)*(1+'Inputs-System'!$C$42))*'Inputs-Proposals'!$I$22*VLOOKUP(AT$3,DRIPE!$A$54:$I$82,8,FALSE), $C45= "3", ( 'Inputs-System'!$C$30*'Coincidence Factors'!$B$9*(1+'Inputs-System'!$C$18)*(1+'Inputs-System'!$C$41))*('Inputs-Proposals'!$I$29*'Inputs-Proposals'!$I$31*(1-'Inputs-Proposals'!$I$32)^(AT$3-'Inputs-System'!$C$7))*(VLOOKUP(AT$3,DRIPE!$A$54:$I$82,5,FALSE)+VLOOKUP(AT$3,DRIPE!$A$54:$I$82,9,FALSE))+ ('Inputs-System'!$C$26*'Coincidence Factors'!$B$6*(1+'Inputs-System'!$C$18)*(1+'Inputs-System'!$C$42))*'Inputs-Proposals'!$I$28*VLOOKUP(AT$3,DRIPE!$A$54:$I$82,8,FALSE), $C45 = "0", 0), 0)</f>
        <v>0</v>
      </c>
      <c r="AW45" s="45">
        <f>IFERROR(_xlfn.IFS($C45="1",('Inputs-System'!$C$26*'Coincidence Factors'!$B$9*(1+'Inputs-System'!$C$18)*(1+'Inputs-System'!$C$42))*'Inputs-Proposals'!$D$16*(VLOOKUP(AT$3,Capacity!$A$53:$E$85,4,FALSE)*(1+'Inputs-System'!$C$42)+VLOOKUP(AT$3,Capacity!$A$53:$E$85,5,FALSE)*(1+'Inputs-System'!$C$43)*'Inputs-System'!$C$29), $C45 = "2", ('Inputs-System'!$C$26*'Coincidence Factors'!$B$9*(1+'Inputs-System'!$C$18))*'Inputs-Proposals'!$D$22*(VLOOKUP(AT$3,Capacity!$A$53:$E$85,4,FALSE)*(1+'Inputs-System'!$C$42)+VLOOKUP(AT$3,Capacity!$A$53:$E$85,5,FALSE)*'Inputs-System'!$C$29*(1+'Inputs-System'!$C$43)), $C45 = "3", ('Inputs-System'!$C$26*'Coincidence Factors'!$B$9*(1+'Inputs-System'!$C$18))*'Inputs-Proposals'!$D$28*(VLOOKUP(AT$3,Capacity!$A$53:$E$85,4,FALSE)*(1+'Inputs-System'!$C$42)+VLOOKUP(AT$3,Capacity!$A$53:$E$85,5,FALSE)*'Inputs-System'!$C$29*(1+'Inputs-System'!$C$43)), $C45 = "0", 0), 0)</f>
        <v>0</v>
      </c>
      <c r="AX45" s="44">
        <v>0</v>
      </c>
      <c r="AY45" s="342">
        <f>IFERROR(_xlfn.IFS($C45="1", 'Inputs-System'!$C$30*'Coincidence Factors'!$B$9*'Inputs-Proposals'!$I$17*'Inputs-Proposals'!$I$19*(VLOOKUP(AT$3,'Non-Embedded Emissions'!$A$56:$D$90,2,FALSE)-VLOOKUP(AT$3,'Non-Embedded Emissions'!$F$57:$H$88,2,FALSE)+VLOOKUP(AT$3,'Non-Embedded Emissions'!$A$143:$D$174,2,FALSE)-VLOOKUP(AT$3,'Non-Embedded Emissions'!$F$143:$H$174,2,FALSE)+VLOOKUP(AT$3,'Non-Embedded Emissions'!$A$230:$D$259,2,FALSE)), $C45 = "2", 'Inputs-System'!$C$30*'Coincidence Factors'!$B$9*'Inputs-Proposals'!$I$23*'Inputs-Proposals'!$I$25*(VLOOKUP(AT$3,'Non-Embedded Emissions'!$A$56:$D$90,2,FALSE)-VLOOKUP(AT$3,'Non-Embedded Emissions'!$F$57:$H$88,2,FALSE)+VLOOKUP(AT$3,'Non-Embedded Emissions'!$A$143:$D$174,2,FALSE)-VLOOKUP(AT$3,'Non-Embedded Emissions'!$F$143:$H$174,2,FALSE)+VLOOKUP(AT$3,'Non-Embedded Emissions'!$A$230:$D$259,2,FALSE)), $C45 = "3", 'Inputs-System'!$C$30*'Coincidence Factors'!$B$9*'Inputs-Proposals'!$I$29*'Inputs-Proposals'!$I$31*(VLOOKUP(AT$3,'Non-Embedded Emissions'!$A$56:$D$90,2,FALSE)-VLOOKUP(AT$3,'Non-Embedded Emissions'!$F$57:$H$88,2,FALSE)+VLOOKUP(AT$3,'Non-Embedded Emissions'!$A$143:$D$174,2,FALSE)-VLOOKUP(AT$3,'Non-Embedded Emissions'!$F$143:$H$174,2,FALSE)+VLOOKUP(AT$3,'Non-Embedded Emissions'!$A$230:$D$259,2,FALSE)), $C45 = "0", 0), 0)</f>
        <v>0</v>
      </c>
      <c r="AZ45" s="45">
        <f>IFERROR(_xlfn.IFS($C45="1",('Inputs-System'!$C$30*'Coincidence Factors'!$B$9*(1+'Inputs-System'!$C$18)*(1+'Inputs-System'!$C$41)*('Inputs-Proposals'!$I$17*'Inputs-Proposals'!$I$19*(1-'Inputs-Proposals'!$I$20^(AZ$3-'Inputs-System'!$C$7)))*(VLOOKUP(AZ$3,Energy!$A$51:$K$83,5,FALSE))), $C45 = "2",('Inputs-System'!$C$30*'Coincidence Factors'!$B$9)*(1+'Inputs-System'!$C$18)*(1+'Inputs-System'!$C$41)*('Inputs-Proposals'!$I$23*'Inputs-Proposals'!$I$25*(1-'Inputs-Proposals'!$I$26^(AZ$3-'Inputs-System'!$C$7)))*(VLOOKUP(AZ$3,Energy!$A$51:$K$83,5,FALSE)), $C45= "3", ('Inputs-System'!$C$30*'Coincidence Factors'!$B$9*(1+'Inputs-System'!$C$18)*(1+'Inputs-System'!$C$41)*('Inputs-Proposals'!$I$29*'Inputs-Proposals'!$I$31*(1-'Inputs-Proposals'!$I$32^(AZ$3-'Inputs-System'!$C$7)))*(VLOOKUP(AZ$3,Energy!$A$51:$K$83,5,FALSE))), $C45= "0", 0), 0)</f>
        <v>0</v>
      </c>
      <c r="BA45" s="44">
        <f>IFERROR(_xlfn.IFS($C45="1",('Inputs-System'!$C$30*'Coincidence Factors'!$B$9*(1+'Inputs-System'!$C$18)*(1+'Inputs-System'!$C$41))*'Inputs-Proposals'!$I$17*'Inputs-Proposals'!$I$19*(1-'Inputs-Proposals'!$I$20^(AZ$3-'Inputs-System'!$C$7))*(VLOOKUP(AZ$3,'Embedded Emissions'!$A$47:$B$78,2,FALSE)+VLOOKUP(AZ$3,'Embedded Emissions'!$A$129:$B$158,2,FALSE)), $C45 = "2",('Inputs-System'!$C$30*'Coincidence Factors'!$B$9*(1+'Inputs-System'!$C$18)*(1+'Inputs-System'!$C$41))*'Inputs-Proposals'!$I$23*'Inputs-Proposals'!$I$25*(1-'Inputs-Proposals'!$I$20^(AZ$3-'Inputs-System'!$C$7))*(VLOOKUP(AZ$3,'Embedded Emissions'!$A$47:$B$78,2,FALSE)+VLOOKUP(AZ$3,'Embedded Emissions'!$A$129:$B$158,2,FALSE)), $C45 = "3", ('Inputs-System'!$C$30*'Coincidence Factors'!$B$9*(1+'Inputs-System'!$C$18)*(1+'Inputs-System'!$C$41))*'Inputs-Proposals'!$I$29*'Inputs-Proposals'!$I$31*(1-'Inputs-Proposals'!$I$20^(AZ$3-'Inputs-System'!$C$7))*(VLOOKUP(AZ$3,'Embedded Emissions'!$A$47:$B$78,2,FALSE)+VLOOKUP(AZ$3,'Embedded Emissions'!$A$129:$B$158,2,FALSE)), $C45 = "0", 0), 0)</f>
        <v>0</v>
      </c>
      <c r="BB45" s="44">
        <f>IFERROR(_xlfn.IFS($C45="1",( 'Inputs-System'!$C$30*'Coincidence Factors'!$B$9*(1+'Inputs-System'!$C$18)*(1+'Inputs-System'!$C$41))*('Inputs-Proposals'!$I$17*'Inputs-Proposals'!$I$19*(1-'Inputs-Proposals'!$I$20)^(AZ$3-'Inputs-System'!$C$7))*(VLOOKUP(AZ$3,DRIPE!$A$54:$I$82,5,FALSE)+VLOOKUP(AZ$3,DRIPE!$A$54:$I$82,9,FALSE))+ ('Inputs-System'!$C$26*'Coincidence Factors'!$B$6*(1+'Inputs-System'!$C$18)*(1+'Inputs-System'!$C$42))*'Inputs-Proposals'!$I$16*VLOOKUP(AZ$3,DRIPE!$A$54:$I$82,8,FALSE), $C45 = "2",( 'Inputs-System'!$C$30*'Coincidence Factors'!$B$9*(1+'Inputs-System'!$C$18)*(1+'Inputs-System'!$C$41))*('Inputs-Proposals'!$I$23*'Inputs-Proposals'!$I$25*(1-'Inputs-Proposals'!$I$26)^(AZ$3-'Inputs-System'!$C$7))*(VLOOKUP(AZ$3,DRIPE!$A$54:$I$82,5,FALSE)+VLOOKUP(AZ$3,DRIPE!$A$54:$I$82,9,FALSE))+ ('Inputs-System'!$C$26*'Coincidence Factors'!$B$6*(1+'Inputs-System'!$C$18)*(1+'Inputs-System'!$C$42))*'Inputs-Proposals'!$I$22*VLOOKUP(AZ$3,DRIPE!$A$54:$I$82,8,FALSE), $C45= "3", ( 'Inputs-System'!$C$30*'Coincidence Factors'!$B$9*(1+'Inputs-System'!$C$18)*(1+'Inputs-System'!$C$41))*('Inputs-Proposals'!$I$29*'Inputs-Proposals'!$I$31*(1-'Inputs-Proposals'!$I$32)^(AZ$3-'Inputs-System'!$C$7))*(VLOOKUP(AZ$3,DRIPE!$A$54:$I$82,5,FALSE)+VLOOKUP(AZ$3,DRIPE!$A$54:$I$82,9,FALSE))+ ('Inputs-System'!$C$26*'Coincidence Factors'!$B$6*(1+'Inputs-System'!$C$18)*(1+'Inputs-System'!$C$42))*'Inputs-Proposals'!$I$28*VLOOKUP(AZ$3,DRIPE!$A$54:$I$82,8,FALSE), $C45 = "0", 0), 0)</f>
        <v>0</v>
      </c>
      <c r="BC45" s="45">
        <f>IFERROR(_xlfn.IFS($C45="1",('Inputs-System'!$C$26*'Coincidence Factors'!$B$9*(1+'Inputs-System'!$C$18)*(1+'Inputs-System'!$C$42))*'Inputs-Proposals'!$D$16*(VLOOKUP(AZ$3,Capacity!$A$53:$E$85,4,FALSE)*(1+'Inputs-System'!$C$42)+VLOOKUP(AZ$3,Capacity!$A$53:$E$85,5,FALSE)*(1+'Inputs-System'!$C$43)*'Inputs-System'!$C$29), $C45 = "2", ('Inputs-System'!$C$26*'Coincidence Factors'!$B$9*(1+'Inputs-System'!$C$18))*'Inputs-Proposals'!$D$22*(VLOOKUP(AZ$3,Capacity!$A$53:$E$85,4,FALSE)*(1+'Inputs-System'!$C$42)+VLOOKUP(AZ$3,Capacity!$A$53:$E$85,5,FALSE)*'Inputs-System'!$C$29*(1+'Inputs-System'!$C$43)), $C45 = "3", ('Inputs-System'!$C$26*'Coincidence Factors'!$B$9*(1+'Inputs-System'!$C$18))*'Inputs-Proposals'!$D$28*(VLOOKUP(AZ$3,Capacity!$A$53:$E$85,4,FALSE)*(1+'Inputs-System'!$C$42)+VLOOKUP(AZ$3,Capacity!$A$53:$E$85,5,FALSE)*'Inputs-System'!$C$29*(1+'Inputs-System'!$C$43)), $C45 = "0", 0), 0)</f>
        <v>0</v>
      </c>
      <c r="BD45" s="44">
        <v>0</v>
      </c>
      <c r="BE45" s="342">
        <f>IFERROR(_xlfn.IFS($C45="1", 'Inputs-System'!$C$30*'Coincidence Factors'!$B$9*'Inputs-Proposals'!$I$17*'Inputs-Proposals'!$I$19*(VLOOKUP(AZ$3,'Non-Embedded Emissions'!$A$56:$D$90,2,FALSE)-VLOOKUP(AZ$3,'Non-Embedded Emissions'!$F$57:$H$88,2,FALSE)+VLOOKUP(AZ$3,'Non-Embedded Emissions'!$A$143:$D$174,2,FALSE)-VLOOKUP(AZ$3,'Non-Embedded Emissions'!$F$143:$H$174,2,FALSE)+VLOOKUP(AZ$3,'Non-Embedded Emissions'!$A$230:$D$259,2,FALSE)), $C45 = "2", 'Inputs-System'!$C$30*'Coincidence Factors'!$B$9*'Inputs-Proposals'!$I$23*'Inputs-Proposals'!$I$25*(VLOOKUP(AZ$3,'Non-Embedded Emissions'!$A$56:$D$90,2,FALSE)-VLOOKUP(AZ$3,'Non-Embedded Emissions'!$F$57:$H$88,2,FALSE)+VLOOKUP(AZ$3,'Non-Embedded Emissions'!$A$143:$D$174,2,FALSE)-VLOOKUP(AZ$3,'Non-Embedded Emissions'!$F$143:$H$174,2,FALSE)+VLOOKUP(AZ$3,'Non-Embedded Emissions'!$A$230:$D$259,2,FALSE)), $C45 = "3", 'Inputs-System'!$C$30*'Coincidence Factors'!$B$9*'Inputs-Proposals'!$I$29*'Inputs-Proposals'!$I$31*(VLOOKUP(AZ$3,'Non-Embedded Emissions'!$A$56:$D$90,2,FALSE)-VLOOKUP(AZ$3,'Non-Embedded Emissions'!$F$57:$H$88,2,FALSE)+VLOOKUP(AZ$3,'Non-Embedded Emissions'!$A$143:$D$174,2,FALSE)-VLOOKUP(AZ$3,'Non-Embedded Emissions'!$F$143:$H$174,2,FALSE)+VLOOKUP(AZ$3,'Non-Embedded Emissions'!$A$230:$D$259,2,FALSE)), $C45 = "0", 0), 0)</f>
        <v>0</v>
      </c>
      <c r="BF45" s="45">
        <f>IFERROR(_xlfn.IFS($C45="1",('Inputs-System'!$C$30*'Coincidence Factors'!$B$9*(1+'Inputs-System'!$C$18)*(1+'Inputs-System'!$C$41)*('Inputs-Proposals'!$I$17*'Inputs-Proposals'!$I$19*(1-'Inputs-Proposals'!$I$20^(BF$3-'Inputs-System'!$C$7)))*(VLOOKUP(BF$3,Energy!$A$51:$K$83,5,FALSE))), $C45 = "2",('Inputs-System'!$C$30*'Coincidence Factors'!$B$9)*(1+'Inputs-System'!$C$18)*(1+'Inputs-System'!$C$41)*('Inputs-Proposals'!$I$23*'Inputs-Proposals'!$I$25*(1-'Inputs-Proposals'!$I$26^(BF$3-'Inputs-System'!$C$7)))*(VLOOKUP(BF$3,Energy!$A$51:$K$83,5,FALSE)), $C45= "3", ('Inputs-System'!$C$30*'Coincidence Factors'!$B$9*(1+'Inputs-System'!$C$18)*(1+'Inputs-System'!$C$41)*('Inputs-Proposals'!$I$29*'Inputs-Proposals'!$I$31*(1-'Inputs-Proposals'!$I$32^(BF$3-'Inputs-System'!$C$7)))*(VLOOKUP(BF$3,Energy!$A$51:$K$83,5,FALSE))), $C45= "0", 0), 0)</f>
        <v>0</v>
      </c>
      <c r="BG45" s="44">
        <f>IFERROR(_xlfn.IFS($C45="1",('Inputs-System'!$C$30*'Coincidence Factors'!$B$9*(1+'Inputs-System'!$C$18)*(1+'Inputs-System'!$C$41))*'Inputs-Proposals'!$I$17*'Inputs-Proposals'!$I$19*(1-'Inputs-Proposals'!$I$20^(BF$3-'Inputs-System'!$C$7))*(VLOOKUP(BF$3,'Embedded Emissions'!$A$47:$B$78,2,FALSE)+VLOOKUP(BF$3,'Embedded Emissions'!$A$129:$B$158,2,FALSE)), $C45 = "2",('Inputs-System'!$C$30*'Coincidence Factors'!$B$9*(1+'Inputs-System'!$C$18)*(1+'Inputs-System'!$C$41))*'Inputs-Proposals'!$I$23*'Inputs-Proposals'!$I$25*(1-'Inputs-Proposals'!$I$20^(BF$3-'Inputs-System'!$C$7))*(VLOOKUP(BF$3,'Embedded Emissions'!$A$47:$B$78,2,FALSE)+VLOOKUP(BF$3,'Embedded Emissions'!$A$129:$B$158,2,FALSE)), $C45 = "3", ('Inputs-System'!$C$30*'Coincidence Factors'!$B$9*(1+'Inputs-System'!$C$18)*(1+'Inputs-System'!$C$41))*'Inputs-Proposals'!$I$29*'Inputs-Proposals'!$I$31*(1-'Inputs-Proposals'!$I$20^(BF$3-'Inputs-System'!$C$7))*(VLOOKUP(BF$3,'Embedded Emissions'!$A$47:$B$78,2,FALSE)+VLOOKUP(BF$3,'Embedded Emissions'!$A$129:$B$158,2,FALSE)), $C45 = "0", 0), 0)</f>
        <v>0</v>
      </c>
      <c r="BH45" s="44">
        <f>IFERROR(_xlfn.IFS($C45="1",( 'Inputs-System'!$C$30*'Coincidence Factors'!$B$9*(1+'Inputs-System'!$C$18)*(1+'Inputs-System'!$C$41))*('Inputs-Proposals'!$I$17*'Inputs-Proposals'!$I$19*(1-'Inputs-Proposals'!$I$20)^(BF$3-'Inputs-System'!$C$7))*(VLOOKUP(BF$3,DRIPE!$A$54:$I$82,5,FALSE)+VLOOKUP(BF$3,DRIPE!$A$54:$I$82,9,FALSE))+ ('Inputs-System'!$C$26*'Coincidence Factors'!$B$6*(1+'Inputs-System'!$C$18)*(1+'Inputs-System'!$C$42))*'Inputs-Proposals'!$I$16*VLOOKUP(BF$3,DRIPE!$A$54:$I$82,8,FALSE), $C45 = "2",( 'Inputs-System'!$C$30*'Coincidence Factors'!$B$9*(1+'Inputs-System'!$C$18)*(1+'Inputs-System'!$C$41))*('Inputs-Proposals'!$I$23*'Inputs-Proposals'!$I$25*(1-'Inputs-Proposals'!$I$26)^(BF$3-'Inputs-System'!$C$7))*(VLOOKUP(BF$3,DRIPE!$A$54:$I$82,5,FALSE)+VLOOKUP(BF$3,DRIPE!$A$54:$I$82,9,FALSE))+ ('Inputs-System'!$C$26*'Coincidence Factors'!$B$6*(1+'Inputs-System'!$C$18)*(1+'Inputs-System'!$C$42))*'Inputs-Proposals'!$I$22*VLOOKUP(BF$3,DRIPE!$A$54:$I$82,8,FALSE), $C45= "3", ( 'Inputs-System'!$C$30*'Coincidence Factors'!$B$9*(1+'Inputs-System'!$C$18)*(1+'Inputs-System'!$C$41))*('Inputs-Proposals'!$I$29*'Inputs-Proposals'!$I$31*(1-'Inputs-Proposals'!$I$32)^(BF$3-'Inputs-System'!$C$7))*(VLOOKUP(BF$3,DRIPE!$A$54:$I$82,5,FALSE)+VLOOKUP(BF$3,DRIPE!$A$54:$I$82,9,FALSE))+ ('Inputs-System'!$C$26*'Coincidence Factors'!$B$6*(1+'Inputs-System'!$C$18)*(1+'Inputs-System'!$C$42))*'Inputs-Proposals'!$I$28*VLOOKUP(BF$3,DRIPE!$A$54:$I$82,8,FALSE), $C45 = "0", 0), 0)</f>
        <v>0</v>
      </c>
      <c r="BI45" s="45">
        <f>IFERROR(_xlfn.IFS($C45="1",('Inputs-System'!$C$26*'Coincidence Factors'!$B$9*(1+'Inputs-System'!$C$18)*(1+'Inputs-System'!$C$42))*'Inputs-Proposals'!$D$16*(VLOOKUP(BF$3,Capacity!$A$53:$E$85,4,FALSE)*(1+'Inputs-System'!$C$42)+VLOOKUP(BF$3,Capacity!$A$53:$E$85,5,FALSE)*(1+'Inputs-System'!$C$43)*'Inputs-System'!$C$29), $C45 = "2", ('Inputs-System'!$C$26*'Coincidence Factors'!$B$9*(1+'Inputs-System'!$C$18))*'Inputs-Proposals'!$D$22*(VLOOKUP(BF$3,Capacity!$A$53:$E$85,4,FALSE)*(1+'Inputs-System'!$C$42)+VLOOKUP(BF$3,Capacity!$A$53:$E$85,5,FALSE)*'Inputs-System'!$C$29*(1+'Inputs-System'!$C$43)), $C45 = "3", ('Inputs-System'!$C$26*'Coincidence Factors'!$B$9*(1+'Inputs-System'!$C$18))*'Inputs-Proposals'!$D$28*(VLOOKUP(BF$3,Capacity!$A$53:$E$85,4,FALSE)*(1+'Inputs-System'!$C$42)+VLOOKUP(BF$3,Capacity!$A$53:$E$85,5,FALSE)*'Inputs-System'!$C$29*(1+'Inputs-System'!$C$43)), $C45 = "0", 0), 0)</f>
        <v>0</v>
      </c>
      <c r="BJ45" s="44">
        <v>0</v>
      </c>
      <c r="BK45" s="342">
        <f>IFERROR(_xlfn.IFS($C45="1", 'Inputs-System'!$C$30*'Coincidence Factors'!$B$9*'Inputs-Proposals'!$I$17*'Inputs-Proposals'!$I$19*(VLOOKUP(BF$3,'Non-Embedded Emissions'!$A$56:$D$90,2,FALSE)-VLOOKUP(BF$3,'Non-Embedded Emissions'!$F$57:$H$88,2,FALSE)+VLOOKUP(BF$3,'Non-Embedded Emissions'!$A$143:$D$174,2,FALSE)-VLOOKUP(BF$3,'Non-Embedded Emissions'!$F$143:$H$174,2,FALSE)+VLOOKUP(BF$3,'Non-Embedded Emissions'!$A$230:$D$259,2,FALSE)), $C45 = "2", 'Inputs-System'!$C$30*'Coincidence Factors'!$B$9*'Inputs-Proposals'!$I$23*'Inputs-Proposals'!$I$25*(VLOOKUP(BF$3,'Non-Embedded Emissions'!$A$56:$D$90,2,FALSE)-VLOOKUP(BF$3,'Non-Embedded Emissions'!$F$57:$H$88,2,FALSE)+VLOOKUP(BF$3,'Non-Embedded Emissions'!$A$143:$D$174,2,FALSE)-VLOOKUP(BF$3,'Non-Embedded Emissions'!$F$143:$H$174,2,FALSE)+VLOOKUP(BF$3,'Non-Embedded Emissions'!$A$230:$D$259,2,FALSE)), $C45 = "3", 'Inputs-System'!$C$30*'Coincidence Factors'!$B$9*'Inputs-Proposals'!$I$29*'Inputs-Proposals'!$I$31*(VLOOKUP(BF$3,'Non-Embedded Emissions'!$A$56:$D$90,2,FALSE)-VLOOKUP(BF$3,'Non-Embedded Emissions'!$F$57:$H$88,2,FALSE)+VLOOKUP(BF$3,'Non-Embedded Emissions'!$A$143:$D$174,2,FALSE)-VLOOKUP(BF$3,'Non-Embedded Emissions'!$F$143:$H$174,2,FALSE)+VLOOKUP(BF$3,'Non-Embedded Emissions'!$A$230:$D$259,2,FALSE)), $C45 = "0", 0), 0)</f>
        <v>0</v>
      </c>
      <c r="BL45" s="45">
        <f>IFERROR(_xlfn.IFS($C45="1",('Inputs-System'!$C$30*'Coincidence Factors'!$B$9*(1+'Inputs-System'!$C$18)*(1+'Inputs-System'!$C$41)*('Inputs-Proposals'!$I$17*'Inputs-Proposals'!$I$19*(1-'Inputs-Proposals'!$I$20^(BL$3-'Inputs-System'!$C$7)))*(VLOOKUP(BL$3,Energy!$A$51:$K$83,5,FALSE))), $C45 = "2",('Inputs-System'!$C$30*'Coincidence Factors'!$B$9)*(1+'Inputs-System'!$C$18)*(1+'Inputs-System'!$C$41)*('Inputs-Proposals'!$I$23*'Inputs-Proposals'!$I$25*(1-'Inputs-Proposals'!$I$26^(BL$3-'Inputs-System'!$C$7)))*(VLOOKUP(BL$3,Energy!$A$51:$K$83,5,FALSE)), $C45= "3", ('Inputs-System'!$C$30*'Coincidence Factors'!$B$9*(1+'Inputs-System'!$C$18)*(1+'Inputs-System'!$C$41)*('Inputs-Proposals'!$I$29*'Inputs-Proposals'!$I$31*(1-'Inputs-Proposals'!$I$32^(BL$3-'Inputs-System'!$C$7)))*(VLOOKUP(BL$3,Energy!$A$51:$K$83,5,FALSE))), $C45= "0", 0), 0)</f>
        <v>0</v>
      </c>
      <c r="BM45" s="44">
        <f>IFERROR(_xlfn.IFS($C45="1",('Inputs-System'!$C$30*'Coincidence Factors'!$B$9*(1+'Inputs-System'!$C$18)*(1+'Inputs-System'!$C$41))*'Inputs-Proposals'!$I$17*'Inputs-Proposals'!$I$19*(1-'Inputs-Proposals'!$I$20^(BL$3-'Inputs-System'!$C$7))*(VLOOKUP(BL$3,'Embedded Emissions'!$A$47:$B$78,2,FALSE)+VLOOKUP(BL$3,'Embedded Emissions'!$A$129:$B$158,2,FALSE)), $C45 = "2",('Inputs-System'!$C$30*'Coincidence Factors'!$B$9*(1+'Inputs-System'!$C$18)*(1+'Inputs-System'!$C$41))*'Inputs-Proposals'!$I$23*'Inputs-Proposals'!$I$25*(1-'Inputs-Proposals'!$I$20^(BL$3-'Inputs-System'!$C$7))*(VLOOKUP(BL$3,'Embedded Emissions'!$A$47:$B$78,2,FALSE)+VLOOKUP(BL$3,'Embedded Emissions'!$A$129:$B$158,2,FALSE)), $C45 = "3", ('Inputs-System'!$C$30*'Coincidence Factors'!$B$9*(1+'Inputs-System'!$C$18)*(1+'Inputs-System'!$C$41))*'Inputs-Proposals'!$I$29*'Inputs-Proposals'!$I$31*(1-'Inputs-Proposals'!$I$20^(BL$3-'Inputs-System'!$C$7))*(VLOOKUP(BL$3,'Embedded Emissions'!$A$47:$B$78,2,FALSE)+VLOOKUP(BL$3,'Embedded Emissions'!$A$129:$B$158,2,FALSE)), $C45 = "0", 0), 0)</f>
        <v>0</v>
      </c>
      <c r="BN45" s="44">
        <f>IFERROR(_xlfn.IFS($C45="1",( 'Inputs-System'!$C$30*'Coincidence Factors'!$B$9*(1+'Inputs-System'!$C$18)*(1+'Inputs-System'!$C$41))*('Inputs-Proposals'!$I$17*'Inputs-Proposals'!$I$19*(1-'Inputs-Proposals'!$I$20)^(BL$3-'Inputs-System'!$C$7))*(VLOOKUP(BL$3,DRIPE!$A$54:$I$82,5,FALSE)+VLOOKUP(BL$3,DRIPE!$A$54:$I$82,9,FALSE))+ ('Inputs-System'!$C$26*'Coincidence Factors'!$B$6*(1+'Inputs-System'!$C$18)*(1+'Inputs-System'!$C$42))*'Inputs-Proposals'!$I$16*VLOOKUP(BL$3,DRIPE!$A$54:$I$82,8,FALSE), $C45 = "2",( 'Inputs-System'!$C$30*'Coincidence Factors'!$B$9*(1+'Inputs-System'!$C$18)*(1+'Inputs-System'!$C$41))*('Inputs-Proposals'!$I$23*'Inputs-Proposals'!$I$25*(1-'Inputs-Proposals'!$I$26)^(BL$3-'Inputs-System'!$C$7))*(VLOOKUP(BL$3,DRIPE!$A$54:$I$82,5,FALSE)+VLOOKUP(BL$3,DRIPE!$A$54:$I$82,9,FALSE))+ ('Inputs-System'!$C$26*'Coincidence Factors'!$B$6*(1+'Inputs-System'!$C$18)*(1+'Inputs-System'!$C$42))*'Inputs-Proposals'!$I$22*VLOOKUP(BL$3,DRIPE!$A$54:$I$82,8,FALSE), $C45= "3", ( 'Inputs-System'!$C$30*'Coincidence Factors'!$B$9*(1+'Inputs-System'!$C$18)*(1+'Inputs-System'!$C$41))*('Inputs-Proposals'!$I$29*'Inputs-Proposals'!$I$31*(1-'Inputs-Proposals'!$I$32)^(BL$3-'Inputs-System'!$C$7))*(VLOOKUP(BL$3,DRIPE!$A$54:$I$82,5,FALSE)+VLOOKUP(BL$3,DRIPE!$A$54:$I$82,9,FALSE))+ ('Inputs-System'!$C$26*'Coincidence Factors'!$B$6*(1+'Inputs-System'!$C$18)*(1+'Inputs-System'!$C$42))*'Inputs-Proposals'!$I$28*VLOOKUP(BL$3,DRIPE!$A$54:$I$82,8,FALSE), $C45 = "0", 0), 0)</f>
        <v>0</v>
      </c>
      <c r="BO45" s="45">
        <f>IFERROR(_xlfn.IFS($C45="1",('Inputs-System'!$C$26*'Coincidence Factors'!$B$9*(1+'Inputs-System'!$C$18)*(1+'Inputs-System'!$C$42))*'Inputs-Proposals'!$D$16*(VLOOKUP(BL$3,Capacity!$A$53:$E$85,4,FALSE)*(1+'Inputs-System'!$C$42)+VLOOKUP(BL$3,Capacity!$A$53:$E$85,5,FALSE)*(1+'Inputs-System'!$C$43)*'Inputs-System'!$C$29), $C45 = "2", ('Inputs-System'!$C$26*'Coincidence Factors'!$B$9*(1+'Inputs-System'!$C$18))*'Inputs-Proposals'!$D$22*(VLOOKUP(BL$3,Capacity!$A$53:$E$85,4,FALSE)*(1+'Inputs-System'!$C$42)+VLOOKUP(BL$3,Capacity!$A$53:$E$85,5,FALSE)*'Inputs-System'!$C$29*(1+'Inputs-System'!$C$43)), $C45 = "3", ('Inputs-System'!$C$26*'Coincidence Factors'!$B$9*(1+'Inputs-System'!$C$18))*'Inputs-Proposals'!$D$28*(VLOOKUP(BL$3,Capacity!$A$53:$E$85,4,FALSE)*(1+'Inputs-System'!$C$42)+VLOOKUP(BL$3,Capacity!$A$53:$E$85,5,FALSE)*'Inputs-System'!$C$29*(1+'Inputs-System'!$C$43)), $C45 = "0", 0), 0)</f>
        <v>0</v>
      </c>
      <c r="BP45" s="44">
        <v>0</v>
      </c>
      <c r="BQ45" s="342">
        <f>IFERROR(_xlfn.IFS($C45="1", 'Inputs-System'!$C$30*'Coincidence Factors'!$B$9*'Inputs-Proposals'!$I$17*'Inputs-Proposals'!$I$19*(VLOOKUP(BL$3,'Non-Embedded Emissions'!$A$56:$D$90,2,FALSE)-VLOOKUP(BL$3,'Non-Embedded Emissions'!$F$57:$H$88,2,FALSE)+VLOOKUP(BL$3,'Non-Embedded Emissions'!$A$143:$D$174,2,FALSE)-VLOOKUP(BL$3,'Non-Embedded Emissions'!$F$143:$H$174,2,FALSE)+VLOOKUP(BL$3,'Non-Embedded Emissions'!$A$230:$D$259,2,FALSE)), $C45 = "2", 'Inputs-System'!$C$30*'Coincidence Factors'!$B$9*'Inputs-Proposals'!$I$23*'Inputs-Proposals'!$I$25*(VLOOKUP(BL$3,'Non-Embedded Emissions'!$A$56:$D$90,2,FALSE)-VLOOKUP(BL$3,'Non-Embedded Emissions'!$F$57:$H$88,2,FALSE)+VLOOKUP(BL$3,'Non-Embedded Emissions'!$A$143:$D$174,2,FALSE)-VLOOKUP(BL$3,'Non-Embedded Emissions'!$F$143:$H$174,2,FALSE)+VLOOKUP(BL$3,'Non-Embedded Emissions'!$A$230:$D$259,2,FALSE)), $C45 = "3", 'Inputs-System'!$C$30*'Coincidence Factors'!$B$9*'Inputs-Proposals'!$I$29*'Inputs-Proposals'!$I$31*(VLOOKUP(BL$3,'Non-Embedded Emissions'!$A$56:$D$90,2,FALSE)-VLOOKUP(BL$3,'Non-Embedded Emissions'!$F$57:$H$88,2,FALSE)+VLOOKUP(BL$3,'Non-Embedded Emissions'!$A$143:$D$174,2,FALSE)-VLOOKUP(BL$3,'Non-Embedded Emissions'!$F$143:$H$174,2,FALSE)+VLOOKUP(BL$3,'Non-Embedded Emissions'!$A$230:$D$259,2,FALSE)), $C45 = "0", 0), 0)</f>
        <v>0</v>
      </c>
      <c r="BR45" s="45">
        <f>IFERROR(_xlfn.IFS($C45="1",('Inputs-System'!$C$30*'Coincidence Factors'!$B$9*(1+'Inputs-System'!$C$18)*(1+'Inputs-System'!$C$41)*('Inputs-Proposals'!$I$17*'Inputs-Proposals'!$I$19*(1-'Inputs-Proposals'!$I$20^(BR$3-'Inputs-System'!$C$7)))*(VLOOKUP(BR$3,Energy!$A$51:$K$83,5,FALSE))), $C45 = "2",('Inputs-System'!$C$30*'Coincidence Factors'!$B$9)*(1+'Inputs-System'!$C$18)*(1+'Inputs-System'!$C$41)*('Inputs-Proposals'!$I$23*'Inputs-Proposals'!$I$25*(1-'Inputs-Proposals'!$I$26^(BR$3-'Inputs-System'!$C$7)))*(VLOOKUP(BR$3,Energy!$A$51:$K$83,5,FALSE)), $C45= "3", ('Inputs-System'!$C$30*'Coincidence Factors'!$B$9*(1+'Inputs-System'!$C$18)*(1+'Inputs-System'!$C$41)*('Inputs-Proposals'!$I$29*'Inputs-Proposals'!$I$31*(1-'Inputs-Proposals'!$I$32^(BR$3-'Inputs-System'!$C$7)))*(VLOOKUP(BR$3,Energy!$A$51:$K$83,5,FALSE))), $C45= "0", 0), 0)</f>
        <v>0</v>
      </c>
      <c r="BS45" s="44">
        <f>IFERROR(_xlfn.IFS($C45="1",('Inputs-System'!$C$30*'Coincidence Factors'!$B$9*(1+'Inputs-System'!$C$18)*(1+'Inputs-System'!$C$41))*'Inputs-Proposals'!$I$17*'Inputs-Proposals'!$I$19*(1-'Inputs-Proposals'!$I$20^(BR$3-'Inputs-System'!$C$7))*(VLOOKUP(BR$3,'Embedded Emissions'!$A$47:$B$78,2,FALSE)+VLOOKUP(BR$3,'Embedded Emissions'!$A$129:$B$158,2,FALSE)), $C45 = "2",('Inputs-System'!$C$30*'Coincidence Factors'!$B$9*(1+'Inputs-System'!$C$18)*(1+'Inputs-System'!$C$41))*'Inputs-Proposals'!$I$23*'Inputs-Proposals'!$I$25*(1-'Inputs-Proposals'!$I$20^(BR$3-'Inputs-System'!$C$7))*(VLOOKUP(BR$3,'Embedded Emissions'!$A$47:$B$78,2,FALSE)+VLOOKUP(BR$3,'Embedded Emissions'!$A$129:$B$158,2,FALSE)), $C45 = "3", ('Inputs-System'!$C$30*'Coincidence Factors'!$B$9*(1+'Inputs-System'!$C$18)*(1+'Inputs-System'!$C$41))*'Inputs-Proposals'!$I$29*'Inputs-Proposals'!$I$31*(1-'Inputs-Proposals'!$I$20^(BR$3-'Inputs-System'!$C$7))*(VLOOKUP(BR$3,'Embedded Emissions'!$A$47:$B$78,2,FALSE)+VLOOKUP(BR$3,'Embedded Emissions'!$A$129:$B$158,2,FALSE)), $C45 = "0", 0), 0)</f>
        <v>0</v>
      </c>
      <c r="BT45" s="44">
        <f>IFERROR(_xlfn.IFS($C45="1",( 'Inputs-System'!$C$30*'Coincidence Factors'!$B$9*(1+'Inputs-System'!$C$18)*(1+'Inputs-System'!$C$41))*('Inputs-Proposals'!$I$17*'Inputs-Proposals'!$I$19*(1-'Inputs-Proposals'!$I$20)^(BR$3-'Inputs-System'!$C$7))*(VLOOKUP(BR$3,DRIPE!$A$54:$I$82,5,FALSE)+VLOOKUP(BR$3,DRIPE!$A$54:$I$82,9,FALSE))+ ('Inputs-System'!$C$26*'Coincidence Factors'!$B$6*(1+'Inputs-System'!$C$18)*(1+'Inputs-System'!$C$42))*'Inputs-Proposals'!$I$16*VLOOKUP(BR$3,DRIPE!$A$54:$I$82,8,FALSE), $C45 = "2",( 'Inputs-System'!$C$30*'Coincidence Factors'!$B$9*(1+'Inputs-System'!$C$18)*(1+'Inputs-System'!$C$41))*('Inputs-Proposals'!$I$23*'Inputs-Proposals'!$I$25*(1-'Inputs-Proposals'!$I$26)^(BR$3-'Inputs-System'!$C$7))*(VLOOKUP(BR$3,DRIPE!$A$54:$I$82,5,FALSE)+VLOOKUP(BR$3,DRIPE!$A$54:$I$82,9,FALSE))+ ('Inputs-System'!$C$26*'Coincidence Factors'!$B$6*(1+'Inputs-System'!$C$18)*(1+'Inputs-System'!$C$42))*'Inputs-Proposals'!$I$22*VLOOKUP(BR$3,DRIPE!$A$54:$I$82,8,FALSE), $C45= "3", ( 'Inputs-System'!$C$30*'Coincidence Factors'!$B$9*(1+'Inputs-System'!$C$18)*(1+'Inputs-System'!$C$41))*('Inputs-Proposals'!$I$29*'Inputs-Proposals'!$I$31*(1-'Inputs-Proposals'!$I$32)^(BR$3-'Inputs-System'!$C$7))*(VLOOKUP(BR$3,DRIPE!$A$54:$I$82,5,FALSE)+VLOOKUP(BR$3,DRIPE!$A$54:$I$82,9,FALSE))+ ('Inputs-System'!$C$26*'Coincidence Factors'!$B$6*(1+'Inputs-System'!$C$18)*(1+'Inputs-System'!$C$42))*'Inputs-Proposals'!$I$28*VLOOKUP(BR$3,DRIPE!$A$54:$I$82,8,FALSE), $C45 = "0", 0), 0)</f>
        <v>0</v>
      </c>
      <c r="BU45" s="45">
        <f>IFERROR(_xlfn.IFS($C45="1",('Inputs-System'!$C$26*'Coincidence Factors'!$B$9*(1+'Inputs-System'!$C$18)*(1+'Inputs-System'!$C$42))*'Inputs-Proposals'!$D$16*(VLOOKUP(BR$3,Capacity!$A$53:$E$85,4,FALSE)*(1+'Inputs-System'!$C$42)+VLOOKUP(BR$3,Capacity!$A$53:$E$85,5,FALSE)*(1+'Inputs-System'!$C$43)*'Inputs-System'!$C$29), $C45 = "2", ('Inputs-System'!$C$26*'Coincidence Factors'!$B$9*(1+'Inputs-System'!$C$18))*'Inputs-Proposals'!$D$22*(VLOOKUP(BR$3,Capacity!$A$53:$E$85,4,FALSE)*(1+'Inputs-System'!$C$42)+VLOOKUP(BR$3,Capacity!$A$53:$E$85,5,FALSE)*'Inputs-System'!$C$29*(1+'Inputs-System'!$C$43)), $C45 = "3", ('Inputs-System'!$C$26*'Coincidence Factors'!$B$9*(1+'Inputs-System'!$C$18))*'Inputs-Proposals'!$D$28*(VLOOKUP(BR$3,Capacity!$A$53:$E$85,4,FALSE)*(1+'Inputs-System'!$C$42)+VLOOKUP(BR$3,Capacity!$A$53:$E$85,5,FALSE)*'Inputs-System'!$C$29*(1+'Inputs-System'!$C$43)), $C45 = "0", 0), 0)</f>
        <v>0</v>
      </c>
      <c r="BV45" s="44">
        <v>0</v>
      </c>
      <c r="BW45" s="342">
        <f>IFERROR(_xlfn.IFS($C45="1", 'Inputs-System'!$C$30*'Coincidence Factors'!$B$9*'Inputs-Proposals'!$I$17*'Inputs-Proposals'!$I$19*(VLOOKUP(BR$3,'Non-Embedded Emissions'!$A$56:$D$90,2,FALSE)-VLOOKUP(BR$3,'Non-Embedded Emissions'!$F$57:$H$88,2,FALSE)+VLOOKUP(BR$3,'Non-Embedded Emissions'!$A$143:$D$174,2,FALSE)-VLOOKUP(BR$3,'Non-Embedded Emissions'!$F$143:$H$174,2,FALSE)+VLOOKUP(BR$3,'Non-Embedded Emissions'!$A$230:$D$259,2,FALSE)), $C45 = "2", 'Inputs-System'!$C$30*'Coincidence Factors'!$B$9*'Inputs-Proposals'!$I$23*'Inputs-Proposals'!$I$25*(VLOOKUP(BR$3,'Non-Embedded Emissions'!$A$56:$D$90,2,FALSE)-VLOOKUP(BR$3,'Non-Embedded Emissions'!$F$57:$H$88,2,FALSE)+VLOOKUP(BR$3,'Non-Embedded Emissions'!$A$143:$D$174,2,FALSE)-VLOOKUP(BR$3,'Non-Embedded Emissions'!$F$143:$H$174,2,FALSE)+VLOOKUP(BR$3,'Non-Embedded Emissions'!$A$230:$D$259,2,FALSE)), $C45 = "3", 'Inputs-System'!$C$30*'Coincidence Factors'!$B$9*'Inputs-Proposals'!$I$29*'Inputs-Proposals'!$I$31*(VLOOKUP(BR$3,'Non-Embedded Emissions'!$A$56:$D$90,2,FALSE)-VLOOKUP(BR$3,'Non-Embedded Emissions'!$F$57:$H$88,2,FALSE)+VLOOKUP(BR$3,'Non-Embedded Emissions'!$A$143:$D$174,2,FALSE)-VLOOKUP(BR$3,'Non-Embedded Emissions'!$F$143:$H$174,2,FALSE)+VLOOKUP(BR$3,'Non-Embedded Emissions'!$A$230:$D$259,2,FALSE)), $C45 = "0", 0), 0)</f>
        <v>0</v>
      </c>
      <c r="BX45" s="45">
        <f>IFERROR(_xlfn.IFS($C45="1",('Inputs-System'!$C$30*'Coincidence Factors'!$B$9*(1+'Inputs-System'!$C$18)*(1+'Inputs-System'!$C$41)*('Inputs-Proposals'!$I$17*'Inputs-Proposals'!$I$19*(1-'Inputs-Proposals'!$I$20^(BX$3-'Inputs-System'!$C$7)))*(VLOOKUP(BX$3,Energy!$A$51:$K$83,5,FALSE))), $C45 = "2",('Inputs-System'!$C$30*'Coincidence Factors'!$B$9)*(1+'Inputs-System'!$C$18)*(1+'Inputs-System'!$C$41)*('Inputs-Proposals'!$I$23*'Inputs-Proposals'!$I$25*(1-'Inputs-Proposals'!$I$26^(BX$3-'Inputs-System'!$C$7)))*(VLOOKUP(BX$3,Energy!$A$51:$K$83,5,FALSE)), $C45= "3", ('Inputs-System'!$C$30*'Coincidence Factors'!$B$9*(1+'Inputs-System'!$C$18)*(1+'Inputs-System'!$C$41)*('Inputs-Proposals'!$I$29*'Inputs-Proposals'!$I$31*(1-'Inputs-Proposals'!$I$32^(BX$3-'Inputs-System'!$C$7)))*(VLOOKUP(BX$3,Energy!$A$51:$K$83,5,FALSE))), $C45= "0", 0), 0)</f>
        <v>0</v>
      </c>
      <c r="BY45" s="44">
        <f>IFERROR(_xlfn.IFS($C45="1",('Inputs-System'!$C$30*'Coincidence Factors'!$B$9*(1+'Inputs-System'!$C$18)*(1+'Inputs-System'!$C$41))*'Inputs-Proposals'!$I$17*'Inputs-Proposals'!$I$19*(1-'Inputs-Proposals'!$I$20^(BX$3-'Inputs-System'!$C$7))*(VLOOKUP(BX$3,'Embedded Emissions'!$A$47:$B$78,2,FALSE)+VLOOKUP(BX$3,'Embedded Emissions'!$A$129:$B$158,2,FALSE)), $C45 = "2",('Inputs-System'!$C$30*'Coincidence Factors'!$B$9*(1+'Inputs-System'!$C$18)*(1+'Inputs-System'!$C$41))*'Inputs-Proposals'!$I$23*'Inputs-Proposals'!$I$25*(1-'Inputs-Proposals'!$I$20^(BX$3-'Inputs-System'!$C$7))*(VLOOKUP(BX$3,'Embedded Emissions'!$A$47:$B$78,2,FALSE)+VLOOKUP(BX$3,'Embedded Emissions'!$A$129:$B$158,2,FALSE)), $C45 = "3", ('Inputs-System'!$C$30*'Coincidence Factors'!$B$9*(1+'Inputs-System'!$C$18)*(1+'Inputs-System'!$C$41))*'Inputs-Proposals'!$I$29*'Inputs-Proposals'!$I$31*(1-'Inputs-Proposals'!$I$20^(BX$3-'Inputs-System'!$C$7))*(VLOOKUP(BX$3,'Embedded Emissions'!$A$47:$B$78,2,FALSE)+VLOOKUP(BX$3,'Embedded Emissions'!$A$129:$B$158,2,FALSE)), $C45 = "0", 0), 0)</f>
        <v>0</v>
      </c>
      <c r="BZ45" s="44">
        <f>IFERROR(_xlfn.IFS($C45="1",( 'Inputs-System'!$C$30*'Coincidence Factors'!$B$9*(1+'Inputs-System'!$C$18)*(1+'Inputs-System'!$C$41))*('Inputs-Proposals'!$I$17*'Inputs-Proposals'!$I$19*(1-'Inputs-Proposals'!$I$20)^(BX$3-'Inputs-System'!$C$7))*(VLOOKUP(BX$3,DRIPE!$A$54:$I$82,5,FALSE)+VLOOKUP(BX$3,DRIPE!$A$54:$I$82,9,FALSE))+ ('Inputs-System'!$C$26*'Coincidence Factors'!$B$6*(1+'Inputs-System'!$C$18)*(1+'Inputs-System'!$C$42))*'Inputs-Proposals'!$I$16*VLOOKUP(BX$3,DRIPE!$A$54:$I$82,8,FALSE), $C45 = "2",( 'Inputs-System'!$C$30*'Coincidence Factors'!$B$9*(1+'Inputs-System'!$C$18)*(1+'Inputs-System'!$C$41))*('Inputs-Proposals'!$I$23*'Inputs-Proposals'!$I$25*(1-'Inputs-Proposals'!$I$26)^(BX$3-'Inputs-System'!$C$7))*(VLOOKUP(BX$3,DRIPE!$A$54:$I$82,5,FALSE)+VLOOKUP(BX$3,DRIPE!$A$54:$I$82,9,FALSE))+ ('Inputs-System'!$C$26*'Coincidence Factors'!$B$6*(1+'Inputs-System'!$C$18)*(1+'Inputs-System'!$C$42))*'Inputs-Proposals'!$I$22*VLOOKUP(BX$3,DRIPE!$A$54:$I$82,8,FALSE), $C45= "3", ( 'Inputs-System'!$C$30*'Coincidence Factors'!$B$9*(1+'Inputs-System'!$C$18)*(1+'Inputs-System'!$C$41))*('Inputs-Proposals'!$I$29*'Inputs-Proposals'!$I$31*(1-'Inputs-Proposals'!$I$32)^(BX$3-'Inputs-System'!$C$7))*(VLOOKUP(BX$3,DRIPE!$A$54:$I$82,5,FALSE)+VLOOKUP(BX$3,DRIPE!$A$54:$I$82,9,FALSE))+ ('Inputs-System'!$C$26*'Coincidence Factors'!$B$6*(1+'Inputs-System'!$C$18)*(1+'Inputs-System'!$C$42))*'Inputs-Proposals'!$I$28*VLOOKUP(BX$3,DRIPE!$A$54:$I$82,8,FALSE), $C45 = "0", 0), 0)</f>
        <v>0</v>
      </c>
      <c r="CA45" s="45">
        <f>IFERROR(_xlfn.IFS($C45="1",('Inputs-System'!$C$26*'Coincidence Factors'!$B$9*(1+'Inputs-System'!$C$18)*(1+'Inputs-System'!$C$42))*'Inputs-Proposals'!$D$16*(VLOOKUP(BX$3,Capacity!$A$53:$E$85,4,FALSE)*(1+'Inputs-System'!$C$42)+VLOOKUP(BX$3,Capacity!$A$53:$E$85,5,FALSE)*(1+'Inputs-System'!$C$43)*'Inputs-System'!$C$29), $C45 = "2", ('Inputs-System'!$C$26*'Coincidence Factors'!$B$9*(1+'Inputs-System'!$C$18))*'Inputs-Proposals'!$D$22*(VLOOKUP(BX$3,Capacity!$A$53:$E$85,4,FALSE)*(1+'Inputs-System'!$C$42)+VLOOKUP(BX$3,Capacity!$A$53:$E$85,5,FALSE)*'Inputs-System'!$C$29*(1+'Inputs-System'!$C$43)), $C45 = "3", ('Inputs-System'!$C$26*'Coincidence Factors'!$B$9*(1+'Inputs-System'!$C$18))*'Inputs-Proposals'!$D$28*(VLOOKUP(BX$3,Capacity!$A$53:$E$85,4,FALSE)*(1+'Inputs-System'!$C$42)+VLOOKUP(BX$3,Capacity!$A$53:$E$85,5,FALSE)*'Inputs-System'!$C$29*(1+'Inputs-System'!$C$43)), $C45 = "0", 0), 0)</f>
        <v>0</v>
      </c>
      <c r="CB45" s="44">
        <v>0</v>
      </c>
      <c r="CC45" s="342">
        <f>IFERROR(_xlfn.IFS($C45="1", 'Inputs-System'!$C$30*'Coincidence Factors'!$B$9*'Inputs-Proposals'!$I$17*'Inputs-Proposals'!$I$19*(VLOOKUP(BX$3,'Non-Embedded Emissions'!$A$56:$D$90,2,FALSE)-VLOOKUP(BX$3,'Non-Embedded Emissions'!$F$57:$H$88,2,FALSE)+VLOOKUP(BX$3,'Non-Embedded Emissions'!$A$143:$D$174,2,FALSE)-VLOOKUP(BX$3,'Non-Embedded Emissions'!$F$143:$H$174,2,FALSE)+VLOOKUP(BX$3,'Non-Embedded Emissions'!$A$230:$D$259,2,FALSE)), $C45 = "2", 'Inputs-System'!$C$30*'Coincidence Factors'!$B$9*'Inputs-Proposals'!$I$23*'Inputs-Proposals'!$I$25*(VLOOKUP(BX$3,'Non-Embedded Emissions'!$A$56:$D$90,2,FALSE)-VLOOKUP(BX$3,'Non-Embedded Emissions'!$F$57:$H$88,2,FALSE)+VLOOKUP(BX$3,'Non-Embedded Emissions'!$A$143:$D$174,2,FALSE)-VLOOKUP(BX$3,'Non-Embedded Emissions'!$F$143:$H$174,2,FALSE)+VLOOKUP(BX$3,'Non-Embedded Emissions'!$A$230:$D$259,2,FALSE)), $C45 = "3", 'Inputs-System'!$C$30*'Coincidence Factors'!$B$9*'Inputs-Proposals'!$I$29*'Inputs-Proposals'!$I$31*(VLOOKUP(BX$3,'Non-Embedded Emissions'!$A$56:$D$90,2,FALSE)-VLOOKUP(BX$3,'Non-Embedded Emissions'!$F$57:$H$88,2,FALSE)+VLOOKUP(BX$3,'Non-Embedded Emissions'!$A$143:$D$174,2,FALSE)-VLOOKUP(BX$3,'Non-Embedded Emissions'!$F$143:$H$174,2,FALSE)+VLOOKUP(BX$3,'Non-Embedded Emissions'!$A$230:$D$259,2,FALSE)), $C45 = "0", 0), 0)</f>
        <v>0</v>
      </c>
      <c r="CD45" s="45">
        <f>IFERROR(_xlfn.IFS($C45="1",('Inputs-System'!$C$30*'Coincidence Factors'!$B$9*(1+'Inputs-System'!$C$18)*(1+'Inputs-System'!$C$41)*('Inputs-Proposals'!$I$17*'Inputs-Proposals'!$I$19*(1-'Inputs-Proposals'!$I$20^(CD$3-'Inputs-System'!$C$7)))*(VLOOKUP(CD$3,Energy!$A$51:$K$83,5,FALSE))), $C45 = "2",('Inputs-System'!$C$30*'Coincidence Factors'!$B$9)*(1+'Inputs-System'!$C$18)*(1+'Inputs-System'!$C$41)*('Inputs-Proposals'!$I$23*'Inputs-Proposals'!$I$25*(1-'Inputs-Proposals'!$I$26^(CD$3-'Inputs-System'!$C$7)))*(VLOOKUP(CD$3,Energy!$A$51:$K$83,5,FALSE)), $C45= "3", ('Inputs-System'!$C$30*'Coincidence Factors'!$B$9*(1+'Inputs-System'!$C$18)*(1+'Inputs-System'!$C$41)*('Inputs-Proposals'!$I$29*'Inputs-Proposals'!$I$31*(1-'Inputs-Proposals'!$I$32^(CD$3-'Inputs-System'!$C$7)))*(VLOOKUP(CD$3,Energy!$A$51:$K$83,5,FALSE))), $C45= "0", 0), 0)</f>
        <v>0</v>
      </c>
      <c r="CE45" s="44">
        <f>IFERROR(_xlfn.IFS($C45="1",('Inputs-System'!$C$30*'Coincidence Factors'!$B$9*(1+'Inputs-System'!$C$18)*(1+'Inputs-System'!$C$41))*'Inputs-Proposals'!$I$17*'Inputs-Proposals'!$I$19*(1-'Inputs-Proposals'!$I$20^(CD$3-'Inputs-System'!$C$7))*(VLOOKUP(CD$3,'Embedded Emissions'!$A$47:$B$78,2,FALSE)+VLOOKUP(CD$3,'Embedded Emissions'!$A$129:$B$158,2,FALSE)), $C45 = "2",('Inputs-System'!$C$30*'Coincidence Factors'!$B$9*(1+'Inputs-System'!$C$18)*(1+'Inputs-System'!$C$41))*'Inputs-Proposals'!$I$23*'Inputs-Proposals'!$I$25*(1-'Inputs-Proposals'!$I$20^(CD$3-'Inputs-System'!$C$7))*(VLOOKUP(CD$3,'Embedded Emissions'!$A$47:$B$78,2,FALSE)+VLOOKUP(CD$3,'Embedded Emissions'!$A$129:$B$158,2,FALSE)), $C45 = "3", ('Inputs-System'!$C$30*'Coincidence Factors'!$B$9*(1+'Inputs-System'!$C$18)*(1+'Inputs-System'!$C$41))*'Inputs-Proposals'!$I$29*'Inputs-Proposals'!$I$31*(1-'Inputs-Proposals'!$I$20^(CD$3-'Inputs-System'!$C$7))*(VLOOKUP(CD$3,'Embedded Emissions'!$A$47:$B$78,2,FALSE)+VLOOKUP(CD$3,'Embedded Emissions'!$A$129:$B$158,2,FALSE)), $C45 = "0", 0), 0)</f>
        <v>0</v>
      </c>
      <c r="CF45" s="44">
        <f>IFERROR(_xlfn.IFS($C45="1",( 'Inputs-System'!$C$30*'Coincidence Factors'!$B$9*(1+'Inputs-System'!$C$18)*(1+'Inputs-System'!$C$41))*('Inputs-Proposals'!$I$17*'Inputs-Proposals'!$I$19*(1-'Inputs-Proposals'!$I$20)^(CD$3-'Inputs-System'!$C$7))*(VLOOKUP(CD$3,DRIPE!$A$54:$I$82,5,FALSE)+VLOOKUP(CD$3,DRIPE!$A$54:$I$82,9,FALSE))+ ('Inputs-System'!$C$26*'Coincidence Factors'!$B$6*(1+'Inputs-System'!$C$18)*(1+'Inputs-System'!$C$42))*'Inputs-Proposals'!$I$16*VLOOKUP(CD$3,DRIPE!$A$54:$I$82,8,FALSE), $C45 = "2",( 'Inputs-System'!$C$30*'Coincidence Factors'!$B$9*(1+'Inputs-System'!$C$18)*(1+'Inputs-System'!$C$41))*('Inputs-Proposals'!$I$23*'Inputs-Proposals'!$I$25*(1-'Inputs-Proposals'!$I$26)^(CD$3-'Inputs-System'!$C$7))*(VLOOKUP(CD$3,DRIPE!$A$54:$I$82,5,FALSE)+VLOOKUP(CD$3,DRIPE!$A$54:$I$82,9,FALSE))+ ('Inputs-System'!$C$26*'Coincidence Factors'!$B$6*(1+'Inputs-System'!$C$18)*(1+'Inputs-System'!$C$42))*'Inputs-Proposals'!$I$22*VLOOKUP(CD$3,DRIPE!$A$54:$I$82,8,FALSE), $C45= "3", ( 'Inputs-System'!$C$30*'Coincidence Factors'!$B$9*(1+'Inputs-System'!$C$18)*(1+'Inputs-System'!$C$41))*('Inputs-Proposals'!$I$29*'Inputs-Proposals'!$I$31*(1-'Inputs-Proposals'!$I$32)^(CD$3-'Inputs-System'!$C$7))*(VLOOKUP(CD$3,DRIPE!$A$54:$I$82,5,FALSE)+VLOOKUP(CD$3,DRIPE!$A$54:$I$82,9,FALSE))+ ('Inputs-System'!$C$26*'Coincidence Factors'!$B$6*(1+'Inputs-System'!$C$18)*(1+'Inputs-System'!$C$42))*'Inputs-Proposals'!$I$28*VLOOKUP(CD$3,DRIPE!$A$54:$I$82,8,FALSE), $C45 = "0", 0), 0)</f>
        <v>0</v>
      </c>
      <c r="CG45" s="45">
        <f>IFERROR(_xlfn.IFS($C45="1",('Inputs-System'!$C$26*'Coincidence Factors'!$B$9*(1+'Inputs-System'!$C$18)*(1+'Inputs-System'!$C$42))*'Inputs-Proposals'!$D$16*(VLOOKUP(CD$3,Capacity!$A$53:$E$85,4,FALSE)*(1+'Inputs-System'!$C$42)+VLOOKUP(CD$3,Capacity!$A$53:$E$85,5,FALSE)*(1+'Inputs-System'!$C$43)*'Inputs-System'!$C$29), $C45 = "2", ('Inputs-System'!$C$26*'Coincidence Factors'!$B$9*(1+'Inputs-System'!$C$18))*'Inputs-Proposals'!$D$22*(VLOOKUP(CD$3,Capacity!$A$53:$E$85,4,FALSE)*(1+'Inputs-System'!$C$42)+VLOOKUP(CD$3,Capacity!$A$53:$E$85,5,FALSE)*'Inputs-System'!$C$29*(1+'Inputs-System'!$C$43)), $C45 = "3", ('Inputs-System'!$C$26*'Coincidence Factors'!$B$9*(1+'Inputs-System'!$C$18))*'Inputs-Proposals'!$D$28*(VLOOKUP(CD$3,Capacity!$A$53:$E$85,4,FALSE)*(1+'Inputs-System'!$C$42)+VLOOKUP(CD$3,Capacity!$A$53:$E$85,5,FALSE)*'Inputs-System'!$C$29*(1+'Inputs-System'!$C$43)), $C45 = "0", 0), 0)</f>
        <v>0</v>
      </c>
      <c r="CH45" s="44">
        <v>0</v>
      </c>
      <c r="CI45" s="342">
        <f>IFERROR(_xlfn.IFS($C45="1", 'Inputs-System'!$C$30*'Coincidence Factors'!$B$9*'Inputs-Proposals'!$I$17*'Inputs-Proposals'!$I$19*(VLOOKUP(CD$3,'Non-Embedded Emissions'!$A$56:$D$90,2,FALSE)-VLOOKUP(CD$3,'Non-Embedded Emissions'!$F$57:$H$88,2,FALSE)+VLOOKUP(CD$3,'Non-Embedded Emissions'!$A$143:$D$174,2,FALSE)-VLOOKUP(CD$3,'Non-Embedded Emissions'!$F$143:$H$174,2,FALSE)+VLOOKUP(CD$3,'Non-Embedded Emissions'!$A$230:$D$259,2,FALSE)), $C45 = "2", 'Inputs-System'!$C$30*'Coincidence Factors'!$B$9*'Inputs-Proposals'!$I$23*'Inputs-Proposals'!$I$25*(VLOOKUP(CD$3,'Non-Embedded Emissions'!$A$56:$D$90,2,FALSE)-VLOOKUP(CD$3,'Non-Embedded Emissions'!$F$57:$H$88,2,FALSE)+VLOOKUP(CD$3,'Non-Embedded Emissions'!$A$143:$D$174,2,FALSE)-VLOOKUP(CD$3,'Non-Embedded Emissions'!$F$143:$H$174,2,FALSE)+VLOOKUP(CD$3,'Non-Embedded Emissions'!$A$230:$D$259,2,FALSE)), $C45 = "3", 'Inputs-System'!$C$30*'Coincidence Factors'!$B$9*'Inputs-Proposals'!$I$29*'Inputs-Proposals'!$I$31*(VLOOKUP(CD$3,'Non-Embedded Emissions'!$A$56:$D$90,2,FALSE)-VLOOKUP(CD$3,'Non-Embedded Emissions'!$F$57:$H$88,2,FALSE)+VLOOKUP(CD$3,'Non-Embedded Emissions'!$A$143:$D$174,2,FALSE)-VLOOKUP(CD$3,'Non-Embedded Emissions'!$F$143:$H$174,2,FALSE)+VLOOKUP(CD$3,'Non-Embedded Emissions'!$A$230:$D$259,2,FALSE)), $C45 = "0", 0), 0)</f>
        <v>0</v>
      </c>
      <c r="CJ45" s="45">
        <f>IFERROR(_xlfn.IFS($C45="1",('Inputs-System'!$C$30*'Coincidence Factors'!$B$9*(1+'Inputs-System'!$C$18)*(1+'Inputs-System'!$C$41)*('Inputs-Proposals'!$I$17*'Inputs-Proposals'!$I$19*(1-'Inputs-Proposals'!$I$20^(CJ$3-'Inputs-System'!$C$7)))*(VLOOKUP(CJ$3,Energy!$A$51:$K$83,5,FALSE))), $C45 = "2",('Inputs-System'!$C$30*'Coincidence Factors'!$B$9)*(1+'Inputs-System'!$C$18)*(1+'Inputs-System'!$C$41)*('Inputs-Proposals'!$I$23*'Inputs-Proposals'!$I$25*(1-'Inputs-Proposals'!$I$26^(CJ$3-'Inputs-System'!$C$7)))*(VLOOKUP(CJ$3,Energy!$A$51:$K$83,5,FALSE)), $C45= "3", ('Inputs-System'!$C$30*'Coincidence Factors'!$B$9*(1+'Inputs-System'!$C$18)*(1+'Inputs-System'!$C$41)*('Inputs-Proposals'!$I$29*'Inputs-Proposals'!$I$31*(1-'Inputs-Proposals'!$I$32^(CJ$3-'Inputs-System'!$C$7)))*(VLOOKUP(CJ$3,Energy!$A$51:$K$83,5,FALSE))), $C45= "0", 0), 0)</f>
        <v>0</v>
      </c>
      <c r="CK45" s="44">
        <f>IFERROR(_xlfn.IFS($C45="1",('Inputs-System'!$C$30*'Coincidence Factors'!$B$9*(1+'Inputs-System'!$C$18)*(1+'Inputs-System'!$C$41))*'Inputs-Proposals'!$I$17*'Inputs-Proposals'!$I$19*(1-'Inputs-Proposals'!$I$20^(CJ$3-'Inputs-System'!$C$7))*(VLOOKUP(CJ$3,'Embedded Emissions'!$A$47:$B$78,2,FALSE)+VLOOKUP(CJ$3,'Embedded Emissions'!$A$129:$B$158,2,FALSE)), $C45 = "2",('Inputs-System'!$C$30*'Coincidence Factors'!$B$9*(1+'Inputs-System'!$C$18)*(1+'Inputs-System'!$C$41))*'Inputs-Proposals'!$I$23*'Inputs-Proposals'!$I$25*(1-'Inputs-Proposals'!$I$20^(CJ$3-'Inputs-System'!$C$7))*(VLOOKUP(CJ$3,'Embedded Emissions'!$A$47:$B$78,2,FALSE)+VLOOKUP(CJ$3,'Embedded Emissions'!$A$129:$B$158,2,FALSE)), $C45 = "3", ('Inputs-System'!$C$30*'Coincidence Factors'!$B$9*(1+'Inputs-System'!$C$18)*(1+'Inputs-System'!$C$41))*'Inputs-Proposals'!$I$29*'Inputs-Proposals'!$I$31*(1-'Inputs-Proposals'!$I$20^(CJ$3-'Inputs-System'!$C$7))*(VLOOKUP(CJ$3,'Embedded Emissions'!$A$47:$B$78,2,FALSE)+VLOOKUP(CJ$3,'Embedded Emissions'!$A$129:$B$158,2,FALSE)), $C45 = "0", 0), 0)</f>
        <v>0</v>
      </c>
      <c r="CL45" s="44">
        <f>IFERROR(_xlfn.IFS($C45="1",( 'Inputs-System'!$C$30*'Coincidence Factors'!$B$9*(1+'Inputs-System'!$C$18)*(1+'Inputs-System'!$C$41))*('Inputs-Proposals'!$I$17*'Inputs-Proposals'!$I$19*(1-'Inputs-Proposals'!$I$20)^(CJ$3-'Inputs-System'!$C$7))*(VLOOKUP(CJ$3,DRIPE!$A$54:$I$82,5,FALSE)+VLOOKUP(CJ$3,DRIPE!$A$54:$I$82,9,FALSE))+ ('Inputs-System'!$C$26*'Coincidence Factors'!$B$6*(1+'Inputs-System'!$C$18)*(1+'Inputs-System'!$C$42))*'Inputs-Proposals'!$I$16*VLOOKUP(CJ$3,DRIPE!$A$54:$I$82,8,FALSE), $C45 = "2",( 'Inputs-System'!$C$30*'Coincidence Factors'!$B$9*(1+'Inputs-System'!$C$18)*(1+'Inputs-System'!$C$41))*('Inputs-Proposals'!$I$23*'Inputs-Proposals'!$I$25*(1-'Inputs-Proposals'!$I$26)^(CJ$3-'Inputs-System'!$C$7))*(VLOOKUP(CJ$3,DRIPE!$A$54:$I$82,5,FALSE)+VLOOKUP(CJ$3,DRIPE!$A$54:$I$82,9,FALSE))+ ('Inputs-System'!$C$26*'Coincidence Factors'!$B$6*(1+'Inputs-System'!$C$18)*(1+'Inputs-System'!$C$42))*'Inputs-Proposals'!$I$22*VLOOKUP(CJ$3,DRIPE!$A$54:$I$82,8,FALSE), $C45= "3", ( 'Inputs-System'!$C$30*'Coincidence Factors'!$B$9*(1+'Inputs-System'!$C$18)*(1+'Inputs-System'!$C$41))*('Inputs-Proposals'!$I$29*'Inputs-Proposals'!$I$31*(1-'Inputs-Proposals'!$I$32)^(CJ$3-'Inputs-System'!$C$7))*(VLOOKUP(CJ$3,DRIPE!$A$54:$I$82,5,FALSE)+VLOOKUP(CJ$3,DRIPE!$A$54:$I$82,9,FALSE))+ ('Inputs-System'!$C$26*'Coincidence Factors'!$B$6*(1+'Inputs-System'!$C$18)*(1+'Inputs-System'!$C$42))*'Inputs-Proposals'!$I$28*VLOOKUP(CJ$3,DRIPE!$A$54:$I$82,8,FALSE), $C45 = "0", 0), 0)</f>
        <v>0</v>
      </c>
      <c r="CM45" s="45">
        <f>IFERROR(_xlfn.IFS($C45="1",('Inputs-System'!$C$26*'Coincidence Factors'!$B$9*(1+'Inputs-System'!$C$18)*(1+'Inputs-System'!$C$42))*'Inputs-Proposals'!$D$16*(VLOOKUP(CJ$3,Capacity!$A$53:$E$85,4,FALSE)*(1+'Inputs-System'!$C$42)+VLOOKUP(CJ$3,Capacity!$A$53:$E$85,5,FALSE)*(1+'Inputs-System'!$C$43)*'Inputs-System'!$C$29), $C45 = "2", ('Inputs-System'!$C$26*'Coincidence Factors'!$B$9*(1+'Inputs-System'!$C$18))*'Inputs-Proposals'!$D$22*(VLOOKUP(CJ$3,Capacity!$A$53:$E$85,4,FALSE)*(1+'Inputs-System'!$C$42)+VLOOKUP(CJ$3,Capacity!$A$53:$E$85,5,FALSE)*'Inputs-System'!$C$29*(1+'Inputs-System'!$C$43)), $C45 = "3", ('Inputs-System'!$C$26*'Coincidence Factors'!$B$9*(1+'Inputs-System'!$C$18))*'Inputs-Proposals'!$D$28*(VLOOKUP(CJ$3,Capacity!$A$53:$E$85,4,FALSE)*(1+'Inputs-System'!$C$42)+VLOOKUP(CJ$3,Capacity!$A$53:$E$85,5,FALSE)*'Inputs-System'!$C$29*(1+'Inputs-System'!$C$43)), $C45 = "0", 0), 0)</f>
        <v>0</v>
      </c>
      <c r="CN45" s="44">
        <v>0</v>
      </c>
      <c r="CO45" s="342">
        <f>IFERROR(_xlfn.IFS($C45="1", 'Inputs-System'!$C$30*'Coincidence Factors'!$B$9*'Inputs-Proposals'!$I$17*'Inputs-Proposals'!$I$19*(VLOOKUP(CJ$3,'Non-Embedded Emissions'!$A$56:$D$90,2,FALSE)-VLOOKUP(CJ$3,'Non-Embedded Emissions'!$F$57:$H$88,2,FALSE)+VLOOKUP(CJ$3,'Non-Embedded Emissions'!$A$143:$D$174,2,FALSE)-VLOOKUP(CJ$3,'Non-Embedded Emissions'!$F$143:$H$174,2,FALSE)+VLOOKUP(CJ$3,'Non-Embedded Emissions'!$A$230:$D$259,2,FALSE)), $C45 = "2", 'Inputs-System'!$C$30*'Coincidence Factors'!$B$9*'Inputs-Proposals'!$I$23*'Inputs-Proposals'!$I$25*(VLOOKUP(CJ$3,'Non-Embedded Emissions'!$A$56:$D$90,2,FALSE)-VLOOKUP(CJ$3,'Non-Embedded Emissions'!$F$57:$H$88,2,FALSE)+VLOOKUP(CJ$3,'Non-Embedded Emissions'!$A$143:$D$174,2,FALSE)-VLOOKUP(CJ$3,'Non-Embedded Emissions'!$F$143:$H$174,2,FALSE)+VLOOKUP(CJ$3,'Non-Embedded Emissions'!$A$230:$D$259,2,FALSE)), $C45 = "3", 'Inputs-System'!$C$30*'Coincidence Factors'!$B$9*'Inputs-Proposals'!$I$29*'Inputs-Proposals'!$I$31*(VLOOKUP(CJ$3,'Non-Embedded Emissions'!$A$56:$D$90,2,FALSE)-VLOOKUP(CJ$3,'Non-Embedded Emissions'!$F$57:$H$88,2,FALSE)+VLOOKUP(CJ$3,'Non-Embedded Emissions'!$A$143:$D$174,2,FALSE)-VLOOKUP(CJ$3,'Non-Embedded Emissions'!$F$143:$H$174,2,FALSE)+VLOOKUP(CJ$3,'Non-Embedded Emissions'!$A$230:$D$259,2,FALSE)), $C45 = "0", 0), 0)</f>
        <v>0</v>
      </c>
      <c r="CP45" s="45">
        <f>IFERROR(_xlfn.IFS($C45="1",('Inputs-System'!$C$30*'Coincidence Factors'!$B$9*(1+'Inputs-System'!$C$18)*(1+'Inputs-System'!$C$41)*('Inputs-Proposals'!$I$17*'Inputs-Proposals'!$I$19*(1-'Inputs-Proposals'!$I$20^(CP$3-'Inputs-System'!$C$7)))*(VLOOKUP(CP$3,Energy!$A$51:$K$83,5,FALSE))), $C45 = "2",('Inputs-System'!$C$30*'Coincidence Factors'!$B$9)*(1+'Inputs-System'!$C$18)*(1+'Inputs-System'!$C$41)*('Inputs-Proposals'!$I$23*'Inputs-Proposals'!$I$25*(1-'Inputs-Proposals'!$I$26^(CP$3-'Inputs-System'!$C$7)))*(VLOOKUP(CP$3,Energy!$A$51:$K$83,5,FALSE)), $C45= "3", ('Inputs-System'!$C$30*'Coincidence Factors'!$B$9*(1+'Inputs-System'!$C$18)*(1+'Inputs-System'!$C$41)*('Inputs-Proposals'!$I$29*'Inputs-Proposals'!$I$31*(1-'Inputs-Proposals'!$I$32^(CP$3-'Inputs-System'!$C$7)))*(VLOOKUP(CP$3,Energy!$A$51:$K$83,5,FALSE))), $C45= "0", 0), 0)</f>
        <v>0</v>
      </c>
      <c r="CQ45" s="44">
        <f>IFERROR(_xlfn.IFS($C45="1",('Inputs-System'!$C$30*'Coincidence Factors'!$B$9*(1+'Inputs-System'!$C$18)*(1+'Inputs-System'!$C$41))*'Inputs-Proposals'!$I$17*'Inputs-Proposals'!$I$19*(1-'Inputs-Proposals'!$I$20^(CP$3-'Inputs-System'!$C$7))*(VLOOKUP(CP$3,'Embedded Emissions'!$A$47:$B$78,2,FALSE)+VLOOKUP(CP$3,'Embedded Emissions'!$A$129:$B$158,2,FALSE)), $C45 = "2",('Inputs-System'!$C$30*'Coincidence Factors'!$B$9*(1+'Inputs-System'!$C$18)*(1+'Inputs-System'!$C$41))*'Inputs-Proposals'!$I$23*'Inputs-Proposals'!$I$25*(1-'Inputs-Proposals'!$I$20^(CP$3-'Inputs-System'!$C$7))*(VLOOKUP(CP$3,'Embedded Emissions'!$A$47:$B$78,2,FALSE)+VLOOKUP(CP$3,'Embedded Emissions'!$A$129:$B$158,2,FALSE)), $C45 = "3", ('Inputs-System'!$C$30*'Coincidence Factors'!$B$9*(1+'Inputs-System'!$C$18)*(1+'Inputs-System'!$C$41))*'Inputs-Proposals'!$I$29*'Inputs-Proposals'!$I$31*(1-'Inputs-Proposals'!$I$20^(CP$3-'Inputs-System'!$C$7))*(VLOOKUP(CP$3,'Embedded Emissions'!$A$47:$B$78,2,FALSE)+VLOOKUP(CP$3,'Embedded Emissions'!$A$129:$B$158,2,FALSE)), $C45 = "0", 0), 0)</f>
        <v>0</v>
      </c>
      <c r="CR45" s="44">
        <f>IFERROR(_xlfn.IFS($C45="1",( 'Inputs-System'!$C$30*'Coincidence Factors'!$B$9*(1+'Inputs-System'!$C$18)*(1+'Inputs-System'!$C$41))*('Inputs-Proposals'!$I$17*'Inputs-Proposals'!$I$19*(1-'Inputs-Proposals'!$I$20)^(CP$3-'Inputs-System'!$C$7))*(VLOOKUP(CP$3,DRIPE!$A$54:$I$82,5,FALSE)+VLOOKUP(CP$3,DRIPE!$A$54:$I$82,9,FALSE))+ ('Inputs-System'!$C$26*'Coincidence Factors'!$B$6*(1+'Inputs-System'!$C$18)*(1+'Inputs-System'!$C$42))*'Inputs-Proposals'!$I$16*VLOOKUP(CP$3,DRIPE!$A$54:$I$82,8,FALSE), $C45 = "2",( 'Inputs-System'!$C$30*'Coincidence Factors'!$B$9*(1+'Inputs-System'!$C$18)*(1+'Inputs-System'!$C$41))*('Inputs-Proposals'!$I$23*'Inputs-Proposals'!$I$25*(1-'Inputs-Proposals'!$I$26)^(CP$3-'Inputs-System'!$C$7))*(VLOOKUP(CP$3,DRIPE!$A$54:$I$82,5,FALSE)+VLOOKUP(CP$3,DRIPE!$A$54:$I$82,9,FALSE))+ ('Inputs-System'!$C$26*'Coincidence Factors'!$B$6*(1+'Inputs-System'!$C$18)*(1+'Inputs-System'!$C$42))*'Inputs-Proposals'!$I$22*VLOOKUP(CP$3,DRIPE!$A$54:$I$82,8,FALSE), $C45= "3", ( 'Inputs-System'!$C$30*'Coincidence Factors'!$B$9*(1+'Inputs-System'!$C$18)*(1+'Inputs-System'!$C$41))*('Inputs-Proposals'!$I$29*'Inputs-Proposals'!$I$31*(1-'Inputs-Proposals'!$I$32)^(CP$3-'Inputs-System'!$C$7))*(VLOOKUP(CP$3,DRIPE!$A$54:$I$82,5,FALSE)+VLOOKUP(CP$3,DRIPE!$A$54:$I$82,9,FALSE))+ ('Inputs-System'!$C$26*'Coincidence Factors'!$B$6*(1+'Inputs-System'!$C$18)*(1+'Inputs-System'!$C$42))*'Inputs-Proposals'!$I$28*VLOOKUP(CP$3,DRIPE!$A$54:$I$82,8,FALSE), $C45 = "0", 0), 0)</f>
        <v>0</v>
      </c>
      <c r="CS45" s="45">
        <f>IFERROR(_xlfn.IFS($C45="1",('Inputs-System'!$C$26*'Coincidence Factors'!$B$9*(1+'Inputs-System'!$C$18)*(1+'Inputs-System'!$C$42))*'Inputs-Proposals'!$D$16*(VLOOKUP(CP$3,Capacity!$A$53:$E$85,4,FALSE)*(1+'Inputs-System'!$C$42)+VLOOKUP(CP$3,Capacity!$A$53:$E$85,5,FALSE)*(1+'Inputs-System'!$C$43)*'Inputs-System'!$C$29), $C45 = "2", ('Inputs-System'!$C$26*'Coincidence Factors'!$B$9*(1+'Inputs-System'!$C$18))*'Inputs-Proposals'!$D$22*(VLOOKUP(CP$3,Capacity!$A$53:$E$85,4,FALSE)*(1+'Inputs-System'!$C$42)+VLOOKUP(CP$3,Capacity!$A$53:$E$85,5,FALSE)*'Inputs-System'!$C$29*(1+'Inputs-System'!$C$43)), $C45 = "3", ('Inputs-System'!$C$26*'Coincidence Factors'!$B$9*(1+'Inputs-System'!$C$18))*'Inputs-Proposals'!$D$28*(VLOOKUP(CP$3,Capacity!$A$53:$E$85,4,FALSE)*(1+'Inputs-System'!$C$42)+VLOOKUP(CP$3,Capacity!$A$53:$E$85,5,FALSE)*'Inputs-System'!$C$29*(1+'Inputs-System'!$C$43)), $C45 = "0", 0), 0)</f>
        <v>0</v>
      </c>
      <c r="CT45" s="44">
        <v>0</v>
      </c>
      <c r="CU45" s="342">
        <f>IFERROR(_xlfn.IFS($C45="1", 'Inputs-System'!$C$30*'Coincidence Factors'!$B$9*'Inputs-Proposals'!$I$17*'Inputs-Proposals'!$I$19*(VLOOKUP(CP$3,'Non-Embedded Emissions'!$A$56:$D$90,2,FALSE)-VLOOKUP(CP$3,'Non-Embedded Emissions'!$F$57:$H$88,2,FALSE)+VLOOKUP(CP$3,'Non-Embedded Emissions'!$A$143:$D$174,2,FALSE)-VLOOKUP(CP$3,'Non-Embedded Emissions'!$F$143:$H$174,2,FALSE)+VLOOKUP(CP$3,'Non-Embedded Emissions'!$A$230:$D$259,2,FALSE)), $C45 = "2", 'Inputs-System'!$C$30*'Coincidence Factors'!$B$9*'Inputs-Proposals'!$I$23*'Inputs-Proposals'!$I$25*(VLOOKUP(CP$3,'Non-Embedded Emissions'!$A$56:$D$90,2,FALSE)-VLOOKUP(CP$3,'Non-Embedded Emissions'!$F$57:$H$88,2,FALSE)+VLOOKUP(CP$3,'Non-Embedded Emissions'!$A$143:$D$174,2,FALSE)-VLOOKUP(CP$3,'Non-Embedded Emissions'!$F$143:$H$174,2,FALSE)+VLOOKUP(CP$3,'Non-Embedded Emissions'!$A$230:$D$259,2,FALSE)), $C45 = "3", 'Inputs-System'!$C$30*'Coincidence Factors'!$B$9*'Inputs-Proposals'!$I$29*'Inputs-Proposals'!$I$31*(VLOOKUP(CP$3,'Non-Embedded Emissions'!$A$56:$D$90,2,FALSE)-VLOOKUP(CP$3,'Non-Embedded Emissions'!$F$57:$H$88,2,FALSE)+VLOOKUP(CP$3,'Non-Embedded Emissions'!$A$143:$D$174,2,FALSE)-VLOOKUP(CP$3,'Non-Embedded Emissions'!$F$143:$H$174,2,FALSE)+VLOOKUP(CP$3,'Non-Embedded Emissions'!$A$230:$D$259,2,FALSE)), $C45 = "0", 0), 0)</f>
        <v>0</v>
      </c>
      <c r="CV45" s="45">
        <f>IFERROR(_xlfn.IFS($C45="1",('Inputs-System'!$C$30*'Coincidence Factors'!$B$9*(1+'Inputs-System'!$C$18)*(1+'Inputs-System'!$C$41)*('Inputs-Proposals'!$I$17*'Inputs-Proposals'!$I$19*(1-'Inputs-Proposals'!$I$20^(CV$3-'Inputs-System'!$C$7)))*(VLOOKUP(CV$3,Energy!$A$51:$K$83,5,FALSE))), $C45 = "2",('Inputs-System'!$C$30*'Coincidence Factors'!$B$9)*(1+'Inputs-System'!$C$18)*(1+'Inputs-System'!$C$41)*('Inputs-Proposals'!$I$23*'Inputs-Proposals'!$I$25*(1-'Inputs-Proposals'!$I$26^(CV$3-'Inputs-System'!$C$7)))*(VLOOKUP(CV$3,Energy!$A$51:$K$83,5,FALSE)), $C45= "3", ('Inputs-System'!$C$30*'Coincidence Factors'!$B$9*(1+'Inputs-System'!$C$18)*(1+'Inputs-System'!$C$41)*('Inputs-Proposals'!$I$29*'Inputs-Proposals'!$I$31*(1-'Inputs-Proposals'!$I$32^(CV$3-'Inputs-System'!$C$7)))*(VLOOKUP(CV$3,Energy!$A$51:$K$83,5,FALSE))), $C45= "0", 0), 0)</f>
        <v>0</v>
      </c>
      <c r="CW45" s="44">
        <f>IFERROR(_xlfn.IFS($C45="1",('Inputs-System'!$C$30*'Coincidence Factors'!$B$9*(1+'Inputs-System'!$C$18)*(1+'Inputs-System'!$C$41))*'Inputs-Proposals'!$I$17*'Inputs-Proposals'!$I$19*(1-'Inputs-Proposals'!$I$20^(CV$3-'Inputs-System'!$C$7))*(VLOOKUP(CV$3,'Embedded Emissions'!$A$47:$B$78,2,FALSE)+VLOOKUP(CV$3,'Embedded Emissions'!$A$129:$B$158,2,FALSE)), $C45 = "2",('Inputs-System'!$C$30*'Coincidence Factors'!$B$9*(1+'Inputs-System'!$C$18)*(1+'Inputs-System'!$C$41))*'Inputs-Proposals'!$I$23*'Inputs-Proposals'!$I$25*(1-'Inputs-Proposals'!$I$20^(CV$3-'Inputs-System'!$C$7))*(VLOOKUP(CV$3,'Embedded Emissions'!$A$47:$B$78,2,FALSE)+VLOOKUP(CV$3,'Embedded Emissions'!$A$129:$B$158,2,FALSE)), $C45 = "3", ('Inputs-System'!$C$30*'Coincidence Factors'!$B$9*(1+'Inputs-System'!$C$18)*(1+'Inputs-System'!$C$41))*'Inputs-Proposals'!$I$29*'Inputs-Proposals'!$I$31*(1-'Inputs-Proposals'!$I$20^(CV$3-'Inputs-System'!$C$7))*(VLOOKUP(CV$3,'Embedded Emissions'!$A$47:$B$78,2,FALSE)+VLOOKUP(CV$3,'Embedded Emissions'!$A$129:$B$158,2,FALSE)), $C45 = "0", 0), 0)</f>
        <v>0</v>
      </c>
      <c r="CX45" s="44">
        <f>IFERROR(_xlfn.IFS($C45="1",( 'Inputs-System'!$C$30*'Coincidence Factors'!$B$9*(1+'Inputs-System'!$C$18)*(1+'Inputs-System'!$C$41))*('Inputs-Proposals'!$I$17*'Inputs-Proposals'!$I$19*(1-'Inputs-Proposals'!$I$20)^(CV$3-'Inputs-System'!$C$7))*(VLOOKUP(CV$3,DRIPE!$A$54:$I$82,5,FALSE)+VLOOKUP(CV$3,DRIPE!$A$54:$I$82,9,FALSE))+ ('Inputs-System'!$C$26*'Coincidence Factors'!$B$6*(1+'Inputs-System'!$C$18)*(1+'Inputs-System'!$C$42))*'Inputs-Proposals'!$I$16*VLOOKUP(CV$3,DRIPE!$A$54:$I$82,8,FALSE), $C45 = "2",( 'Inputs-System'!$C$30*'Coincidence Factors'!$B$9*(1+'Inputs-System'!$C$18)*(1+'Inputs-System'!$C$41))*('Inputs-Proposals'!$I$23*'Inputs-Proposals'!$I$25*(1-'Inputs-Proposals'!$I$26)^(CV$3-'Inputs-System'!$C$7))*(VLOOKUP(CV$3,DRIPE!$A$54:$I$82,5,FALSE)+VLOOKUP(CV$3,DRIPE!$A$54:$I$82,9,FALSE))+ ('Inputs-System'!$C$26*'Coincidence Factors'!$B$6*(1+'Inputs-System'!$C$18)*(1+'Inputs-System'!$C$42))*'Inputs-Proposals'!$I$22*VLOOKUP(CV$3,DRIPE!$A$54:$I$82,8,FALSE), $C45= "3", ( 'Inputs-System'!$C$30*'Coincidence Factors'!$B$9*(1+'Inputs-System'!$C$18)*(1+'Inputs-System'!$C$41))*('Inputs-Proposals'!$I$29*'Inputs-Proposals'!$I$31*(1-'Inputs-Proposals'!$I$32)^(CV$3-'Inputs-System'!$C$7))*(VLOOKUP(CV$3,DRIPE!$A$54:$I$82,5,FALSE)+VLOOKUP(CV$3,DRIPE!$A$54:$I$82,9,FALSE))+ ('Inputs-System'!$C$26*'Coincidence Factors'!$B$6*(1+'Inputs-System'!$C$18)*(1+'Inputs-System'!$C$42))*'Inputs-Proposals'!$I$28*VLOOKUP(CV$3,DRIPE!$A$54:$I$82,8,FALSE), $C45 = "0", 0), 0)</f>
        <v>0</v>
      </c>
      <c r="CY45" s="45">
        <f>IFERROR(_xlfn.IFS($C45="1",('Inputs-System'!$C$26*'Coincidence Factors'!$B$9*(1+'Inputs-System'!$C$18)*(1+'Inputs-System'!$C$42))*'Inputs-Proposals'!$D$16*(VLOOKUP(CV$3,Capacity!$A$53:$E$85,4,FALSE)*(1+'Inputs-System'!$C$42)+VLOOKUP(CV$3,Capacity!$A$53:$E$85,5,FALSE)*(1+'Inputs-System'!$C$43)*'Inputs-System'!$C$29), $C45 = "2", ('Inputs-System'!$C$26*'Coincidence Factors'!$B$9*(1+'Inputs-System'!$C$18))*'Inputs-Proposals'!$D$22*(VLOOKUP(CV$3,Capacity!$A$53:$E$85,4,FALSE)*(1+'Inputs-System'!$C$42)+VLOOKUP(CV$3,Capacity!$A$53:$E$85,5,FALSE)*'Inputs-System'!$C$29*(1+'Inputs-System'!$C$43)), $C45 = "3", ('Inputs-System'!$C$26*'Coincidence Factors'!$B$9*(1+'Inputs-System'!$C$18))*'Inputs-Proposals'!$D$28*(VLOOKUP(CV$3,Capacity!$A$53:$E$85,4,FALSE)*(1+'Inputs-System'!$C$42)+VLOOKUP(CV$3,Capacity!$A$53:$E$85,5,FALSE)*'Inputs-System'!$C$29*(1+'Inputs-System'!$C$43)), $C45 = "0", 0), 0)</f>
        <v>0</v>
      </c>
      <c r="CZ45" s="44">
        <v>0</v>
      </c>
      <c r="DA45" s="342">
        <f>IFERROR(_xlfn.IFS($C45="1", 'Inputs-System'!$C$30*'Coincidence Factors'!$B$9*'Inputs-Proposals'!$I$17*'Inputs-Proposals'!$I$19*(VLOOKUP(CV$3,'Non-Embedded Emissions'!$A$56:$D$90,2,FALSE)-VLOOKUP(CV$3,'Non-Embedded Emissions'!$F$57:$H$88,2,FALSE)+VLOOKUP(CV$3,'Non-Embedded Emissions'!$A$143:$D$174,2,FALSE)-VLOOKUP(CV$3,'Non-Embedded Emissions'!$F$143:$H$174,2,FALSE)+VLOOKUP(CV$3,'Non-Embedded Emissions'!$A$230:$D$259,2,FALSE)), $C45 = "2", 'Inputs-System'!$C$30*'Coincidence Factors'!$B$9*'Inputs-Proposals'!$I$23*'Inputs-Proposals'!$I$25*(VLOOKUP(CV$3,'Non-Embedded Emissions'!$A$56:$D$90,2,FALSE)-VLOOKUP(CV$3,'Non-Embedded Emissions'!$F$57:$H$88,2,FALSE)+VLOOKUP(CV$3,'Non-Embedded Emissions'!$A$143:$D$174,2,FALSE)-VLOOKUP(CV$3,'Non-Embedded Emissions'!$F$143:$H$174,2,FALSE)+VLOOKUP(CV$3,'Non-Embedded Emissions'!$A$230:$D$259,2,FALSE)), $C45 = "3", 'Inputs-System'!$C$30*'Coincidence Factors'!$B$9*'Inputs-Proposals'!$I$29*'Inputs-Proposals'!$I$31*(VLOOKUP(CV$3,'Non-Embedded Emissions'!$A$56:$D$90,2,FALSE)-VLOOKUP(CV$3,'Non-Embedded Emissions'!$F$57:$H$88,2,FALSE)+VLOOKUP(CV$3,'Non-Embedded Emissions'!$A$143:$D$174,2,FALSE)-VLOOKUP(CV$3,'Non-Embedded Emissions'!$F$143:$H$174,2,FALSE)+VLOOKUP(CV$3,'Non-Embedded Emissions'!$A$230:$D$259,2,FALSE)), $C45 = "0", 0), 0)</f>
        <v>0</v>
      </c>
      <c r="DB45" s="45">
        <f>IFERROR(_xlfn.IFS($C45="1",('Inputs-System'!$C$30*'Coincidence Factors'!$B$9*(1+'Inputs-System'!$C$18)*(1+'Inputs-System'!$C$41)*('Inputs-Proposals'!$I$17*'Inputs-Proposals'!$I$19*(1-'Inputs-Proposals'!$I$20^(DB$3-'Inputs-System'!$C$7)))*(VLOOKUP(DB$3,Energy!$A$51:$K$83,5,FALSE))), $C45 = "2",('Inputs-System'!$C$30*'Coincidence Factors'!$B$9)*(1+'Inputs-System'!$C$18)*(1+'Inputs-System'!$C$41)*('Inputs-Proposals'!$I$23*'Inputs-Proposals'!$I$25*(1-'Inputs-Proposals'!$I$26^(DB$3-'Inputs-System'!$C$7)))*(VLOOKUP(DB$3,Energy!$A$51:$K$83,5,FALSE)), $C45= "3", ('Inputs-System'!$C$30*'Coincidence Factors'!$B$9*(1+'Inputs-System'!$C$18)*(1+'Inputs-System'!$C$41)*('Inputs-Proposals'!$I$29*'Inputs-Proposals'!$I$31*(1-'Inputs-Proposals'!$I$32^(DB$3-'Inputs-System'!$C$7)))*(VLOOKUP(DB$3,Energy!$A$51:$K$83,5,FALSE))), $C45= "0", 0), 0)</f>
        <v>0</v>
      </c>
      <c r="DC45" s="44">
        <f>IFERROR(_xlfn.IFS($C45="1",('Inputs-System'!$C$30*'Coincidence Factors'!$B$9*(1+'Inputs-System'!$C$18)*(1+'Inputs-System'!$C$41))*'Inputs-Proposals'!$I$17*'Inputs-Proposals'!$I$19*(1-'Inputs-Proposals'!$I$20^(DB$3-'Inputs-System'!$C$7))*(VLOOKUP(DB$3,'Embedded Emissions'!$A$47:$B$78,2,FALSE)+VLOOKUP(DB$3,'Embedded Emissions'!$A$129:$B$158,2,FALSE)), $C45 = "2",('Inputs-System'!$C$30*'Coincidence Factors'!$B$9*(1+'Inputs-System'!$C$18)*(1+'Inputs-System'!$C$41))*'Inputs-Proposals'!$I$23*'Inputs-Proposals'!$I$25*(1-'Inputs-Proposals'!$I$20^(DB$3-'Inputs-System'!$C$7))*(VLOOKUP(DB$3,'Embedded Emissions'!$A$47:$B$78,2,FALSE)+VLOOKUP(DB$3,'Embedded Emissions'!$A$129:$B$158,2,FALSE)), $C45 = "3", ('Inputs-System'!$C$30*'Coincidence Factors'!$B$9*(1+'Inputs-System'!$C$18)*(1+'Inputs-System'!$C$41))*'Inputs-Proposals'!$I$29*'Inputs-Proposals'!$I$31*(1-'Inputs-Proposals'!$I$20^(DB$3-'Inputs-System'!$C$7))*(VLOOKUP(DB$3,'Embedded Emissions'!$A$47:$B$78,2,FALSE)+VLOOKUP(DB$3,'Embedded Emissions'!$A$129:$B$158,2,FALSE)), $C45 = "0", 0), 0)</f>
        <v>0</v>
      </c>
      <c r="DD45" s="44">
        <f>IFERROR(_xlfn.IFS($C45="1",( 'Inputs-System'!$C$30*'Coincidence Factors'!$B$9*(1+'Inputs-System'!$C$18)*(1+'Inputs-System'!$C$41))*('Inputs-Proposals'!$I$17*'Inputs-Proposals'!$I$19*(1-'Inputs-Proposals'!$I$20)^(DB$3-'Inputs-System'!$C$7))*(VLOOKUP(DB$3,DRIPE!$A$54:$I$82,5,FALSE)+VLOOKUP(DB$3,DRIPE!$A$54:$I$82,9,FALSE))+ ('Inputs-System'!$C$26*'Coincidence Factors'!$B$6*(1+'Inputs-System'!$C$18)*(1+'Inputs-System'!$C$42))*'Inputs-Proposals'!$I$16*VLOOKUP(DB$3,DRIPE!$A$54:$I$82,8,FALSE), $C45 = "2",( 'Inputs-System'!$C$30*'Coincidence Factors'!$B$9*(1+'Inputs-System'!$C$18)*(1+'Inputs-System'!$C$41))*('Inputs-Proposals'!$I$23*'Inputs-Proposals'!$I$25*(1-'Inputs-Proposals'!$I$26)^(DB$3-'Inputs-System'!$C$7))*(VLOOKUP(DB$3,DRIPE!$A$54:$I$82,5,FALSE)+VLOOKUP(DB$3,DRIPE!$A$54:$I$82,9,FALSE))+ ('Inputs-System'!$C$26*'Coincidence Factors'!$B$6*(1+'Inputs-System'!$C$18)*(1+'Inputs-System'!$C$42))*'Inputs-Proposals'!$I$22*VLOOKUP(DB$3,DRIPE!$A$54:$I$82,8,FALSE), $C45= "3", ( 'Inputs-System'!$C$30*'Coincidence Factors'!$B$9*(1+'Inputs-System'!$C$18)*(1+'Inputs-System'!$C$41))*('Inputs-Proposals'!$I$29*'Inputs-Proposals'!$I$31*(1-'Inputs-Proposals'!$I$32)^(DB$3-'Inputs-System'!$C$7))*(VLOOKUP(DB$3,DRIPE!$A$54:$I$82,5,FALSE)+VLOOKUP(DB$3,DRIPE!$A$54:$I$82,9,FALSE))+ ('Inputs-System'!$C$26*'Coincidence Factors'!$B$6*(1+'Inputs-System'!$C$18)*(1+'Inputs-System'!$C$42))*'Inputs-Proposals'!$I$28*VLOOKUP(DB$3,DRIPE!$A$54:$I$82,8,FALSE), $C45 = "0", 0), 0)</f>
        <v>0</v>
      </c>
      <c r="DE45" s="45">
        <f>IFERROR(_xlfn.IFS($C45="1",('Inputs-System'!$C$26*'Coincidence Factors'!$B$9*(1+'Inputs-System'!$C$18)*(1+'Inputs-System'!$C$42))*'Inputs-Proposals'!$D$16*(VLOOKUP(DB$3,Capacity!$A$53:$E$85,4,FALSE)*(1+'Inputs-System'!$C$42)+VLOOKUP(DB$3,Capacity!$A$53:$E$85,5,FALSE)*(1+'Inputs-System'!$C$43)*'Inputs-System'!$C$29), $C45 = "2", ('Inputs-System'!$C$26*'Coincidence Factors'!$B$9*(1+'Inputs-System'!$C$18))*'Inputs-Proposals'!$D$22*(VLOOKUP(DB$3,Capacity!$A$53:$E$85,4,FALSE)*(1+'Inputs-System'!$C$42)+VLOOKUP(DB$3,Capacity!$A$53:$E$85,5,FALSE)*'Inputs-System'!$C$29*(1+'Inputs-System'!$C$43)), $C45 = "3", ('Inputs-System'!$C$26*'Coincidence Factors'!$B$9*(1+'Inputs-System'!$C$18))*'Inputs-Proposals'!$D$28*(VLOOKUP(DB$3,Capacity!$A$53:$E$85,4,FALSE)*(1+'Inputs-System'!$C$42)+VLOOKUP(DB$3,Capacity!$A$53:$E$85,5,FALSE)*'Inputs-System'!$C$29*(1+'Inputs-System'!$C$43)), $C45 = "0", 0), 0)</f>
        <v>0</v>
      </c>
      <c r="DF45" s="44">
        <v>0</v>
      </c>
      <c r="DG45" s="342">
        <f>IFERROR(_xlfn.IFS($C45="1", 'Inputs-System'!$C$30*'Coincidence Factors'!$B$9*'Inputs-Proposals'!$I$17*'Inputs-Proposals'!$I$19*(VLOOKUP(DB$3,'Non-Embedded Emissions'!$A$56:$D$90,2,FALSE)-VLOOKUP(DB$3,'Non-Embedded Emissions'!$F$57:$H$88,2,FALSE)+VLOOKUP(DB$3,'Non-Embedded Emissions'!$A$143:$D$174,2,FALSE)-VLOOKUP(DB$3,'Non-Embedded Emissions'!$F$143:$H$174,2,FALSE)+VLOOKUP(DB$3,'Non-Embedded Emissions'!$A$230:$D$259,2,FALSE)), $C45 = "2", 'Inputs-System'!$C$30*'Coincidence Factors'!$B$9*'Inputs-Proposals'!$I$23*'Inputs-Proposals'!$I$25*(VLOOKUP(DB$3,'Non-Embedded Emissions'!$A$56:$D$90,2,FALSE)-VLOOKUP(DB$3,'Non-Embedded Emissions'!$F$57:$H$88,2,FALSE)+VLOOKUP(DB$3,'Non-Embedded Emissions'!$A$143:$D$174,2,FALSE)-VLOOKUP(DB$3,'Non-Embedded Emissions'!$F$143:$H$174,2,FALSE)+VLOOKUP(DB$3,'Non-Embedded Emissions'!$A$230:$D$259,2,FALSE)), $C45 = "3", 'Inputs-System'!$C$30*'Coincidence Factors'!$B$9*'Inputs-Proposals'!$I$29*'Inputs-Proposals'!$I$31*(VLOOKUP(DB$3,'Non-Embedded Emissions'!$A$56:$D$90,2,FALSE)-VLOOKUP(DB$3,'Non-Embedded Emissions'!$F$57:$H$88,2,FALSE)+VLOOKUP(DB$3,'Non-Embedded Emissions'!$A$143:$D$174,2,FALSE)-VLOOKUP(DB$3,'Non-Embedded Emissions'!$F$143:$H$174,2,FALSE)+VLOOKUP(DB$3,'Non-Embedded Emissions'!$A$230:$D$259,2,FALSE)), $C45 = "0", 0), 0)</f>
        <v>0</v>
      </c>
      <c r="DH45" s="45">
        <f>IFERROR(_xlfn.IFS($C45="1",('Inputs-System'!$C$30*'Coincidence Factors'!$B$9*(1+'Inputs-System'!$C$18)*(1+'Inputs-System'!$C$41)*('Inputs-Proposals'!$I$17*'Inputs-Proposals'!$I$19*(1-'Inputs-Proposals'!$I$20^(DH$3-'Inputs-System'!$C$7)))*(VLOOKUP(DH$3,Energy!$A$51:$K$83,5,FALSE))), $C45 = "2",('Inputs-System'!$C$30*'Coincidence Factors'!$B$9)*(1+'Inputs-System'!$C$18)*(1+'Inputs-System'!$C$41)*('Inputs-Proposals'!$I$23*'Inputs-Proposals'!$I$25*(1-'Inputs-Proposals'!$I$26^(DH$3-'Inputs-System'!$C$7)))*(VLOOKUP(DH$3,Energy!$A$51:$K$83,5,FALSE)), $C45= "3", ('Inputs-System'!$C$30*'Coincidence Factors'!$B$9*(1+'Inputs-System'!$C$18)*(1+'Inputs-System'!$C$41)*('Inputs-Proposals'!$I$29*'Inputs-Proposals'!$I$31*(1-'Inputs-Proposals'!$I$32^(DH$3-'Inputs-System'!$C$7)))*(VLOOKUP(DH$3,Energy!$A$51:$K$83,5,FALSE))), $C45= "0", 0), 0)</f>
        <v>0</v>
      </c>
      <c r="DI45" s="44">
        <f>IFERROR(_xlfn.IFS($C45="1",('Inputs-System'!$C$30*'Coincidence Factors'!$B$9*(1+'Inputs-System'!$C$18)*(1+'Inputs-System'!$C$41))*'Inputs-Proposals'!$I$17*'Inputs-Proposals'!$I$19*(1-'Inputs-Proposals'!$I$20^(DH$3-'Inputs-System'!$C$7))*(VLOOKUP(DH$3,'Embedded Emissions'!$A$47:$B$78,2,FALSE)+VLOOKUP(DH$3,'Embedded Emissions'!$A$129:$B$158,2,FALSE)), $C45 = "2",('Inputs-System'!$C$30*'Coincidence Factors'!$B$9*(1+'Inputs-System'!$C$18)*(1+'Inputs-System'!$C$41))*'Inputs-Proposals'!$I$23*'Inputs-Proposals'!$I$25*(1-'Inputs-Proposals'!$I$20^(DH$3-'Inputs-System'!$C$7))*(VLOOKUP(DH$3,'Embedded Emissions'!$A$47:$B$78,2,FALSE)+VLOOKUP(DH$3,'Embedded Emissions'!$A$129:$B$158,2,FALSE)), $C45 = "3", ('Inputs-System'!$C$30*'Coincidence Factors'!$B$9*(1+'Inputs-System'!$C$18)*(1+'Inputs-System'!$C$41))*'Inputs-Proposals'!$I$29*'Inputs-Proposals'!$I$31*(1-'Inputs-Proposals'!$I$20^(DH$3-'Inputs-System'!$C$7))*(VLOOKUP(DH$3,'Embedded Emissions'!$A$47:$B$78,2,FALSE)+VLOOKUP(DH$3,'Embedded Emissions'!$A$129:$B$158,2,FALSE)), $C45 = "0", 0), 0)</f>
        <v>0</v>
      </c>
      <c r="DJ45" s="44">
        <f>IFERROR(_xlfn.IFS($C45="1",( 'Inputs-System'!$C$30*'Coincidence Factors'!$B$9*(1+'Inputs-System'!$C$18)*(1+'Inputs-System'!$C$41))*('Inputs-Proposals'!$I$17*'Inputs-Proposals'!$I$19*(1-'Inputs-Proposals'!$I$20)^(DH$3-'Inputs-System'!$C$7))*(VLOOKUP(DH$3,DRIPE!$A$54:$I$82,5,FALSE)+VLOOKUP(DH$3,DRIPE!$A$54:$I$82,9,FALSE))+ ('Inputs-System'!$C$26*'Coincidence Factors'!$B$6*(1+'Inputs-System'!$C$18)*(1+'Inputs-System'!$C$42))*'Inputs-Proposals'!$I$16*VLOOKUP(DH$3,DRIPE!$A$54:$I$82,8,FALSE), $C45 = "2",( 'Inputs-System'!$C$30*'Coincidence Factors'!$B$9*(1+'Inputs-System'!$C$18)*(1+'Inputs-System'!$C$41))*('Inputs-Proposals'!$I$23*'Inputs-Proposals'!$I$25*(1-'Inputs-Proposals'!$I$26)^(DH$3-'Inputs-System'!$C$7))*(VLOOKUP(DH$3,DRIPE!$A$54:$I$82,5,FALSE)+VLOOKUP(DH$3,DRIPE!$A$54:$I$82,9,FALSE))+ ('Inputs-System'!$C$26*'Coincidence Factors'!$B$6*(1+'Inputs-System'!$C$18)*(1+'Inputs-System'!$C$42))*'Inputs-Proposals'!$I$22*VLOOKUP(DH$3,DRIPE!$A$54:$I$82,8,FALSE), $C45= "3", ( 'Inputs-System'!$C$30*'Coincidence Factors'!$B$9*(1+'Inputs-System'!$C$18)*(1+'Inputs-System'!$C$41))*('Inputs-Proposals'!$I$29*'Inputs-Proposals'!$I$31*(1-'Inputs-Proposals'!$I$32)^(DH$3-'Inputs-System'!$C$7))*(VLOOKUP(DH$3,DRIPE!$A$54:$I$82,5,FALSE)+VLOOKUP(DH$3,DRIPE!$A$54:$I$82,9,FALSE))+ ('Inputs-System'!$C$26*'Coincidence Factors'!$B$6*(1+'Inputs-System'!$C$18)*(1+'Inputs-System'!$C$42))*'Inputs-Proposals'!$I$28*VLOOKUP(DH$3,DRIPE!$A$54:$I$82,8,FALSE), $C45 = "0", 0), 0)</f>
        <v>0</v>
      </c>
      <c r="DK45" s="45">
        <f>IFERROR(_xlfn.IFS($C45="1",('Inputs-System'!$C$26*'Coincidence Factors'!$B$9*(1+'Inputs-System'!$C$18)*(1+'Inputs-System'!$C$42))*'Inputs-Proposals'!$D$16*(VLOOKUP(DH$3,Capacity!$A$53:$E$85,4,FALSE)*(1+'Inputs-System'!$C$42)+VLOOKUP(DH$3,Capacity!$A$53:$E$85,5,FALSE)*(1+'Inputs-System'!$C$43)*'Inputs-System'!$C$29), $C45 = "2", ('Inputs-System'!$C$26*'Coincidence Factors'!$B$9*(1+'Inputs-System'!$C$18))*'Inputs-Proposals'!$D$22*(VLOOKUP(DH$3,Capacity!$A$53:$E$85,4,FALSE)*(1+'Inputs-System'!$C$42)+VLOOKUP(DH$3,Capacity!$A$53:$E$85,5,FALSE)*'Inputs-System'!$C$29*(1+'Inputs-System'!$C$43)), $C45 = "3", ('Inputs-System'!$C$26*'Coincidence Factors'!$B$9*(1+'Inputs-System'!$C$18))*'Inputs-Proposals'!$D$28*(VLOOKUP(DH$3,Capacity!$A$53:$E$85,4,FALSE)*(1+'Inputs-System'!$C$42)+VLOOKUP(DH$3,Capacity!$A$53:$E$85,5,FALSE)*'Inputs-System'!$C$29*(1+'Inputs-System'!$C$43)), $C45 = "0", 0), 0)</f>
        <v>0</v>
      </c>
      <c r="DL45" s="44">
        <v>0</v>
      </c>
      <c r="DM45" s="342">
        <f>IFERROR(_xlfn.IFS($C45="1", 'Inputs-System'!$C$30*'Coincidence Factors'!$B$9*'Inputs-Proposals'!$I$17*'Inputs-Proposals'!$I$19*(VLOOKUP(DH$3,'Non-Embedded Emissions'!$A$56:$D$90,2,FALSE)-VLOOKUP(DH$3,'Non-Embedded Emissions'!$F$57:$H$88,2,FALSE)+VLOOKUP(DH$3,'Non-Embedded Emissions'!$A$143:$D$174,2,FALSE)-VLOOKUP(DH$3,'Non-Embedded Emissions'!$F$143:$H$174,2,FALSE)+VLOOKUP(DH$3,'Non-Embedded Emissions'!$A$230:$D$259,2,FALSE)), $C45 = "2", 'Inputs-System'!$C$30*'Coincidence Factors'!$B$9*'Inputs-Proposals'!$I$23*'Inputs-Proposals'!$I$25*(VLOOKUP(DH$3,'Non-Embedded Emissions'!$A$56:$D$90,2,FALSE)-VLOOKUP(DH$3,'Non-Embedded Emissions'!$F$57:$H$88,2,FALSE)+VLOOKUP(DH$3,'Non-Embedded Emissions'!$A$143:$D$174,2,FALSE)-VLOOKUP(DH$3,'Non-Embedded Emissions'!$F$143:$H$174,2,FALSE)+VLOOKUP(DH$3,'Non-Embedded Emissions'!$A$230:$D$259,2,FALSE)), $C45 = "3", 'Inputs-System'!$C$30*'Coincidence Factors'!$B$9*'Inputs-Proposals'!$I$29*'Inputs-Proposals'!$I$31*(VLOOKUP(DH$3,'Non-Embedded Emissions'!$A$56:$D$90,2,FALSE)-VLOOKUP(DH$3,'Non-Embedded Emissions'!$F$57:$H$88,2,FALSE)+VLOOKUP(DH$3,'Non-Embedded Emissions'!$A$143:$D$174,2,FALSE)-VLOOKUP(DH$3,'Non-Embedded Emissions'!$F$143:$H$174,2,FALSE)+VLOOKUP(DH$3,'Non-Embedded Emissions'!$A$230:$D$259,2,FALSE)), $C45 = "0", 0), 0)</f>
        <v>0</v>
      </c>
      <c r="DN45" s="45">
        <f>IFERROR(_xlfn.IFS($C45="1",('Inputs-System'!$C$30*'Coincidence Factors'!$B$9*(1+'Inputs-System'!$C$18)*(1+'Inputs-System'!$C$41)*('Inputs-Proposals'!$I$17*'Inputs-Proposals'!$I$19*(1-'Inputs-Proposals'!$I$20^(DN$3-'Inputs-System'!$C$7)))*(VLOOKUP(DN$3,Energy!$A$51:$K$83,5,FALSE))), $C45 = "2",('Inputs-System'!$C$30*'Coincidence Factors'!$B$9)*(1+'Inputs-System'!$C$18)*(1+'Inputs-System'!$C$41)*('Inputs-Proposals'!$I$23*'Inputs-Proposals'!$I$25*(1-'Inputs-Proposals'!$I$26^(DN$3-'Inputs-System'!$C$7)))*(VLOOKUP(DN$3,Energy!$A$51:$K$83,5,FALSE)), $C45= "3", ('Inputs-System'!$C$30*'Coincidence Factors'!$B$9*(1+'Inputs-System'!$C$18)*(1+'Inputs-System'!$C$41)*('Inputs-Proposals'!$I$29*'Inputs-Proposals'!$I$31*(1-'Inputs-Proposals'!$I$32^(DN$3-'Inputs-System'!$C$7)))*(VLOOKUP(DN$3,Energy!$A$51:$K$83,5,FALSE))), $C45= "0", 0), 0)</f>
        <v>0</v>
      </c>
      <c r="DO45" s="44">
        <f>IFERROR(_xlfn.IFS($C45="1",('Inputs-System'!$C$30*'Coincidence Factors'!$B$9*(1+'Inputs-System'!$C$18)*(1+'Inputs-System'!$C$41))*'Inputs-Proposals'!$I$17*'Inputs-Proposals'!$I$19*(1-'Inputs-Proposals'!$I$20^(DN$3-'Inputs-System'!$C$7))*(VLOOKUP(DN$3,'Embedded Emissions'!$A$47:$B$78,2,FALSE)+VLOOKUP(DN$3,'Embedded Emissions'!$A$129:$B$158,2,FALSE)), $C45 = "2",('Inputs-System'!$C$30*'Coincidence Factors'!$B$9*(1+'Inputs-System'!$C$18)*(1+'Inputs-System'!$C$41))*'Inputs-Proposals'!$I$23*'Inputs-Proposals'!$I$25*(1-'Inputs-Proposals'!$I$20^(DN$3-'Inputs-System'!$C$7))*(VLOOKUP(DN$3,'Embedded Emissions'!$A$47:$B$78,2,FALSE)+VLOOKUP(DN$3,'Embedded Emissions'!$A$129:$B$158,2,FALSE)), $C45 = "3", ('Inputs-System'!$C$30*'Coincidence Factors'!$B$9*(1+'Inputs-System'!$C$18)*(1+'Inputs-System'!$C$41))*'Inputs-Proposals'!$I$29*'Inputs-Proposals'!$I$31*(1-'Inputs-Proposals'!$I$20^(DN$3-'Inputs-System'!$C$7))*(VLOOKUP(DN$3,'Embedded Emissions'!$A$47:$B$78,2,FALSE)+VLOOKUP(DN$3,'Embedded Emissions'!$A$129:$B$158,2,FALSE)), $C45 = "0", 0), 0)</f>
        <v>0</v>
      </c>
      <c r="DP45" s="44">
        <f>IFERROR(_xlfn.IFS($C45="1",( 'Inputs-System'!$C$30*'Coincidence Factors'!$B$9*(1+'Inputs-System'!$C$18)*(1+'Inputs-System'!$C$41))*('Inputs-Proposals'!$I$17*'Inputs-Proposals'!$I$19*(1-'Inputs-Proposals'!$I$20)^(DN$3-'Inputs-System'!$C$7))*(VLOOKUP(DN$3,DRIPE!$A$54:$I$82,5,FALSE)+VLOOKUP(DN$3,DRIPE!$A$54:$I$82,9,FALSE))+ ('Inputs-System'!$C$26*'Coincidence Factors'!$B$6*(1+'Inputs-System'!$C$18)*(1+'Inputs-System'!$C$42))*'Inputs-Proposals'!$I$16*VLOOKUP(DN$3,DRIPE!$A$54:$I$82,8,FALSE), $C45 = "2",( 'Inputs-System'!$C$30*'Coincidence Factors'!$B$9*(1+'Inputs-System'!$C$18)*(1+'Inputs-System'!$C$41))*('Inputs-Proposals'!$I$23*'Inputs-Proposals'!$I$25*(1-'Inputs-Proposals'!$I$26)^(DN$3-'Inputs-System'!$C$7))*(VLOOKUP(DN$3,DRIPE!$A$54:$I$82,5,FALSE)+VLOOKUP(DN$3,DRIPE!$A$54:$I$82,9,FALSE))+ ('Inputs-System'!$C$26*'Coincidence Factors'!$B$6*(1+'Inputs-System'!$C$18)*(1+'Inputs-System'!$C$42))*'Inputs-Proposals'!$I$22*VLOOKUP(DN$3,DRIPE!$A$54:$I$82,8,FALSE), $C45= "3", ( 'Inputs-System'!$C$30*'Coincidence Factors'!$B$9*(1+'Inputs-System'!$C$18)*(1+'Inputs-System'!$C$41))*('Inputs-Proposals'!$I$29*'Inputs-Proposals'!$I$31*(1-'Inputs-Proposals'!$I$32)^(DN$3-'Inputs-System'!$C$7))*(VLOOKUP(DN$3,DRIPE!$A$54:$I$82,5,FALSE)+VLOOKUP(DN$3,DRIPE!$A$54:$I$82,9,FALSE))+ ('Inputs-System'!$C$26*'Coincidence Factors'!$B$6*(1+'Inputs-System'!$C$18)*(1+'Inputs-System'!$C$42))*'Inputs-Proposals'!$I$28*VLOOKUP(DN$3,DRIPE!$A$54:$I$82,8,FALSE), $C45 = "0", 0), 0)</f>
        <v>0</v>
      </c>
      <c r="DQ45" s="45">
        <f>IFERROR(_xlfn.IFS($C45="1",('Inputs-System'!$C$26*'Coincidence Factors'!$B$9*(1+'Inputs-System'!$C$18)*(1+'Inputs-System'!$C$42))*'Inputs-Proposals'!$D$16*(VLOOKUP(DN$3,Capacity!$A$53:$E$85,4,FALSE)*(1+'Inputs-System'!$C$42)+VLOOKUP(DN$3,Capacity!$A$53:$E$85,5,FALSE)*(1+'Inputs-System'!$C$43)*'Inputs-System'!$C$29), $C45 = "2", ('Inputs-System'!$C$26*'Coincidence Factors'!$B$9*(1+'Inputs-System'!$C$18))*'Inputs-Proposals'!$D$22*(VLOOKUP(DN$3,Capacity!$A$53:$E$85,4,FALSE)*(1+'Inputs-System'!$C$42)+VLOOKUP(DN$3,Capacity!$A$53:$E$85,5,FALSE)*'Inputs-System'!$C$29*(1+'Inputs-System'!$C$43)), $C45 = "3", ('Inputs-System'!$C$26*'Coincidence Factors'!$B$9*(1+'Inputs-System'!$C$18))*'Inputs-Proposals'!$D$28*(VLOOKUP(DN$3,Capacity!$A$53:$E$85,4,FALSE)*(1+'Inputs-System'!$C$42)+VLOOKUP(DN$3,Capacity!$A$53:$E$85,5,FALSE)*'Inputs-System'!$C$29*(1+'Inputs-System'!$C$43)), $C45 = "0", 0), 0)</f>
        <v>0</v>
      </c>
      <c r="DR45" s="44">
        <v>0</v>
      </c>
      <c r="DS45" s="342">
        <f>IFERROR(_xlfn.IFS($C45="1", 'Inputs-System'!$C$30*'Coincidence Factors'!$B$9*'Inputs-Proposals'!$I$17*'Inputs-Proposals'!$I$19*(VLOOKUP(DN$3,'Non-Embedded Emissions'!$A$56:$D$90,2,FALSE)-VLOOKUP(DN$3,'Non-Embedded Emissions'!$F$57:$H$88,2,FALSE)+VLOOKUP(DN$3,'Non-Embedded Emissions'!$A$143:$D$174,2,FALSE)-VLOOKUP(DN$3,'Non-Embedded Emissions'!$F$143:$H$174,2,FALSE)+VLOOKUP(DN$3,'Non-Embedded Emissions'!$A$230:$D$259,2,FALSE)), $C45 = "2", 'Inputs-System'!$C$30*'Coincidence Factors'!$B$9*'Inputs-Proposals'!$I$23*'Inputs-Proposals'!$I$25*(VLOOKUP(DN$3,'Non-Embedded Emissions'!$A$56:$D$90,2,FALSE)-VLOOKUP(DN$3,'Non-Embedded Emissions'!$F$57:$H$88,2,FALSE)+VLOOKUP(DN$3,'Non-Embedded Emissions'!$A$143:$D$174,2,FALSE)-VLOOKUP(DN$3,'Non-Embedded Emissions'!$F$143:$H$174,2,FALSE)+VLOOKUP(DN$3,'Non-Embedded Emissions'!$A$230:$D$259,2,FALSE)), $C45 = "3", 'Inputs-System'!$C$30*'Coincidence Factors'!$B$9*'Inputs-Proposals'!$I$29*'Inputs-Proposals'!$I$31*(VLOOKUP(DN$3,'Non-Embedded Emissions'!$A$56:$D$90,2,FALSE)-VLOOKUP(DN$3,'Non-Embedded Emissions'!$F$57:$H$88,2,FALSE)+VLOOKUP(DN$3,'Non-Embedded Emissions'!$A$143:$D$174,2,FALSE)-VLOOKUP(DN$3,'Non-Embedded Emissions'!$F$143:$H$174,2,FALSE)+VLOOKUP(DN$3,'Non-Embedded Emissions'!$A$230:$D$259,2,FALSE)), $C45 = "0", 0), 0)</f>
        <v>0</v>
      </c>
      <c r="DT45" s="45">
        <f>IFERROR(_xlfn.IFS($C45="1",('Inputs-System'!$C$30*'Coincidence Factors'!$B$9*(1+'Inputs-System'!$C$18)*(1+'Inputs-System'!$C$41)*('Inputs-Proposals'!$I$17*'Inputs-Proposals'!$I$19*(1-'Inputs-Proposals'!$I$20^(DT$3-'Inputs-System'!$C$7)))*(VLOOKUP(DT$3,Energy!$A$51:$K$83,5,FALSE))), $C45 = "2",('Inputs-System'!$C$30*'Coincidence Factors'!$B$9)*(1+'Inputs-System'!$C$18)*(1+'Inputs-System'!$C$41)*('Inputs-Proposals'!$I$23*'Inputs-Proposals'!$I$25*(1-'Inputs-Proposals'!$I$26^(DT$3-'Inputs-System'!$C$7)))*(VLOOKUP(DT$3,Energy!$A$51:$K$83,5,FALSE)), $C45= "3", ('Inputs-System'!$C$30*'Coincidence Factors'!$B$9*(1+'Inputs-System'!$C$18)*(1+'Inputs-System'!$C$41)*('Inputs-Proposals'!$I$29*'Inputs-Proposals'!$I$31*(1-'Inputs-Proposals'!$I$32^(DT$3-'Inputs-System'!$C$7)))*(VLOOKUP(DT$3,Energy!$A$51:$K$83,5,FALSE))), $C45= "0", 0), 0)</f>
        <v>0</v>
      </c>
      <c r="DU45" s="44">
        <f>IFERROR(_xlfn.IFS($C45="1",('Inputs-System'!$C$30*'Coincidence Factors'!$B$9*(1+'Inputs-System'!$C$18)*(1+'Inputs-System'!$C$41))*'Inputs-Proposals'!$I$17*'Inputs-Proposals'!$I$19*(1-'Inputs-Proposals'!$I$20^(DT$3-'Inputs-System'!$C$7))*(VLOOKUP(DT$3,'Embedded Emissions'!$A$47:$B$78,2,FALSE)+VLOOKUP(DT$3,'Embedded Emissions'!$A$129:$B$158,2,FALSE)), $C45 = "2",('Inputs-System'!$C$30*'Coincidence Factors'!$B$9*(1+'Inputs-System'!$C$18)*(1+'Inputs-System'!$C$41))*'Inputs-Proposals'!$I$23*'Inputs-Proposals'!$I$25*(1-'Inputs-Proposals'!$I$20^(DT$3-'Inputs-System'!$C$7))*(VLOOKUP(DT$3,'Embedded Emissions'!$A$47:$B$78,2,FALSE)+VLOOKUP(DT$3,'Embedded Emissions'!$A$129:$B$158,2,FALSE)), $C45 = "3", ('Inputs-System'!$C$30*'Coincidence Factors'!$B$9*(1+'Inputs-System'!$C$18)*(1+'Inputs-System'!$C$41))*'Inputs-Proposals'!$I$29*'Inputs-Proposals'!$I$31*(1-'Inputs-Proposals'!$I$20^(DT$3-'Inputs-System'!$C$7))*(VLOOKUP(DT$3,'Embedded Emissions'!$A$47:$B$78,2,FALSE)+VLOOKUP(DT$3,'Embedded Emissions'!$A$129:$B$158,2,FALSE)), $C45 = "0", 0), 0)</f>
        <v>0</v>
      </c>
      <c r="DV45" s="44">
        <f>IFERROR(_xlfn.IFS($C45="1",( 'Inputs-System'!$C$30*'Coincidence Factors'!$B$9*(1+'Inputs-System'!$C$18)*(1+'Inputs-System'!$C$41))*('Inputs-Proposals'!$I$17*'Inputs-Proposals'!$I$19*(1-'Inputs-Proposals'!$I$20)^(DT$3-'Inputs-System'!$C$7))*(VLOOKUP(DT$3,DRIPE!$A$54:$I$82,5,FALSE)+VLOOKUP(DT$3,DRIPE!$A$54:$I$82,9,FALSE))+ ('Inputs-System'!$C$26*'Coincidence Factors'!$B$6*(1+'Inputs-System'!$C$18)*(1+'Inputs-System'!$C$42))*'Inputs-Proposals'!$I$16*VLOOKUP(DT$3,DRIPE!$A$54:$I$82,8,FALSE), $C45 = "2",( 'Inputs-System'!$C$30*'Coincidence Factors'!$B$9*(1+'Inputs-System'!$C$18)*(1+'Inputs-System'!$C$41))*('Inputs-Proposals'!$I$23*'Inputs-Proposals'!$I$25*(1-'Inputs-Proposals'!$I$26)^(DT$3-'Inputs-System'!$C$7))*(VLOOKUP(DT$3,DRIPE!$A$54:$I$82,5,FALSE)+VLOOKUP(DT$3,DRIPE!$A$54:$I$82,9,FALSE))+ ('Inputs-System'!$C$26*'Coincidence Factors'!$B$6*(1+'Inputs-System'!$C$18)*(1+'Inputs-System'!$C$42))*'Inputs-Proposals'!$I$22*VLOOKUP(DT$3,DRIPE!$A$54:$I$82,8,FALSE), $C45= "3", ( 'Inputs-System'!$C$30*'Coincidence Factors'!$B$9*(1+'Inputs-System'!$C$18)*(1+'Inputs-System'!$C$41))*('Inputs-Proposals'!$I$29*'Inputs-Proposals'!$I$31*(1-'Inputs-Proposals'!$I$32)^(DT$3-'Inputs-System'!$C$7))*(VLOOKUP(DT$3,DRIPE!$A$54:$I$82,5,FALSE)+VLOOKUP(DT$3,DRIPE!$A$54:$I$82,9,FALSE))+ ('Inputs-System'!$C$26*'Coincidence Factors'!$B$6*(1+'Inputs-System'!$C$18)*(1+'Inputs-System'!$C$42))*'Inputs-Proposals'!$I$28*VLOOKUP(DT$3,DRIPE!$A$54:$I$82,8,FALSE), $C45 = "0", 0), 0)</f>
        <v>0</v>
      </c>
      <c r="DW45" s="45">
        <f>IFERROR(_xlfn.IFS($C45="1",('Inputs-System'!$C$26*'Coincidence Factors'!$B$9*(1+'Inputs-System'!$C$18)*(1+'Inputs-System'!$C$42))*'Inputs-Proposals'!$D$16*(VLOOKUP(DT$3,Capacity!$A$53:$E$85,4,FALSE)*(1+'Inputs-System'!$C$42)+VLOOKUP(DT$3,Capacity!$A$53:$E$85,5,FALSE)*(1+'Inputs-System'!$C$43)*'Inputs-System'!$C$29), $C45 = "2", ('Inputs-System'!$C$26*'Coincidence Factors'!$B$9*(1+'Inputs-System'!$C$18))*'Inputs-Proposals'!$D$22*(VLOOKUP(DT$3,Capacity!$A$53:$E$85,4,FALSE)*(1+'Inputs-System'!$C$42)+VLOOKUP(DT$3,Capacity!$A$53:$E$85,5,FALSE)*'Inputs-System'!$C$29*(1+'Inputs-System'!$C$43)), $C45 = "3", ('Inputs-System'!$C$26*'Coincidence Factors'!$B$9*(1+'Inputs-System'!$C$18))*'Inputs-Proposals'!$D$28*(VLOOKUP(DT$3,Capacity!$A$53:$E$85,4,FALSE)*(1+'Inputs-System'!$C$42)+VLOOKUP(DT$3,Capacity!$A$53:$E$85,5,FALSE)*'Inputs-System'!$C$29*(1+'Inputs-System'!$C$43)), $C45 = "0", 0), 0)</f>
        <v>0</v>
      </c>
      <c r="DX45" s="44">
        <v>0</v>
      </c>
      <c r="DY45" s="342">
        <f>IFERROR(_xlfn.IFS($C45="1", 'Inputs-System'!$C$30*'Coincidence Factors'!$B$9*'Inputs-Proposals'!$I$17*'Inputs-Proposals'!$I$19*(VLOOKUP(DT$3,'Non-Embedded Emissions'!$A$56:$D$90,2,FALSE)-VLOOKUP(DT$3,'Non-Embedded Emissions'!$F$57:$H$88,2,FALSE)+VLOOKUP(DT$3,'Non-Embedded Emissions'!$A$143:$D$174,2,FALSE)-VLOOKUP(DT$3,'Non-Embedded Emissions'!$F$143:$H$174,2,FALSE)+VLOOKUP(DT$3,'Non-Embedded Emissions'!$A$230:$D$259,2,FALSE)), $C45 = "2", 'Inputs-System'!$C$30*'Coincidence Factors'!$B$9*'Inputs-Proposals'!$I$23*'Inputs-Proposals'!$I$25*(VLOOKUP(DT$3,'Non-Embedded Emissions'!$A$56:$D$90,2,FALSE)-VLOOKUP(DT$3,'Non-Embedded Emissions'!$F$57:$H$88,2,FALSE)+VLOOKUP(DT$3,'Non-Embedded Emissions'!$A$143:$D$174,2,FALSE)-VLOOKUP(DT$3,'Non-Embedded Emissions'!$F$143:$H$174,2,FALSE)+VLOOKUP(DT$3,'Non-Embedded Emissions'!$A$230:$D$259,2,FALSE)), $C45 = "3", 'Inputs-System'!$C$30*'Coincidence Factors'!$B$9*'Inputs-Proposals'!$I$29*'Inputs-Proposals'!$I$31*(VLOOKUP(DT$3,'Non-Embedded Emissions'!$A$56:$D$90,2,FALSE)-VLOOKUP(DT$3,'Non-Embedded Emissions'!$F$57:$H$88,2,FALSE)+VLOOKUP(DT$3,'Non-Embedded Emissions'!$A$143:$D$174,2,FALSE)-VLOOKUP(DT$3,'Non-Embedded Emissions'!$F$143:$H$174,2,FALSE)+VLOOKUP(DT$3,'Non-Embedded Emissions'!$A$230:$D$259,2,FALSE)), $C45 = "0", 0), 0)</f>
        <v>0</v>
      </c>
      <c r="DZ45" s="45">
        <f>IFERROR(_xlfn.IFS($C45="1",('Inputs-System'!$C$30*'Coincidence Factors'!$B$9*(1+'Inputs-System'!$C$18)*(1+'Inputs-System'!$C$41)*('Inputs-Proposals'!$I$17*'Inputs-Proposals'!$I$19*(1-'Inputs-Proposals'!$I$20^(DZ$3-'Inputs-System'!$C$7)))*(VLOOKUP(DZ$3,Energy!$A$51:$K$83,5,FALSE))), $C45 = "2",('Inputs-System'!$C$30*'Coincidence Factors'!$B$9)*(1+'Inputs-System'!$C$18)*(1+'Inputs-System'!$C$41)*('Inputs-Proposals'!$I$23*'Inputs-Proposals'!$I$25*(1-'Inputs-Proposals'!$I$26^(DZ$3-'Inputs-System'!$C$7)))*(VLOOKUP(DZ$3,Energy!$A$51:$K$83,5,FALSE)), $C45= "3", ('Inputs-System'!$C$30*'Coincidence Factors'!$B$9*(1+'Inputs-System'!$C$18)*(1+'Inputs-System'!$C$41)*('Inputs-Proposals'!$I$29*'Inputs-Proposals'!$I$31*(1-'Inputs-Proposals'!$I$32^(DZ$3-'Inputs-System'!$C$7)))*(VLOOKUP(DZ$3,Energy!$A$51:$K$83,5,FALSE))), $C45= "0", 0), 0)</f>
        <v>0</v>
      </c>
      <c r="EA45" s="44">
        <f>IFERROR(_xlfn.IFS($C45="1",('Inputs-System'!$C$30*'Coincidence Factors'!$B$9*(1+'Inputs-System'!$C$18)*(1+'Inputs-System'!$C$41))*'Inputs-Proposals'!$I$17*'Inputs-Proposals'!$I$19*(1-'Inputs-Proposals'!$I$20^(DZ$3-'Inputs-System'!$C$7))*(VLOOKUP(DZ$3,'Embedded Emissions'!$A$47:$B$78,2,FALSE)+VLOOKUP(DZ$3,'Embedded Emissions'!$A$129:$B$158,2,FALSE)), $C45 = "2",('Inputs-System'!$C$30*'Coincidence Factors'!$B$9*(1+'Inputs-System'!$C$18)*(1+'Inputs-System'!$C$41))*'Inputs-Proposals'!$I$23*'Inputs-Proposals'!$I$25*(1-'Inputs-Proposals'!$I$20^(DZ$3-'Inputs-System'!$C$7))*(VLOOKUP(DZ$3,'Embedded Emissions'!$A$47:$B$78,2,FALSE)+VLOOKUP(DZ$3,'Embedded Emissions'!$A$129:$B$158,2,FALSE)), $C45 = "3", ('Inputs-System'!$C$30*'Coincidence Factors'!$B$9*(1+'Inputs-System'!$C$18)*(1+'Inputs-System'!$C$41))*'Inputs-Proposals'!$I$29*'Inputs-Proposals'!$I$31*(1-'Inputs-Proposals'!$I$20^(DZ$3-'Inputs-System'!$C$7))*(VLOOKUP(DZ$3,'Embedded Emissions'!$A$47:$B$78,2,FALSE)+VLOOKUP(DZ$3,'Embedded Emissions'!$A$129:$B$158,2,FALSE)), $C45 = "0", 0), 0)</f>
        <v>0</v>
      </c>
      <c r="EB45" s="44">
        <f>IFERROR(_xlfn.IFS($C45="1",( 'Inputs-System'!$C$30*'Coincidence Factors'!$B$9*(1+'Inputs-System'!$C$18)*(1+'Inputs-System'!$C$41))*('Inputs-Proposals'!$I$17*'Inputs-Proposals'!$I$19*(1-'Inputs-Proposals'!$I$20)^(DZ$3-'Inputs-System'!$C$7))*(VLOOKUP(DZ$3,DRIPE!$A$54:$I$82,5,FALSE)+VLOOKUP(DZ$3,DRIPE!$A$54:$I$82,9,FALSE))+ ('Inputs-System'!$C$26*'Coincidence Factors'!$B$6*(1+'Inputs-System'!$C$18)*(1+'Inputs-System'!$C$42))*'Inputs-Proposals'!$I$16*VLOOKUP(DZ$3,DRIPE!$A$54:$I$82,8,FALSE), $C45 = "2",( 'Inputs-System'!$C$30*'Coincidence Factors'!$B$9*(1+'Inputs-System'!$C$18)*(1+'Inputs-System'!$C$41))*('Inputs-Proposals'!$I$23*'Inputs-Proposals'!$I$25*(1-'Inputs-Proposals'!$I$26)^(DZ$3-'Inputs-System'!$C$7))*(VLOOKUP(DZ$3,DRIPE!$A$54:$I$82,5,FALSE)+VLOOKUP(DZ$3,DRIPE!$A$54:$I$82,9,FALSE))+ ('Inputs-System'!$C$26*'Coincidence Factors'!$B$6*(1+'Inputs-System'!$C$18)*(1+'Inputs-System'!$C$42))*'Inputs-Proposals'!$I$22*VLOOKUP(DZ$3,DRIPE!$A$54:$I$82,8,FALSE), $C45= "3", ( 'Inputs-System'!$C$30*'Coincidence Factors'!$B$9*(1+'Inputs-System'!$C$18)*(1+'Inputs-System'!$C$41))*('Inputs-Proposals'!$I$29*'Inputs-Proposals'!$I$31*(1-'Inputs-Proposals'!$I$32)^(DZ$3-'Inputs-System'!$C$7))*(VLOOKUP(DZ$3,DRIPE!$A$54:$I$82,5,FALSE)+VLOOKUP(DZ$3,DRIPE!$A$54:$I$82,9,FALSE))+ ('Inputs-System'!$C$26*'Coincidence Factors'!$B$6*(1+'Inputs-System'!$C$18)*(1+'Inputs-System'!$C$42))*'Inputs-Proposals'!$I$28*VLOOKUP(DZ$3,DRIPE!$A$54:$I$82,8,FALSE), $C45 = "0", 0), 0)</f>
        <v>0</v>
      </c>
      <c r="EC45" s="45">
        <f>IFERROR(_xlfn.IFS($C45="1",('Inputs-System'!$C$26*'Coincidence Factors'!$B$9*(1+'Inputs-System'!$C$18)*(1+'Inputs-System'!$C$42))*'Inputs-Proposals'!$D$16*(VLOOKUP(DZ$3,Capacity!$A$53:$E$85,4,FALSE)*(1+'Inputs-System'!$C$42)+VLOOKUP(DZ$3,Capacity!$A$53:$E$85,5,FALSE)*(1+'Inputs-System'!$C$43)*'Inputs-System'!$C$29), $C45 = "2", ('Inputs-System'!$C$26*'Coincidence Factors'!$B$9*(1+'Inputs-System'!$C$18))*'Inputs-Proposals'!$D$22*(VLOOKUP(DZ$3,Capacity!$A$53:$E$85,4,FALSE)*(1+'Inputs-System'!$C$42)+VLOOKUP(DZ$3,Capacity!$A$53:$E$85,5,FALSE)*'Inputs-System'!$C$29*(1+'Inputs-System'!$C$43)), $C45 = "3", ('Inputs-System'!$C$26*'Coincidence Factors'!$B$9*(1+'Inputs-System'!$C$18))*'Inputs-Proposals'!$D$28*(VLOOKUP(DZ$3,Capacity!$A$53:$E$85,4,FALSE)*(1+'Inputs-System'!$C$42)+VLOOKUP(DZ$3,Capacity!$A$53:$E$85,5,FALSE)*'Inputs-System'!$C$29*(1+'Inputs-System'!$C$43)), $C45 = "0", 0), 0)</f>
        <v>0</v>
      </c>
      <c r="ED45" s="44">
        <v>0</v>
      </c>
      <c r="EE45" s="342">
        <f>IFERROR(_xlfn.IFS($C45="1", 'Inputs-System'!$C$30*'Coincidence Factors'!$B$9*'Inputs-Proposals'!$I$17*'Inputs-Proposals'!$I$19*(VLOOKUP(DZ$3,'Non-Embedded Emissions'!$A$56:$D$90,2,FALSE)-VLOOKUP(DZ$3,'Non-Embedded Emissions'!$F$57:$H$88,2,FALSE)+VLOOKUP(DZ$3,'Non-Embedded Emissions'!$A$143:$D$174,2,FALSE)-VLOOKUP(DZ$3,'Non-Embedded Emissions'!$F$143:$H$174,2,FALSE)+VLOOKUP(DZ$3,'Non-Embedded Emissions'!$A$230:$D$259,2,FALSE)), $C45 = "2", 'Inputs-System'!$C$30*'Coincidence Factors'!$B$9*'Inputs-Proposals'!$I$23*'Inputs-Proposals'!$I$25*(VLOOKUP(DZ$3,'Non-Embedded Emissions'!$A$56:$D$90,2,FALSE)-VLOOKUP(DZ$3,'Non-Embedded Emissions'!$F$57:$H$88,2,FALSE)+VLOOKUP(DZ$3,'Non-Embedded Emissions'!$A$143:$D$174,2,FALSE)-VLOOKUP(DZ$3,'Non-Embedded Emissions'!$F$143:$H$174,2,FALSE)+VLOOKUP(DZ$3,'Non-Embedded Emissions'!$A$230:$D$259,2,FALSE)), $C45 = "3", 'Inputs-System'!$C$30*'Coincidence Factors'!$B$9*'Inputs-Proposals'!$I$29*'Inputs-Proposals'!$I$31*(VLOOKUP(DZ$3,'Non-Embedded Emissions'!$A$56:$D$90,2,FALSE)-VLOOKUP(DZ$3,'Non-Embedded Emissions'!$F$57:$H$88,2,FALSE)+VLOOKUP(DZ$3,'Non-Embedded Emissions'!$A$143:$D$174,2,FALSE)-VLOOKUP(DZ$3,'Non-Embedded Emissions'!$F$143:$H$174,2,FALSE)+VLOOKUP(DZ$3,'Non-Embedded Emissions'!$A$230:$D$259,2,FALSE)), $C45 = "0", 0), 0)</f>
        <v>0</v>
      </c>
    </row>
    <row r="46" spans="1:135" x14ac:dyDescent="0.35">
      <c r="A46" s="708"/>
      <c r="B46" s="3" t="str">
        <f>B40</f>
        <v>LNG GenSet</v>
      </c>
      <c r="C46" s="3" t="str">
        <f>IFERROR(_xlfn.IFS('Benefits Calc'!B46='Inputs-Proposals'!$I$15, "1", 'Benefits Calc'!B46='Inputs-Proposals'!$I$21, "2", 'Benefits Calc'!B46='Inputs-Proposals'!$I$27, "3"), "0")</f>
        <v>0</v>
      </c>
      <c r="D46" s="324">
        <f t="shared" si="42"/>
        <v>0</v>
      </c>
      <c r="E46" s="320">
        <f t="shared" si="43"/>
        <v>0</v>
      </c>
      <c r="F46" s="320">
        <f t="shared" si="44"/>
        <v>0</v>
      </c>
      <c r="G46" s="320">
        <f t="shared" si="45"/>
        <v>0</v>
      </c>
      <c r="H46" s="320">
        <f t="shared" si="46"/>
        <v>0</v>
      </c>
      <c r="I46" s="320">
        <f t="shared" si="47"/>
        <v>0</v>
      </c>
      <c r="J46" s="323">
        <f>NPV('Inputs-System'!$C$20,P46+V46+AB46+AH46+AN46+AT46+AZ46+BF46+BL46+BR46+BX46+CD46+CJ46+CP46+CV46+DB46+DH46+DN46+DT46+DZ46)</f>
        <v>0</v>
      </c>
      <c r="K46" s="44">
        <f>NPV('Inputs-System'!$C$20,Q46+W46+AC46+AI46+AO46+AU46+BA46+BG46+BM46+BS46+BY46+CE46+CK46+CQ46+CW46+DC46+DI46+DO46+DU46+EA46)</f>
        <v>0</v>
      </c>
      <c r="L46" s="44">
        <f>NPV('Inputs-System'!$C$20,R46+X46+AD46+AJ46+AP46+AV46+BB46+BH46+BN46+BT46+BZ46+CF46+CL46+CR46+CX46+DD46+DJ46+DP46+DV46+EB46)</f>
        <v>0</v>
      </c>
      <c r="M46" s="44">
        <f>NPV('Inputs-System'!$C$20,S46+Y46+AE46+AK46+AQ46+AW46+BC46+BI46+BO46+BU46+CA46+CG46+CM46+CS46+CY46+DE46+DK46+DQ46+DW46+EC46)</f>
        <v>0</v>
      </c>
      <c r="N46" s="44">
        <f>NPV('Inputs-System'!$C$20,T46+Z46+AF46+AL46+AR46+AX46+BD46+BJ46+BP46+BV46+CB46+CH46+CN46+CT46+CZ46+DF46+DL46+DR46+DX46+ED46)</f>
        <v>0</v>
      </c>
      <c r="O46" s="119">
        <f>NPV('Inputs-System'!$C$20,U46+AA46+AG46+AM46+AS46+AY46+BE46+BK46+BQ46+BW46+CC46+CI46+CO46+CU46+DA46+DG46+DM46+DS46+DY46+EE46)</f>
        <v>0</v>
      </c>
      <c r="P46" s="366">
        <f>IFERROR(_xlfn.IFS($C46="1",('Inputs-System'!$C$30*'Coincidence Factors'!$B$10*(1+'Inputs-System'!$C$18)*(1+'Inputs-System'!$C$41)*('Inputs-Proposals'!$I$17*'Inputs-Proposals'!$I$19*(1-'Inputs-Proposals'!$I$20^(P$3-'Inputs-System'!$C$7+1)))*(VLOOKUP(P$3,Energy!$A$51:$K$83,5,FALSE))), $C46 = "2",('Inputs-System'!$C$30*'Coincidence Factors'!$B$10)*(1+'Inputs-System'!$C$18)*(1+'Inputs-System'!$C$41)*('Inputs-Proposals'!$I$23*'Inputs-Proposals'!$I$25*(1-'Inputs-Proposals'!$I$26^(P$3-'Inputs-System'!$C$7+1)))*(VLOOKUP(P$3,Energy!$A$51:$K$83,5,FALSE)), $C46= "3", ('Inputs-System'!$C$30*'Coincidence Factors'!$B$10*(1+'Inputs-System'!$C$18)*(1+'Inputs-System'!$C$41)*('Inputs-Proposals'!$I$29*'Inputs-Proposals'!$I$31*(1-'Inputs-Proposals'!$I$32^(P$3-'Inputs-System'!$C$7+1)))*(VLOOKUP(P$3,Energy!$A$51:$K$83,5,FALSE))), $C46= "0", 0), 0)</f>
        <v>0</v>
      </c>
      <c r="Q46" s="44">
        <f>IFERROR(_xlfn.IFS($C46="1",('Inputs-System'!$C$30*'Coincidence Factors'!$B$10*(1+'Inputs-System'!$C$18)*(1+'Inputs-System'!$C$41))*'Inputs-Proposals'!$I$17*'Inputs-Proposals'!$I$19*(1-'Inputs-Proposals'!$I$20^(P$3-'Inputs-System'!$C$7+1))*(VLOOKUP(P$3,'Embedded Emissions'!$A$47:$B$78,2,FALSE)+VLOOKUP(P$3,'Embedded Emissions'!$A$129:$B$158,2,FALSE)), $C46 = "2",('Inputs-System'!$C$30*'Coincidence Factors'!$B$10*(1+'Inputs-System'!$C$18)*(1+'Inputs-System'!$C$41))*'Inputs-Proposals'!$I$23*'Inputs-Proposals'!$I$25*(1-'Inputs-Proposals'!$I$20^(P$3-'Inputs-System'!$C$7+1))*(VLOOKUP(P$3,'Embedded Emissions'!$A$47:$B$78,2,FALSE)+VLOOKUP(P$3,'Embedded Emissions'!$A$129:$B$158,2,FALSE)), $C46 = "3", ('Inputs-System'!$C$30*'Coincidence Factors'!$B$10*(1+'Inputs-System'!$C$18)*(1+'Inputs-System'!$C$41))*'Inputs-Proposals'!$I$29*'Inputs-Proposals'!$I$31*(1-'Inputs-Proposals'!$I$20^(P$3-'Inputs-System'!$C$7+1))*(VLOOKUP(P$3,'Embedded Emissions'!$A$47:$B$78,2,FALSE)+VLOOKUP(P$3,'Embedded Emissions'!$A$129:$B$158,2,FALSE)), $C46 = "0", 0), 0)</f>
        <v>0</v>
      </c>
      <c r="R46" s="44">
        <f>IFERROR(_xlfn.IFS($C46="1",( 'Inputs-System'!$C$30*'Coincidence Factors'!$B$10*(1+'Inputs-System'!$C$18)*(1+'Inputs-System'!$C$41))*('Inputs-Proposals'!$I$17*'Inputs-Proposals'!$I$19*(1-'Inputs-Proposals'!$I$20)^(P$3-'Inputs-System'!$C$7))*(VLOOKUP(P$3,DRIPE!$A$54:$I$82,5,FALSE)+VLOOKUP(P$3,DRIPE!$A$54:$I$82,9,FALSE))+ ('Inputs-System'!$C$26*'Coincidence Factors'!$B$6*(1+'Inputs-System'!$C$18)*(1+'Inputs-System'!$C$42))*'Inputs-Proposals'!$I$16*VLOOKUP(P$3,DRIPE!$A$54:$I$82,8,FALSE), $C46 = "2",( 'Inputs-System'!$C$30*'Coincidence Factors'!$B$10*(1+'Inputs-System'!$C$18)*(1+'Inputs-System'!$C$41))*('Inputs-Proposals'!$I$23*'Inputs-Proposals'!$I$25*(1-'Inputs-Proposals'!$I$26)^(P$3-'Inputs-System'!$C$7))*(VLOOKUP(P$3,DRIPE!$A$54:$I$82,5,FALSE)+VLOOKUP(P$3,DRIPE!$A$54:$I$82,9,FALSE))+ ('Inputs-System'!$C$26*'Coincidence Factors'!$B$6*(1+'Inputs-System'!$C$18)*(1+'Inputs-System'!$C$42))*'Inputs-Proposals'!$I$22*VLOOKUP(P$3,DRIPE!$A$54:$I$82,8,FALSE), $C46= "3", ( 'Inputs-System'!$C$30*'Coincidence Factors'!$B$10*(1+'Inputs-System'!$C$18)*(1+'Inputs-System'!$C$41))*('Inputs-Proposals'!$I$29*'Inputs-Proposals'!$I$31*(1-'Inputs-Proposals'!$I$32)^(P$3-'Inputs-System'!$C$7))*(VLOOKUP(P$3,DRIPE!$A$54:$I$82,5,FALSE)+VLOOKUP(P$3,DRIPE!$A$54:$I$82,9,FALSE))+ ('Inputs-System'!$C$26*'Coincidence Factors'!$B$6*(1+'Inputs-System'!$C$18)*(1+'Inputs-System'!$C$42))*'Inputs-Proposals'!$I$28*VLOOKUP(P$3,DRIPE!$A$54:$I$82,8,FALSE), $C46 = "0", 0), 0)</f>
        <v>0</v>
      </c>
      <c r="S46" s="45">
        <f>IFERROR(_xlfn.IFS($C46="1",('Inputs-System'!$C$26*'Coincidence Factors'!$B$10*(1+'Inputs-System'!$C$18)*(1+'Inputs-System'!$C$42))*'Inputs-Proposals'!$D$16*(VLOOKUP(P$3,Capacity!$A$53:$E$85,4,FALSE)*(1+'Inputs-System'!$C$42)+VLOOKUP(P$3,Capacity!$A$53:$E$85,5,FALSE)*(1+'Inputs-System'!$C$43)*'Inputs-System'!$C$29), $C46 = "2", ('Inputs-System'!$C$26*'Coincidence Factors'!$B$10*(1+'Inputs-System'!$C$18))*'Inputs-Proposals'!$D$22*(VLOOKUP(P$3,Capacity!$A$53:$E$85,4,FALSE)*(1+'Inputs-System'!$C$42)+VLOOKUP(P$3,Capacity!$A$53:$E$85,5,FALSE)*'Inputs-System'!$C$29*(1+'Inputs-System'!$C$43)), $C46 = "3", ('Inputs-System'!$C$26*'Coincidence Factors'!$B$10*(1+'Inputs-System'!$C$18))*'Inputs-Proposals'!$D$28*(VLOOKUP(P$3,Capacity!$A$53:$E$85,4,FALSE)*(1+'Inputs-System'!$C$42)+VLOOKUP(P$3,Capacity!$A$53:$E$85,5,FALSE)*'Inputs-System'!$C$29*(1+'Inputs-System'!$C$43)), $C46 = "0", 0), 0)</f>
        <v>0</v>
      </c>
      <c r="T46" s="44">
        <v>0</v>
      </c>
      <c r="U46" s="342">
        <f>IFERROR(_xlfn.IFS($C46="1", 'Inputs-System'!$C$30*'Coincidence Factors'!$B$10*'Inputs-Proposals'!$I$17*'Inputs-Proposals'!$I$19*(VLOOKUP(P$3,'Non-Embedded Emissions'!$A$56:$D$90,2,FALSE)-VLOOKUP(P$3,'Non-Embedded Emissions'!$F$57:$H$88,3,FALSE)+VLOOKUP(P$3,'Non-Embedded Emissions'!$A$143:$D$174,2,FALSE)-VLOOKUP(P$3,'Non-Embedded Emissions'!$F$143:$H$174,3,FALSE)+VLOOKUP(P$3,'Non-Embedded Emissions'!$A$230:$D$259,2,FALSE)), $C46 = "2", 'Inputs-System'!$C$30*'Coincidence Factors'!$B$10*'Inputs-Proposals'!$I$23*'Inputs-Proposals'!$I$25*(VLOOKUP(P$3,'Non-Embedded Emissions'!$A$56:$D$90,2,FALSE)-VLOOKUP(P$3,'Non-Embedded Emissions'!$F$57:$H$88,3,FALSE)+VLOOKUP(P$3,'Non-Embedded Emissions'!$A$143:$D$174,2,FALSE)-VLOOKUP(P$3,'Non-Embedded Emissions'!$F$143:$H$174,3,FALSE)+VLOOKUP(P$3,'Non-Embedded Emissions'!$A$230:$D$259,2,FALSE)), $C46 = "3", 'Inputs-System'!$C$30*'Coincidence Factors'!$B$10*'Inputs-Proposals'!$I$29*'Inputs-Proposals'!$I$31*(VLOOKUP(P$3,'Non-Embedded Emissions'!$A$56:$D$90,2,FALSE)-VLOOKUP(P$3,'Non-Embedded Emissions'!$F$57:$H$88,3,FALSE)+VLOOKUP(P$3,'Non-Embedded Emissions'!$A$143:$D$174,2,FALSE)-VLOOKUP(P$3,'Non-Embedded Emissions'!$F$143:$H$174,3,FALSE)+VLOOKUP(P$3,'Non-Embedded Emissions'!$A$230:$D$259,2,FALSE)), $C46 = "0", 0), 0)</f>
        <v>0</v>
      </c>
      <c r="V46" s="45">
        <f>IFERROR(_xlfn.IFS($C46="1",('Inputs-System'!$C$30*'Coincidence Factors'!$B$10*(1+'Inputs-System'!$C$18)*(1+'Inputs-System'!$C$41)*('Inputs-Proposals'!$I$17*'Inputs-Proposals'!$I$19*(1-'Inputs-Proposals'!$I$20^(V$3-'Inputs-System'!$C$7)))*(VLOOKUP(V$3,Energy!$A$51:$K$83,5,FALSE))), $C46 = "2",('Inputs-System'!$C$30*'Coincidence Factors'!$B$10)*(1+'Inputs-System'!$C$18)*(1+'Inputs-System'!$C$41)*('Inputs-Proposals'!$I$23*'Inputs-Proposals'!$I$25*(1-'Inputs-Proposals'!$I$26^(V$3-'Inputs-System'!$C$7)))*(VLOOKUP(V$3,Energy!$A$51:$K$83,5,FALSE)), $C46= "3", ('Inputs-System'!$C$30*'Coincidence Factors'!$B$10*(1+'Inputs-System'!$C$18)*(1+'Inputs-System'!$C$41)*('Inputs-Proposals'!$I$29*'Inputs-Proposals'!$I$31*(1-'Inputs-Proposals'!$I$32^(V$3-'Inputs-System'!$C$7)))*(VLOOKUP(V$3,Energy!$A$51:$K$83,5,FALSE))), $C46= "0", 0), 0)</f>
        <v>0</v>
      </c>
      <c r="W46" s="44">
        <f>IFERROR(_xlfn.IFS($C46="1",('Inputs-System'!$C$30*'Coincidence Factors'!$B$10*(1+'Inputs-System'!$C$18)*(1+'Inputs-System'!$C$41))*'Inputs-Proposals'!$I$17*'Inputs-Proposals'!$I$19*(1-'Inputs-Proposals'!$I$20^(V$3-'Inputs-System'!$C$7))*(VLOOKUP(V$3,'Embedded Emissions'!$A$47:$B$78,2,FALSE)+VLOOKUP(V$3,'Embedded Emissions'!$A$129:$B$158,2,FALSE)), $C46 = "2",('Inputs-System'!$C$30*'Coincidence Factors'!$B$10*(1+'Inputs-System'!$C$18)*(1+'Inputs-System'!$C$41))*'Inputs-Proposals'!$I$23*'Inputs-Proposals'!$I$25*(1-'Inputs-Proposals'!$I$20^(V$3-'Inputs-System'!$C$7))*(VLOOKUP(V$3,'Embedded Emissions'!$A$47:$B$78,2,FALSE)+VLOOKUP(V$3,'Embedded Emissions'!$A$129:$B$158,2,FALSE)), $C46 = "3", ('Inputs-System'!$C$30*'Coincidence Factors'!$B$10*(1+'Inputs-System'!$C$18)*(1+'Inputs-System'!$C$41))*'Inputs-Proposals'!$I$29*'Inputs-Proposals'!$I$31*(1-'Inputs-Proposals'!$I$20^(V$3-'Inputs-System'!$C$7))*(VLOOKUP(V$3,'Embedded Emissions'!$A$47:$B$78,2,FALSE)+VLOOKUP(V$3,'Embedded Emissions'!$A$129:$B$158,2,FALSE)), $C46 = "0", 0), 0)</f>
        <v>0</v>
      </c>
      <c r="X46" s="44">
        <f>IFERROR(_xlfn.IFS($C46="1",( 'Inputs-System'!$C$30*'Coincidence Factors'!$B$10*(1+'Inputs-System'!$C$18)*(1+'Inputs-System'!$C$41))*('Inputs-Proposals'!$I$17*'Inputs-Proposals'!$I$19*(1-'Inputs-Proposals'!$I$20)^(V$3-'Inputs-System'!$C$7))*(VLOOKUP(V$3,DRIPE!$A$54:$I$82,5,FALSE)+VLOOKUP(V$3,DRIPE!$A$54:$I$82,9,FALSE))+ ('Inputs-System'!$C$26*'Coincidence Factors'!$B$6*(1+'Inputs-System'!$C$18)*(1+'Inputs-System'!$C$42))*'Inputs-Proposals'!$I$16*VLOOKUP(V$3,DRIPE!$A$54:$I$82,8,FALSE), $C46 = "2",( 'Inputs-System'!$C$30*'Coincidence Factors'!$B$10*(1+'Inputs-System'!$C$18)*(1+'Inputs-System'!$C$41))*('Inputs-Proposals'!$I$23*'Inputs-Proposals'!$I$25*(1-'Inputs-Proposals'!$I$26)^(V$3-'Inputs-System'!$C$7))*(VLOOKUP(V$3,DRIPE!$A$54:$I$82,5,FALSE)+VLOOKUP(V$3,DRIPE!$A$54:$I$82,9,FALSE))+ ('Inputs-System'!$C$26*'Coincidence Factors'!$B$6*(1+'Inputs-System'!$C$18)*(1+'Inputs-System'!$C$42))*'Inputs-Proposals'!$I$22*VLOOKUP(V$3,DRIPE!$A$54:$I$82,8,FALSE), $C46= "3", ( 'Inputs-System'!$C$30*'Coincidence Factors'!$B$10*(1+'Inputs-System'!$C$18)*(1+'Inputs-System'!$C$41))*('Inputs-Proposals'!$I$29*'Inputs-Proposals'!$I$31*(1-'Inputs-Proposals'!$I$32)^(V$3-'Inputs-System'!$C$7))*(VLOOKUP(V$3,DRIPE!$A$54:$I$82,5,FALSE)+VLOOKUP(V$3,DRIPE!$A$54:$I$82,9,FALSE))+ ('Inputs-System'!$C$26*'Coincidence Factors'!$B$6*(1+'Inputs-System'!$C$18)*(1+'Inputs-System'!$C$42))*'Inputs-Proposals'!$I$28*VLOOKUP(V$3,DRIPE!$A$54:$I$82,8,FALSE), $C46 = "0", 0), 0)</f>
        <v>0</v>
      </c>
      <c r="Y46" s="45">
        <f>IFERROR(_xlfn.IFS($C46="1",('Inputs-System'!$C$26*'Coincidence Factors'!$B$10*(1+'Inputs-System'!$C$18)*(1+'Inputs-System'!$C$42))*'Inputs-Proposals'!$D$16*(VLOOKUP(V$3,Capacity!$A$53:$E$85,4,FALSE)*(1+'Inputs-System'!$C$42)+VLOOKUP(V$3,Capacity!$A$53:$E$85,5,FALSE)*(1+'Inputs-System'!$C$43)*'Inputs-System'!$C$29), $C46 = "2", ('Inputs-System'!$C$26*'Coincidence Factors'!$B$10*(1+'Inputs-System'!$C$18))*'Inputs-Proposals'!$D$22*(VLOOKUP(V$3,Capacity!$A$53:$E$85,4,FALSE)*(1+'Inputs-System'!$C$42)+VLOOKUP(V$3,Capacity!$A$53:$E$85,5,FALSE)*'Inputs-System'!$C$29*(1+'Inputs-System'!$C$43)), $C46 = "3", ('Inputs-System'!$C$26*'Coincidence Factors'!$B$10*(1+'Inputs-System'!$C$18))*'Inputs-Proposals'!$D$28*(VLOOKUP(V$3,Capacity!$A$53:$E$85,4,FALSE)*(1+'Inputs-System'!$C$42)+VLOOKUP(V$3,Capacity!$A$53:$E$85,5,FALSE)*'Inputs-System'!$C$29*(1+'Inputs-System'!$C$43)), $C46 = "0", 0), 0)</f>
        <v>0</v>
      </c>
      <c r="Z46" s="44">
        <v>0</v>
      </c>
      <c r="AA46" s="342">
        <f>IFERROR(_xlfn.IFS($C46="1", 'Inputs-System'!$C$30*'Coincidence Factors'!$B$10*'Inputs-Proposals'!$I$17*'Inputs-Proposals'!$I$19*(VLOOKUP(V$3,'Non-Embedded Emissions'!$A$56:$D$90,2,FALSE)-VLOOKUP(V$3,'Non-Embedded Emissions'!$F$57:$H$88,3,FALSE)+VLOOKUP(V$3,'Non-Embedded Emissions'!$A$143:$D$174,2,FALSE)-VLOOKUP(V$3,'Non-Embedded Emissions'!$F$143:$H$174,3,FALSE)+VLOOKUP(V$3,'Non-Embedded Emissions'!$A$230:$D$259,2,FALSE)), $C46 = "2", 'Inputs-System'!$C$30*'Coincidence Factors'!$B$10*'Inputs-Proposals'!$I$23*'Inputs-Proposals'!$I$25*(VLOOKUP(V$3,'Non-Embedded Emissions'!$A$56:$D$90,2,FALSE)-VLOOKUP(V$3,'Non-Embedded Emissions'!$F$57:$H$88,3,FALSE)+VLOOKUP(V$3,'Non-Embedded Emissions'!$A$143:$D$174,2,FALSE)-VLOOKUP(V$3,'Non-Embedded Emissions'!$F$143:$H$174,3,FALSE)+VLOOKUP(V$3,'Non-Embedded Emissions'!$A$230:$D$259,2,FALSE)), $C46 = "3", 'Inputs-System'!$C$30*'Coincidence Factors'!$B$10*'Inputs-Proposals'!$I$29*'Inputs-Proposals'!$I$31*(VLOOKUP(V$3,'Non-Embedded Emissions'!$A$56:$D$90,2,FALSE)-VLOOKUP(V$3,'Non-Embedded Emissions'!$F$57:$H$88,3,FALSE)+VLOOKUP(V$3,'Non-Embedded Emissions'!$A$143:$D$174,2,FALSE)-VLOOKUP(V$3,'Non-Embedded Emissions'!$F$143:$H$174,3,FALSE)+VLOOKUP(V$3,'Non-Embedded Emissions'!$A$230:$D$259,2,FALSE)), $C46 = "0", 0), 0)</f>
        <v>0</v>
      </c>
      <c r="AB46" s="45">
        <f>IFERROR(_xlfn.IFS($C46="1",('Inputs-System'!$C$30*'Coincidence Factors'!$B$10*(1+'Inputs-System'!$C$18)*(1+'Inputs-System'!$C$41)*('Inputs-Proposals'!$I$17*'Inputs-Proposals'!$I$19*(1-'Inputs-Proposals'!$I$20^(AB$3-'Inputs-System'!$C$7)))*(VLOOKUP(AB$3,Energy!$A$51:$K$83,5,FALSE))), $C46 = "2",('Inputs-System'!$C$30*'Coincidence Factors'!$B$10)*(1+'Inputs-System'!$C$18)*(1+'Inputs-System'!$C$41)*('Inputs-Proposals'!$I$23*'Inputs-Proposals'!$I$25*(1-'Inputs-Proposals'!$I$26^(AB$3-'Inputs-System'!$C$7)))*(VLOOKUP(AB$3,Energy!$A$51:$K$83,5,FALSE)), $C46= "3", ('Inputs-System'!$C$30*'Coincidence Factors'!$B$10*(1+'Inputs-System'!$C$18)*(1+'Inputs-System'!$C$41)*('Inputs-Proposals'!$I$29*'Inputs-Proposals'!$I$31*(1-'Inputs-Proposals'!$I$32^(AB$3-'Inputs-System'!$C$7)))*(VLOOKUP(AB$3,Energy!$A$51:$K$83,5,FALSE))), $C46= "0", 0), 0)</f>
        <v>0</v>
      </c>
      <c r="AC46" s="44">
        <f>IFERROR(_xlfn.IFS($C46="1",('Inputs-System'!$C$30*'Coincidence Factors'!$B$10*(1+'Inputs-System'!$C$18)*(1+'Inputs-System'!$C$41))*'Inputs-Proposals'!$I$17*'Inputs-Proposals'!$I$19*(1-'Inputs-Proposals'!$I$20^(AB$3-'Inputs-System'!$C$7))*(VLOOKUP(AB$3,'Embedded Emissions'!$A$47:$B$78,2,FALSE)+VLOOKUP(AB$3,'Embedded Emissions'!$A$129:$B$158,2,FALSE)), $C46 = "2",('Inputs-System'!$C$30*'Coincidence Factors'!$B$10*(1+'Inputs-System'!$C$18)*(1+'Inputs-System'!$C$41))*'Inputs-Proposals'!$I$23*'Inputs-Proposals'!$I$25*(1-'Inputs-Proposals'!$I$20^(AB$3-'Inputs-System'!$C$7))*(VLOOKUP(AB$3,'Embedded Emissions'!$A$47:$B$78,2,FALSE)+VLOOKUP(AB$3,'Embedded Emissions'!$A$129:$B$158,2,FALSE)), $C46 = "3", ('Inputs-System'!$C$30*'Coincidence Factors'!$B$10*(1+'Inputs-System'!$C$18)*(1+'Inputs-System'!$C$41))*'Inputs-Proposals'!$I$29*'Inputs-Proposals'!$I$31*(1-'Inputs-Proposals'!$I$20^(AB$3-'Inputs-System'!$C$7))*(VLOOKUP(AB$3,'Embedded Emissions'!$A$47:$B$78,2,FALSE)+VLOOKUP(AB$3,'Embedded Emissions'!$A$129:$B$158,2,FALSE)), $C46 = "0", 0), 0)</f>
        <v>0</v>
      </c>
      <c r="AD46" s="44">
        <f>IFERROR(_xlfn.IFS($C46="1",( 'Inputs-System'!$C$30*'Coincidence Factors'!$B$10*(1+'Inputs-System'!$C$18)*(1+'Inputs-System'!$C$41))*('Inputs-Proposals'!$I$17*'Inputs-Proposals'!$I$19*(1-'Inputs-Proposals'!$I$20)^(AB$3-'Inputs-System'!$C$7))*(VLOOKUP(AB$3,DRIPE!$A$54:$I$82,5,FALSE)+VLOOKUP(AB$3,DRIPE!$A$54:$I$82,9,FALSE))+ ('Inputs-System'!$C$26*'Coincidence Factors'!$B$6*(1+'Inputs-System'!$C$18)*(1+'Inputs-System'!$C$42))*'Inputs-Proposals'!$I$16*VLOOKUP(AB$3,DRIPE!$A$54:$I$82,8,FALSE), $C46 = "2",( 'Inputs-System'!$C$30*'Coincidence Factors'!$B$10*(1+'Inputs-System'!$C$18)*(1+'Inputs-System'!$C$41))*('Inputs-Proposals'!$I$23*'Inputs-Proposals'!$I$25*(1-'Inputs-Proposals'!$I$26)^(AB$3-'Inputs-System'!$C$7))*(VLOOKUP(AB$3,DRIPE!$A$54:$I$82,5,FALSE)+VLOOKUP(AB$3,DRIPE!$A$54:$I$82,9,FALSE))+ ('Inputs-System'!$C$26*'Coincidence Factors'!$B$6*(1+'Inputs-System'!$C$18)*(1+'Inputs-System'!$C$42))*'Inputs-Proposals'!$I$22*VLOOKUP(AB$3,DRIPE!$A$54:$I$82,8,FALSE), $C46= "3", ( 'Inputs-System'!$C$30*'Coincidence Factors'!$B$10*(1+'Inputs-System'!$C$18)*(1+'Inputs-System'!$C$41))*('Inputs-Proposals'!$I$29*'Inputs-Proposals'!$I$31*(1-'Inputs-Proposals'!$I$32)^(AB$3-'Inputs-System'!$C$7))*(VLOOKUP(AB$3,DRIPE!$A$54:$I$82,5,FALSE)+VLOOKUP(AB$3,DRIPE!$A$54:$I$82,9,FALSE))+ ('Inputs-System'!$C$26*'Coincidence Factors'!$B$6*(1+'Inputs-System'!$C$18)*(1+'Inputs-System'!$C$42))*'Inputs-Proposals'!$I$28*VLOOKUP(AB$3,DRIPE!$A$54:$I$82,8,FALSE), $C46 = "0", 0), 0)</f>
        <v>0</v>
      </c>
      <c r="AE46" s="45">
        <f>IFERROR(_xlfn.IFS($C46="1",('Inputs-System'!$C$26*'Coincidence Factors'!$B$10*(1+'Inputs-System'!$C$18)*(1+'Inputs-System'!$C$42))*'Inputs-Proposals'!$D$16*(VLOOKUP(AB$3,Capacity!$A$53:$E$85,4,FALSE)*(1+'Inputs-System'!$C$42)+VLOOKUP(AB$3,Capacity!$A$53:$E$85,5,FALSE)*(1+'Inputs-System'!$C$43)*'Inputs-System'!$C$29), $C46 = "2", ('Inputs-System'!$C$26*'Coincidence Factors'!$B$10*(1+'Inputs-System'!$C$18))*'Inputs-Proposals'!$D$22*(VLOOKUP(AB$3,Capacity!$A$53:$E$85,4,FALSE)*(1+'Inputs-System'!$C$42)+VLOOKUP(AB$3,Capacity!$A$53:$E$85,5,FALSE)*'Inputs-System'!$C$29*(1+'Inputs-System'!$C$43)), $C46 = "3", ('Inputs-System'!$C$26*'Coincidence Factors'!$B$10*(1+'Inputs-System'!$C$18))*'Inputs-Proposals'!$D$28*(VLOOKUP(AB$3,Capacity!$A$53:$E$85,4,FALSE)*(1+'Inputs-System'!$C$42)+VLOOKUP(AB$3,Capacity!$A$53:$E$85,5,FALSE)*'Inputs-System'!$C$29*(1+'Inputs-System'!$C$43)), $C46 = "0", 0), 0)</f>
        <v>0</v>
      </c>
      <c r="AF46" s="44">
        <v>0</v>
      </c>
      <c r="AG46" s="342">
        <f>IFERROR(_xlfn.IFS($C46="1", 'Inputs-System'!$C$30*'Coincidence Factors'!$B$10*'Inputs-Proposals'!$I$17*'Inputs-Proposals'!$I$19*(VLOOKUP(AB$3,'Non-Embedded Emissions'!$A$56:$D$90,2,FALSE)-VLOOKUP(AB$3,'Non-Embedded Emissions'!$F$57:$H$88,3,FALSE)+VLOOKUP(AB$3,'Non-Embedded Emissions'!$A$143:$D$174,2,FALSE)-VLOOKUP(AB$3,'Non-Embedded Emissions'!$F$143:$H$174,3,FALSE)+VLOOKUP(AB$3,'Non-Embedded Emissions'!$A$230:$D$259,2,FALSE)), $C46 = "2", 'Inputs-System'!$C$30*'Coincidence Factors'!$B$10*'Inputs-Proposals'!$I$23*'Inputs-Proposals'!$I$25*(VLOOKUP(AB$3,'Non-Embedded Emissions'!$A$56:$D$90,2,FALSE)-VLOOKUP(AB$3,'Non-Embedded Emissions'!$F$57:$H$88,3,FALSE)+VLOOKUP(AB$3,'Non-Embedded Emissions'!$A$143:$D$174,2,FALSE)-VLOOKUP(AB$3,'Non-Embedded Emissions'!$F$143:$H$174,3,FALSE)+VLOOKUP(AB$3,'Non-Embedded Emissions'!$A$230:$D$259,2,FALSE)), $C46 = "3", 'Inputs-System'!$C$30*'Coincidence Factors'!$B$10*'Inputs-Proposals'!$I$29*'Inputs-Proposals'!$I$31*(VLOOKUP(AB$3,'Non-Embedded Emissions'!$A$56:$D$90,2,FALSE)-VLOOKUP(AB$3,'Non-Embedded Emissions'!$F$57:$H$88,3,FALSE)+VLOOKUP(AB$3,'Non-Embedded Emissions'!$A$143:$D$174,2,FALSE)-VLOOKUP(AB$3,'Non-Embedded Emissions'!$F$143:$H$174,3,FALSE)+VLOOKUP(AB$3,'Non-Embedded Emissions'!$A$230:$D$259,2,FALSE)), $C46 = "0", 0), 0)</f>
        <v>0</v>
      </c>
      <c r="AH46" s="45">
        <f>IFERROR(_xlfn.IFS($C46="1",('Inputs-System'!$C$30*'Coincidence Factors'!$B$10*(1+'Inputs-System'!$C$18)*(1+'Inputs-System'!$C$41)*('Inputs-Proposals'!$I$17*'Inputs-Proposals'!$I$19*(1-'Inputs-Proposals'!$I$20^(AH$3-'Inputs-System'!$C$7)))*(VLOOKUP(AH$3,Energy!$A$51:$K$83,5,FALSE))), $C46 = "2",('Inputs-System'!$C$30*'Coincidence Factors'!$B$10)*(1+'Inputs-System'!$C$18)*(1+'Inputs-System'!$C$41)*('Inputs-Proposals'!$I$23*'Inputs-Proposals'!$I$25*(1-'Inputs-Proposals'!$I$26^(AH$3-'Inputs-System'!$C$7)))*(VLOOKUP(AH$3,Energy!$A$51:$K$83,5,FALSE)), $C46= "3", ('Inputs-System'!$C$30*'Coincidence Factors'!$B$10*(1+'Inputs-System'!$C$18)*(1+'Inputs-System'!$C$41)*('Inputs-Proposals'!$I$29*'Inputs-Proposals'!$I$31*(1-'Inputs-Proposals'!$I$32^(AH$3-'Inputs-System'!$C$7)))*(VLOOKUP(AH$3,Energy!$A$51:$K$83,5,FALSE))), $C46= "0", 0), 0)</f>
        <v>0</v>
      </c>
      <c r="AI46" s="44">
        <f>IFERROR(_xlfn.IFS($C46="1",('Inputs-System'!$C$30*'Coincidence Factors'!$B$10*(1+'Inputs-System'!$C$18)*(1+'Inputs-System'!$C$41))*'Inputs-Proposals'!$I$17*'Inputs-Proposals'!$I$19*(1-'Inputs-Proposals'!$I$20^(AH$3-'Inputs-System'!$C$7))*(VLOOKUP(AH$3,'Embedded Emissions'!$A$47:$B$78,2,FALSE)+VLOOKUP(AH$3,'Embedded Emissions'!$A$129:$B$158,2,FALSE)), $C46 = "2",('Inputs-System'!$C$30*'Coincidence Factors'!$B$10*(1+'Inputs-System'!$C$18)*(1+'Inputs-System'!$C$41))*'Inputs-Proposals'!$I$23*'Inputs-Proposals'!$I$25*(1-'Inputs-Proposals'!$I$20^(AH$3-'Inputs-System'!$C$7))*(VLOOKUP(AH$3,'Embedded Emissions'!$A$47:$B$78,2,FALSE)+VLOOKUP(AH$3,'Embedded Emissions'!$A$129:$B$158,2,FALSE)), $C46 = "3", ('Inputs-System'!$C$30*'Coincidence Factors'!$B$10*(1+'Inputs-System'!$C$18)*(1+'Inputs-System'!$C$41))*'Inputs-Proposals'!$I$29*'Inputs-Proposals'!$I$31*(1-'Inputs-Proposals'!$I$20^(AH$3-'Inputs-System'!$C$7))*(VLOOKUP(AH$3,'Embedded Emissions'!$A$47:$B$78,2,FALSE)+VLOOKUP(AH$3,'Embedded Emissions'!$A$129:$B$158,2,FALSE)), $C46 = "0", 0), 0)</f>
        <v>0</v>
      </c>
      <c r="AJ46" s="44">
        <f>IFERROR(_xlfn.IFS($C46="1",( 'Inputs-System'!$C$30*'Coincidence Factors'!$B$10*(1+'Inputs-System'!$C$18)*(1+'Inputs-System'!$C$41))*('Inputs-Proposals'!$I$17*'Inputs-Proposals'!$I$19*(1-'Inputs-Proposals'!$I$20)^(AH$3-'Inputs-System'!$C$7))*(VLOOKUP(AH$3,DRIPE!$A$54:$I$82,5,FALSE)+VLOOKUP(AH$3,DRIPE!$A$54:$I$82,9,FALSE))+ ('Inputs-System'!$C$26*'Coincidence Factors'!$B$6*(1+'Inputs-System'!$C$18)*(1+'Inputs-System'!$C$42))*'Inputs-Proposals'!$I$16*VLOOKUP(AH$3,DRIPE!$A$54:$I$82,8,FALSE), $C46 = "2",( 'Inputs-System'!$C$30*'Coincidence Factors'!$B$10*(1+'Inputs-System'!$C$18)*(1+'Inputs-System'!$C$41))*('Inputs-Proposals'!$I$23*'Inputs-Proposals'!$I$25*(1-'Inputs-Proposals'!$I$26)^(AH$3-'Inputs-System'!$C$7))*(VLOOKUP(AH$3,DRIPE!$A$54:$I$82,5,FALSE)+VLOOKUP(AH$3,DRIPE!$A$54:$I$82,9,FALSE))+ ('Inputs-System'!$C$26*'Coincidence Factors'!$B$6*(1+'Inputs-System'!$C$18)*(1+'Inputs-System'!$C$42))*'Inputs-Proposals'!$I$22*VLOOKUP(AH$3,DRIPE!$A$54:$I$82,8,FALSE), $C46= "3", ( 'Inputs-System'!$C$30*'Coincidence Factors'!$B$10*(1+'Inputs-System'!$C$18)*(1+'Inputs-System'!$C$41))*('Inputs-Proposals'!$I$29*'Inputs-Proposals'!$I$31*(1-'Inputs-Proposals'!$I$32)^(AH$3-'Inputs-System'!$C$7))*(VLOOKUP(AH$3,DRIPE!$A$54:$I$82,5,FALSE)+VLOOKUP(AH$3,DRIPE!$A$54:$I$82,9,FALSE))+ ('Inputs-System'!$C$26*'Coincidence Factors'!$B$6*(1+'Inputs-System'!$C$18)*(1+'Inputs-System'!$C$42))*'Inputs-Proposals'!$I$28*VLOOKUP(AH$3,DRIPE!$A$54:$I$82,8,FALSE), $C46 = "0", 0), 0)</f>
        <v>0</v>
      </c>
      <c r="AK46" s="45">
        <f>IFERROR(_xlfn.IFS($C46="1",('Inputs-System'!$C$26*'Coincidence Factors'!$B$10*(1+'Inputs-System'!$C$18)*(1+'Inputs-System'!$C$42))*'Inputs-Proposals'!$D$16*(VLOOKUP(AH$3,Capacity!$A$53:$E$85,4,FALSE)*(1+'Inputs-System'!$C$42)+VLOOKUP(AH$3,Capacity!$A$53:$E$85,5,FALSE)*(1+'Inputs-System'!$C$43)*'Inputs-System'!$C$29), $C46 = "2", ('Inputs-System'!$C$26*'Coincidence Factors'!$B$10*(1+'Inputs-System'!$C$18))*'Inputs-Proposals'!$D$22*(VLOOKUP(AH$3,Capacity!$A$53:$E$85,4,FALSE)*(1+'Inputs-System'!$C$42)+VLOOKUP(AH$3,Capacity!$A$53:$E$85,5,FALSE)*'Inputs-System'!$C$29*(1+'Inputs-System'!$C$43)), $C46 = "3", ('Inputs-System'!$C$26*'Coincidence Factors'!$B$10*(1+'Inputs-System'!$C$18))*'Inputs-Proposals'!$D$28*(VLOOKUP(AH$3,Capacity!$A$53:$E$85,4,FALSE)*(1+'Inputs-System'!$C$42)+VLOOKUP(AH$3,Capacity!$A$53:$E$85,5,FALSE)*'Inputs-System'!$C$29*(1+'Inputs-System'!$C$43)), $C46 = "0", 0), 0)</f>
        <v>0</v>
      </c>
      <c r="AL46" s="44">
        <v>0</v>
      </c>
      <c r="AM46" s="342">
        <f>IFERROR(_xlfn.IFS($C46="1", 'Inputs-System'!$C$30*'Coincidence Factors'!$B$10*'Inputs-Proposals'!$I$17*'Inputs-Proposals'!$I$19*(VLOOKUP(AH$3,'Non-Embedded Emissions'!$A$56:$D$90,2,FALSE)-VLOOKUP(AH$3,'Non-Embedded Emissions'!$F$57:$H$88,3,FALSE)+VLOOKUP(AH$3,'Non-Embedded Emissions'!$A$143:$D$174,2,FALSE)-VLOOKUP(AH$3,'Non-Embedded Emissions'!$F$143:$H$174,3,FALSE)+VLOOKUP(AH$3,'Non-Embedded Emissions'!$A$230:$D$259,2,FALSE)), $C46 = "2", 'Inputs-System'!$C$30*'Coincidence Factors'!$B$10*'Inputs-Proposals'!$I$23*'Inputs-Proposals'!$I$25*(VLOOKUP(AH$3,'Non-Embedded Emissions'!$A$56:$D$90,2,FALSE)-VLOOKUP(AH$3,'Non-Embedded Emissions'!$F$57:$H$88,3,FALSE)+VLOOKUP(AH$3,'Non-Embedded Emissions'!$A$143:$D$174,2,FALSE)-VLOOKUP(AH$3,'Non-Embedded Emissions'!$F$143:$H$174,3,FALSE)+VLOOKUP(AH$3,'Non-Embedded Emissions'!$A$230:$D$259,2,FALSE)), $C46 = "3", 'Inputs-System'!$C$30*'Coincidence Factors'!$B$10*'Inputs-Proposals'!$I$29*'Inputs-Proposals'!$I$31*(VLOOKUP(AH$3,'Non-Embedded Emissions'!$A$56:$D$90,2,FALSE)-VLOOKUP(AH$3,'Non-Embedded Emissions'!$F$57:$H$88,3,FALSE)+VLOOKUP(AH$3,'Non-Embedded Emissions'!$A$143:$D$174,2,FALSE)-VLOOKUP(AH$3,'Non-Embedded Emissions'!$F$143:$H$174,3,FALSE)+VLOOKUP(AH$3,'Non-Embedded Emissions'!$A$230:$D$259,2,FALSE)), $C46 = "0", 0), 0)</f>
        <v>0</v>
      </c>
      <c r="AN46" s="45">
        <f>IFERROR(_xlfn.IFS($C46="1",('Inputs-System'!$C$30*'Coincidence Factors'!$B$10*(1+'Inputs-System'!$C$18)*(1+'Inputs-System'!$C$41)*('Inputs-Proposals'!$I$17*'Inputs-Proposals'!$I$19*(1-'Inputs-Proposals'!$I$20^(AN$3-'Inputs-System'!$C$7)))*(VLOOKUP(AN$3,Energy!$A$51:$K$83,5,FALSE))), $C46 = "2",('Inputs-System'!$C$30*'Coincidence Factors'!$B$10)*(1+'Inputs-System'!$C$18)*(1+'Inputs-System'!$C$41)*('Inputs-Proposals'!$I$23*'Inputs-Proposals'!$I$25*(1-'Inputs-Proposals'!$I$26^(AN$3-'Inputs-System'!$C$7)))*(VLOOKUP(AN$3,Energy!$A$51:$K$83,5,FALSE)), $C46= "3", ('Inputs-System'!$C$30*'Coincidence Factors'!$B$10*(1+'Inputs-System'!$C$18)*(1+'Inputs-System'!$C$41)*('Inputs-Proposals'!$I$29*'Inputs-Proposals'!$I$31*(1-'Inputs-Proposals'!$I$32^(AN$3-'Inputs-System'!$C$7)))*(VLOOKUP(AN$3,Energy!$A$51:$K$83,5,FALSE))), $C46= "0", 0), 0)</f>
        <v>0</v>
      </c>
      <c r="AO46" s="44">
        <f>IFERROR(_xlfn.IFS($C46="1",('Inputs-System'!$C$30*'Coincidence Factors'!$B$10*(1+'Inputs-System'!$C$18)*(1+'Inputs-System'!$C$41))*'Inputs-Proposals'!$I$17*'Inputs-Proposals'!$I$19*(1-'Inputs-Proposals'!$I$20^(AN$3-'Inputs-System'!$C$7))*(VLOOKUP(AN$3,'Embedded Emissions'!$A$47:$B$78,2,FALSE)+VLOOKUP(AN$3,'Embedded Emissions'!$A$129:$B$158,2,FALSE)), $C46 = "2",('Inputs-System'!$C$30*'Coincidence Factors'!$B$10*(1+'Inputs-System'!$C$18)*(1+'Inputs-System'!$C$41))*'Inputs-Proposals'!$I$23*'Inputs-Proposals'!$I$25*(1-'Inputs-Proposals'!$I$20^(AN$3-'Inputs-System'!$C$7))*(VLOOKUP(AN$3,'Embedded Emissions'!$A$47:$B$78,2,FALSE)+VLOOKUP(AN$3,'Embedded Emissions'!$A$129:$B$158,2,FALSE)), $C46 = "3", ('Inputs-System'!$C$30*'Coincidence Factors'!$B$10*(1+'Inputs-System'!$C$18)*(1+'Inputs-System'!$C$41))*'Inputs-Proposals'!$I$29*'Inputs-Proposals'!$I$31*(1-'Inputs-Proposals'!$I$20^(AN$3-'Inputs-System'!$C$7))*(VLOOKUP(AN$3,'Embedded Emissions'!$A$47:$B$78,2,FALSE)+VLOOKUP(AN$3,'Embedded Emissions'!$A$129:$B$158,2,FALSE)), $C46 = "0", 0), 0)</f>
        <v>0</v>
      </c>
      <c r="AP46" s="44">
        <f>IFERROR(_xlfn.IFS($C46="1",( 'Inputs-System'!$C$30*'Coincidence Factors'!$B$10*(1+'Inputs-System'!$C$18)*(1+'Inputs-System'!$C$41))*('Inputs-Proposals'!$I$17*'Inputs-Proposals'!$I$19*(1-'Inputs-Proposals'!$I$20)^(AN$3-'Inputs-System'!$C$7))*(VLOOKUP(AN$3,DRIPE!$A$54:$I$82,5,FALSE)+VLOOKUP(AN$3,DRIPE!$A$54:$I$82,9,FALSE))+ ('Inputs-System'!$C$26*'Coincidence Factors'!$B$6*(1+'Inputs-System'!$C$18)*(1+'Inputs-System'!$C$42))*'Inputs-Proposals'!$I$16*VLOOKUP(AN$3,DRIPE!$A$54:$I$82,8,FALSE), $C46 = "2",( 'Inputs-System'!$C$30*'Coincidence Factors'!$B$10*(1+'Inputs-System'!$C$18)*(1+'Inputs-System'!$C$41))*('Inputs-Proposals'!$I$23*'Inputs-Proposals'!$I$25*(1-'Inputs-Proposals'!$I$26)^(AN$3-'Inputs-System'!$C$7))*(VLOOKUP(AN$3,DRIPE!$A$54:$I$82,5,FALSE)+VLOOKUP(AN$3,DRIPE!$A$54:$I$82,9,FALSE))+ ('Inputs-System'!$C$26*'Coincidence Factors'!$B$6*(1+'Inputs-System'!$C$18)*(1+'Inputs-System'!$C$42))*'Inputs-Proposals'!$I$22*VLOOKUP(AN$3,DRIPE!$A$54:$I$82,8,FALSE), $C46= "3", ( 'Inputs-System'!$C$30*'Coincidence Factors'!$B$10*(1+'Inputs-System'!$C$18)*(1+'Inputs-System'!$C$41))*('Inputs-Proposals'!$I$29*'Inputs-Proposals'!$I$31*(1-'Inputs-Proposals'!$I$32)^(AN$3-'Inputs-System'!$C$7))*(VLOOKUP(AN$3,DRIPE!$A$54:$I$82,5,FALSE)+VLOOKUP(AN$3,DRIPE!$A$54:$I$82,9,FALSE))+ ('Inputs-System'!$C$26*'Coincidence Factors'!$B$6*(1+'Inputs-System'!$C$18)*(1+'Inputs-System'!$C$42))*'Inputs-Proposals'!$I$28*VLOOKUP(AN$3,DRIPE!$A$54:$I$82,8,FALSE), $C46 = "0", 0), 0)</f>
        <v>0</v>
      </c>
      <c r="AQ46" s="45">
        <f>IFERROR(_xlfn.IFS($C46="1",('Inputs-System'!$C$26*'Coincidence Factors'!$B$10*(1+'Inputs-System'!$C$18)*(1+'Inputs-System'!$C$42))*'Inputs-Proposals'!$D$16*(VLOOKUP(AN$3,Capacity!$A$53:$E$85,4,FALSE)*(1+'Inputs-System'!$C$42)+VLOOKUP(AN$3,Capacity!$A$53:$E$85,5,FALSE)*(1+'Inputs-System'!$C$43)*'Inputs-System'!$C$29), $C46 = "2", ('Inputs-System'!$C$26*'Coincidence Factors'!$B$10*(1+'Inputs-System'!$C$18))*'Inputs-Proposals'!$D$22*(VLOOKUP(AN$3,Capacity!$A$53:$E$85,4,FALSE)*(1+'Inputs-System'!$C$42)+VLOOKUP(AN$3,Capacity!$A$53:$E$85,5,FALSE)*'Inputs-System'!$C$29*(1+'Inputs-System'!$C$43)), $C46 = "3", ('Inputs-System'!$C$26*'Coincidence Factors'!$B$10*(1+'Inputs-System'!$C$18))*'Inputs-Proposals'!$D$28*(VLOOKUP(AN$3,Capacity!$A$53:$E$85,4,FALSE)*(1+'Inputs-System'!$C$42)+VLOOKUP(AN$3,Capacity!$A$53:$E$85,5,FALSE)*'Inputs-System'!$C$29*(1+'Inputs-System'!$C$43)), $C46 = "0", 0), 0)</f>
        <v>0</v>
      </c>
      <c r="AR46" s="44">
        <v>0</v>
      </c>
      <c r="AS46" s="342">
        <f>IFERROR(_xlfn.IFS($C46="1", 'Inputs-System'!$C$30*'Coincidence Factors'!$B$10*'Inputs-Proposals'!$I$17*'Inputs-Proposals'!$I$19*(VLOOKUP(AN$3,'Non-Embedded Emissions'!$A$56:$D$90,2,FALSE)-VLOOKUP(AN$3,'Non-Embedded Emissions'!$F$57:$H$88,3,FALSE)+VLOOKUP(AN$3,'Non-Embedded Emissions'!$A$143:$D$174,2,FALSE)-VLOOKUP(AN$3,'Non-Embedded Emissions'!$F$143:$H$174,3,FALSE)+VLOOKUP(AN$3,'Non-Embedded Emissions'!$A$230:$D$259,2,FALSE)), $C46 = "2", 'Inputs-System'!$C$30*'Coincidence Factors'!$B$10*'Inputs-Proposals'!$I$23*'Inputs-Proposals'!$I$25*(VLOOKUP(AN$3,'Non-Embedded Emissions'!$A$56:$D$90,2,FALSE)-VLOOKUP(AN$3,'Non-Embedded Emissions'!$F$57:$H$88,3,FALSE)+VLOOKUP(AN$3,'Non-Embedded Emissions'!$A$143:$D$174,2,FALSE)-VLOOKUP(AN$3,'Non-Embedded Emissions'!$F$143:$H$174,3,FALSE)+VLOOKUP(AN$3,'Non-Embedded Emissions'!$A$230:$D$259,2,FALSE)), $C46 = "3", 'Inputs-System'!$C$30*'Coincidence Factors'!$B$10*'Inputs-Proposals'!$I$29*'Inputs-Proposals'!$I$31*(VLOOKUP(AN$3,'Non-Embedded Emissions'!$A$56:$D$90,2,FALSE)-VLOOKUP(AN$3,'Non-Embedded Emissions'!$F$57:$H$88,3,FALSE)+VLOOKUP(AN$3,'Non-Embedded Emissions'!$A$143:$D$174,2,FALSE)-VLOOKUP(AN$3,'Non-Embedded Emissions'!$F$143:$H$174,3,FALSE)+VLOOKUP(AN$3,'Non-Embedded Emissions'!$A$230:$D$259,2,FALSE)), $C46 = "0", 0), 0)</f>
        <v>0</v>
      </c>
      <c r="AT46" s="45">
        <f>IFERROR(_xlfn.IFS($C46="1",('Inputs-System'!$C$30*'Coincidence Factors'!$B$10*(1+'Inputs-System'!$C$18)*(1+'Inputs-System'!$C$41)*('Inputs-Proposals'!$I$17*'Inputs-Proposals'!$I$19*(1-'Inputs-Proposals'!$I$20^(AT$3-'Inputs-System'!$C$7)))*(VLOOKUP(AT$3,Energy!$A$51:$K$83,5,FALSE))), $C46 = "2",('Inputs-System'!$C$30*'Coincidence Factors'!$B$10)*(1+'Inputs-System'!$C$18)*(1+'Inputs-System'!$C$41)*('Inputs-Proposals'!$I$23*'Inputs-Proposals'!$I$25*(1-'Inputs-Proposals'!$I$26^(AT$3-'Inputs-System'!$C$7)))*(VLOOKUP(AT$3,Energy!$A$51:$K$83,5,FALSE)), $C46= "3", ('Inputs-System'!$C$30*'Coincidence Factors'!$B$10*(1+'Inputs-System'!$C$18)*(1+'Inputs-System'!$C$41)*('Inputs-Proposals'!$I$29*'Inputs-Proposals'!$I$31*(1-'Inputs-Proposals'!$I$32^(AT$3-'Inputs-System'!$C$7)))*(VLOOKUP(AT$3,Energy!$A$51:$K$83,5,FALSE))), $C46= "0", 0), 0)</f>
        <v>0</v>
      </c>
      <c r="AU46" s="44">
        <f>IFERROR(_xlfn.IFS($C46="1",('Inputs-System'!$C$30*'Coincidence Factors'!$B$10*(1+'Inputs-System'!$C$18)*(1+'Inputs-System'!$C$41))*'Inputs-Proposals'!$I$17*'Inputs-Proposals'!$I$19*(1-'Inputs-Proposals'!$I$20^(AT$3-'Inputs-System'!$C$7))*(VLOOKUP(AT$3,'Embedded Emissions'!$A$47:$B$78,2,FALSE)+VLOOKUP(AT$3,'Embedded Emissions'!$A$129:$B$158,2,FALSE)), $C46 = "2",('Inputs-System'!$C$30*'Coincidence Factors'!$B$10*(1+'Inputs-System'!$C$18)*(1+'Inputs-System'!$C$41))*'Inputs-Proposals'!$I$23*'Inputs-Proposals'!$I$25*(1-'Inputs-Proposals'!$I$20^(AT$3-'Inputs-System'!$C$7))*(VLOOKUP(AT$3,'Embedded Emissions'!$A$47:$B$78,2,FALSE)+VLOOKUP(AT$3,'Embedded Emissions'!$A$129:$B$158,2,FALSE)), $C46 = "3", ('Inputs-System'!$C$30*'Coincidence Factors'!$B$10*(1+'Inputs-System'!$C$18)*(1+'Inputs-System'!$C$41))*'Inputs-Proposals'!$I$29*'Inputs-Proposals'!$I$31*(1-'Inputs-Proposals'!$I$20^(AT$3-'Inputs-System'!$C$7))*(VLOOKUP(AT$3,'Embedded Emissions'!$A$47:$B$78,2,FALSE)+VLOOKUP(AT$3,'Embedded Emissions'!$A$129:$B$158,2,FALSE)), $C46 = "0", 0), 0)</f>
        <v>0</v>
      </c>
      <c r="AV46" s="44">
        <f>IFERROR(_xlfn.IFS($C46="1",( 'Inputs-System'!$C$30*'Coincidence Factors'!$B$10*(1+'Inputs-System'!$C$18)*(1+'Inputs-System'!$C$41))*('Inputs-Proposals'!$I$17*'Inputs-Proposals'!$I$19*(1-'Inputs-Proposals'!$I$20)^(AT$3-'Inputs-System'!$C$7))*(VLOOKUP(AT$3,DRIPE!$A$54:$I$82,5,FALSE)+VLOOKUP(AT$3,DRIPE!$A$54:$I$82,9,FALSE))+ ('Inputs-System'!$C$26*'Coincidence Factors'!$B$6*(1+'Inputs-System'!$C$18)*(1+'Inputs-System'!$C$42))*'Inputs-Proposals'!$I$16*VLOOKUP(AT$3,DRIPE!$A$54:$I$82,8,FALSE), $C46 = "2",( 'Inputs-System'!$C$30*'Coincidence Factors'!$B$10*(1+'Inputs-System'!$C$18)*(1+'Inputs-System'!$C$41))*('Inputs-Proposals'!$I$23*'Inputs-Proposals'!$I$25*(1-'Inputs-Proposals'!$I$26)^(AT$3-'Inputs-System'!$C$7))*(VLOOKUP(AT$3,DRIPE!$A$54:$I$82,5,FALSE)+VLOOKUP(AT$3,DRIPE!$A$54:$I$82,9,FALSE))+ ('Inputs-System'!$C$26*'Coincidence Factors'!$B$6*(1+'Inputs-System'!$C$18)*(1+'Inputs-System'!$C$42))*'Inputs-Proposals'!$I$22*VLOOKUP(AT$3,DRIPE!$A$54:$I$82,8,FALSE), $C46= "3", ( 'Inputs-System'!$C$30*'Coincidence Factors'!$B$10*(1+'Inputs-System'!$C$18)*(1+'Inputs-System'!$C$41))*('Inputs-Proposals'!$I$29*'Inputs-Proposals'!$I$31*(1-'Inputs-Proposals'!$I$32)^(AT$3-'Inputs-System'!$C$7))*(VLOOKUP(AT$3,DRIPE!$A$54:$I$82,5,FALSE)+VLOOKUP(AT$3,DRIPE!$A$54:$I$82,9,FALSE))+ ('Inputs-System'!$C$26*'Coincidence Factors'!$B$6*(1+'Inputs-System'!$C$18)*(1+'Inputs-System'!$C$42))*'Inputs-Proposals'!$I$28*VLOOKUP(AT$3,DRIPE!$A$54:$I$82,8,FALSE), $C46 = "0", 0), 0)</f>
        <v>0</v>
      </c>
      <c r="AW46" s="45">
        <f>IFERROR(_xlfn.IFS($C46="1",('Inputs-System'!$C$26*'Coincidence Factors'!$B$10*(1+'Inputs-System'!$C$18)*(1+'Inputs-System'!$C$42))*'Inputs-Proposals'!$D$16*(VLOOKUP(AT$3,Capacity!$A$53:$E$85,4,FALSE)*(1+'Inputs-System'!$C$42)+VLOOKUP(AT$3,Capacity!$A$53:$E$85,5,FALSE)*(1+'Inputs-System'!$C$43)*'Inputs-System'!$C$29), $C46 = "2", ('Inputs-System'!$C$26*'Coincidence Factors'!$B$10*(1+'Inputs-System'!$C$18))*'Inputs-Proposals'!$D$22*(VLOOKUP(AT$3,Capacity!$A$53:$E$85,4,FALSE)*(1+'Inputs-System'!$C$42)+VLOOKUP(AT$3,Capacity!$A$53:$E$85,5,FALSE)*'Inputs-System'!$C$29*(1+'Inputs-System'!$C$43)), $C46 = "3", ('Inputs-System'!$C$26*'Coincidence Factors'!$B$10*(1+'Inputs-System'!$C$18))*'Inputs-Proposals'!$D$28*(VLOOKUP(AT$3,Capacity!$A$53:$E$85,4,FALSE)*(1+'Inputs-System'!$C$42)+VLOOKUP(AT$3,Capacity!$A$53:$E$85,5,FALSE)*'Inputs-System'!$C$29*(1+'Inputs-System'!$C$43)), $C46 = "0", 0), 0)</f>
        <v>0</v>
      </c>
      <c r="AX46" s="44">
        <v>0</v>
      </c>
      <c r="AY46" s="342">
        <f>IFERROR(_xlfn.IFS($C46="1", 'Inputs-System'!$C$30*'Coincidence Factors'!$B$10*'Inputs-Proposals'!$I$17*'Inputs-Proposals'!$I$19*(VLOOKUP(AT$3,'Non-Embedded Emissions'!$A$56:$D$90,2,FALSE)-VLOOKUP(AT$3,'Non-Embedded Emissions'!$F$57:$H$88,3,FALSE)+VLOOKUP(AT$3,'Non-Embedded Emissions'!$A$143:$D$174,2,FALSE)-VLOOKUP(AT$3,'Non-Embedded Emissions'!$F$143:$H$174,3,FALSE)+VLOOKUP(AT$3,'Non-Embedded Emissions'!$A$230:$D$259,2,FALSE)), $C46 = "2", 'Inputs-System'!$C$30*'Coincidence Factors'!$B$10*'Inputs-Proposals'!$I$23*'Inputs-Proposals'!$I$25*(VLOOKUP(AT$3,'Non-Embedded Emissions'!$A$56:$D$90,2,FALSE)-VLOOKUP(AT$3,'Non-Embedded Emissions'!$F$57:$H$88,3,FALSE)+VLOOKUP(AT$3,'Non-Embedded Emissions'!$A$143:$D$174,2,FALSE)-VLOOKUP(AT$3,'Non-Embedded Emissions'!$F$143:$H$174,3,FALSE)+VLOOKUP(AT$3,'Non-Embedded Emissions'!$A$230:$D$259,2,FALSE)), $C46 = "3", 'Inputs-System'!$C$30*'Coincidence Factors'!$B$10*'Inputs-Proposals'!$I$29*'Inputs-Proposals'!$I$31*(VLOOKUP(AT$3,'Non-Embedded Emissions'!$A$56:$D$90,2,FALSE)-VLOOKUP(AT$3,'Non-Embedded Emissions'!$F$57:$H$88,3,FALSE)+VLOOKUP(AT$3,'Non-Embedded Emissions'!$A$143:$D$174,2,FALSE)-VLOOKUP(AT$3,'Non-Embedded Emissions'!$F$143:$H$174,3,FALSE)+VLOOKUP(AT$3,'Non-Embedded Emissions'!$A$230:$D$259,2,FALSE)), $C46 = "0", 0), 0)</f>
        <v>0</v>
      </c>
      <c r="AZ46" s="45">
        <f>IFERROR(_xlfn.IFS($C46="1",('Inputs-System'!$C$30*'Coincidence Factors'!$B$10*(1+'Inputs-System'!$C$18)*(1+'Inputs-System'!$C$41)*('Inputs-Proposals'!$I$17*'Inputs-Proposals'!$I$19*(1-'Inputs-Proposals'!$I$20^(AZ$3-'Inputs-System'!$C$7)))*(VLOOKUP(AZ$3,Energy!$A$51:$K$83,5,FALSE))), $C46 = "2",('Inputs-System'!$C$30*'Coincidence Factors'!$B$10)*(1+'Inputs-System'!$C$18)*(1+'Inputs-System'!$C$41)*('Inputs-Proposals'!$I$23*'Inputs-Proposals'!$I$25*(1-'Inputs-Proposals'!$I$26^(AZ$3-'Inputs-System'!$C$7)))*(VLOOKUP(AZ$3,Energy!$A$51:$K$83,5,FALSE)), $C46= "3", ('Inputs-System'!$C$30*'Coincidence Factors'!$B$10*(1+'Inputs-System'!$C$18)*(1+'Inputs-System'!$C$41)*('Inputs-Proposals'!$I$29*'Inputs-Proposals'!$I$31*(1-'Inputs-Proposals'!$I$32^(AZ$3-'Inputs-System'!$C$7)))*(VLOOKUP(AZ$3,Energy!$A$51:$K$83,5,FALSE))), $C46= "0", 0), 0)</f>
        <v>0</v>
      </c>
      <c r="BA46" s="44">
        <f>IFERROR(_xlfn.IFS($C46="1",('Inputs-System'!$C$30*'Coincidence Factors'!$B$10*(1+'Inputs-System'!$C$18)*(1+'Inputs-System'!$C$41))*'Inputs-Proposals'!$I$17*'Inputs-Proposals'!$I$19*(1-'Inputs-Proposals'!$I$20^(AZ$3-'Inputs-System'!$C$7))*(VLOOKUP(AZ$3,'Embedded Emissions'!$A$47:$B$78,2,FALSE)+VLOOKUP(AZ$3,'Embedded Emissions'!$A$129:$B$158,2,FALSE)), $C46 = "2",('Inputs-System'!$C$30*'Coincidence Factors'!$B$10*(1+'Inputs-System'!$C$18)*(1+'Inputs-System'!$C$41))*'Inputs-Proposals'!$I$23*'Inputs-Proposals'!$I$25*(1-'Inputs-Proposals'!$I$20^(AZ$3-'Inputs-System'!$C$7))*(VLOOKUP(AZ$3,'Embedded Emissions'!$A$47:$B$78,2,FALSE)+VLOOKUP(AZ$3,'Embedded Emissions'!$A$129:$B$158,2,FALSE)), $C46 = "3", ('Inputs-System'!$C$30*'Coincidence Factors'!$B$10*(1+'Inputs-System'!$C$18)*(1+'Inputs-System'!$C$41))*'Inputs-Proposals'!$I$29*'Inputs-Proposals'!$I$31*(1-'Inputs-Proposals'!$I$20^(AZ$3-'Inputs-System'!$C$7))*(VLOOKUP(AZ$3,'Embedded Emissions'!$A$47:$B$78,2,FALSE)+VLOOKUP(AZ$3,'Embedded Emissions'!$A$129:$B$158,2,FALSE)), $C46 = "0", 0), 0)</f>
        <v>0</v>
      </c>
      <c r="BB46" s="44">
        <f>IFERROR(_xlfn.IFS($C46="1",( 'Inputs-System'!$C$30*'Coincidence Factors'!$B$10*(1+'Inputs-System'!$C$18)*(1+'Inputs-System'!$C$41))*('Inputs-Proposals'!$I$17*'Inputs-Proposals'!$I$19*(1-'Inputs-Proposals'!$I$20)^(AZ$3-'Inputs-System'!$C$7))*(VLOOKUP(AZ$3,DRIPE!$A$54:$I$82,5,FALSE)+VLOOKUP(AZ$3,DRIPE!$A$54:$I$82,9,FALSE))+ ('Inputs-System'!$C$26*'Coincidence Factors'!$B$6*(1+'Inputs-System'!$C$18)*(1+'Inputs-System'!$C$42))*'Inputs-Proposals'!$I$16*VLOOKUP(AZ$3,DRIPE!$A$54:$I$82,8,FALSE), $C46 = "2",( 'Inputs-System'!$C$30*'Coincidence Factors'!$B$10*(1+'Inputs-System'!$C$18)*(1+'Inputs-System'!$C$41))*('Inputs-Proposals'!$I$23*'Inputs-Proposals'!$I$25*(1-'Inputs-Proposals'!$I$26)^(AZ$3-'Inputs-System'!$C$7))*(VLOOKUP(AZ$3,DRIPE!$A$54:$I$82,5,FALSE)+VLOOKUP(AZ$3,DRIPE!$A$54:$I$82,9,FALSE))+ ('Inputs-System'!$C$26*'Coincidence Factors'!$B$6*(1+'Inputs-System'!$C$18)*(1+'Inputs-System'!$C$42))*'Inputs-Proposals'!$I$22*VLOOKUP(AZ$3,DRIPE!$A$54:$I$82,8,FALSE), $C46= "3", ( 'Inputs-System'!$C$30*'Coincidence Factors'!$B$10*(1+'Inputs-System'!$C$18)*(1+'Inputs-System'!$C$41))*('Inputs-Proposals'!$I$29*'Inputs-Proposals'!$I$31*(1-'Inputs-Proposals'!$I$32)^(AZ$3-'Inputs-System'!$C$7))*(VLOOKUP(AZ$3,DRIPE!$A$54:$I$82,5,FALSE)+VLOOKUP(AZ$3,DRIPE!$A$54:$I$82,9,FALSE))+ ('Inputs-System'!$C$26*'Coincidence Factors'!$B$6*(1+'Inputs-System'!$C$18)*(1+'Inputs-System'!$C$42))*'Inputs-Proposals'!$I$28*VLOOKUP(AZ$3,DRIPE!$A$54:$I$82,8,FALSE), $C46 = "0", 0), 0)</f>
        <v>0</v>
      </c>
      <c r="BC46" s="45">
        <f>IFERROR(_xlfn.IFS($C46="1",('Inputs-System'!$C$26*'Coincidence Factors'!$B$10*(1+'Inputs-System'!$C$18)*(1+'Inputs-System'!$C$42))*'Inputs-Proposals'!$D$16*(VLOOKUP(AZ$3,Capacity!$A$53:$E$85,4,FALSE)*(1+'Inputs-System'!$C$42)+VLOOKUP(AZ$3,Capacity!$A$53:$E$85,5,FALSE)*(1+'Inputs-System'!$C$43)*'Inputs-System'!$C$29), $C46 = "2", ('Inputs-System'!$C$26*'Coincidence Factors'!$B$10*(1+'Inputs-System'!$C$18))*'Inputs-Proposals'!$D$22*(VLOOKUP(AZ$3,Capacity!$A$53:$E$85,4,FALSE)*(1+'Inputs-System'!$C$42)+VLOOKUP(AZ$3,Capacity!$A$53:$E$85,5,FALSE)*'Inputs-System'!$C$29*(1+'Inputs-System'!$C$43)), $C46 = "3", ('Inputs-System'!$C$26*'Coincidence Factors'!$B$10*(1+'Inputs-System'!$C$18))*'Inputs-Proposals'!$D$28*(VLOOKUP(AZ$3,Capacity!$A$53:$E$85,4,FALSE)*(1+'Inputs-System'!$C$42)+VLOOKUP(AZ$3,Capacity!$A$53:$E$85,5,FALSE)*'Inputs-System'!$C$29*(1+'Inputs-System'!$C$43)), $C46 = "0", 0), 0)</f>
        <v>0</v>
      </c>
      <c r="BD46" s="44">
        <v>0</v>
      </c>
      <c r="BE46" s="342">
        <f>IFERROR(_xlfn.IFS($C46="1", 'Inputs-System'!$C$30*'Coincidence Factors'!$B$10*'Inputs-Proposals'!$I$17*'Inputs-Proposals'!$I$19*(VLOOKUP(AZ$3,'Non-Embedded Emissions'!$A$56:$D$90,2,FALSE)-VLOOKUP(AZ$3,'Non-Embedded Emissions'!$F$57:$H$88,3,FALSE)+VLOOKUP(AZ$3,'Non-Embedded Emissions'!$A$143:$D$174,2,FALSE)-VLOOKUP(AZ$3,'Non-Embedded Emissions'!$F$143:$H$174,3,FALSE)+VLOOKUP(AZ$3,'Non-Embedded Emissions'!$A$230:$D$259,2,FALSE)), $C46 = "2", 'Inputs-System'!$C$30*'Coincidence Factors'!$B$10*'Inputs-Proposals'!$I$23*'Inputs-Proposals'!$I$25*(VLOOKUP(AZ$3,'Non-Embedded Emissions'!$A$56:$D$90,2,FALSE)-VLOOKUP(AZ$3,'Non-Embedded Emissions'!$F$57:$H$88,3,FALSE)+VLOOKUP(AZ$3,'Non-Embedded Emissions'!$A$143:$D$174,2,FALSE)-VLOOKUP(AZ$3,'Non-Embedded Emissions'!$F$143:$H$174,3,FALSE)+VLOOKUP(AZ$3,'Non-Embedded Emissions'!$A$230:$D$259,2,FALSE)), $C46 = "3", 'Inputs-System'!$C$30*'Coincidence Factors'!$B$10*'Inputs-Proposals'!$I$29*'Inputs-Proposals'!$I$31*(VLOOKUP(AZ$3,'Non-Embedded Emissions'!$A$56:$D$90,2,FALSE)-VLOOKUP(AZ$3,'Non-Embedded Emissions'!$F$57:$H$88,3,FALSE)+VLOOKUP(AZ$3,'Non-Embedded Emissions'!$A$143:$D$174,2,FALSE)-VLOOKUP(AZ$3,'Non-Embedded Emissions'!$F$143:$H$174,3,FALSE)+VLOOKUP(AZ$3,'Non-Embedded Emissions'!$A$230:$D$259,2,FALSE)), $C46 = "0", 0), 0)</f>
        <v>0</v>
      </c>
      <c r="BF46" s="45">
        <f>IFERROR(_xlfn.IFS($C46="1",('Inputs-System'!$C$30*'Coincidence Factors'!$B$10*(1+'Inputs-System'!$C$18)*(1+'Inputs-System'!$C$41)*('Inputs-Proposals'!$I$17*'Inputs-Proposals'!$I$19*(1-'Inputs-Proposals'!$I$20^(BF$3-'Inputs-System'!$C$7)))*(VLOOKUP(BF$3,Energy!$A$51:$K$83,5,FALSE))), $C46 = "2",('Inputs-System'!$C$30*'Coincidence Factors'!$B$10)*(1+'Inputs-System'!$C$18)*(1+'Inputs-System'!$C$41)*('Inputs-Proposals'!$I$23*'Inputs-Proposals'!$I$25*(1-'Inputs-Proposals'!$I$26^(BF$3-'Inputs-System'!$C$7)))*(VLOOKUP(BF$3,Energy!$A$51:$K$83,5,FALSE)), $C46= "3", ('Inputs-System'!$C$30*'Coincidence Factors'!$B$10*(1+'Inputs-System'!$C$18)*(1+'Inputs-System'!$C$41)*('Inputs-Proposals'!$I$29*'Inputs-Proposals'!$I$31*(1-'Inputs-Proposals'!$I$32^(BF$3-'Inputs-System'!$C$7)))*(VLOOKUP(BF$3,Energy!$A$51:$K$83,5,FALSE))), $C46= "0", 0), 0)</f>
        <v>0</v>
      </c>
      <c r="BG46" s="44">
        <f>IFERROR(_xlfn.IFS($C46="1",('Inputs-System'!$C$30*'Coincidence Factors'!$B$10*(1+'Inputs-System'!$C$18)*(1+'Inputs-System'!$C$41))*'Inputs-Proposals'!$I$17*'Inputs-Proposals'!$I$19*(1-'Inputs-Proposals'!$I$20^(BF$3-'Inputs-System'!$C$7))*(VLOOKUP(BF$3,'Embedded Emissions'!$A$47:$B$78,2,FALSE)+VLOOKUP(BF$3,'Embedded Emissions'!$A$129:$B$158,2,FALSE)), $C46 = "2",('Inputs-System'!$C$30*'Coincidence Factors'!$B$10*(1+'Inputs-System'!$C$18)*(1+'Inputs-System'!$C$41))*'Inputs-Proposals'!$I$23*'Inputs-Proposals'!$I$25*(1-'Inputs-Proposals'!$I$20^(BF$3-'Inputs-System'!$C$7))*(VLOOKUP(BF$3,'Embedded Emissions'!$A$47:$B$78,2,FALSE)+VLOOKUP(BF$3,'Embedded Emissions'!$A$129:$B$158,2,FALSE)), $C46 = "3", ('Inputs-System'!$C$30*'Coincidence Factors'!$B$10*(1+'Inputs-System'!$C$18)*(1+'Inputs-System'!$C$41))*'Inputs-Proposals'!$I$29*'Inputs-Proposals'!$I$31*(1-'Inputs-Proposals'!$I$20^(BF$3-'Inputs-System'!$C$7))*(VLOOKUP(BF$3,'Embedded Emissions'!$A$47:$B$78,2,FALSE)+VLOOKUP(BF$3,'Embedded Emissions'!$A$129:$B$158,2,FALSE)), $C46 = "0", 0), 0)</f>
        <v>0</v>
      </c>
      <c r="BH46" s="44">
        <f>IFERROR(_xlfn.IFS($C46="1",( 'Inputs-System'!$C$30*'Coincidence Factors'!$B$10*(1+'Inputs-System'!$C$18)*(1+'Inputs-System'!$C$41))*('Inputs-Proposals'!$I$17*'Inputs-Proposals'!$I$19*(1-'Inputs-Proposals'!$I$20)^(BF$3-'Inputs-System'!$C$7))*(VLOOKUP(BF$3,DRIPE!$A$54:$I$82,5,FALSE)+VLOOKUP(BF$3,DRIPE!$A$54:$I$82,9,FALSE))+ ('Inputs-System'!$C$26*'Coincidence Factors'!$B$6*(1+'Inputs-System'!$C$18)*(1+'Inputs-System'!$C$42))*'Inputs-Proposals'!$I$16*VLOOKUP(BF$3,DRIPE!$A$54:$I$82,8,FALSE), $C46 = "2",( 'Inputs-System'!$C$30*'Coincidence Factors'!$B$10*(1+'Inputs-System'!$C$18)*(1+'Inputs-System'!$C$41))*('Inputs-Proposals'!$I$23*'Inputs-Proposals'!$I$25*(1-'Inputs-Proposals'!$I$26)^(BF$3-'Inputs-System'!$C$7))*(VLOOKUP(BF$3,DRIPE!$A$54:$I$82,5,FALSE)+VLOOKUP(BF$3,DRIPE!$A$54:$I$82,9,FALSE))+ ('Inputs-System'!$C$26*'Coincidence Factors'!$B$6*(1+'Inputs-System'!$C$18)*(1+'Inputs-System'!$C$42))*'Inputs-Proposals'!$I$22*VLOOKUP(BF$3,DRIPE!$A$54:$I$82,8,FALSE), $C46= "3", ( 'Inputs-System'!$C$30*'Coincidence Factors'!$B$10*(1+'Inputs-System'!$C$18)*(1+'Inputs-System'!$C$41))*('Inputs-Proposals'!$I$29*'Inputs-Proposals'!$I$31*(1-'Inputs-Proposals'!$I$32)^(BF$3-'Inputs-System'!$C$7))*(VLOOKUP(BF$3,DRIPE!$A$54:$I$82,5,FALSE)+VLOOKUP(BF$3,DRIPE!$A$54:$I$82,9,FALSE))+ ('Inputs-System'!$C$26*'Coincidence Factors'!$B$6*(1+'Inputs-System'!$C$18)*(1+'Inputs-System'!$C$42))*'Inputs-Proposals'!$I$28*VLOOKUP(BF$3,DRIPE!$A$54:$I$82,8,FALSE), $C46 = "0", 0), 0)</f>
        <v>0</v>
      </c>
      <c r="BI46" s="45">
        <f>IFERROR(_xlfn.IFS($C46="1",('Inputs-System'!$C$26*'Coincidence Factors'!$B$10*(1+'Inputs-System'!$C$18)*(1+'Inputs-System'!$C$42))*'Inputs-Proposals'!$D$16*(VLOOKUP(BF$3,Capacity!$A$53:$E$85,4,FALSE)*(1+'Inputs-System'!$C$42)+VLOOKUP(BF$3,Capacity!$A$53:$E$85,5,FALSE)*(1+'Inputs-System'!$C$43)*'Inputs-System'!$C$29), $C46 = "2", ('Inputs-System'!$C$26*'Coincidence Factors'!$B$10*(1+'Inputs-System'!$C$18))*'Inputs-Proposals'!$D$22*(VLOOKUP(BF$3,Capacity!$A$53:$E$85,4,FALSE)*(1+'Inputs-System'!$C$42)+VLOOKUP(BF$3,Capacity!$A$53:$E$85,5,FALSE)*'Inputs-System'!$C$29*(1+'Inputs-System'!$C$43)), $C46 = "3", ('Inputs-System'!$C$26*'Coincidence Factors'!$B$10*(1+'Inputs-System'!$C$18))*'Inputs-Proposals'!$D$28*(VLOOKUP(BF$3,Capacity!$A$53:$E$85,4,FALSE)*(1+'Inputs-System'!$C$42)+VLOOKUP(BF$3,Capacity!$A$53:$E$85,5,FALSE)*'Inputs-System'!$C$29*(1+'Inputs-System'!$C$43)), $C46 = "0", 0), 0)</f>
        <v>0</v>
      </c>
      <c r="BJ46" s="44">
        <v>0</v>
      </c>
      <c r="BK46" s="342">
        <f>IFERROR(_xlfn.IFS($C46="1", 'Inputs-System'!$C$30*'Coincidence Factors'!$B$10*'Inputs-Proposals'!$I$17*'Inputs-Proposals'!$I$19*(VLOOKUP(BF$3,'Non-Embedded Emissions'!$A$56:$D$90,2,FALSE)-VLOOKUP(BF$3,'Non-Embedded Emissions'!$F$57:$H$88,3,FALSE)+VLOOKUP(BF$3,'Non-Embedded Emissions'!$A$143:$D$174,2,FALSE)-VLOOKUP(BF$3,'Non-Embedded Emissions'!$F$143:$H$174,3,FALSE)+VLOOKUP(BF$3,'Non-Embedded Emissions'!$A$230:$D$259,2,FALSE)), $C46 = "2", 'Inputs-System'!$C$30*'Coincidence Factors'!$B$10*'Inputs-Proposals'!$I$23*'Inputs-Proposals'!$I$25*(VLOOKUP(BF$3,'Non-Embedded Emissions'!$A$56:$D$90,2,FALSE)-VLOOKUP(BF$3,'Non-Embedded Emissions'!$F$57:$H$88,3,FALSE)+VLOOKUP(BF$3,'Non-Embedded Emissions'!$A$143:$D$174,2,FALSE)-VLOOKUP(BF$3,'Non-Embedded Emissions'!$F$143:$H$174,3,FALSE)+VLOOKUP(BF$3,'Non-Embedded Emissions'!$A$230:$D$259,2,FALSE)), $C46 = "3", 'Inputs-System'!$C$30*'Coincidence Factors'!$B$10*'Inputs-Proposals'!$I$29*'Inputs-Proposals'!$I$31*(VLOOKUP(BF$3,'Non-Embedded Emissions'!$A$56:$D$90,2,FALSE)-VLOOKUP(BF$3,'Non-Embedded Emissions'!$F$57:$H$88,3,FALSE)+VLOOKUP(BF$3,'Non-Embedded Emissions'!$A$143:$D$174,2,FALSE)-VLOOKUP(BF$3,'Non-Embedded Emissions'!$F$143:$H$174,3,FALSE)+VLOOKUP(BF$3,'Non-Embedded Emissions'!$A$230:$D$259,2,FALSE)), $C46 = "0", 0), 0)</f>
        <v>0</v>
      </c>
      <c r="BL46" s="45">
        <f>IFERROR(_xlfn.IFS($C46="1",('Inputs-System'!$C$30*'Coincidence Factors'!$B$10*(1+'Inputs-System'!$C$18)*(1+'Inputs-System'!$C$41)*('Inputs-Proposals'!$I$17*'Inputs-Proposals'!$I$19*(1-'Inputs-Proposals'!$I$20^(BL$3-'Inputs-System'!$C$7)))*(VLOOKUP(BL$3,Energy!$A$51:$K$83,5,FALSE))), $C46 = "2",('Inputs-System'!$C$30*'Coincidence Factors'!$B$10)*(1+'Inputs-System'!$C$18)*(1+'Inputs-System'!$C$41)*('Inputs-Proposals'!$I$23*'Inputs-Proposals'!$I$25*(1-'Inputs-Proposals'!$I$26^(BL$3-'Inputs-System'!$C$7)))*(VLOOKUP(BL$3,Energy!$A$51:$K$83,5,FALSE)), $C46= "3", ('Inputs-System'!$C$30*'Coincidence Factors'!$B$10*(1+'Inputs-System'!$C$18)*(1+'Inputs-System'!$C$41)*('Inputs-Proposals'!$I$29*'Inputs-Proposals'!$I$31*(1-'Inputs-Proposals'!$I$32^(BL$3-'Inputs-System'!$C$7)))*(VLOOKUP(BL$3,Energy!$A$51:$K$83,5,FALSE))), $C46= "0", 0), 0)</f>
        <v>0</v>
      </c>
      <c r="BM46" s="44">
        <f>IFERROR(_xlfn.IFS($C46="1",('Inputs-System'!$C$30*'Coincidence Factors'!$B$10*(1+'Inputs-System'!$C$18)*(1+'Inputs-System'!$C$41))*'Inputs-Proposals'!$I$17*'Inputs-Proposals'!$I$19*(1-'Inputs-Proposals'!$I$20^(BL$3-'Inputs-System'!$C$7))*(VLOOKUP(BL$3,'Embedded Emissions'!$A$47:$B$78,2,FALSE)+VLOOKUP(BL$3,'Embedded Emissions'!$A$129:$B$158,2,FALSE)), $C46 = "2",('Inputs-System'!$C$30*'Coincidence Factors'!$B$10*(1+'Inputs-System'!$C$18)*(1+'Inputs-System'!$C$41))*'Inputs-Proposals'!$I$23*'Inputs-Proposals'!$I$25*(1-'Inputs-Proposals'!$I$20^(BL$3-'Inputs-System'!$C$7))*(VLOOKUP(BL$3,'Embedded Emissions'!$A$47:$B$78,2,FALSE)+VLOOKUP(BL$3,'Embedded Emissions'!$A$129:$B$158,2,FALSE)), $C46 = "3", ('Inputs-System'!$C$30*'Coincidence Factors'!$B$10*(1+'Inputs-System'!$C$18)*(1+'Inputs-System'!$C$41))*'Inputs-Proposals'!$I$29*'Inputs-Proposals'!$I$31*(1-'Inputs-Proposals'!$I$20^(BL$3-'Inputs-System'!$C$7))*(VLOOKUP(BL$3,'Embedded Emissions'!$A$47:$B$78,2,FALSE)+VLOOKUP(BL$3,'Embedded Emissions'!$A$129:$B$158,2,FALSE)), $C46 = "0", 0), 0)</f>
        <v>0</v>
      </c>
      <c r="BN46" s="44">
        <f>IFERROR(_xlfn.IFS($C46="1",( 'Inputs-System'!$C$30*'Coincidence Factors'!$B$10*(1+'Inputs-System'!$C$18)*(1+'Inputs-System'!$C$41))*('Inputs-Proposals'!$I$17*'Inputs-Proposals'!$I$19*(1-'Inputs-Proposals'!$I$20)^(BL$3-'Inputs-System'!$C$7))*(VLOOKUP(BL$3,DRIPE!$A$54:$I$82,5,FALSE)+VLOOKUP(BL$3,DRIPE!$A$54:$I$82,9,FALSE))+ ('Inputs-System'!$C$26*'Coincidence Factors'!$B$6*(1+'Inputs-System'!$C$18)*(1+'Inputs-System'!$C$42))*'Inputs-Proposals'!$I$16*VLOOKUP(BL$3,DRIPE!$A$54:$I$82,8,FALSE), $C46 = "2",( 'Inputs-System'!$C$30*'Coincidence Factors'!$B$10*(1+'Inputs-System'!$C$18)*(1+'Inputs-System'!$C$41))*('Inputs-Proposals'!$I$23*'Inputs-Proposals'!$I$25*(1-'Inputs-Proposals'!$I$26)^(BL$3-'Inputs-System'!$C$7))*(VLOOKUP(BL$3,DRIPE!$A$54:$I$82,5,FALSE)+VLOOKUP(BL$3,DRIPE!$A$54:$I$82,9,FALSE))+ ('Inputs-System'!$C$26*'Coincidence Factors'!$B$6*(1+'Inputs-System'!$C$18)*(1+'Inputs-System'!$C$42))*'Inputs-Proposals'!$I$22*VLOOKUP(BL$3,DRIPE!$A$54:$I$82,8,FALSE), $C46= "3", ( 'Inputs-System'!$C$30*'Coincidence Factors'!$B$10*(1+'Inputs-System'!$C$18)*(1+'Inputs-System'!$C$41))*('Inputs-Proposals'!$I$29*'Inputs-Proposals'!$I$31*(1-'Inputs-Proposals'!$I$32)^(BL$3-'Inputs-System'!$C$7))*(VLOOKUP(BL$3,DRIPE!$A$54:$I$82,5,FALSE)+VLOOKUP(BL$3,DRIPE!$A$54:$I$82,9,FALSE))+ ('Inputs-System'!$C$26*'Coincidence Factors'!$B$6*(1+'Inputs-System'!$C$18)*(1+'Inputs-System'!$C$42))*'Inputs-Proposals'!$I$28*VLOOKUP(BL$3,DRIPE!$A$54:$I$82,8,FALSE), $C46 = "0", 0), 0)</f>
        <v>0</v>
      </c>
      <c r="BO46" s="45">
        <f>IFERROR(_xlfn.IFS($C46="1",('Inputs-System'!$C$26*'Coincidence Factors'!$B$10*(1+'Inputs-System'!$C$18)*(1+'Inputs-System'!$C$42))*'Inputs-Proposals'!$D$16*(VLOOKUP(BL$3,Capacity!$A$53:$E$85,4,FALSE)*(1+'Inputs-System'!$C$42)+VLOOKUP(BL$3,Capacity!$A$53:$E$85,5,FALSE)*(1+'Inputs-System'!$C$43)*'Inputs-System'!$C$29), $C46 = "2", ('Inputs-System'!$C$26*'Coincidence Factors'!$B$10*(1+'Inputs-System'!$C$18))*'Inputs-Proposals'!$D$22*(VLOOKUP(BL$3,Capacity!$A$53:$E$85,4,FALSE)*(1+'Inputs-System'!$C$42)+VLOOKUP(BL$3,Capacity!$A$53:$E$85,5,FALSE)*'Inputs-System'!$C$29*(1+'Inputs-System'!$C$43)), $C46 = "3", ('Inputs-System'!$C$26*'Coincidence Factors'!$B$10*(1+'Inputs-System'!$C$18))*'Inputs-Proposals'!$D$28*(VLOOKUP(BL$3,Capacity!$A$53:$E$85,4,FALSE)*(1+'Inputs-System'!$C$42)+VLOOKUP(BL$3,Capacity!$A$53:$E$85,5,FALSE)*'Inputs-System'!$C$29*(1+'Inputs-System'!$C$43)), $C46 = "0", 0), 0)</f>
        <v>0</v>
      </c>
      <c r="BP46" s="44">
        <v>0</v>
      </c>
      <c r="BQ46" s="342">
        <f>IFERROR(_xlfn.IFS($C46="1", 'Inputs-System'!$C$30*'Coincidence Factors'!$B$10*'Inputs-Proposals'!$I$17*'Inputs-Proposals'!$I$19*(VLOOKUP(BL$3,'Non-Embedded Emissions'!$A$56:$D$90,2,FALSE)-VLOOKUP(BL$3,'Non-Embedded Emissions'!$F$57:$H$88,3,FALSE)+VLOOKUP(BL$3,'Non-Embedded Emissions'!$A$143:$D$174,2,FALSE)-VLOOKUP(BL$3,'Non-Embedded Emissions'!$F$143:$H$174,3,FALSE)+VLOOKUP(BL$3,'Non-Embedded Emissions'!$A$230:$D$259,2,FALSE)), $C46 = "2", 'Inputs-System'!$C$30*'Coincidence Factors'!$B$10*'Inputs-Proposals'!$I$23*'Inputs-Proposals'!$I$25*(VLOOKUP(BL$3,'Non-Embedded Emissions'!$A$56:$D$90,2,FALSE)-VLOOKUP(BL$3,'Non-Embedded Emissions'!$F$57:$H$88,3,FALSE)+VLOOKUP(BL$3,'Non-Embedded Emissions'!$A$143:$D$174,2,FALSE)-VLOOKUP(BL$3,'Non-Embedded Emissions'!$F$143:$H$174,3,FALSE)+VLOOKUP(BL$3,'Non-Embedded Emissions'!$A$230:$D$259,2,FALSE)), $C46 = "3", 'Inputs-System'!$C$30*'Coincidence Factors'!$B$10*'Inputs-Proposals'!$I$29*'Inputs-Proposals'!$I$31*(VLOOKUP(BL$3,'Non-Embedded Emissions'!$A$56:$D$90,2,FALSE)-VLOOKUP(BL$3,'Non-Embedded Emissions'!$F$57:$H$88,3,FALSE)+VLOOKUP(BL$3,'Non-Embedded Emissions'!$A$143:$D$174,2,FALSE)-VLOOKUP(BL$3,'Non-Embedded Emissions'!$F$143:$H$174,3,FALSE)+VLOOKUP(BL$3,'Non-Embedded Emissions'!$A$230:$D$259,2,FALSE)), $C46 = "0", 0), 0)</f>
        <v>0</v>
      </c>
      <c r="BR46" s="45">
        <f>IFERROR(_xlfn.IFS($C46="1",('Inputs-System'!$C$30*'Coincidence Factors'!$B$10*(1+'Inputs-System'!$C$18)*(1+'Inputs-System'!$C$41)*('Inputs-Proposals'!$I$17*'Inputs-Proposals'!$I$19*(1-'Inputs-Proposals'!$I$20^(BR$3-'Inputs-System'!$C$7)))*(VLOOKUP(BR$3,Energy!$A$51:$K$83,5,FALSE))), $C46 = "2",('Inputs-System'!$C$30*'Coincidence Factors'!$B$10)*(1+'Inputs-System'!$C$18)*(1+'Inputs-System'!$C$41)*('Inputs-Proposals'!$I$23*'Inputs-Proposals'!$I$25*(1-'Inputs-Proposals'!$I$26^(BR$3-'Inputs-System'!$C$7)))*(VLOOKUP(BR$3,Energy!$A$51:$K$83,5,FALSE)), $C46= "3", ('Inputs-System'!$C$30*'Coincidence Factors'!$B$10*(1+'Inputs-System'!$C$18)*(1+'Inputs-System'!$C$41)*('Inputs-Proposals'!$I$29*'Inputs-Proposals'!$I$31*(1-'Inputs-Proposals'!$I$32^(BR$3-'Inputs-System'!$C$7)))*(VLOOKUP(BR$3,Energy!$A$51:$K$83,5,FALSE))), $C46= "0", 0), 0)</f>
        <v>0</v>
      </c>
      <c r="BS46" s="44">
        <f>IFERROR(_xlfn.IFS($C46="1",('Inputs-System'!$C$30*'Coincidence Factors'!$B$10*(1+'Inputs-System'!$C$18)*(1+'Inputs-System'!$C$41))*'Inputs-Proposals'!$I$17*'Inputs-Proposals'!$I$19*(1-'Inputs-Proposals'!$I$20^(BR$3-'Inputs-System'!$C$7))*(VLOOKUP(BR$3,'Embedded Emissions'!$A$47:$B$78,2,FALSE)+VLOOKUP(BR$3,'Embedded Emissions'!$A$129:$B$158,2,FALSE)), $C46 = "2",('Inputs-System'!$C$30*'Coincidence Factors'!$B$10*(1+'Inputs-System'!$C$18)*(1+'Inputs-System'!$C$41))*'Inputs-Proposals'!$I$23*'Inputs-Proposals'!$I$25*(1-'Inputs-Proposals'!$I$20^(BR$3-'Inputs-System'!$C$7))*(VLOOKUP(BR$3,'Embedded Emissions'!$A$47:$B$78,2,FALSE)+VLOOKUP(BR$3,'Embedded Emissions'!$A$129:$B$158,2,FALSE)), $C46 = "3", ('Inputs-System'!$C$30*'Coincidence Factors'!$B$10*(1+'Inputs-System'!$C$18)*(1+'Inputs-System'!$C$41))*'Inputs-Proposals'!$I$29*'Inputs-Proposals'!$I$31*(1-'Inputs-Proposals'!$I$20^(BR$3-'Inputs-System'!$C$7))*(VLOOKUP(BR$3,'Embedded Emissions'!$A$47:$B$78,2,FALSE)+VLOOKUP(BR$3,'Embedded Emissions'!$A$129:$B$158,2,FALSE)), $C46 = "0", 0), 0)</f>
        <v>0</v>
      </c>
      <c r="BT46" s="44">
        <f>IFERROR(_xlfn.IFS($C46="1",( 'Inputs-System'!$C$30*'Coincidence Factors'!$B$10*(1+'Inputs-System'!$C$18)*(1+'Inputs-System'!$C$41))*('Inputs-Proposals'!$I$17*'Inputs-Proposals'!$I$19*(1-'Inputs-Proposals'!$I$20)^(BR$3-'Inputs-System'!$C$7))*(VLOOKUP(BR$3,DRIPE!$A$54:$I$82,5,FALSE)+VLOOKUP(BR$3,DRIPE!$A$54:$I$82,9,FALSE))+ ('Inputs-System'!$C$26*'Coincidence Factors'!$B$6*(1+'Inputs-System'!$C$18)*(1+'Inputs-System'!$C$42))*'Inputs-Proposals'!$I$16*VLOOKUP(BR$3,DRIPE!$A$54:$I$82,8,FALSE), $C46 = "2",( 'Inputs-System'!$C$30*'Coincidence Factors'!$B$10*(1+'Inputs-System'!$C$18)*(1+'Inputs-System'!$C$41))*('Inputs-Proposals'!$I$23*'Inputs-Proposals'!$I$25*(1-'Inputs-Proposals'!$I$26)^(BR$3-'Inputs-System'!$C$7))*(VLOOKUP(BR$3,DRIPE!$A$54:$I$82,5,FALSE)+VLOOKUP(BR$3,DRIPE!$A$54:$I$82,9,FALSE))+ ('Inputs-System'!$C$26*'Coincidence Factors'!$B$6*(1+'Inputs-System'!$C$18)*(1+'Inputs-System'!$C$42))*'Inputs-Proposals'!$I$22*VLOOKUP(BR$3,DRIPE!$A$54:$I$82,8,FALSE), $C46= "3", ( 'Inputs-System'!$C$30*'Coincidence Factors'!$B$10*(1+'Inputs-System'!$C$18)*(1+'Inputs-System'!$C$41))*('Inputs-Proposals'!$I$29*'Inputs-Proposals'!$I$31*(1-'Inputs-Proposals'!$I$32)^(BR$3-'Inputs-System'!$C$7))*(VLOOKUP(BR$3,DRIPE!$A$54:$I$82,5,FALSE)+VLOOKUP(BR$3,DRIPE!$A$54:$I$82,9,FALSE))+ ('Inputs-System'!$C$26*'Coincidence Factors'!$B$6*(1+'Inputs-System'!$C$18)*(1+'Inputs-System'!$C$42))*'Inputs-Proposals'!$I$28*VLOOKUP(BR$3,DRIPE!$A$54:$I$82,8,FALSE), $C46 = "0", 0), 0)</f>
        <v>0</v>
      </c>
      <c r="BU46" s="45">
        <f>IFERROR(_xlfn.IFS($C46="1",('Inputs-System'!$C$26*'Coincidence Factors'!$B$10*(1+'Inputs-System'!$C$18)*(1+'Inputs-System'!$C$42))*'Inputs-Proposals'!$D$16*(VLOOKUP(BR$3,Capacity!$A$53:$E$85,4,FALSE)*(1+'Inputs-System'!$C$42)+VLOOKUP(BR$3,Capacity!$A$53:$E$85,5,FALSE)*(1+'Inputs-System'!$C$43)*'Inputs-System'!$C$29), $C46 = "2", ('Inputs-System'!$C$26*'Coincidence Factors'!$B$10*(1+'Inputs-System'!$C$18))*'Inputs-Proposals'!$D$22*(VLOOKUP(BR$3,Capacity!$A$53:$E$85,4,FALSE)*(1+'Inputs-System'!$C$42)+VLOOKUP(BR$3,Capacity!$A$53:$E$85,5,FALSE)*'Inputs-System'!$C$29*(1+'Inputs-System'!$C$43)), $C46 = "3", ('Inputs-System'!$C$26*'Coincidence Factors'!$B$10*(1+'Inputs-System'!$C$18))*'Inputs-Proposals'!$D$28*(VLOOKUP(BR$3,Capacity!$A$53:$E$85,4,FALSE)*(1+'Inputs-System'!$C$42)+VLOOKUP(BR$3,Capacity!$A$53:$E$85,5,FALSE)*'Inputs-System'!$C$29*(1+'Inputs-System'!$C$43)), $C46 = "0", 0), 0)</f>
        <v>0</v>
      </c>
      <c r="BV46" s="44">
        <v>0</v>
      </c>
      <c r="BW46" s="342">
        <f>IFERROR(_xlfn.IFS($C46="1", 'Inputs-System'!$C$30*'Coincidence Factors'!$B$10*'Inputs-Proposals'!$I$17*'Inputs-Proposals'!$I$19*(VLOOKUP(BR$3,'Non-Embedded Emissions'!$A$56:$D$90,2,FALSE)-VLOOKUP(BR$3,'Non-Embedded Emissions'!$F$57:$H$88,3,FALSE)+VLOOKUP(BR$3,'Non-Embedded Emissions'!$A$143:$D$174,2,FALSE)-VLOOKUP(BR$3,'Non-Embedded Emissions'!$F$143:$H$174,3,FALSE)+VLOOKUP(BR$3,'Non-Embedded Emissions'!$A$230:$D$259,2,FALSE)), $C46 = "2", 'Inputs-System'!$C$30*'Coincidence Factors'!$B$10*'Inputs-Proposals'!$I$23*'Inputs-Proposals'!$I$25*(VLOOKUP(BR$3,'Non-Embedded Emissions'!$A$56:$D$90,2,FALSE)-VLOOKUP(BR$3,'Non-Embedded Emissions'!$F$57:$H$88,3,FALSE)+VLOOKUP(BR$3,'Non-Embedded Emissions'!$A$143:$D$174,2,FALSE)-VLOOKUP(BR$3,'Non-Embedded Emissions'!$F$143:$H$174,3,FALSE)+VLOOKUP(BR$3,'Non-Embedded Emissions'!$A$230:$D$259,2,FALSE)), $C46 = "3", 'Inputs-System'!$C$30*'Coincidence Factors'!$B$10*'Inputs-Proposals'!$I$29*'Inputs-Proposals'!$I$31*(VLOOKUP(BR$3,'Non-Embedded Emissions'!$A$56:$D$90,2,FALSE)-VLOOKUP(BR$3,'Non-Embedded Emissions'!$F$57:$H$88,3,FALSE)+VLOOKUP(BR$3,'Non-Embedded Emissions'!$A$143:$D$174,2,FALSE)-VLOOKUP(BR$3,'Non-Embedded Emissions'!$F$143:$H$174,3,FALSE)+VLOOKUP(BR$3,'Non-Embedded Emissions'!$A$230:$D$259,2,FALSE)), $C46 = "0", 0), 0)</f>
        <v>0</v>
      </c>
      <c r="BX46" s="45">
        <f>IFERROR(_xlfn.IFS($C46="1",('Inputs-System'!$C$30*'Coincidence Factors'!$B$10*(1+'Inputs-System'!$C$18)*(1+'Inputs-System'!$C$41)*('Inputs-Proposals'!$I$17*'Inputs-Proposals'!$I$19*(1-'Inputs-Proposals'!$I$20^(BX$3-'Inputs-System'!$C$7)))*(VLOOKUP(BX$3,Energy!$A$51:$K$83,5,FALSE))), $C46 = "2",('Inputs-System'!$C$30*'Coincidence Factors'!$B$10)*(1+'Inputs-System'!$C$18)*(1+'Inputs-System'!$C$41)*('Inputs-Proposals'!$I$23*'Inputs-Proposals'!$I$25*(1-'Inputs-Proposals'!$I$26^(BX$3-'Inputs-System'!$C$7)))*(VLOOKUP(BX$3,Energy!$A$51:$K$83,5,FALSE)), $C46= "3", ('Inputs-System'!$C$30*'Coincidence Factors'!$B$10*(1+'Inputs-System'!$C$18)*(1+'Inputs-System'!$C$41)*('Inputs-Proposals'!$I$29*'Inputs-Proposals'!$I$31*(1-'Inputs-Proposals'!$I$32^(BX$3-'Inputs-System'!$C$7)))*(VLOOKUP(BX$3,Energy!$A$51:$K$83,5,FALSE))), $C46= "0", 0), 0)</f>
        <v>0</v>
      </c>
      <c r="BY46" s="44">
        <f>IFERROR(_xlfn.IFS($C46="1",('Inputs-System'!$C$30*'Coincidence Factors'!$B$10*(1+'Inputs-System'!$C$18)*(1+'Inputs-System'!$C$41))*'Inputs-Proposals'!$I$17*'Inputs-Proposals'!$I$19*(1-'Inputs-Proposals'!$I$20^(BX$3-'Inputs-System'!$C$7))*(VLOOKUP(BX$3,'Embedded Emissions'!$A$47:$B$78,2,FALSE)+VLOOKUP(BX$3,'Embedded Emissions'!$A$129:$B$158,2,FALSE)), $C46 = "2",('Inputs-System'!$C$30*'Coincidence Factors'!$B$10*(1+'Inputs-System'!$C$18)*(1+'Inputs-System'!$C$41))*'Inputs-Proposals'!$I$23*'Inputs-Proposals'!$I$25*(1-'Inputs-Proposals'!$I$20^(BX$3-'Inputs-System'!$C$7))*(VLOOKUP(BX$3,'Embedded Emissions'!$A$47:$B$78,2,FALSE)+VLOOKUP(BX$3,'Embedded Emissions'!$A$129:$B$158,2,FALSE)), $C46 = "3", ('Inputs-System'!$C$30*'Coincidence Factors'!$B$10*(1+'Inputs-System'!$C$18)*(1+'Inputs-System'!$C$41))*'Inputs-Proposals'!$I$29*'Inputs-Proposals'!$I$31*(1-'Inputs-Proposals'!$I$20^(BX$3-'Inputs-System'!$C$7))*(VLOOKUP(BX$3,'Embedded Emissions'!$A$47:$B$78,2,FALSE)+VLOOKUP(BX$3,'Embedded Emissions'!$A$129:$B$158,2,FALSE)), $C46 = "0", 0), 0)</f>
        <v>0</v>
      </c>
      <c r="BZ46" s="44">
        <f>IFERROR(_xlfn.IFS($C46="1",( 'Inputs-System'!$C$30*'Coincidence Factors'!$B$10*(1+'Inputs-System'!$C$18)*(1+'Inputs-System'!$C$41))*('Inputs-Proposals'!$I$17*'Inputs-Proposals'!$I$19*(1-'Inputs-Proposals'!$I$20)^(BX$3-'Inputs-System'!$C$7))*(VLOOKUP(BX$3,DRIPE!$A$54:$I$82,5,FALSE)+VLOOKUP(BX$3,DRIPE!$A$54:$I$82,9,FALSE))+ ('Inputs-System'!$C$26*'Coincidence Factors'!$B$6*(1+'Inputs-System'!$C$18)*(1+'Inputs-System'!$C$42))*'Inputs-Proposals'!$I$16*VLOOKUP(BX$3,DRIPE!$A$54:$I$82,8,FALSE), $C46 = "2",( 'Inputs-System'!$C$30*'Coincidence Factors'!$B$10*(1+'Inputs-System'!$C$18)*(1+'Inputs-System'!$C$41))*('Inputs-Proposals'!$I$23*'Inputs-Proposals'!$I$25*(1-'Inputs-Proposals'!$I$26)^(BX$3-'Inputs-System'!$C$7))*(VLOOKUP(BX$3,DRIPE!$A$54:$I$82,5,FALSE)+VLOOKUP(BX$3,DRIPE!$A$54:$I$82,9,FALSE))+ ('Inputs-System'!$C$26*'Coincidence Factors'!$B$6*(1+'Inputs-System'!$C$18)*(1+'Inputs-System'!$C$42))*'Inputs-Proposals'!$I$22*VLOOKUP(BX$3,DRIPE!$A$54:$I$82,8,FALSE), $C46= "3", ( 'Inputs-System'!$C$30*'Coincidence Factors'!$B$10*(1+'Inputs-System'!$C$18)*(1+'Inputs-System'!$C$41))*('Inputs-Proposals'!$I$29*'Inputs-Proposals'!$I$31*(1-'Inputs-Proposals'!$I$32)^(BX$3-'Inputs-System'!$C$7))*(VLOOKUP(BX$3,DRIPE!$A$54:$I$82,5,FALSE)+VLOOKUP(BX$3,DRIPE!$A$54:$I$82,9,FALSE))+ ('Inputs-System'!$C$26*'Coincidence Factors'!$B$6*(1+'Inputs-System'!$C$18)*(1+'Inputs-System'!$C$42))*'Inputs-Proposals'!$I$28*VLOOKUP(BX$3,DRIPE!$A$54:$I$82,8,FALSE), $C46 = "0", 0), 0)</f>
        <v>0</v>
      </c>
      <c r="CA46" s="45">
        <f>IFERROR(_xlfn.IFS($C46="1",('Inputs-System'!$C$26*'Coincidence Factors'!$B$10*(1+'Inputs-System'!$C$18)*(1+'Inputs-System'!$C$42))*'Inputs-Proposals'!$D$16*(VLOOKUP(BX$3,Capacity!$A$53:$E$85,4,FALSE)*(1+'Inputs-System'!$C$42)+VLOOKUP(BX$3,Capacity!$A$53:$E$85,5,FALSE)*(1+'Inputs-System'!$C$43)*'Inputs-System'!$C$29), $C46 = "2", ('Inputs-System'!$C$26*'Coincidence Factors'!$B$10*(1+'Inputs-System'!$C$18))*'Inputs-Proposals'!$D$22*(VLOOKUP(BX$3,Capacity!$A$53:$E$85,4,FALSE)*(1+'Inputs-System'!$C$42)+VLOOKUP(BX$3,Capacity!$A$53:$E$85,5,FALSE)*'Inputs-System'!$C$29*(1+'Inputs-System'!$C$43)), $C46 = "3", ('Inputs-System'!$C$26*'Coincidence Factors'!$B$10*(1+'Inputs-System'!$C$18))*'Inputs-Proposals'!$D$28*(VLOOKUP(BX$3,Capacity!$A$53:$E$85,4,FALSE)*(1+'Inputs-System'!$C$42)+VLOOKUP(BX$3,Capacity!$A$53:$E$85,5,FALSE)*'Inputs-System'!$C$29*(1+'Inputs-System'!$C$43)), $C46 = "0", 0), 0)</f>
        <v>0</v>
      </c>
      <c r="CB46" s="44">
        <v>0</v>
      </c>
      <c r="CC46" s="342">
        <f>IFERROR(_xlfn.IFS($C46="1", 'Inputs-System'!$C$30*'Coincidence Factors'!$B$10*'Inputs-Proposals'!$I$17*'Inputs-Proposals'!$I$19*(VLOOKUP(BX$3,'Non-Embedded Emissions'!$A$56:$D$90,2,FALSE)-VLOOKUP(BX$3,'Non-Embedded Emissions'!$F$57:$H$88,3,FALSE)+VLOOKUP(BX$3,'Non-Embedded Emissions'!$A$143:$D$174,2,FALSE)-VLOOKUP(BX$3,'Non-Embedded Emissions'!$F$143:$H$174,3,FALSE)+VLOOKUP(BX$3,'Non-Embedded Emissions'!$A$230:$D$259,2,FALSE)), $C46 = "2", 'Inputs-System'!$C$30*'Coincidence Factors'!$B$10*'Inputs-Proposals'!$I$23*'Inputs-Proposals'!$I$25*(VLOOKUP(BX$3,'Non-Embedded Emissions'!$A$56:$D$90,2,FALSE)-VLOOKUP(BX$3,'Non-Embedded Emissions'!$F$57:$H$88,3,FALSE)+VLOOKUP(BX$3,'Non-Embedded Emissions'!$A$143:$D$174,2,FALSE)-VLOOKUP(BX$3,'Non-Embedded Emissions'!$F$143:$H$174,3,FALSE)+VLOOKUP(BX$3,'Non-Embedded Emissions'!$A$230:$D$259,2,FALSE)), $C46 = "3", 'Inputs-System'!$C$30*'Coincidence Factors'!$B$10*'Inputs-Proposals'!$I$29*'Inputs-Proposals'!$I$31*(VLOOKUP(BX$3,'Non-Embedded Emissions'!$A$56:$D$90,2,FALSE)-VLOOKUP(BX$3,'Non-Embedded Emissions'!$F$57:$H$88,3,FALSE)+VLOOKUP(BX$3,'Non-Embedded Emissions'!$A$143:$D$174,2,FALSE)-VLOOKUP(BX$3,'Non-Embedded Emissions'!$F$143:$H$174,3,FALSE)+VLOOKUP(BX$3,'Non-Embedded Emissions'!$A$230:$D$259,2,FALSE)), $C46 = "0", 0), 0)</f>
        <v>0</v>
      </c>
      <c r="CD46" s="45">
        <f>IFERROR(_xlfn.IFS($C46="1",('Inputs-System'!$C$30*'Coincidence Factors'!$B$10*(1+'Inputs-System'!$C$18)*(1+'Inputs-System'!$C$41)*('Inputs-Proposals'!$I$17*'Inputs-Proposals'!$I$19*(1-'Inputs-Proposals'!$I$20^(CD$3-'Inputs-System'!$C$7)))*(VLOOKUP(CD$3,Energy!$A$51:$K$83,5,FALSE))), $C46 = "2",('Inputs-System'!$C$30*'Coincidence Factors'!$B$10)*(1+'Inputs-System'!$C$18)*(1+'Inputs-System'!$C$41)*('Inputs-Proposals'!$I$23*'Inputs-Proposals'!$I$25*(1-'Inputs-Proposals'!$I$26^(CD$3-'Inputs-System'!$C$7)))*(VLOOKUP(CD$3,Energy!$A$51:$K$83,5,FALSE)), $C46= "3", ('Inputs-System'!$C$30*'Coincidence Factors'!$B$10*(1+'Inputs-System'!$C$18)*(1+'Inputs-System'!$C$41)*('Inputs-Proposals'!$I$29*'Inputs-Proposals'!$I$31*(1-'Inputs-Proposals'!$I$32^(CD$3-'Inputs-System'!$C$7)))*(VLOOKUP(CD$3,Energy!$A$51:$K$83,5,FALSE))), $C46= "0", 0), 0)</f>
        <v>0</v>
      </c>
      <c r="CE46" s="44">
        <f>IFERROR(_xlfn.IFS($C46="1",('Inputs-System'!$C$30*'Coincidence Factors'!$B$10*(1+'Inputs-System'!$C$18)*(1+'Inputs-System'!$C$41))*'Inputs-Proposals'!$I$17*'Inputs-Proposals'!$I$19*(1-'Inputs-Proposals'!$I$20^(CD$3-'Inputs-System'!$C$7))*(VLOOKUP(CD$3,'Embedded Emissions'!$A$47:$B$78,2,FALSE)+VLOOKUP(CD$3,'Embedded Emissions'!$A$129:$B$158,2,FALSE)), $C46 = "2",('Inputs-System'!$C$30*'Coincidence Factors'!$B$10*(1+'Inputs-System'!$C$18)*(1+'Inputs-System'!$C$41))*'Inputs-Proposals'!$I$23*'Inputs-Proposals'!$I$25*(1-'Inputs-Proposals'!$I$20^(CD$3-'Inputs-System'!$C$7))*(VLOOKUP(CD$3,'Embedded Emissions'!$A$47:$B$78,2,FALSE)+VLOOKUP(CD$3,'Embedded Emissions'!$A$129:$B$158,2,FALSE)), $C46 = "3", ('Inputs-System'!$C$30*'Coincidence Factors'!$B$10*(1+'Inputs-System'!$C$18)*(1+'Inputs-System'!$C$41))*'Inputs-Proposals'!$I$29*'Inputs-Proposals'!$I$31*(1-'Inputs-Proposals'!$I$20^(CD$3-'Inputs-System'!$C$7))*(VLOOKUP(CD$3,'Embedded Emissions'!$A$47:$B$78,2,FALSE)+VLOOKUP(CD$3,'Embedded Emissions'!$A$129:$B$158,2,FALSE)), $C46 = "0", 0), 0)</f>
        <v>0</v>
      </c>
      <c r="CF46" s="44">
        <f>IFERROR(_xlfn.IFS($C46="1",( 'Inputs-System'!$C$30*'Coincidence Factors'!$B$10*(1+'Inputs-System'!$C$18)*(1+'Inputs-System'!$C$41))*('Inputs-Proposals'!$I$17*'Inputs-Proposals'!$I$19*(1-'Inputs-Proposals'!$I$20)^(CD$3-'Inputs-System'!$C$7))*(VLOOKUP(CD$3,DRIPE!$A$54:$I$82,5,FALSE)+VLOOKUP(CD$3,DRIPE!$A$54:$I$82,9,FALSE))+ ('Inputs-System'!$C$26*'Coincidence Factors'!$B$6*(1+'Inputs-System'!$C$18)*(1+'Inputs-System'!$C$42))*'Inputs-Proposals'!$I$16*VLOOKUP(CD$3,DRIPE!$A$54:$I$82,8,FALSE), $C46 = "2",( 'Inputs-System'!$C$30*'Coincidence Factors'!$B$10*(1+'Inputs-System'!$C$18)*(1+'Inputs-System'!$C$41))*('Inputs-Proposals'!$I$23*'Inputs-Proposals'!$I$25*(1-'Inputs-Proposals'!$I$26)^(CD$3-'Inputs-System'!$C$7))*(VLOOKUP(CD$3,DRIPE!$A$54:$I$82,5,FALSE)+VLOOKUP(CD$3,DRIPE!$A$54:$I$82,9,FALSE))+ ('Inputs-System'!$C$26*'Coincidence Factors'!$B$6*(1+'Inputs-System'!$C$18)*(1+'Inputs-System'!$C$42))*'Inputs-Proposals'!$I$22*VLOOKUP(CD$3,DRIPE!$A$54:$I$82,8,FALSE), $C46= "3", ( 'Inputs-System'!$C$30*'Coincidence Factors'!$B$10*(1+'Inputs-System'!$C$18)*(1+'Inputs-System'!$C$41))*('Inputs-Proposals'!$I$29*'Inputs-Proposals'!$I$31*(1-'Inputs-Proposals'!$I$32)^(CD$3-'Inputs-System'!$C$7))*(VLOOKUP(CD$3,DRIPE!$A$54:$I$82,5,FALSE)+VLOOKUP(CD$3,DRIPE!$A$54:$I$82,9,FALSE))+ ('Inputs-System'!$C$26*'Coincidence Factors'!$B$6*(1+'Inputs-System'!$C$18)*(1+'Inputs-System'!$C$42))*'Inputs-Proposals'!$I$28*VLOOKUP(CD$3,DRIPE!$A$54:$I$82,8,FALSE), $C46 = "0", 0), 0)</f>
        <v>0</v>
      </c>
      <c r="CG46" s="45">
        <f>IFERROR(_xlfn.IFS($C46="1",('Inputs-System'!$C$26*'Coincidence Factors'!$B$10*(1+'Inputs-System'!$C$18)*(1+'Inputs-System'!$C$42))*'Inputs-Proposals'!$D$16*(VLOOKUP(CD$3,Capacity!$A$53:$E$85,4,FALSE)*(1+'Inputs-System'!$C$42)+VLOOKUP(CD$3,Capacity!$A$53:$E$85,5,FALSE)*(1+'Inputs-System'!$C$43)*'Inputs-System'!$C$29), $C46 = "2", ('Inputs-System'!$C$26*'Coincidence Factors'!$B$10*(1+'Inputs-System'!$C$18))*'Inputs-Proposals'!$D$22*(VLOOKUP(CD$3,Capacity!$A$53:$E$85,4,FALSE)*(1+'Inputs-System'!$C$42)+VLOOKUP(CD$3,Capacity!$A$53:$E$85,5,FALSE)*'Inputs-System'!$C$29*(1+'Inputs-System'!$C$43)), $C46 = "3", ('Inputs-System'!$C$26*'Coincidence Factors'!$B$10*(1+'Inputs-System'!$C$18))*'Inputs-Proposals'!$D$28*(VLOOKUP(CD$3,Capacity!$A$53:$E$85,4,FALSE)*(1+'Inputs-System'!$C$42)+VLOOKUP(CD$3,Capacity!$A$53:$E$85,5,FALSE)*'Inputs-System'!$C$29*(1+'Inputs-System'!$C$43)), $C46 = "0", 0), 0)</f>
        <v>0</v>
      </c>
      <c r="CH46" s="44">
        <v>0</v>
      </c>
      <c r="CI46" s="342">
        <f>IFERROR(_xlfn.IFS($C46="1", 'Inputs-System'!$C$30*'Coincidence Factors'!$B$10*'Inputs-Proposals'!$I$17*'Inputs-Proposals'!$I$19*(VLOOKUP(CD$3,'Non-Embedded Emissions'!$A$56:$D$90,2,FALSE)-VLOOKUP(CD$3,'Non-Embedded Emissions'!$F$57:$H$88,3,FALSE)+VLOOKUP(CD$3,'Non-Embedded Emissions'!$A$143:$D$174,2,FALSE)-VLOOKUP(CD$3,'Non-Embedded Emissions'!$F$143:$H$174,3,FALSE)+VLOOKUP(CD$3,'Non-Embedded Emissions'!$A$230:$D$259,2,FALSE)), $C46 = "2", 'Inputs-System'!$C$30*'Coincidence Factors'!$B$10*'Inputs-Proposals'!$I$23*'Inputs-Proposals'!$I$25*(VLOOKUP(CD$3,'Non-Embedded Emissions'!$A$56:$D$90,2,FALSE)-VLOOKUP(CD$3,'Non-Embedded Emissions'!$F$57:$H$88,3,FALSE)+VLOOKUP(CD$3,'Non-Embedded Emissions'!$A$143:$D$174,2,FALSE)-VLOOKUP(CD$3,'Non-Embedded Emissions'!$F$143:$H$174,3,FALSE)+VLOOKUP(CD$3,'Non-Embedded Emissions'!$A$230:$D$259,2,FALSE)), $C46 = "3", 'Inputs-System'!$C$30*'Coincidence Factors'!$B$10*'Inputs-Proposals'!$I$29*'Inputs-Proposals'!$I$31*(VLOOKUP(CD$3,'Non-Embedded Emissions'!$A$56:$D$90,2,FALSE)-VLOOKUP(CD$3,'Non-Embedded Emissions'!$F$57:$H$88,3,FALSE)+VLOOKUP(CD$3,'Non-Embedded Emissions'!$A$143:$D$174,2,FALSE)-VLOOKUP(CD$3,'Non-Embedded Emissions'!$F$143:$H$174,3,FALSE)+VLOOKUP(CD$3,'Non-Embedded Emissions'!$A$230:$D$259,2,FALSE)), $C46 = "0", 0), 0)</f>
        <v>0</v>
      </c>
      <c r="CJ46" s="45">
        <f>IFERROR(_xlfn.IFS($C46="1",('Inputs-System'!$C$30*'Coincidence Factors'!$B$10*(1+'Inputs-System'!$C$18)*(1+'Inputs-System'!$C$41)*('Inputs-Proposals'!$I$17*'Inputs-Proposals'!$I$19*(1-'Inputs-Proposals'!$I$20^(CJ$3-'Inputs-System'!$C$7)))*(VLOOKUP(CJ$3,Energy!$A$51:$K$83,5,FALSE))), $C46 = "2",('Inputs-System'!$C$30*'Coincidence Factors'!$B$10)*(1+'Inputs-System'!$C$18)*(1+'Inputs-System'!$C$41)*('Inputs-Proposals'!$I$23*'Inputs-Proposals'!$I$25*(1-'Inputs-Proposals'!$I$26^(CJ$3-'Inputs-System'!$C$7)))*(VLOOKUP(CJ$3,Energy!$A$51:$K$83,5,FALSE)), $C46= "3", ('Inputs-System'!$C$30*'Coincidence Factors'!$B$10*(1+'Inputs-System'!$C$18)*(1+'Inputs-System'!$C$41)*('Inputs-Proposals'!$I$29*'Inputs-Proposals'!$I$31*(1-'Inputs-Proposals'!$I$32^(CJ$3-'Inputs-System'!$C$7)))*(VLOOKUP(CJ$3,Energy!$A$51:$K$83,5,FALSE))), $C46= "0", 0), 0)</f>
        <v>0</v>
      </c>
      <c r="CK46" s="44">
        <f>IFERROR(_xlfn.IFS($C46="1",('Inputs-System'!$C$30*'Coincidence Factors'!$B$10*(1+'Inputs-System'!$C$18)*(1+'Inputs-System'!$C$41))*'Inputs-Proposals'!$I$17*'Inputs-Proposals'!$I$19*(1-'Inputs-Proposals'!$I$20^(CJ$3-'Inputs-System'!$C$7))*(VLOOKUP(CJ$3,'Embedded Emissions'!$A$47:$B$78,2,FALSE)+VLOOKUP(CJ$3,'Embedded Emissions'!$A$129:$B$158,2,FALSE)), $C46 = "2",('Inputs-System'!$C$30*'Coincidence Factors'!$B$10*(1+'Inputs-System'!$C$18)*(1+'Inputs-System'!$C$41))*'Inputs-Proposals'!$I$23*'Inputs-Proposals'!$I$25*(1-'Inputs-Proposals'!$I$20^(CJ$3-'Inputs-System'!$C$7))*(VLOOKUP(CJ$3,'Embedded Emissions'!$A$47:$B$78,2,FALSE)+VLOOKUP(CJ$3,'Embedded Emissions'!$A$129:$B$158,2,FALSE)), $C46 = "3", ('Inputs-System'!$C$30*'Coincidence Factors'!$B$10*(1+'Inputs-System'!$C$18)*(1+'Inputs-System'!$C$41))*'Inputs-Proposals'!$I$29*'Inputs-Proposals'!$I$31*(1-'Inputs-Proposals'!$I$20^(CJ$3-'Inputs-System'!$C$7))*(VLOOKUP(CJ$3,'Embedded Emissions'!$A$47:$B$78,2,FALSE)+VLOOKUP(CJ$3,'Embedded Emissions'!$A$129:$B$158,2,FALSE)), $C46 = "0", 0), 0)</f>
        <v>0</v>
      </c>
      <c r="CL46" s="44">
        <f>IFERROR(_xlfn.IFS($C46="1",( 'Inputs-System'!$C$30*'Coincidence Factors'!$B$10*(1+'Inputs-System'!$C$18)*(1+'Inputs-System'!$C$41))*('Inputs-Proposals'!$I$17*'Inputs-Proposals'!$I$19*(1-'Inputs-Proposals'!$I$20)^(CJ$3-'Inputs-System'!$C$7))*(VLOOKUP(CJ$3,DRIPE!$A$54:$I$82,5,FALSE)+VLOOKUP(CJ$3,DRIPE!$A$54:$I$82,9,FALSE))+ ('Inputs-System'!$C$26*'Coincidence Factors'!$B$6*(1+'Inputs-System'!$C$18)*(1+'Inputs-System'!$C$42))*'Inputs-Proposals'!$I$16*VLOOKUP(CJ$3,DRIPE!$A$54:$I$82,8,FALSE), $C46 = "2",( 'Inputs-System'!$C$30*'Coincidence Factors'!$B$10*(1+'Inputs-System'!$C$18)*(1+'Inputs-System'!$C$41))*('Inputs-Proposals'!$I$23*'Inputs-Proposals'!$I$25*(1-'Inputs-Proposals'!$I$26)^(CJ$3-'Inputs-System'!$C$7))*(VLOOKUP(CJ$3,DRIPE!$A$54:$I$82,5,FALSE)+VLOOKUP(CJ$3,DRIPE!$A$54:$I$82,9,FALSE))+ ('Inputs-System'!$C$26*'Coincidence Factors'!$B$6*(1+'Inputs-System'!$C$18)*(1+'Inputs-System'!$C$42))*'Inputs-Proposals'!$I$22*VLOOKUP(CJ$3,DRIPE!$A$54:$I$82,8,FALSE), $C46= "3", ( 'Inputs-System'!$C$30*'Coincidence Factors'!$B$10*(1+'Inputs-System'!$C$18)*(1+'Inputs-System'!$C$41))*('Inputs-Proposals'!$I$29*'Inputs-Proposals'!$I$31*(1-'Inputs-Proposals'!$I$32)^(CJ$3-'Inputs-System'!$C$7))*(VLOOKUP(CJ$3,DRIPE!$A$54:$I$82,5,FALSE)+VLOOKUP(CJ$3,DRIPE!$A$54:$I$82,9,FALSE))+ ('Inputs-System'!$C$26*'Coincidence Factors'!$B$6*(1+'Inputs-System'!$C$18)*(1+'Inputs-System'!$C$42))*'Inputs-Proposals'!$I$28*VLOOKUP(CJ$3,DRIPE!$A$54:$I$82,8,FALSE), $C46 = "0", 0), 0)</f>
        <v>0</v>
      </c>
      <c r="CM46" s="45">
        <f>IFERROR(_xlfn.IFS($C46="1",('Inputs-System'!$C$26*'Coincidence Factors'!$B$10*(1+'Inputs-System'!$C$18)*(1+'Inputs-System'!$C$42))*'Inputs-Proposals'!$D$16*(VLOOKUP(CJ$3,Capacity!$A$53:$E$85,4,FALSE)*(1+'Inputs-System'!$C$42)+VLOOKUP(CJ$3,Capacity!$A$53:$E$85,5,FALSE)*(1+'Inputs-System'!$C$43)*'Inputs-System'!$C$29), $C46 = "2", ('Inputs-System'!$C$26*'Coincidence Factors'!$B$10*(1+'Inputs-System'!$C$18))*'Inputs-Proposals'!$D$22*(VLOOKUP(CJ$3,Capacity!$A$53:$E$85,4,FALSE)*(1+'Inputs-System'!$C$42)+VLOOKUP(CJ$3,Capacity!$A$53:$E$85,5,FALSE)*'Inputs-System'!$C$29*(1+'Inputs-System'!$C$43)), $C46 = "3", ('Inputs-System'!$C$26*'Coincidence Factors'!$B$10*(1+'Inputs-System'!$C$18))*'Inputs-Proposals'!$D$28*(VLOOKUP(CJ$3,Capacity!$A$53:$E$85,4,FALSE)*(1+'Inputs-System'!$C$42)+VLOOKUP(CJ$3,Capacity!$A$53:$E$85,5,FALSE)*'Inputs-System'!$C$29*(1+'Inputs-System'!$C$43)), $C46 = "0", 0), 0)</f>
        <v>0</v>
      </c>
      <c r="CN46" s="44">
        <v>0</v>
      </c>
      <c r="CO46" s="342">
        <f>IFERROR(_xlfn.IFS($C46="1", 'Inputs-System'!$C$30*'Coincidence Factors'!$B$10*'Inputs-Proposals'!$I$17*'Inputs-Proposals'!$I$19*(VLOOKUP(CJ$3,'Non-Embedded Emissions'!$A$56:$D$90,2,FALSE)-VLOOKUP(CJ$3,'Non-Embedded Emissions'!$F$57:$H$88,3,FALSE)+VLOOKUP(CJ$3,'Non-Embedded Emissions'!$A$143:$D$174,2,FALSE)-VLOOKUP(CJ$3,'Non-Embedded Emissions'!$F$143:$H$174,3,FALSE)+VLOOKUP(CJ$3,'Non-Embedded Emissions'!$A$230:$D$259,2,FALSE)), $C46 = "2", 'Inputs-System'!$C$30*'Coincidence Factors'!$B$10*'Inputs-Proposals'!$I$23*'Inputs-Proposals'!$I$25*(VLOOKUP(CJ$3,'Non-Embedded Emissions'!$A$56:$D$90,2,FALSE)-VLOOKUP(CJ$3,'Non-Embedded Emissions'!$F$57:$H$88,3,FALSE)+VLOOKUP(CJ$3,'Non-Embedded Emissions'!$A$143:$D$174,2,FALSE)-VLOOKUP(CJ$3,'Non-Embedded Emissions'!$F$143:$H$174,3,FALSE)+VLOOKUP(CJ$3,'Non-Embedded Emissions'!$A$230:$D$259,2,FALSE)), $C46 = "3", 'Inputs-System'!$C$30*'Coincidence Factors'!$B$10*'Inputs-Proposals'!$I$29*'Inputs-Proposals'!$I$31*(VLOOKUP(CJ$3,'Non-Embedded Emissions'!$A$56:$D$90,2,FALSE)-VLOOKUP(CJ$3,'Non-Embedded Emissions'!$F$57:$H$88,3,FALSE)+VLOOKUP(CJ$3,'Non-Embedded Emissions'!$A$143:$D$174,2,FALSE)-VLOOKUP(CJ$3,'Non-Embedded Emissions'!$F$143:$H$174,3,FALSE)+VLOOKUP(CJ$3,'Non-Embedded Emissions'!$A$230:$D$259,2,FALSE)), $C46 = "0", 0), 0)</f>
        <v>0</v>
      </c>
      <c r="CP46" s="45">
        <f>IFERROR(_xlfn.IFS($C46="1",('Inputs-System'!$C$30*'Coincidence Factors'!$B$10*(1+'Inputs-System'!$C$18)*(1+'Inputs-System'!$C$41)*('Inputs-Proposals'!$I$17*'Inputs-Proposals'!$I$19*(1-'Inputs-Proposals'!$I$20^(CP$3-'Inputs-System'!$C$7)))*(VLOOKUP(CP$3,Energy!$A$51:$K$83,5,FALSE))), $C46 = "2",('Inputs-System'!$C$30*'Coincidence Factors'!$B$10)*(1+'Inputs-System'!$C$18)*(1+'Inputs-System'!$C$41)*('Inputs-Proposals'!$I$23*'Inputs-Proposals'!$I$25*(1-'Inputs-Proposals'!$I$26^(CP$3-'Inputs-System'!$C$7)))*(VLOOKUP(CP$3,Energy!$A$51:$K$83,5,FALSE)), $C46= "3", ('Inputs-System'!$C$30*'Coincidence Factors'!$B$10*(1+'Inputs-System'!$C$18)*(1+'Inputs-System'!$C$41)*('Inputs-Proposals'!$I$29*'Inputs-Proposals'!$I$31*(1-'Inputs-Proposals'!$I$32^(CP$3-'Inputs-System'!$C$7)))*(VLOOKUP(CP$3,Energy!$A$51:$K$83,5,FALSE))), $C46= "0", 0), 0)</f>
        <v>0</v>
      </c>
      <c r="CQ46" s="44">
        <f>IFERROR(_xlfn.IFS($C46="1",('Inputs-System'!$C$30*'Coincidence Factors'!$B$10*(1+'Inputs-System'!$C$18)*(1+'Inputs-System'!$C$41))*'Inputs-Proposals'!$I$17*'Inputs-Proposals'!$I$19*(1-'Inputs-Proposals'!$I$20^(CP$3-'Inputs-System'!$C$7))*(VLOOKUP(CP$3,'Embedded Emissions'!$A$47:$B$78,2,FALSE)+VLOOKUP(CP$3,'Embedded Emissions'!$A$129:$B$158,2,FALSE)), $C46 = "2",('Inputs-System'!$C$30*'Coincidence Factors'!$B$10*(1+'Inputs-System'!$C$18)*(1+'Inputs-System'!$C$41))*'Inputs-Proposals'!$I$23*'Inputs-Proposals'!$I$25*(1-'Inputs-Proposals'!$I$20^(CP$3-'Inputs-System'!$C$7))*(VLOOKUP(CP$3,'Embedded Emissions'!$A$47:$B$78,2,FALSE)+VLOOKUP(CP$3,'Embedded Emissions'!$A$129:$B$158,2,FALSE)), $C46 = "3", ('Inputs-System'!$C$30*'Coincidence Factors'!$B$10*(1+'Inputs-System'!$C$18)*(1+'Inputs-System'!$C$41))*'Inputs-Proposals'!$I$29*'Inputs-Proposals'!$I$31*(1-'Inputs-Proposals'!$I$20^(CP$3-'Inputs-System'!$C$7))*(VLOOKUP(CP$3,'Embedded Emissions'!$A$47:$B$78,2,FALSE)+VLOOKUP(CP$3,'Embedded Emissions'!$A$129:$B$158,2,FALSE)), $C46 = "0", 0), 0)</f>
        <v>0</v>
      </c>
      <c r="CR46" s="44">
        <f>IFERROR(_xlfn.IFS($C46="1",( 'Inputs-System'!$C$30*'Coincidence Factors'!$B$10*(1+'Inputs-System'!$C$18)*(1+'Inputs-System'!$C$41))*('Inputs-Proposals'!$I$17*'Inputs-Proposals'!$I$19*(1-'Inputs-Proposals'!$I$20)^(CP$3-'Inputs-System'!$C$7))*(VLOOKUP(CP$3,DRIPE!$A$54:$I$82,5,FALSE)+VLOOKUP(CP$3,DRIPE!$A$54:$I$82,9,FALSE))+ ('Inputs-System'!$C$26*'Coincidence Factors'!$B$6*(1+'Inputs-System'!$C$18)*(1+'Inputs-System'!$C$42))*'Inputs-Proposals'!$I$16*VLOOKUP(CP$3,DRIPE!$A$54:$I$82,8,FALSE), $C46 = "2",( 'Inputs-System'!$C$30*'Coincidence Factors'!$B$10*(1+'Inputs-System'!$C$18)*(1+'Inputs-System'!$C$41))*('Inputs-Proposals'!$I$23*'Inputs-Proposals'!$I$25*(1-'Inputs-Proposals'!$I$26)^(CP$3-'Inputs-System'!$C$7))*(VLOOKUP(CP$3,DRIPE!$A$54:$I$82,5,FALSE)+VLOOKUP(CP$3,DRIPE!$A$54:$I$82,9,FALSE))+ ('Inputs-System'!$C$26*'Coincidence Factors'!$B$6*(1+'Inputs-System'!$C$18)*(1+'Inputs-System'!$C$42))*'Inputs-Proposals'!$I$22*VLOOKUP(CP$3,DRIPE!$A$54:$I$82,8,FALSE), $C46= "3", ( 'Inputs-System'!$C$30*'Coincidence Factors'!$B$10*(1+'Inputs-System'!$C$18)*(1+'Inputs-System'!$C$41))*('Inputs-Proposals'!$I$29*'Inputs-Proposals'!$I$31*(1-'Inputs-Proposals'!$I$32)^(CP$3-'Inputs-System'!$C$7))*(VLOOKUP(CP$3,DRIPE!$A$54:$I$82,5,FALSE)+VLOOKUP(CP$3,DRIPE!$A$54:$I$82,9,FALSE))+ ('Inputs-System'!$C$26*'Coincidence Factors'!$B$6*(1+'Inputs-System'!$C$18)*(1+'Inputs-System'!$C$42))*'Inputs-Proposals'!$I$28*VLOOKUP(CP$3,DRIPE!$A$54:$I$82,8,FALSE), $C46 = "0", 0), 0)</f>
        <v>0</v>
      </c>
      <c r="CS46" s="45">
        <f>IFERROR(_xlfn.IFS($C46="1",('Inputs-System'!$C$26*'Coincidence Factors'!$B$10*(1+'Inputs-System'!$C$18)*(1+'Inputs-System'!$C$42))*'Inputs-Proposals'!$D$16*(VLOOKUP(CP$3,Capacity!$A$53:$E$85,4,FALSE)*(1+'Inputs-System'!$C$42)+VLOOKUP(CP$3,Capacity!$A$53:$E$85,5,FALSE)*(1+'Inputs-System'!$C$43)*'Inputs-System'!$C$29), $C46 = "2", ('Inputs-System'!$C$26*'Coincidence Factors'!$B$10*(1+'Inputs-System'!$C$18))*'Inputs-Proposals'!$D$22*(VLOOKUP(CP$3,Capacity!$A$53:$E$85,4,FALSE)*(1+'Inputs-System'!$C$42)+VLOOKUP(CP$3,Capacity!$A$53:$E$85,5,FALSE)*'Inputs-System'!$C$29*(1+'Inputs-System'!$C$43)), $C46 = "3", ('Inputs-System'!$C$26*'Coincidence Factors'!$B$10*(1+'Inputs-System'!$C$18))*'Inputs-Proposals'!$D$28*(VLOOKUP(CP$3,Capacity!$A$53:$E$85,4,FALSE)*(1+'Inputs-System'!$C$42)+VLOOKUP(CP$3,Capacity!$A$53:$E$85,5,FALSE)*'Inputs-System'!$C$29*(1+'Inputs-System'!$C$43)), $C46 = "0", 0), 0)</f>
        <v>0</v>
      </c>
      <c r="CT46" s="44">
        <v>0</v>
      </c>
      <c r="CU46" s="342">
        <f>IFERROR(_xlfn.IFS($C46="1", 'Inputs-System'!$C$30*'Coincidence Factors'!$B$10*'Inputs-Proposals'!$I$17*'Inputs-Proposals'!$I$19*(VLOOKUP(CP$3,'Non-Embedded Emissions'!$A$56:$D$90,2,FALSE)-VLOOKUP(CP$3,'Non-Embedded Emissions'!$F$57:$H$88,3,FALSE)+VLOOKUP(CP$3,'Non-Embedded Emissions'!$A$143:$D$174,2,FALSE)-VLOOKUP(CP$3,'Non-Embedded Emissions'!$F$143:$H$174,3,FALSE)+VLOOKUP(CP$3,'Non-Embedded Emissions'!$A$230:$D$259,2,FALSE)), $C46 = "2", 'Inputs-System'!$C$30*'Coincidence Factors'!$B$10*'Inputs-Proposals'!$I$23*'Inputs-Proposals'!$I$25*(VLOOKUP(CP$3,'Non-Embedded Emissions'!$A$56:$D$90,2,FALSE)-VLOOKUP(CP$3,'Non-Embedded Emissions'!$F$57:$H$88,3,FALSE)+VLOOKUP(CP$3,'Non-Embedded Emissions'!$A$143:$D$174,2,FALSE)-VLOOKUP(CP$3,'Non-Embedded Emissions'!$F$143:$H$174,3,FALSE)+VLOOKUP(CP$3,'Non-Embedded Emissions'!$A$230:$D$259,2,FALSE)), $C46 = "3", 'Inputs-System'!$C$30*'Coincidence Factors'!$B$10*'Inputs-Proposals'!$I$29*'Inputs-Proposals'!$I$31*(VLOOKUP(CP$3,'Non-Embedded Emissions'!$A$56:$D$90,2,FALSE)-VLOOKUP(CP$3,'Non-Embedded Emissions'!$F$57:$H$88,3,FALSE)+VLOOKUP(CP$3,'Non-Embedded Emissions'!$A$143:$D$174,2,FALSE)-VLOOKUP(CP$3,'Non-Embedded Emissions'!$F$143:$H$174,3,FALSE)+VLOOKUP(CP$3,'Non-Embedded Emissions'!$A$230:$D$259,2,FALSE)), $C46 = "0", 0), 0)</f>
        <v>0</v>
      </c>
      <c r="CV46" s="45">
        <f>IFERROR(_xlfn.IFS($C46="1",('Inputs-System'!$C$30*'Coincidence Factors'!$B$10*(1+'Inputs-System'!$C$18)*(1+'Inputs-System'!$C$41)*('Inputs-Proposals'!$I$17*'Inputs-Proposals'!$I$19*(1-'Inputs-Proposals'!$I$20^(CV$3-'Inputs-System'!$C$7)))*(VLOOKUP(CV$3,Energy!$A$51:$K$83,5,FALSE))), $C46 = "2",('Inputs-System'!$C$30*'Coincidence Factors'!$B$10)*(1+'Inputs-System'!$C$18)*(1+'Inputs-System'!$C$41)*('Inputs-Proposals'!$I$23*'Inputs-Proposals'!$I$25*(1-'Inputs-Proposals'!$I$26^(CV$3-'Inputs-System'!$C$7)))*(VLOOKUP(CV$3,Energy!$A$51:$K$83,5,FALSE)), $C46= "3", ('Inputs-System'!$C$30*'Coincidence Factors'!$B$10*(1+'Inputs-System'!$C$18)*(1+'Inputs-System'!$C$41)*('Inputs-Proposals'!$I$29*'Inputs-Proposals'!$I$31*(1-'Inputs-Proposals'!$I$32^(CV$3-'Inputs-System'!$C$7)))*(VLOOKUP(CV$3,Energy!$A$51:$K$83,5,FALSE))), $C46= "0", 0), 0)</f>
        <v>0</v>
      </c>
      <c r="CW46" s="44">
        <f>IFERROR(_xlfn.IFS($C46="1",('Inputs-System'!$C$30*'Coincidence Factors'!$B$10*(1+'Inputs-System'!$C$18)*(1+'Inputs-System'!$C$41))*'Inputs-Proposals'!$I$17*'Inputs-Proposals'!$I$19*(1-'Inputs-Proposals'!$I$20^(CV$3-'Inputs-System'!$C$7))*(VLOOKUP(CV$3,'Embedded Emissions'!$A$47:$B$78,2,FALSE)+VLOOKUP(CV$3,'Embedded Emissions'!$A$129:$B$158,2,FALSE)), $C46 = "2",('Inputs-System'!$C$30*'Coincidence Factors'!$B$10*(1+'Inputs-System'!$C$18)*(1+'Inputs-System'!$C$41))*'Inputs-Proposals'!$I$23*'Inputs-Proposals'!$I$25*(1-'Inputs-Proposals'!$I$20^(CV$3-'Inputs-System'!$C$7))*(VLOOKUP(CV$3,'Embedded Emissions'!$A$47:$B$78,2,FALSE)+VLOOKUP(CV$3,'Embedded Emissions'!$A$129:$B$158,2,FALSE)), $C46 = "3", ('Inputs-System'!$C$30*'Coincidence Factors'!$B$10*(1+'Inputs-System'!$C$18)*(1+'Inputs-System'!$C$41))*'Inputs-Proposals'!$I$29*'Inputs-Proposals'!$I$31*(1-'Inputs-Proposals'!$I$20^(CV$3-'Inputs-System'!$C$7))*(VLOOKUP(CV$3,'Embedded Emissions'!$A$47:$B$78,2,FALSE)+VLOOKUP(CV$3,'Embedded Emissions'!$A$129:$B$158,2,FALSE)), $C46 = "0", 0), 0)</f>
        <v>0</v>
      </c>
      <c r="CX46" s="44">
        <f>IFERROR(_xlfn.IFS($C46="1",( 'Inputs-System'!$C$30*'Coincidence Factors'!$B$10*(1+'Inputs-System'!$C$18)*(1+'Inputs-System'!$C$41))*('Inputs-Proposals'!$I$17*'Inputs-Proposals'!$I$19*(1-'Inputs-Proposals'!$I$20)^(CV$3-'Inputs-System'!$C$7))*(VLOOKUP(CV$3,DRIPE!$A$54:$I$82,5,FALSE)+VLOOKUP(CV$3,DRIPE!$A$54:$I$82,9,FALSE))+ ('Inputs-System'!$C$26*'Coincidence Factors'!$B$6*(1+'Inputs-System'!$C$18)*(1+'Inputs-System'!$C$42))*'Inputs-Proposals'!$I$16*VLOOKUP(CV$3,DRIPE!$A$54:$I$82,8,FALSE), $C46 = "2",( 'Inputs-System'!$C$30*'Coincidence Factors'!$B$10*(1+'Inputs-System'!$C$18)*(1+'Inputs-System'!$C$41))*('Inputs-Proposals'!$I$23*'Inputs-Proposals'!$I$25*(1-'Inputs-Proposals'!$I$26)^(CV$3-'Inputs-System'!$C$7))*(VLOOKUP(CV$3,DRIPE!$A$54:$I$82,5,FALSE)+VLOOKUP(CV$3,DRIPE!$A$54:$I$82,9,FALSE))+ ('Inputs-System'!$C$26*'Coincidence Factors'!$B$6*(1+'Inputs-System'!$C$18)*(1+'Inputs-System'!$C$42))*'Inputs-Proposals'!$I$22*VLOOKUP(CV$3,DRIPE!$A$54:$I$82,8,FALSE), $C46= "3", ( 'Inputs-System'!$C$30*'Coincidence Factors'!$B$10*(1+'Inputs-System'!$C$18)*(1+'Inputs-System'!$C$41))*('Inputs-Proposals'!$I$29*'Inputs-Proposals'!$I$31*(1-'Inputs-Proposals'!$I$32)^(CV$3-'Inputs-System'!$C$7))*(VLOOKUP(CV$3,DRIPE!$A$54:$I$82,5,FALSE)+VLOOKUP(CV$3,DRIPE!$A$54:$I$82,9,FALSE))+ ('Inputs-System'!$C$26*'Coincidence Factors'!$B$6*(1+'Inputs-System'!$C$18)*(1+'Inputs-System'!$C$42))*'Inputs-Proposals'!$I$28*VLOOKUP(CV$3,DRIPE!$A$54:$I$82,8,FALSE), $C46 = "0", 0), 0)</f>
        <v>0</v>
      </c>
      <c r="CY46" s="45">
        <f>IFERROR(_xlfn.IFS($C46="1",('Inputs-System'!$C$26*'Coincidence Factors'!$B$10*(1+'Inputs-System'!$C$18)*(1+'Inputs-System'!$C$42))*'Inputs-Proposals'!$D$16*(VLOOKUP(CV$3,Capacity!$A$53:$E$85,4,FALSE)*(1+'Inputs-System'!$C$42)+VLOOKUP(CV$3,Capacity!$A$53:$E$85,5,FALSE)*(1+'Inputs-System'!$C$43)*'Inputs-System'!$C$29), $C46 = "2", ('Inputs-System'!$C$26*'Coincidence Factors'!$B$10*(1+'Inputs-System'!$C$18))*'Inputs-Proposals'!$D$22*(VLOOKUP(CV$3,Capacity!$A$53:$E$85,4,FALSE)*(1+'Inputs-System'!$C$42)+VLOOKUP(CV$3,Capacity!$A$53:$E$85,5,FALSE)*'Inputs-System'!$C$29*(1+'Inputs-System'!$C$43)), $C46 = "3", ('Inputs-System'!$C$26*'Coincidence Factors'!$B$10*(1+'Inputs-System'!$C$18))*'Inputs-Proposals'!$D$28*(VLOOKUP(CV$3,Capacity!$A$53:$E$85,4,FALSE)*(1+'Inputs-System'!$C$42)+VLOOKUP(CV$3,Capacity!$A$53:$E$85,5,FALSE)*'Inputs-System'!$C$29*(1+'Inputs-System'!$C$43)), $C46 = "0", 0), 0)</f>
        <v>0</v>
      </c>
      <c r="CZ46" s="44">
        <v>0</v>
      </c>
      <c r="DA46" s="342">
        <f>IFERROR(_xlfn.IFS($C46="1", 'Inputs-System'!$C$30*'Coincidence Factors'!$B$10*'Inputs-Proposals'!$I$17*'Inputs-Proposals'!$I$19*(VLOOKUP(CV$3,'Non-Embedded Emissions'!$A$56:$D$90,2,FALSE)-VLOOKUP(CV$3,'Non-Embedded Emissions'!$F$57:$H$88,3,FALSE)+VLOOKUP(CV$3,'Non-Embedded Emissions'!$A$143:$D$174,2,FALSE)-VLOOKUP(CV$3,'Non-Embedded Emissions'!$F$143:$H$174,3,FALSE)+VLOOKUP(CV$3,'Non-Embedded Emissions'!$A$230:$D$259,2,FALSE)), $C46 = "2", 'Inputs-System'!$C$30*'Coincidence Factors'!$B$10*'Inputs-Proposals'!$I$23*'Inputs-Proposals'!$I$25*(VLOOKUP(CV$3,'Non-Embedded Emissions'!$A$56:$D$90,2,FALSE)-VLOOKUP(CV$3,'Non-Embedded Emissions'!$F$57:$H$88,3,FALSE)+VLOOKUP(CV$3,'Non-Embedded Emissions'!$A$143:$D$174,2,FALSE)-VLOOKUP(CV$3,'Non-Embedded Emissions'!$F$143:$H$174,3,FALSE)+VLOOKUP(CV$3,'Non-Embedded Emissions'!$A$230:$D$259,2,FALSE)), $C46 = "3", 'Inputs-System'!$C$30*'Coincidence Factors'!$B$10*'Inputs-Proposals'!$I$29*'Inputs-Proposals'!$I$31*(VLOOKUP(CV$3,'Non-Embedded Emissions'!$A$56:$D$90,2,FALSE)-VLOOKUP(CV$3,'Non-Embedded Emissions'!$F$57:$H$88,3,FALSE)+VLOOKUP(CV$3,'Non-Embedded Emissions'!$A$143:$D$174,2,FALSE)-VLOOKUP(CV$3,'Non-Embedded Emissions'!$F$143:$H$174,3,FALSE)+VLOOKUP(CV$3,'Non-Embedded Emissions'!$A$230:$D$259,2,FALSE)), $C46 = "0", 0), 0)</f>
        <v>0</v>
      </c>
      <c r="DB46" s="45">
        <f>IFERROR(_xlfn.IFS($C46="1",('Inputs-System'!$C$30*'Coincidence Factors'!$B$10*(1+'Inputs-System'!$C$18)*(1+'Inputs-System'!$C$41)*('Inputs-Proposals'!$I$17*'Inputs-Proposals'!$I$19*(1-'Inputs-Proposals'!$I$20^(DB$3-'Inputs-System'!$C$7)))*(VLOOKUP(DB$3,Energy!$A$51:$K$83,5,FALSE))), $C46 = "2",('Inputs-System'!$C$30*'Coincidence Factors'!$B$10)*(1+'Inputs-System'!$C$18)*(1+'Inputs-System'!$C$41)*('Inputs-Proposals'!$I$23*'Inputs-Proposals'!$I$25*(1-'Inputs-Proposals'!$I$26^(DB$3-'Inputs-System'!$C$7)))*(VLOOKUP(DB$3,Energy!$A$51:$K$83,5,FALSE)), $C46= "3", ('Inputs-System'!$C$30*'Coincidence Factors'!$B$10*(1+'Inputs-System'!$C$18)*(1+'Inputs-System'!$C$41)*('Inputs-Proposals'!$I$29*'Inputs-Proposals'!$I$31*(1-'Inputs-Proposals'!$I$32^(DB$3-'Inputs-System'!$C$7)))*(VLOOKUP(DB$3,Energy!$A$51:$K$83,5,FALSE))), $C46= "0", 0), 0)</f>
        <v>0</v>
      </c>
      <c r="DC46" s="44">
        <f>IFERROR(_xlfn.IFS($C46="1",('Inputs-System'!$C$30*'Coincidence Factors'!$B$10*(1+'Inputs-System'!$C$18)*(1+'Inputs-System'!$C$41))*'Inputs-Proposals'!$I$17*'Inputs-Proposals'!$I$19*(1-'Inputs-Proposals'!$I$20^(DB$3-'Inputs-System'!$C$7))*(VLOOKUP(DB$3,'Embedded Emissions'!$A$47:$B$78,2,FALSE)+VLOOKUP(DB$3,'Embedded Emissions'!$A$129:$B$158,2,FALSE)), $C46 = "2",('Inputs-System'!$C$30*'Coincidence Factors'!$B$10*(1+'Inputs-System'!$C$18)*(1+'Inputs-System'!$C$41))*'Inputs-Proposals'!$I$23*'Inputs-Proposals'!$I$25*(1-'Inputs-Proposals'!$I$20^(DB$3-'Inputs-System'!$C$7))*(VLOOKUP(DB$3,'Embedded Emissions'!$A$47:$B$78,2,FALSE)+VLOOKUP(DB$3,'Embedded Emissions'!$A$129:$B$158,2,FALSE)), $C46 = "3", ('Inputs-System'!$C$30*'Coincidence Factors'!$B$10*(1+'Inputs-System'!$C$18)*(1+'Inputs-System'!$C$41))*'Inputs-Proposals'!$I$29*'Inputs-Proposals'!$I$31*(1-'Inputs-Proposals'!$I$20^(DB$3-'Inputs-System'!$C$7))*(VLOOKUP(DB$3,'Embedded Emissions'!$A$47:$B$78,2,FALSE)+VLOOKUP(DB$3,'Embedded Emissions'!$A$129:$B$158,2,FALSE)), $C46 = "0", 0), 0)</f>
        <v>0</v>
      </c>
      <c r="DD46" s="44">
        <f>IFERROR(_xlfn.IFS($C46="1",( 'Inputs-System'!$C$30*'Coincidence Factors'!$B$10*(1+'Inputs-System'!$C$18)*(1+'Inputs-System'!$C$41))*('Inputs-Proposals'!$I$17*'Inputs-Proposals'!$I$19*(1-'Inputs-Proposals'!$I$20)^(DB$3-'Inputs-System'!$C$7))*(VLOOKUP(DB$3,DRIPE!$A$54:$I$82,5,FALSE)+VLOOKUP(DB$3,DRIPE!$A$54:$I$82,9,FALSE))+ ('Inputs-System'!$C$26*'Coincidence Factors'!$B$6*(1+'Inputs-System'!$C$18)*(1+'Inputs-System'!$C$42))*'Inputs-Proposals'!$I$16*VLOOKUP(DB$3,DRIPE!$A$54:$I$82,8,FALSE), $C46 = "2",( 'Inputs-System'!$C$30*'Coincidence Factors'!$B$10*(1+'Inputs-System'!$C$18)*(1+'Inputs-System'!$C$41))*('Inputs-Proposals'!$I$23*'Inputs-Proposals'!$I$25*(1-'Inputs-Proposals'!$I$26)^(DB$3-'Inputs-System'!$C$7))*(VLOOKUP(DB$3,DRIPE!$A$54:$I$82,5,FALSE)+VLOOKUP(DB$3,DRIPE!$A$54:$I$82,9,FALSE))+ ('Inputs-System'!$C$26*'Coincidence Factors'!$B$6*(1+'Inputs-System'!$C$18)*(1+'Inputs-System'!$C$42))*'Inputs-Proposals'!$I$22*VLOOKUP(DB$3,DRIPE!$A$54:$I$82,8,FALSE), $C46= "3", ( 'Inputs-System'!$C$30*'Coincidence Factors'!$B$10*(1+'Inputs-System'!$C$18)*(1+'Inputs-System'!$C$41))*('Inputs-Proposals'!$I$29*'Inputs-Proposals'!$I$31*(1-'Inputs-Proposals'!$I$32)^(DB$3-'Inputs-System'!$C$7))*(VLOOKUP(DB$3,DRIPE!$A$54:$I$82,5,FALSE)+VLOOKUP(DB$3,DRIPE!$A$54:$I$82,9,FALSE))+ ('Inputs-System'!$C$26*'Coincidence Factors'!$B$6*(1+'Inputs-System'!$C$18)*(1+'Inputs-System'!$C$42))*'Inputs-Proposals'!$I$28*VLOOKUP(DB$3,DRIPE!$A$54:$I$82,8,FALSE), $C46 = "0", 0), 0)</f>
        <v>0</v>
      </c>
      <c r="DE46" s="45">
        <f>IFERROR(_xlfn.IFS($C46="1",('Inputs-System'!$C$26*'Coincidence Factors'!$B$10*(1+'Inputs-System'!$C$18)*(1+'Inputs-System'!$C$42))*'Inputs-Proposals'!$D$16*(VLOOKUP(DB$3,Capacity!$A$53:$E$85,4,FALSE)*(1+'Inputs-System'!$C$42)+VLOOKUP(DB$3,Capacity!$A$53:$E$85,5,FALSE)*(1+'Inputs-System'!$C$43)*'Inputs-System'!$C$29), $C46 = "2", ('Inputs-System'!$C$26*'Coincidence Factors'!$B$10*(1+'Inputs-System'!$C$18))*'Inputs-Proposals'!$D$22*(VLOOKUP(DB$3,Capacity!$A$53:$E$85,4,FALSE)*(1+'Inputs-System'!$C$42)+VLOOKUP(DB$3,Capacity!$A$53:$E$85,5,FALSE)*'Inputs-System'!$C$29*(1+'Inputs-System'!$C$43)), $C46 = "3", ('Inputs-System'!$C$26*'Coincidence Factors'!$B$10*(1+'Inputs-System'!$C$18))*'Inputs-Proposals'!$D$28*(VLOOKUP(DB$3,Capacity!$A$53:$E$85,4,FALSE)*(1+'Inputs-System'!$C$42)+VLOOKUP(DB$3,Capacity!$A$53:$E$85,5,FALSE)*'Inputs-System'!$C$29*(1+'Inputs-System'!$C$43)), $C46 = "0", 0), 0)</f>
        <v>0</v>
      </c>
      <c r="DF46" s="44">
        <v>0</v>
      </c>
      <c r="DG46" s="342">
        <f>IFERROR(_xlfn.IFS($C46="1", 'Inputs-System'!$C$30*'Coincidence Factors'!$B$10*'Inputs-Proposals'!$I$17*'Inputs-Proposals'!$I$19*(VLOOKUP(DB$3,'Non-Embedded Emissions'!$A$56:$D$90,2,FALSE)-VLOOKUP(DB$3,'Non-Embedded Emissions'!$F$57:$H$88,3,FALSE)+VLOOKUP(DB$3,'Non-Embedded Emissions'!$A$143:$D$174,2,FALSE)-VLOOKUP(DB$3,'Non-Embedded Emissions'!$F$143:$H$174,3,FALSE)+VLOOKUP(DB$3,'Non-Embedded Emissions'!$A$230:$D$259,2,FALSE)), $C46 = "2", 'Inputs-System'!$C$30*'Coincidence Factors'!$B$10*'Inputs-Proposals'!$I$23*'Inputs-Proposals'!$I$25*(VLOOKUP(DB$3,'Non-Embedded Emissions'!$A$56:$D$90,2,FALSE)-VLOOKUP(DB$3,'Non-Embedded Emissions'!$F$57:$H$88,3,FALSE)+VLOOKUP(DB$3,'Non-Embedded Emissions'!$A$143:$D$174,2,FALSE)-VLOOKUP(DB$3,'Non-Embedded Emissions'!$F$143:$H$174,3,FALSE)+VLOOKUP(DB$3,'Non-Embedded Emissions'!$A$230:$D$259,2,FALSE)), $C46 = "3", 'Inputs-System'!$C$30*'Coincidence Factors'!$B$10*'Inputs-Proposals'!$I$29*'Inputs-Proposals'!$I$31*(VLOOKUP(DB$3,'Non-Embedded Emissions'!$A$56:$D$90,2,FALSE)-VLOOKUP(DB$3,'Non-Embedded Emissions'!$F$57:$H$88,3,FALSE)+VLOOKUP(DB$3,'Non-Embedded Emissions'!$A$143:$D$174,2,FALSE)-VLOOKUP(DB$3,'Non-Embedded Emissions'!$F$143:$H$174,3,FALSE)+VLOOKUP(DB$3,'Non-Embedded Emissions'!$A$230:$D$259,2,FALSE)), $C46 = "0", 0), 0)</f>
        <v>0</v>
      </c>
      <c r="DH46" s="45">
        <f>IFERROR(_xlfn.IFS($C46="1",('Inputs-System'!$C$30*'Coincidence Factors'!$B$10*(1+'Inputs-System'!$C$18)*(1+'Inputs-System'!$C$41)*('Inputs-Proposals'!$I$17*'Inputs-Proposals'!$I$19*(1-'Inputs-Proposals'!$I$20^(DH$3-'Inputs-System'!$C$7)))*(VLOOKUP(DH$3,Energy!$A$51:$K$83,5,FALSE))), $C46 = "2",('Inputs-System'!$C$30*'Coincidence Factors'!$B$10)*(1+'Inputs-System'!$C$18)*(1+'Inputs-System'!$C$41)*('Inputs-Proposals'!$I$23*'Inputs-Proposals'!$I$25*(1-'Inputs-Proposals'!$I$26^(DH$3-'Inputs-System'!$C$7)))*(VLOOKUP(DH$3,Energy!$A$51:$K$83,5,FALSE)), $C46= "3", ('Inputs-System'!$C$30*'Coincidence Factors'!$B$10*(1+'Inputs-System'!$C$18)*(1+'Inputs-System'!$C$41)*('Inputs-Proposals'!$I$29*'Inputs-Proposals'!$I$31*(1-'Inputs-Proposals'!$I$32^(DH$3-'Inputs-System'!$C$7)))*(VLOOKUP(DH$3,Energy!$A$51:$K$83,5,FALSE))), $C46= "0", 0), 0)</f>
        <v>0</v>
      </c>
      <c r="DI46" s="44">
        <f>IFERROR(_xlfn.IFS($C46="1",('Inputs-System'!$C$30*'Coincidence Factors'!$B$10*(1+'Inputs-System'!$C$18)*(1+'Inputs-System'!$C$41))*'Inputs-Proposals'!$I$17*'Inputs-Proposals'!$I$19*(1-'Inputs-Proposals'!$I$20^(DH$3-'Inputs-System'!$C$7))*(VLOOKUP(DH$3,'Embedded Emissions'!$A$47:$B$78,2,FALSE)+VLOOKUP(DH$3,'Embedded Emissions'!$A$129:$B$158,2,FALSE)), $C46 = "2",('Inputs-System'!$C$30*'Coincidence Factors'!$B$10*(1+'Inputs-System'!$C$18)*(1+'Inputs-System'!$C$41))*'Inputs-Proposals'!$I$23*'Inputs-Proposals'!$I$25*(1-'Inputs-Proposals'!$I$20^(DH$3-'Inputs-System'!$C$7))*(VLOOKUP(DH$3,'Embedded Emissions'!$A$47:$B$78,2,FALSE)+VLOOKUP(DH$3,'Embedded Emissions'!$A$129:$B$158,2,FALSE)), $C46 = "3", ('Inputs-System'!$C$30*'Coincidence Factors'!$B$10*(1+'Inputs-System'!$C$18)*(1+'Inputs-System'!$C$41))*'Inputs-Proposals'!$I$29*'Inputs-Proposals'!$I$31*(1-'Inputs-Proposals'!$I$20^(DH$3-'Inputs-System'!$C$7))*(VLOOKUP(DH$3,'Embedded Emissions'!$A$47:$B$78,2,FALSE)+VLOOKUP(DH$3,'Embedded Emissions'!$A$129:$B$158,2,FALSE)), $C46 = "0", 0), 0)</f>
        <v>0</v>
      </c>
      <c r="DJ46" s="44">
        <f>IFERROR(_xlfn.IFS($C46="1",( 'Inputs-System'!$C$30*'Coincidence Factors'!$B$10*(1+'Inputs-System'!$C$18)*(1+'Inputs-System'!$C$41))*('Inputs-Proposals'!$I$17*'Inputs-Proposals'!$I$19*(1-'Inputs-Proposals'!$I$20)^(DH$3-'Inputs-System'!$C$7))*(VLOOKUP(DH$3,DRIPE!$A$54:$I$82,5,FALSE)+VLOOKUP(DH$3,DRIPE!$A$54:$I$82,9,FALSE))+ ('Inputs-System'!$C$26*'Coincidence Factors'!$B$6*(1+'Inputs-System'!$C$18)*(1+'Inputs-System'!$C$42))*'Inputs-Proposals'!$I$16*VLOOKUP(DH$3,DRIPE!$A$54:$I$82,8,FALSE), $C46 = "2",( 'Inputs-System'!$C$30*'Coincidence Factors'!$B$10*(1+'Inputs-System'!$C$18)*(1+'Inputs-System'!$C$41))*('Inputs-Proposals'!$I$23*'Inputs-Proposals'!$I$25*(1-'Inputs-Proposals'!$I$26)^(DH$3-'Inputs-System'!$C$7))*(VLOOKUP(DH$3,DRIPE!$A$54:$I$82,5,FALSE)+VLOOKUP(DH$3,DRIPE!$A$54:$I$82,9,FALSE))+ ('Inputs-System'!$C$26*'Coincidence Factors'!$B$6*(1+'Inputs-System'!$C$18)*(1+'Inputs-System'!$C$42))*'Inputs-Proposals'!$I$22*VLOOKUP(DH$3,DRIPE!$A$54:$I$82,8,FALSE), $C46= "3", ( 'Inputs-System'!$C$30*'Coincidence Factors'!$B$10*(1+'Inputs-System'!$C$18)*(1+'Inputs-System'!$C$41))*('Inputs-Proposals'!$I$29*'Inputs-Proposals'!$I$31*(1-'Inputs-Proposals'!$I$32)^(DH$3-'Inputs-System'!$C$7))*(VLOOKUP(DH$3,DRIPE!$A$54:$I$82,5,FALSE)+VLOOKUP(DH$3,DRIPE!$A$54:$I$82,9,FALSE))+ ('Inputs-System'!$C$26*'Coincidence Factors'!$B$6*(1+'Inputs-System'!$C$18)*(1+'Inputs-System'!$C$42))*'Inputs-Proposals'!$I$28*VLOOKUP(DH$3,DRIPE!$A$54:$I$82,8,FALSE), $C46 = "0", 0), 0)</f>
        <v>0</v>
      </c>
      <c r="DK46" s="45">
        <f>IFERROR(_xlfn.IFS($C46="1",('Inputs-System'!$C$26*'Coincidence Factors'!$B$10*(1+'Inputs-System'!$C$18)*(1+'Inputs-System'!$C$42))*'Inputs-Proposals'!$D$16*(VLOOKUP(DH$3,Capacity!$A$53:$E$85,4,FALSE)*(1+'Inputs-System'!$C$42)+VLOOKUP(DH$3,Capacity!$A$53:$E$85,5,FALSE)*(1+'Inputs-System'!$C$43)*'Inputs-System'!$C$29), $C46 = "2", ('Inputs-System'!$C$26*'Coincidence Factors'!$B$10*(1+'Inputs-System'!$C$18))*'Inputs-Proposals'!$D$22*(VLOOKUP(DH$3,Capacity!$A$53:$E$85,4,FALSE)*(1+'Inputs-System'!$C$42)+VLOOKUP(DH$3,Capacity!$A$53:$E$85,5,FALSE)*'Inputs-System'!$C$29*(1+'Inputs-System'!$C$43)), $C46 = "3", ('Inputs-System'!$C$26*'Coincidence Factors'!$B$10*(1+'Inputs-System'!$C$18))*'Inputs-Proposals'!$D$28*(VLOOKUP(DH$3,Capacity!$A$53:$E$85,4,FALSE)*(1+'Inputs-System'!$C$42)+VLOOKUP(DH$3,Capacity!$A$53:$E$85,5,FALSE)*'Inputs-System'!$C$29*(1+'Inputs-System'!$C$43)), $C46 = "0", 0), 0)</f>
        <v>0</v>
      </c>
      <c r="DL46" s="44">
        <v>0</v>
      </c>
      <c r="DM46" s="342">
        <f>IFERROR(_xlfn.IFS($C46="1", 'Inputs-System'!$C$30*'Coincidence Factors'!$B$10*'Inputs-Proposals'!$I$17*'Inputs-Proposals'!$I$19*(VLOOKUP(DH$3,'Non-Embedded Emissions'!$A$56:$D$90,2,FALSE)-VLOOKUP(DH$3,'Non-Embedded Emissions'!$F$57:$H$88,3,FALSE)+VLOOKUP(DH$3,'Non-Embedded Emissions'!$A$143:$D$174,2,FALSE)-VLOOKUP(DH$3,'Non-Embedded Emissions'!$F$143:$H$174,3,FALSE)+VLOOKUP(DH$3,'Non-Embedded Emissions'!$A$230:$D$259,2,FALSE)), $C46 = "2", 'Inputs-System'!$C$30*'Coincidence Factors'!$B$10*'Inputs-Proposals'!$I$23*'Inputs-Proposals'!$I$25*(VLOOKUP(DH$3,'Non-Embedded Emissions'!$A$56:$D$90,2,FALSE)-VLOOKUP(DH$3,'Non-Embedded Emissions'!$F$57:$H$88,3,FALSE)+VLOOKUP(DH$3,'Non-Embedded Emissions'!$A$143:$D$174,2,FALSE)-VLOOKUP(DH$3,'Non-Embedded Emissions'!$F$143:$H$174,3,FALSE)+VLOOKUP(DH$3,'Non-Embedded Emissions'!$A$230:$D$259,2,FALSE)), $C46 = "3", 'Inputs-System'!$C$30*'Coincidence Factors'!$B$10*'Inputs-Proposals'!$I$29*'Inputs-Proposals'!$I$31*(VLOOKUP(DH$3,'Non-Embedded Emissions'!$A$56:$D$90,2,FALSE)-VLOOKUP(DH$3,'Non-Embedded Emissions'!$F$57:$H$88,3,FALSE)+VLOOKUP(DH$3,'Non-Embedded Emissions'!$A$143:$D$174,2,FALSE)-VLOOKUP(DH$3,'Non-Embedded Emissions'!$F$143:$H$174,3,FALSE)+VLOOKUP(DH$3,'Non-Embedded Emissions'!$A$230:$D$259,2,FALSE)), $C46 = "0", 0), 0)</f>
        <v>0</v>
      </c>
      <c r="DN46" s="45">
        <f>IFERROR(_xlfn.IFS($C46="1",('Inputs-System'!$C$30*'Coincidence Factors'!$B$10*(1+'Inputs-System'!$C$18)*(1+'Inputs-System'!$C$41)*('Inputs-Proposals'!$I$17*'Inputs-Proposals'!$I$19*(1-'Inputs-Proposals'!$I$20^(DN$3-'Inputs-System'!$C$7)))*(VLOOKUP(DN$3,Energy!$A$51:$K$83,5,FALSE))), $C46 = "2",('Inputs-System'!$C$30*'Coincidence Factors'!$B$10)*(1+'Inputs-System'!$C$18)*(1+'Inputs-System'!$C$41)*('Inputs-Proposals'!$I$23*'Inputs-Proposals'!$I$25*(1-'Inputs-Proposals'!$I$26^(DN$3-'Inputs-System'!$C$7)))*(VLOOKUP(DN$3,Energy!$A$51:$K$83,5,FALSE)), $C46= "3", ('Inputs-System'!$C$30*'Coincidence Factors'!$B$10*(1+'Inputs-System'!$C$18)*(1+'Inputs-System'!$C$41)*('Inputs-Proposals'!$I$29*'Inputs-Proposals'!$I$31*(1-'Inputs-Proposals'!$I$32^(DN$3-'Inputs-System'!$C$7)))*(VLOOKUP(DN$3,Energy!$A$51:$K$83,5,FALSE))), $C46= "0", 0), 0)</f>
        <v>0</v>
      </c>
      <c r="DO46" s="44">
        <f>IFERROR(_xlfn.IFS($C46="1",('Inputs-System'!$C$30*'Coincidence Factors'!$B$10*(1+'Inputs-System'!$C$18)*(1+'Inputs-System'!$C$41))*'Inputs-Proposals'!$I$17*'Inputs-Proposals'!$I$19*(1-'Inputs-Proposals'!$I$20^(DN$3-'Inputs-System'!$C$7))*(VLOOKUP(DN$3,'Embedded Emissions'!$A$47:$B$78,2,FALSE)+VLOOKUP(DN$3,'Embedded Emissions'!$A$129:$B$158,2,FALSE)), $C46 = "2",('Inputs-System'!$C$30*'Coincidence Factors'!$B$10*(1+'Inputs-System'!$C$18)*(1+'Inputs-System'!$C$41))*'Inputs-Proposals'!$I$23*'Inputs-Proposals'!$I$25*(1-'Inputs-Proposals'!$I$20^(DN$3-'Inputs-System'!$C$7))*(VLOOKUP(DN$3,'Embedded Emissions'!$A$47:$B$78,2,FALSE)+VLOOKUP(DN$3,'Embedded Emissions'!$A$129:$B$158,2,FALSE)), $C46 = "3", ('Inputs-System'!$C$30*'Coincidence Factors'!$B$10*(1+'Inputs-System'!$C$18)*(1+'Inputs-System'!$C$41))*'Inputs-Proposals'!$I$29*'Inputs-Proposals'!$I$31*(1-'Inputs-Proposals'!$I$20^(DN$3-'Inputs-System'!$C$7))*(VLOOKUP(DN$3,'Embedded Emissions'!$A$47:$B$78,2,FALSE)+VLOOKUP(DN$3,'Embedded Emissions'!$A$129:$B$158,2,FALSE)), $C46 = "0", 0), 0)</f>
        <v>0</v>
      </c>
      <c r="DP46" s="44">
        <f>IFERROR(_xlfn.IFS($C46="1",( 'Inputs-System'!$C$30*'Coincidence Factors'!$B$10*(1+'Inputs-System'!$C$18)*(1+'Inputs-System'!$C$41))*('Inputs-Proposals'!$I$17*'Inputs-Proposals'!$I$19*(1-'Inputs-Proposals'!$I$20)^(DN$3-'Inputs-System'!$C$7))*(VLOOKUP(DN$3,DRIPE!$A$54:$I$82,5,FALSE)+VLOOKUP(DN$3,DRIPE!$A$54:$I$82,9,FALSE))+ ('Inputs-System'!$C$26*'Coincidence Factors'!$B$6*(1+'Inputs-System'!$C$18)*(1+'Inputs-System'!$C$42))*'Inputs-Proposals'!$I$16*VLOOKUP(DN$3,DRIPE!$A$54:$I$82,8,FALSE), $C46 = "2",( 'Inputs-System'!$C$30*'Coincidence Factors'!$B$10*(1+'Inputs-System'!$C$18)*(1+'Inputs-System'!$C$41))*('Inputs-Proposals'!$I$23*'Inputs-Proposals'!$I$25*(1-'Inputs-Proposals'!$I$26)^(DN$3-'Inputs-System'!$C$7))*(VLOOKUP(DN$3,DRIPE!$A$54:$I$82,5,FALSE)+VLOOKUP(DN$3,DRIPE!$A$54:$I$82,9,FALSE))+ ('Inputs-System'!$C$26*'Coincidence Factors'!$B$6*(1+'Inputs-System'!$C$18)*(1+'Inputs-System'!$C$42))*'Inputs-Proposals'!$I$22*VLOOKUP(DN$3,DRIPE!$A$54:$I$82,8,FALSE), $C46= "3", ( 'Inputs-System'!$C$30*'Coincidence Factors'!$B$10*(1+'Inputs-System'!$C$18)*(1+'Inputs-System'!$C$41))*('Inputs-Proposals'!$I$29*'Inputs-Proposals'!$I$31*(1-'Inputs-Proposals'!$I$32)^(DN$3-'Inputs-System'!$C$7))*(VLOOKUP(DN$3,DRIPE!$A$54:$I$82,5,FALSE)+VLOOKUP(DN$3,DRIPE!$A$54:$I$82,9,FALSE))+ ('Inputs-System'!$C$26*'Coincidence Factors'!$B$6*(1+'Inputs-System'!$C$18)*(1+'Inputs-System'!$C$42))*'Inputs-Proposals'!$I$28*VLOOKUP(DN$3,DRIPE!$A$54:$I$82,8,FALSE), $C46 = "0", 0), 0)</f>
        <v>0</v>
      </c>
      <c r="DQ46" s="45">
        <f>IFERROR(_xlfn.IFS($C46="1",('Inputs-System'!$C$26*'Coincidence Factors'!$B$10*(1+'Inputs-System'!$C$18)*(1+'Inputs-System'!$C$42))*'Inputs-Proposals'!$D$16*(VLOOKUP(DN$3,Capacity!$A$53:$E$85,4,FALSE)*(1+'Inputs-System'!$C$42)+VLOOKUP(DN$3,Capacity!$A$53:$E$85,5,FALSE)*(1+'Inputs-System'!$C$43)*'Inputs-System'!$C$29), $C46 = "2", ('Inputs-System'!$C$26*'Coincidence Factors'!$B$10*(1+'Inputs-System'!$C$18))*'Inputs-Proposals'!$D$22*(VLOOKUP(DN$3,Capacity!$A$53:$E$85,4,FALSE)*(1+'Inputs-System'!$C$42)+VLOOKUP(DN$3,Capacity!$A$53:$E$85,5,FALSE)*'Inputs-System'!$C$29*(1+'Inputs-System'!$C$43)), $C46 = "3", ('Inputs-System'!$C$26*'Coincidence Factors'!$B$10*(1+'Inputs-System'!$C$18))*'Inputs-Proposals'!$D$28*(VLOOKUP(DN$3,Capacity!$A$53:$E$85,4,FALSE)*(1+'Inputs-System'!$C$42)+VLOOKUP(DN$3,Capacity!$A$53:$E$85,5,FALSE)*'Inputs-System'!$C$29*(1+'Inputs-System'!$C$43)), $C46 = "0", 0), 0)</f>
        <v>0</v>
      </c>
      <c r="DR46" s="44">
        <v>0</v>
      </c>
      <c r="DS46" s="342">
        <f>IFERROR(_xlfn.IFS($C46="1", 'Inputs-System'!$C$30*'Coincidence Factors'!$B$10*'Inputs-Proposals'!$I$17*'Inputs-Proposals'!$I$19*(VLOOKUP(DN$3,'Non-Embedded Emissions'!$A$56:$D$90,2,FALSE)-VLOOKUP(DN$3,'Non-Embedded Emissions'!$F$57:$H$88,3,FALSE)+VLOOKUP(DN$3,'Non-Embedded Emissions'!$A$143:$D$174,2,FALSE)-VLOOKUP(DN$3,'Non-Embedded Emissions'!$F$143:$H$174,3,FALSE)+VLOOKUP(DN$3,'Non-Embedded Emissions'!$A$230:$D$259,2,FALSE)), $C46 = "2", 'Inputs-System'!$C$30*'Coincidence Factors'!$B$10*'Inputs-Proposals'!$I$23*'Inputs-Proposals'!$I$25*(VLOOKUP(DN$3,'Non-Embedded Emissions'!$A$56:$D$90,2,FALSE)-VLOOKUP(DN$3,'Non-Embedded Emissions'!$F$57:$H$88,3,FALSE)+VLOOKUP(DN$3,'Non-Embedded Emissions'!$A$143:$D$174,2,FALSE)-VLOOKUP(DN$3,'Non-Embedded Emissions'!$F$143:$H$174,3,FALSE)+VLOOKUP(DN$3,'Non-Embedded Emissions'!$A$230:$D$259,2,FALSE)), $C46 = "3", 'Inputs-System'!$C$30*'Coincidence Factors'!$B$10*'Inputs-Proposals'!$I$29*'Inputs-Proposals'!$I$31*(VLOOKUP(DN$3,'Non-Embedded Emissions'!$A$56:$D$90,2,FALSE)-VLOOKUP(DN$3,'Non-Embedded Emissions'!$F$57:$H$88,3,FALSE)+VLOOKUP(DN$3,'Non-Embedded Emissions'!$A$143:$D$174,2,FALSE)-VLOOKUP(DN$3,'Non-Embedded Emissions'!$F$143:$H$174,3,FALSE)+VLOOKUP(DN$3,'Non-Embedded Emissions'!$A$230:$D$259,2,FALSE)), $C46 = "0", 0), 0)</f>
        <v>0</v>
      </c>
      <c r="DT46" s="45">
        <f>IFERROR(_xlfn.IFS($C46="1",('Inputs-System'!$C$30*'Coincidence Factors'!$B$10*(1+'Inputs-System'!$C$18)*(1+'Inputs-System'!$C$41)*('Inputs-Proposals'!$I$17*'Inputs-Proposals'!$I$19*(1-'Inputs-Proposals'!$I$20^(DT$3-'Inputs-System'!$C$7)))*(VLOOKUP(DT$3,Energy!$A$51:$K$83,5,FALSE))), $C46 = "2",('Inputs-System'!$C$30*'Coincidence Factors'!$B$10)*(1+'Inputs-System'!$C$18)*(1+'Inputs-System'!$C$41)*('Inputs-Proposals'!$I$23*'Inputs-Proposals'!$I$25*(1-'Inputs-Proposals'!$I$26^(DT$3-'Inputs-System'!$C$7)))*(VLOOKUP(DT$3,Energy!$A$51:$K$83,5,FALSE)), $C46= "3", ('Inputs-System'!$C$30*'Coincidence Factors'!$B$10*(1+'Inputs-System'!$C$18)*(1+'Inputs-System'!$C$41)*('Inputs-Proposals'!$I$29*'Inputs-Proposals'!$I$31*(1-'Inputs-Proposals'!$I$32^(DT$3-'Inputs-System'!$C$7)))*(VLOOKUP(DT$3,Energy!$A$51:$K$83,5,FALSE))), $C46= "0", 0), 0)</f>
        <v>0</v>
      </c>
      <c r="DU46" s="44">
        <f>IFERROR(_xlfn.IFS($C46="1",('Inputs-System'!$C$30*'Coincidence Factors'!$B$10*(1+'Inputs-System'!$C$18)*(1+'Inputs-System'!$C$41))*'Inputs-Proposals'!$I$17*'Inputs-Proposals'!$I$19*(1-'Inputs-Proposals'!$I$20^(DT$3-'Inputs-System'!$C$7))*(VLOOKUP(DT$3,'Embedded Emissions'!$A$47:$B$78,2,FALSE)+VLOOKUP(DT$3,'Embedded Emissions'!$A$129:$B$158,2,FALSE)), $C46 = "2",('Inputs-System'!$C$30*'Coincidence Factors'!$B$10*(1+'Inputs-System'!$C$18)*(1+'Inputs-System'!$C$41))*'Inputs-Proposals'!$I$23*'Inputs-Proposals'!$I$25*(1-'Inputs-Proposals'!$I$20^(DT$3-'Inputs-System'!$C$7))*(VLOOKUP(DT$3,'Embedded Emissions'!$A$47:$B$78,2,FALSE)+VLOOKUP(DT$3,'Embedded Emissions'!$A$129:$B$158,2,FALSE)), $C46 = "3", ('Inputs-System'!$C$30*'Coincidence Factors'!$B$10*(1+'Inputs-System'!$C$18)*(1+'Inputs-System'!$C$41))*'Inputs-Proposals'!$I$29*'Inputs-Proposals'!$I$31*(1-'Inputs-Proposals'!$I$20^(DT$3-'Inputs-System'!$C$7))*(VLOOKUP(DT$3,'Embedded Emissions'!$A$47:$B$78,2,FALSE)+VLOOKUP(DT$3,'Embedded Emissions'!$A$129:$B$158,2,FALSE)), $C46 = "0", 0), 0)</f>
        <v>0</v>
      </c>
      <c r="DV46" s="44">
        <f>IFERROR(_xlfn.IFS($C46="1",( 'Inputs-System'!$C$30*'Coincidence Factors'!$B$10*(1+'Inputs-System'!$C$18)*(1+'Inputs-System'!$C$41))*('Inputs-Proposals'!$I$17*'Inputs-Proposals'!$I$19*(1-'Inputs-Proposals'!$I$20)^(DT$3-'Inputs-System'!$C$7))*(VLOOKUP(DT$3,DRIPE!$A$54:$I$82,5,FALSE)+VLOOKUP(DT$3,DRIPE!$A$54:$I$82,9,FALSE))+ ('Inputs-System'!$C$26*'Coincidence Factors'!$B$6*(1+'Inputs-System'!$C$18)*(1+'Inputs-System'!$C$42))*'Inputs-Proposals'!$I$16*VLOOKUP(DT$3,DRIPE!$A$54:$I$82,8,FALSE), $C46 = "2",( 'Inputs-System'!$C$30*'Coincidence Factors'!$B$10*(1+'Inputs-System'!$C$18)*(1+'Inputs-System'!$C$41))*('Inputs-Proposals'!$I$23*'Inputs-Proposals'!$I$25*(1-'Inputs-Proposals'!$I$26)^(DT$3-'Inputs-System'!$C$7))*(VLOOKUP(DT$3,DRIPE!$A$54:$I$82,5,FALSE)+VLOOKUP(DT$3,DRIPE!$A$54:$I$82,9,FALSE))+ ('Inputs-System'!$C$26*'Coincidence Factors'!$B$6*(1+'Inputs-System'!$C$18)*(1+'Inputs-System'!$C$42))*'Inputs-Proposals'!$I$22*VLOOKUP(DT$3,DRIPE!$A$54:$I$82,8,FALSE), $C46= "3", ( 'Inputs-System'!$C$30*'Coincidence Factors'!$B$10*(1+'Inputs-System'!$C$18)*(1+'Inputs-System'!$C$41))*('Inputs-Proposals'!$I$29*'Inputs-Proposals'!$I$31*(1-'Inputs-Proposals'!$I$32)^(DT$3-'Inputs-System'!$C$7))*(VLOOKUP(DT$3,DRIPE!$A$54:$I$82,5,FALSE)+VLOOKUP(DT$3,DRIPE!$A$54:$I$82,9,FALSE))+ ('Inputs-System'!$C$26*'Coincidence Factors'!$B$6*(1+'Inputs-System'!$C$18)*(1+'Inputs-System'!$C$42))*'Inputs-Proposals'!$I$28*VLOOKUP(DT$3,DRIPE!$A$54:$I$82,8,FALSE), $C46 = "0", 0), 0)</f>
        <v>0</v>
      </c>
      <c r="DW46" s="45">
        <f>IFERROR(_xlfn.IFS($C46="1",('Inputs-System'!$C$26*'Coincidence Factors'!$B$10*(1+'Inputs-System'!$C$18)*(1+'Inputs-System'!$C$42))*'Inputs-Proposals'!$D$16*(VLOOKUP(DT$3,Capacity!$A$53:$E$85,4,FALSE)*(1+'Inputs-System'!$C$42)+VLOOKUP(DT$3,Capacity!$A$53:$E$85,5,FALSE)*(1+'Inputs-System'!$C$43)*'Inputs-System'!$C$29), $C46 = "2", ('Inputs-System'!$C$26*'Coincidence Factors'!$B$10*(1+'Inputs-System'!$C$18))*'Inputs-Proposals'!$D$22*(VLOOKUP(DT$3,Capacity!$A$53:$E$85,4,FALSE)*(1+'Inputs-System'!$C$42)+VLOOKUP(DT$3,Capacity!$A$53:$E$85,5,FALSE)*'Inputs-System'!$C$29*(1+'Inputs-System'!$C$43)), $C46 = "3", ('Inputs-System'!$C$26*'Coincidence Factors'!$B$10*(1+'Inputs-System'!$C$18))*'Inputs-Proposals'!$D$28*(VLOOKUP(DT$3,Capacity!$A$53:$E$85,4,FALSE)*(1+'Inputs-System'!$C$42)+VLOOKUP(DT$3,Capacity!$A$53:$E$85,5,FALSE)*'Inputs-System'!$C$29*(1+'Inputs-System'!$C$43)), $C46 = "0", 0), 0)</f>
        <v>0</v>
      </c>
      <c r="DX46" s="44">
        <v>0</v>
      </c>
      <c r="DY46" s="342">
        <f>IFERROR(_xlfn.IFS($C46="1", 'Inputs-System'!$C$30*'Coincidence Factors'!$B$10*'Inputs-Proposals'!$I$17*'Inputs-Proposals'!$I$19*(VLOOKUP(DT$3,'Non-Embedded Emissions'!$A$56:$D$90,2,FALSE)-VLOOKUP(DT$3,'Non-Embedded Emissions'!$F$57:$H$88,3,FALSE)+VLOOKUP(DT$3,'Non-Embedded Emissions'!$A$143:$D$174,2,FALSE)-VLOOKUP(DT$3,'Non-Embedded Emissions'!$F$143:$H$174,3,FALSE)+VLOOKUP(DT$3,'Non-Embedded Emissions'!$A$230:$D$259,2,FALSE)), $C46 = "2", 'Inputs-System'!$C$30*'Coincidence Factors'!$B$10*'Inputs-Proposals'!$I$23*'Inputs-Proposals'!$I$25*(VLOOKUP(DT$3,'Non-Embedded Emissions'!$A$56:$D$90,2,FALSE)-VLOOKUP(DT$3,'Non-Embedded Emissions'!$F$57:$H$88,3,FALSE)+VLOOKUP(DT$3,'Non-Embedded Emissions'!$A$143:$D$174,2,FALSE)-VLOOKUP(DT$3,'Non-Embedded Emissions'!$F$143:$H$174,3,FALSE)+VLOOKUP(DT$3,'Non-Embedded Emissions'!$A$230:$D$259,2,FALSE)), $C46 = "3", 'Inputs-System'!$C$30*'Coincidence Factors'!$B$10*'Inputs-Proposals'!$I$29*'Inputs-Proposals'!$I$31*(VLOOKUP(DT$3,'Non-Embedded Emissions'!$A$56:$D$90,2,FALSE)-VLOOKUP(DT$3,'Non-Embedded Emissions'!$F$57:$H$88,3,FALSE)+VLOOKUP(DT$3,'Non-Embedded Emissions'!$A$143:$D$174,2,FALSE)-VLOOKUP(DT$3,'Non-Embedded Emissions'!$F$143:$H$174,3,FALSE)+VLOOKUP(DT$3,'Non-Embedded Emissions'!$A$230:$D$259,2,FALSE)), $C46 = "0", 0), 0)</f>
        <v>0</v>
      </c>
      <c r="DZ46" s="45">
        <f>IFERROR(_xlfn.IFS($C46="1",('Inputs-System'!$C$30*'Coincidence Factors'!$B$10*(1+'Inputs-System'!$C$18)*(1+'Inputs-System'!$C$41)*('Inputs-Proposals'!$I$17*'Inputs-Proposals'!$I$19*(1-'Inputs-Proposals'!$I$20^(DZ$3-'Inputs-System'!$C$7)))*(VLOOKUP(DZ$3,Energy!$A$51:$K$83,5,FALSE))), $C46 = "2",('Inputs-System'!$C$30*'Coincidence Factors'!$B$10)*(1+'Inputs-System'!$C$18)*(1+'Inputs-System'!$C$41)*('Inputs-Proposals'!$I$23*'Inputs-Proposals'!$I$25*(1-'Inputs-Proposals'!$I$26^(DZ$3-'Inputs-System'!$C$7)))*(VLOOKUP(DZ$3,Energy!$A$51:$K$83,5,FALSE)), $C46= "3", ('Inputs-System'!$C$30*'Coincidence Factors'!$B$10*(1+'Inputs-System'!$C$18)*(1+'Inputs-System'!$C$41)*('Inputs-Proposals'!$I$29*'Inputs-Proposals'!$I$31*(1-'Inputs-Proposals'!$I$32^(DZ$3-'Inputs-System'!$C$7)))*(VLOOKUP(DZ$3,Energy!$A$51:$K$83,5,FALSE))), $C46= "0", 0), 0)</f>
        <v>0</v>
      </c>
      <c r="EA46" s="44">
        <f>IFERROR(_xlfn.IFS($C46="1",('Inputs-System'!$C$30*'Coincidence Factors'!$B$10*(1+'Inputs-System'!$C$18)*(1+'Inputs-System'!$C$41))*'Inputs-Proposals'!$I$17*'Inputs-Proposals'!$I$19*(1-'Inputs-Proposals'!$I$20^(DZ$3-'Inputs-System'!$C$7))*(VLOOKUP(DZ$3,'Embedded Emissions'!$A$47:$B$78,2,FALSE)+VLOOKUP(DZ$3,'Embedded Emissions'!$A$129:$B$158,2,FALSE)), $C46 = "2",('Inputs-System'!$C$30*'Coincidence Factors'!$B$10*(1+'Inputs-System'!$C$18)*(1+'Inputs-System'!$C$41))*'Inputs-Proposals'!$I$23*'Inputs-Proposals'!$I$25*(1-'Inputs-Proposals'!$I$20^(DZ$3-'Inputs-System'!$C$7))*(VLOOKUP(DZ$3,'Embedded Emissions'!$A$47:$B$78,2,FALSE)+VLOOKUP(DZ$3,'Embedded Emissions'!$A$129:$B$158,2,FALSE)), $C46 = "3", ('Inputs-System'!$C$30*'Coincidence Factors'!$B$10*(1+'Inputs-System'!$C$18)*(1+'Inputs-System'!$C$41))*'Inputs-Proposals'!$I$29*'Inputs-Proposals'!$I$31*(1-'Inputs-Proposals'!$I$20^(DZ$3-'Inputs-System'!$C$7))*(VLOOKUP(DZ$3,'Embedded Emissions'!$A$47:$B$78,2,FALSE)+VLOOKUP(DZ$3,'Embedded Emissions'!$A$129:$B$158,2,FALSE)), $C46 = "0", 0), 0)</f>
        <v>0</v>
      </c>
      <c r="EB46" s="44">
        <f>IFERROR(_xlfn.IFS($C46="1",( 'Inputs-System'!$C$30*'Coincidence Factors'!$B$10*(1+'Inputs-System'!$C$18)*(1+'Inputs-System'!$C$41))*('Inputs-Proposals'!$I$17*'Inputs-Proposals'!$I$19*(1-'Inputs-Proposals'!$I$20)^(DZ$3-'Inputs-System'!$C$7))*(VLOOKUP(DZ$3,DRIPE!$A$54:$I$82,5,FALSE)+VLOOKUP(DZ$3,DRIPE!$A$54:$I$82,9,FALSE))+ ('Inputs-System'!$C$26*'Coincidence Factors'!$B$6*(1+'Inputs-System'!$C$18)*(1+'Inputs-System'!$C$42))*'Inputs-Proposals'!$I$16*VLOOKUP(DZ$3,DRIPE!$A$54:$I$82,8,FALSE), $C46 = "2",( 'Inputs-System'!$C$30*'Coincidence Factors'!$B$10*(1+'Inputs-System'!$C$18)*(1+'Inputs-System'!$C$41))*('Inputs-Proposals'!$I$23*'Inputs-Proposals'!$I$25*(1-'Inputs-Proposals'!$I$26)^(DZ$3-'Inputs-System'!$C$7))*(VLOOKUP(DZ$3,DRIPE!$A$54:$I$82,5,FALSE)+VLOOKUP(DZ$3,DRIPE!$A$54:$I$82,9,FALSE))+ ('Inputs-System'!$C$26*'Coincidence Factors'!$B$6*(1+'Inputs-System'!$C$18)*(1+'Inputs-System'!$C$42))*'Inputs-Proposals'!$I$22*VLOOKUP(DZ$3,DRIPE!$A$54:$I$82,8,FALSE), $C46= "3", ( 'Inputs-System'!$C$30*'Coincidence Factors'!$B$10*(1+'Inputs-System'!$C$18)*(1+'Inputs-System'!$C$41))*('Inputs-Proposals'!$I$29*'Inputs-Proposals'!$I$31*(1-'Inputs-Proposals'!$I$32)^(DZ$3-'Inputs-System'!$C$7))*(VLOOKUP(DZ$3,DRIPE!$A$54:$I$82,5,FALSE)+VLOOKUP(DZ$3,DRIPE!$A$54:$I$82,9,FALSE))+ ('Inputs-System'!$C$26*'Coincidence Factors'!$B$6*(1+'Inputs-System'!$C$18)*(1+'Inputs-System'!$C$42))*'Inputs-Proposals'!$I$28*VLOOKUP(DZ$3,DRIPE!$A$54:$I$82,8,FALSE), $C46 = "0", 0), 0)</f>
        <v>0</v>
      </c>
      <c r="EC46" s="45">
        <f>IFERROR(_xlfn.IFS($C46="1",('Inputs-System'!$C$26*'Coincidence Factors'!$B$10*(1+'Inputs-System'!$C$18)*(1+'Inputs-System'!$C$42))*'Inputs-Proposals'!$D$16*(VLOOKUP(DZ$3,Capacity!$A$53:$E$85,4,FALSE)*(1+'Inputs-System'!$C$42)+VLOOKUP(DZ$3,Capacity!$A$53:$E$85,5,FALSE)*(1+'Inputs-System'!$C$43)*'Inputs-System'!$C$29), $C46 = "2", ('Inputs-System'!$C$26*'Coincidence Factors'!$B$10*(1+'Inputs-System'!$C$18))*'Inputs-Proposals'!$D$22*(VLOOKUP(DZ$3,Capacity!$A$53:$E$85,4,FALSE)*(1+'Inputs-System'!$C$42)+VLOOKUP(DZ$3,Capacity!$A$53:$E$85,5,FALSE)*'Inputs-System'!$C$29*(1+'Inputs-System'!$C$43)), $C46 = "3", ('Inputs-System'!$C$26*'Coincidence Factors'!$B$10*(1+'Inputs-System'!$C$18))*'Inputs-Proposals'!$D$28*(VLOOKUP(DZ$3,Capacity!$A$53:$E$85,4,FALSE)*(1+'Inputs-System'!$C$42)+VLOOKUP(DZ$3,Capacity!$A$53:$E$85,5,FALSE)*'Inputs-System'!$C$29*(1+'Inputs-System'!$C$43)), $C46 = "0", 0), 0)</f>
        <v>0</v>
      </c>
      <c r="ED46" s="44">
        <v>0</v>
      </c>
      <c r="EE46" s="342">
        <f>IFERROR(_xlfn.IFS($C46="1", 'Inputs-System'!$C$30*'Coincidence Factors'!$B$10*'Inputs-Proposals'!$I$17*'Inputs-Proposals'!$I$19*(VLOOKUP(DZ$3,'Non-Embedded Emissions'!$A$56:$D$90,2,FALSE)-VLOOKUP(DZ$3,'Non-Embedded Emissions'!$F$57:$H$88,3,FALSE)+VLOOKUP(DZ$3,'Non-Embedded Emissions'!$A$143:$D$174,2,FALSE)-VLOOKUP(DZ$3,'Non-Embedded Emissions'!$F$143:$H$174,3,FALSE)+VLOOKUP(DZ$3,'Non-Embedded Emissions'!$A$230:$D$259,2,FALSE)), $C46 = "2", 'Inputs-System'!$C$30*'Coincidence Factors'!$B$10*'Inputs-Proposals'!$I$23*'Inputs-Proposals'!$I$25*(VLOOKUP(DZ$3,'Non-Embedded Emissions'!$A$56:$D$90,2,FALSE)-VLOOKUP(DZ$3,'Non-Embedded Emissions'!$F$57:$H$88,3,FALSE)+VLOOKUP(DZ$3,'Non-Embedded Emissions'!$A$143:$D$174,2,FALSE)-VLOOKUP(DZ$3,'Non-Embedded Emissions'!$F$143:$H$174,3,FALSE)+VLOOKUP(DZ$3,'Non-Embedded Emissions'!$A$230:$D$259,2,FALSE)), $C46 = "3", 'Inputs-System'!$C$30*'Coincidence Factors'!$B$10*'Inputs-Proposals'!$I$29*'Inputs-Proposals'!$I$31*(VLOOKUP(DZ$3,'Non-Embedded Emissions'!$A$56:$D$90,2,FALSE)-VLOOKUP(DZ$3,'Non-Embedded Emissions'!$F$57:$H$88,3,FALSE)+VLOOKUP(DZ$3,'Non-Embedded Emissions'!$A$143:$D$174,2,FALSE)-VLOOKUP(DZ$3,'Non-Embedded Emissions'!$F$143:$H$174,3,FALSE)+VLOOKUP(DZ$3,'Non-Embedded Emissions'!$A$230:$D$259,2,FALSE)), $C46 = "0", 0), 0)</f>
        <v>0</v>
      </c>
    </row>
    <row r="47" spans="1:135" x14ac:dyDescent="0.35">
      <c r="A47" s="707">
        <f>'Inputs-Proposals'!J2</f>
        <v>0</v>
      </c>
      <c r="B47" s="52" t="s">
        <v>90</v>
      </c>
      <c r="C47" s="52" t="str">
        <f>IFERROR(_xlfn.IFS('Benefits Calc'!B47='Inputs-Proposals'!$J$15, "1", 'Benefits Calc'!B47='Inputs-Proposals'!$J$21, "2", 'Benefits Calc'!B47='Inputs-Proposals'!$J$27, "3"), "0")</f>
        <v>0</v>
      </c>
      <c r="D47" s="323">
        <f t="shared" si="0"/>
        <v>0</v>
      </c>
      <c r="E47" s="44">
        <f t="shared" si="1"/>
        <v>0</v>
      </c>
      <c r="F47" s="44">
        <f t="shared" si="2"/>
        <v>0</v>
      </c>
      <c r="G47" s="44">
        <f t="shared" si="3"/>
        <v>0</v>
      </c>
      <c r="H47" s="44">
        <f t="shared" si="4"/>
        <v>0</v>
      </c>
      <c r="I47" s="44">
        <f t="shared" si="5"/>
        <v>0</v>
      </c>
      <c r="J47" s="322">
        <f>NPV('Inputs-System'!$C$20,P47+V47+AB47+AH47+AN47+AT47+AZ47+BF47+BL47+BR47+BX47+CD47+CJ47+CP47+CV47+DB47+DH47+DN47+DT47+DZ47)</f>
        <v>0</v>
      </c>
      <c r="K47" s="318">
        <f>NPV('Inputs-System'!$C$20,Q47+W47+AC47+AI47+AO47+AU47+BA47+BG47+BM47+BS47+BY47+CE47+CK47+CQ47+CW47+DC47+DI47+DO47+DU47+EA47)</f>
        <v>0</v>
      </c>
      <c r="L47" s="318">
        <f>NPV('Inputs-System'!$C$20,R47+X47+AD47+AJ47+AP47+AV47+BB47+BH47+BN47+BT47+BZ47+CF47+CL47+CR47+CX47+DD47+DJ47+DP47+DV47+EB47)</f>
        <v>0</v>
      </c>
      <c r="M47" s="318">
        <f>NPV('Inputs-System'!$C$20,S47+Y47+AE47+AK47+AQ47+AW47+BC47+BI47+BO47+BU47+CA47+CG47+CM47+CS47+CY47+DE47+DK47+DQ47+DW47+EC47)</f>
        <v>0</v>
      </c>
      <c r="N47" s="318">
        <f>NPV('Inputs-System'!$C$20,T47+Z47+AF47+AL47+AR47+AX47+BD47+BJ47+BP47+BV47+CB47+CH47+CN47+CT47+CZ47+DF47+DL47+DR47+DX47+ED47)</f>
        <v>0</v>
      </c>
      <c r="O47" s="319">
        <f>NPV('Inputs-System'!$C$20,U47+AA47+AG47+AM47+AS47+AY47+BE47+BK47+BQ47+BW47+CC47+CI47+CO47+CU47+DA47+DG47+DM47+DS47+DY47+EE47)</f>
        <v>0</v>
      </c>
      <c r="P47" s="326">
        <f>IFERROR(_xlfn.IFS($C47="1",('Inputs-System'!$C$30*'Coincidence Factors'!$B$5*(1+'Inputs-System'!$C$18)*(1+'Inputs-System'!$C$41)*('Inputs-Proposals'!$J$17*'Inputs-Proposals'!$J$19*(1-'Inputs-Proposals'!$J$20))*(VLOOKUP(P$3,Energy!$A$51:$K$83,5,FALSE)-VLOOKUP(P$3,Energy!$A$51:$K$83,6,FALSE))), $C47 = "2",('Inputs-System'!$C$30*'Coincidence Factors'!$B$5)*(1+'Inputs-System'!$C$18)*(1+'Inputs-System'!$C$41)*('Inputs-Proposals'!$J$23*'Inputs-Proposals'!$J$25*(1-'Inputs-Proposals'!$J$26))*(VLOOKUP(P$3,Energy!$A$51:$K$83,5,FALSE)-VLOOKUP(P$3,Energy!$A$51:$K$83,6,FALSE)), $C47= "3", ('Inputs-System'!$C$30*'Coincidence Factors'!$B$5*(1+'Inputs-System'!$C$18)*(1+'Inputs-System'!$C$41)*('Inputs-Proposals'!$J$29*'Inputs-Proposals'!$J$31*(1-'Inputs-Proposals'!$J$32))*(VLOOKUP(P$3,Energy!$A$51:$K$83,5,FALSE)-VLOOKUP(P$3,Energy!$A$51:$K$83,6,FALSE))), $C47= "0", 0), 0)</f>
        <v>0</v>
      </c>
      <c r="Q47" s="318">
        <f>IFERROR(_xlfn.IFS($C47="1", 'Inputs-System'!$C$30*'Coincidence Factors'!$B$5*(1+'Inputs-System'!$C$18)*(1+'Inputs-System'!$C$41)*'Inputs-Proposals'!$J$17*'Inputs-Proposals'!$J$19*(1-'Inputs-Proposals'!$J$20)*(VLOOKUP(P$3,'Embedded Emissions'!$A$47:$B$78,2,FALSE)+VLOOKUP(P$3,'Embedded Emissions'!$A$129:$B$158,2,FALSE)), $C47 = "2",'Inputs-System'!$C$30*'Coincidence Factors'!$B$5*(1+'Inputs-System'!$C$18)*(1+'Inputs-System'!$C$41)*'Inputs-Proposals'!$J$23*'Inputs-Proposals'!$J$25*(1-'Inputs-Proposals'!$J$20)*(VLOOKUP(P$3,'Embedded Emissions'!$A$47:$B$78,2,FALSE)+VLOOKUP(P$3,'Embedded Emissions'!$A$129:$B$158,2,FALSE)), $C47 = "3", 'Inputs-System'!$C$30*'Coincidence Factors'!$B$5*(1+'Inputs-System'!$C$18)*(1+'Inputs-System'!$C$41)*'Inputs-Proposals'!$J$29*'Inputs-Proposals'!$J$31*(1-'Inputs-Proposals'!$J$20)*(VLOOKUP(P$3,'Embedded Emissions'!$A$47:$B$78,2,FALSE)+VLOOKUP(P$3,'Embedded Emissions'!$A$129:$B$158,2,FALSE)), $C47 = "0", 0), 0)</f>
        <v>0</v>
      </c>
      <c r="R47" s="318">
        <f>IFERROR(_xlfn.IFS($C47="1",( 'Inputs-System'!$C$30*'Coincidence Factors'!$B$5*(1+'Inputs-System'!$C$18)*(1+'Inputs-System'!$C$41))*('Inputs-Proposals'!$J$17*'Inputs-Proposals'!$J$19*(1-'Inputs-Proposals'!$J$20))*(VLOOKUP(P$3,DRIPE!$A$54:$I$82,5,FALSE)-VLOOKUP(P$3,DRIPE!$A$54:$I$82,6,FALSE)+VLOOKUP(P$3,DRIPE!$A$54:$I$82,9,FALSE))+ ('Inputs-System'!$C$26*'Coincidence Factors'!$B$5*(1+'Inputs-System'!$C$18)*(1+'Inputs-System'!$C$42))*'Inputs-Proposals'!$J$16*VLOOKUP(P$3,DRIPE!$A$54:$I$80,8,FALSE), $C47 = "2",( 'Inputs-System'!$C$30*'Coincidence Factors'!$B$5*(1+'Inputs-System'!$C$18)*(1+'Inputs-System'!$C$41))*('Inputs-Proposals'!$J$23*'Inputs-Proposals'!$J$25*(1-'Inputs-Proposals'!$J$26))*(VLOOKUP(P$3,DRIPE!$A$54:$I$82,5,FALSE)-VLOOKUP(P$3,DRIPE!$A$54:$I$82,6,FALSE)+VLOOKUP(P$3,DRIPE!$A$54:$I$82,9,FALSE))+ ('Inputs-System'!$C$26*'Coincidence Factors'!$B$5*(1+'Inputs-System'!$C$18)*(1+'Inputs-System'!$C$41))+ ('Inputs-System'!$C$26*'Coincidence Factors'!$B$5)*'Inputs-Proposals'!$J$22*VLOOKUP(P$3,DRIPE!$A$54:$I$80,8,FALSE), $C47= "3", ('Inputs-System'!$C$30*'Coincidence Factors'!$B$5)*('Inputs-Proposals'!$J$29*'Inputs-Proposals'!$J$31*(1-'Inputs-Proposals'!$J$32))*(VLOOKUP(P$3,DRIPE!$A$54:$I$80,5,FALSE)-VLOOKUP(P$3,DRIPE!$A$54:$I$80,6,FALSE)+VLOOKUP(P$3,DRIPE!$A$54:$I$80,9,FALSE))+ ('Inputs-System'!$C$26*'Coincidence Factors'!$B$5*(1+'Inputs-System'!$C$18)*(1+'Inputs-System'!$C$42))*'Inputs-Proposals'!$J$28*VLOOKUP(P$3,DRIPE!$A$54:$I$80,8,FALSE), $C47 = "0", 0), 0)</f>
        <v>0</v>
      </c>
      <c r="S47" s="326">
        <f>IFERROR(_xlfn.IFS($C47="1",('Inputs-System'!$C$26*'Coincidence Factors'!$B$5*(1+'Inputs-System'!$C$18)*(1+'Inputs-System'!$C$42))*'Inputs-Proposals'!$J$16*(VLOOKUP(P$3,Capacity!$A$53:$E$85,4,FALSE)*(1+'Inputs-System'!$C$42)+VLOOKUP(P$3,Capacity!$A$53:$E$85,5,FALSE)*(1+'Inputs-System'!$C$43)*'Inputs-System'!$C$29), $C47 = "2", ('Inputs-System'!$C$26*'Coincidence Factors'!$B$5*(1+'Inputs-System'!$C$18))*'Inputs-Proposals'!$J$22*(VLOOKUP(P$3,Capacity!$A$53:$E$85,4,FALSE)*(1+'Inputs-System'!$C$42)+VLOOKUP(P$3,Capacity!$A$53:$E$85,5,FALSE)*'Inputs-System'!$C$29*(1+'Inputs-System'!$C$43)), $C47 = "3", ('Inputs-System'!$C$26*'Coincidence Factors'!$B$5*(1+'Inputs-System'!$C$18))*'Inputs-Proposals'!$J$28*(VLOOKUP(P$3,Capacity!$A$53:$E$85,4,FALSE)*(1+'Inputs-System'!$C$42)+VLOOKUP(P$3,Capacity!$A$53:$E$85,5,FALSE)*'Inputs-System'!$C$29*(1+'Inputs-System'!$C$43)), $C47 = "0", 0), 0)</f>
        <v>0</v>
      </c>
      <c r="T47" s="318">
        <v>0</v>
      </c>
      <c r="U47" s="318">
        <f>IFERROR(_xlfn.IFS($C47="1", 'Inputs-System'!$C$30*'Coincidence Factors'!$B$5*'Inputs-Proposals'!$J$17*'Inputs-Proposals'!$J$19*(VLOOKUP(P$3,'Non-Embedded Emissions'!$A$56:$D$90,2,FALSE)+VLOOKUP(P$3,'Non-Embedded Emissions'!$A$143:$D$174,2,FALSE)+VLOOKUP(P$3,'Non-Embedded Emissions'!$A$230:$D$259,2,FALSE)-VLOOKUP(P$3,'Non-Embedded Emissions'!$A$56:$D$90,3,FALSE)-VLOOKUP(P$3,'Non-Embedded Emissions'!$A$143:$D$174,3,FALSE)-VLOOKUP(P$3,'Non-Embedded Emissions'!$A$230:$D$259,3,FALSE)), $C47 = "2", 'Inputs-System'!$C$30*'Coincidence Factors'!$B$5*'Inputs-Proposals'!$J$23*'Inputs-Proposals'!$J$25*(VLOOKUP(P$3,'Non-Embedded Emissions'!$A$56:$D$90,2,FALSE)+VLOOKUP(P$3,'Non-Embedded Emissions'!$A$143:$D$174,2,FALSE)+VLOOKUP(P$3,'Non-Embedded Emissions'!$A$230:$D$259,2,FALSE)-VLOOKUP(P$3,'Non-Embedded Emissions'!$A$56:$D$90,3,FALSE)-VLOOKUP(P$3,'Non-Embedded Emissions'!$A$143:$D$174,3,FALSE)-VLOOKUP(P$3,'Non-Embedded Emissions'!$A$230:$D$259,3,FALSE)), $C47 = "3", 'Inputs-System'!$C$30*'Coincidence Factors'!$B$5*'Inputs-Proposals'!$J$29*'Inputs-Proposals'!$J$31*(VLOOKUP(P$3,'Non-Embedded Emissions'!$A$56:$D$90,2,FALSE)+VLOOKUP(P$3,'Non-Embedded Emissions'!$A$143:$D$174,2,FALSE)+VLOOKUP(P$3,'Non-Embedded Emissions'!$A$230:$D$259,2,FALSE)-VLOOKUP(P$3,'Non-Embedded Emissions'!$A$56:$D$90,3,FALSE)-VLOOKUP(P$3,'Non-Embedded Emissions'!$A$143:$D$174,3,FALSE)-VLOOKUP(P$3,'Non-Embedded Emissions'!$A$230:$D$259,3,FALSE)), $C47 = "0", 0), 0)</f>
        <v>0</v>
      </c>
      <c r="V47" s="344">
        <f>IFERROR(_xlfn.IFS($C47="1",('Inputs-System'!$C$30*'Coincidence Factors'!$B$5*(1+'Inputs-System'!$C$18)*(1+'Inputs-System'!$C$41)*('Inputs-Proposals'!$J$17*'Inputs-Proposals'!$J$19*(1-'Inputs-Proposals'!$J$20))*(VLOOKUP(V$3,Energy!$A$51:$K$83,5,FALSE)-VLOOKUP(V$3,Energy!$A$51:$K$83,6,FALSE))), $C47 = "2",('Inputs-System'!$C$30*'Coincidence Factors'!$B$5)*(1+'Inputs-System'!$C$18)*(1+'Inputs-System'!$C$41)*('Inputs-Proposals'!$J$23*'Inputs-Proposals'!$J$25*(1-'Inputs-Proposals'!$J$26))*(VLOOKUP(V$3,Energy!$A$51:$K$83,5,FALSE)-VLOOKUP(V$3,Energy!$A$51:$K$83,6,FALSE)), $C47= "3", ('Inputs-System'!$C$30*'Coincidence Factors'!$B$5*(1+'Inputs-System'!$C$18)*(1+'Inputs-System'!$C$41)*('Inputs-Proposals'!$J$29*'Inputs-Proposals'!$J$31*(1-'Inputs-Proposals'!$J$32))*(VLOOKUP(V$3,Energy!$A$51:$K$83,5,FALSE)-VLOOKUP(V$3,Energy!$A$51:$K$83,6,FALSE))), $C47= "0", 0), 0)</f>
        <v>0</v>
      </c>
      <c r="W47" s="100">
        <f>IFERROR(_xlfn.IFS($C47="1", 'Inputs-System'!$C$30*'Coincidence Factors'!$B$5*(1+'Inputs-System'!$C$18)*(1+'Inputs-System'!$C$41)*'Inputs-Proposals'!$J$17*'Inputs-Proposals'!$J$19*(1-'Inputs-Proposals'!$J$20)*(VLOOKUP(V$3,'Embedded Emissions'!$A$47:$B$78,2,FALSE)+VLOOKUP(V$3,'Embedded Emissions'!$A$129:$B$158,2,FALSE)), $C47 = "2",'Inputs-System'!$C$30*'Coincidence Factors'!$B$5*(1+'Inputs-System'!$C$18)*(1+'Inputs-System'!$C$41)*'Inputs-Proposals'!$J$23*'Inputs-Proposals'!$J$25*(1-'Inputs-Proposals'!$J$20)*(VLOOKUP(V$3,'Embedded Emissions'!$A$47:$B$78,2,FALSE)+VLOOKUP(V$3,'Embedded Emissions'!$A$129:$B$158,2,FALSE)), $C47 = "3", 'Inputs-System'!$C$30*'Coincidence Factors'!$B$5*(1+'Inputs-System'!$C$18)*(1+'Inputs-System'!$C$41)*'Inputs-Proposals'!$J$29*'Inputs-Proposals'!$J$31*(1-'Inputs-Proposals'!$J$20)*(VLOOKUP(V$3,'Embedded Emissions'!$A$47:$B$78,2,FALSE)+VLOOKUP(V$3,'Embedded Emissions'!$A$129:$B$158,2,FALSE)), $C47 = "0", 0), 0)</f>
        <v>0</v>
      </c>
      <c r="X47" s="318">
        <f>IFERROR(_xlfn.IFS($C47="1",( 'Inputs-System'!$C$30*'Coincidence Factors'!$B$5*(1+'Inputs-System'!$C$18)*(1+'Inputs-System'!$C$41))*('Inputs-Proposals'!$J$17*'Inputs-Proposals'!$J$19*(1-'Inputs-Proposals'!$J$20))*(VLOOKUP(V$3,DRIPE!$A$54:$I$82,5,FALSE)-VLOOKUP(V$3,DRIPE!$A$54:$I$82,6,FALSE)+VLOOKUP(V$3,DRIPE!$A$54:$I$82,9,FALSE))+ ('Inputs-System'!$C$26*'Coincidence Factors'!$B$5*(1+'Inputs-System'!$C$18)*(1+'Inputs-System'!$C$42))*'Inputs-Proposals'!$J$16*VLOOKUP(V$3,DRIPE!$A$54:$I$80,8,FALSE), $C47 = "2",( 'Inputs-System'!$C$30*'Coincidence Factors'!$B$5*(1+'Inputs-System'!$C$18)*(1+'Inputs-System'!$C$41))*('Inputs-Proposals'!$J$23*'Inputs-Proposals'!$J$25*(1-'Inputs-Proposals'!$J$26))*(VLOOKUP(V$3,DRIPE!$A$54:$I$82,5,FALSE)-VLOOKUP(V$3,DRIPE!$A$54:$I$82,6,FALSE)+VLOOKUP(V$3,DRIPE!$A$54:$I$82,9,FALSE))+ ('Inputs-System'!$C$26*'Coincidence Factors'!$B$5*(1+'Inputs-System'!$C$18)*(1+'Inputs-System'!$C$41))+ ('Inputs-System'!$C$26*'Coincidence Factors'!$B$5)*'Inputs-Proposals'!$J$22*VLOOKUP(V$3,DRIPE!$A$54:$I$80,8,FALSE), $C47= "3", ('Inputs-System'!$C$30*'Coincidence Factors'!$B$5)*('Inputs-Proposals'!$J$29*'Inputs-Proposals'!$J$31*(1-'Inputs-Proposals'!$J$32))*(VLOOKUP(V$3,DRIPE!$A$54:$I$80,5,FALSE)-VLOOKUP(V$3,DRIPE!$A$54:$I$80,6,FALSE)+VLOOKUP(V$3,DRIPE!$A$54:$I$80,9,FALSE))+ ('Inputs-System'!$C$26*'Coincidence Factors'!$B$5*(1+'Inputs-System'!$C$18)*(1+'Inputs-System'!$C$42))*'Inputs-Proposals'!$J$28*VLOOKUP(V$3,DRIPE!$A$54:$I$80,8,FALSE), $C47 = "0", 0), 0)</f>
        <v>0</v>
      </c>
      <c r="Y47" s="326">
        <f>IFERROR(_xlfn.IFS($C47="1",('Inputs-System'!$C$26*'Coincidence Factors'!$B$5*(1+'Inputs-System'!$C$18)*(1+'Inputs-System'!$C$42))*'Inputs-Proposals'!$J$16*(VLOOKUP(V$3,Capacity!$A$53:$E$85,4,FALSE)*(1+'Inputs-System'!$C$42)+VLOOKUP(V$3,Capacity!$A$53:$E$85,5,FALSE)*(1+'Inputs-System'!$C$43)*'Inputs-System'!$C$29), $C47 = "2", ('Inputs-System'!$C$26*'Coincidence Factors'!$B$5*(1+'Inputs-System'!$C$18))*'Inputs-Proposals'!$J$22*(VLOOKUP(V$3,Capacity!$A$53:$E$85,4,FALSE)*(1+'Inputs-System'!$C$42)+VLOOKUP(V$3,Capacity!$A$53:$E$85,5,FALSE)*'Inputs-System'!$C$29*(1+'Inputs-System'!$C$43)), $C47 = "3", ('Inputs-System'!$C$26*'Coincidence Factors'!$B$5*(1+'Inputs-System'!$C$18))*'Inputs-Proposals'!$J$28*(VLOOKUP(V$3,Capacity!$A$53:$E$85,4,FALSE)*(1+'Inputs-System'!$C$42)+VLOOKUP(V$3,Capacity!$A$53:$E$85,5,FALSE)*'Inputs-System'!$C$29*(1+'Inputs-System'!$C$43)), $C47 = "0", 0), 0)</f>
        <v>0</v>
      </c>
      <c r="Z47" s="100">
        <v>0</v>
      </c>
      <c r="AA47" s="346">
        <f>IFERROR(_xlfn.IFS($C47="1", 'Inputs-System'!$C$30*'Coincidence Factors'!$B$5*'Inputs-Proposals'!$J$17*'Inputs-Proposals'!$J$19*(VLOOKUP(V$3,'Non-Embedded Emissions'!$A$56:$D$90,2,FALSE)+VLOOKUP(V$3,'Non-Embedded Emissions'!$A$143:$D$174,2,FALSE)+VLOOKUP(V$3,'Non-Embedded Emissions'!$A$230:$D$259,2,FALSE)-VLOOKUP(V$3,'Non-Embedded Emissions'!$A$56:$D$90,3,FALSE)-VLOOKUP(V$3,'Non-Embedded Emissions'!$A$143:$D$174,3,FALSE)-VLOOKUP(V$3,'Non-Embedded Emissions'!$A$230:$D$259,3,FALSE)), $C47 = "2", 'Inputs-System'!$C$30*'Coincidence Factors'!$B$5*'Inputs-Proposals'!$J$23*'Inputs-Proposals'!$J$25*(VLOOKUP(V$3,'Non-Embedded Emissions'!$A$56:$D$90,2,FALSE)+VLOOKUP(V$3,'Non-Embedded Emissions'!$A$143:$D$174,2,FALSE)+VLOOKUP(V$3,'Non-Embedded Emissions'!$A$230:$D$259,2,FALSE)-VLOOKUP(V$3,'Non-Embedded Emissions'!$A$56:$D$90,3,FALSE)-VLOOKUP(V$3,'Non-Embedded Emissions'!$A$143:$D$174,3,FALSE)-VLOOKUP(V$3,'Non-Embedded Emissions'!$A$230:$D$259,3,FALSE)), $C47 = "3", 'Inputs-System'!$C$30*'Coincidence Factors'!$B$5*'Inputs-Proposals'!$J$29*'Inputs-Proposals'!$J$31*(VLOOKUP(V$3,'Non-Embedded Emissions'!$A$56:$D$90,2,FALSE)+VLOOKUP(V$3,'Non-Embedded Emissions'!$A$143:$D$174,2,FALSE)+VLOOKUP(V$3,'Non-Embedded Emissions'!$A$230:$D$259,2,FALSE)-VLOOKUP(V$3,'Non-Embedded Emissions'!$A$56:$D$90,3,FALSE)-VLOOKUP(V$3,'Non-Embedded Emissions'!$A$143:$D$174,3,FALSE)-VLOOKUP(V$3,'Non-Embedded Emissions'!$A$230:$D$259,3,FALSE)), $C47 = "0", 0), 0)</f>
        <v>0</v>
      </c>
      <c r="AB47" s="344">
        <f>IFERROR(_xlfn.IFS($C47="1",('Inputs-System'!$C$30*'Coincidence Factors'!$B$5*(1+'Inputs-System'!$C$18)*(1+'Inputs-System'!$C$41)*('Inputs-Proposals'!$J$17*'Inputs-Proposals'!$J$19*(1-'Inputs-Proposals'!$J$20))*(VLOOKUP(AB$3,Energy!$A$51:$K$83,5,FALSE)-VLOOKUP(AB$3,Energy!$A$51:$K$83,6,FALSE))), $C47 = "2",('Inputs-System'!$C$30*'Coincidence Factors'!$B$5)*(1+'Inputs-System'!$C$18)*(1+'Inputs-System'!$C$41)*('Inputs-Proposals'!$J$23*'Inputs-Proposals'!$J$25*(1-'Inputs-Proposals'!$J$26))*(VLOOKUP(AB$3,Energy!$A$51:$K$83,5,FALSE)-VLOOKUP(AB$3,Energy!$A$51:$K$83,6,FALSE)), $C47= "3", ('Inputs-System'!$C$30*'Coincidence Factors'!$B$5*(1+'Inputs-System'!$C$18)*(1+'Inputs-System'!$C$41)*('Inputs-Proposals'!$J$29*'Inputs-Proposals'!$J$31*(1-'Inputs-Proposals'!$J$32))*(VLOOKUP(AB$3,Energy!$A$51:$K$83,5,FALSE)-VLOOKUP(AB$3,Energy!$A$51:$K$83,6,FALSE))), $C47= "0", 0), 0)</f>
        <v>0</v>
      </c>
      <c r="AC47" s="100">
        <f>IFERROR(_xlfn.IFS($C47="1", 'Inputs-System'!$C$30*'Coincidence Factors'!$B$5*(1+'Inputs-System'!$C$18)*(1+'Inputs-System'!$C$41)*'Inputs-Proposals'!$J$17*'Inputs-Proposals'!$J$19*(1-'Inputs-Proposals'!$J$20)*(VLOOKUP(AB$3,'Embedded Emissions'!$A$47:$B$78,2,FALSE)+VLOOKUP(AB$3,'Embedded Emissions'!$A$129:$B$158,2,FALSE)), $C47 = "2",'Inputs-System'!$C$30*'Coincidence Factors'!$B$5*(1+'Inputs-System'!$C$18)*(1+'Inputs-System'!$C$41)*'Inputs-Proposals'!$J$23*'Inputs-Proposals'!$J$25*(1-'Inputs-Proposals'!$J$20)*(VLOOKUP(AB$3,'Embedded Emissions'!$A$47:$B$78,2,FALSE)+VLOOKUP(AB$3,'Embedded Emissions'!$A$129:$B$158,2,FALSE)), $C47 = "3", 'Inputs-System'!$C$30*'Coincidence Factors'!$B$5*(1+'Inputs-System'!$C$18)*(1+'Inputs-System'!$C$41)*'Inputs-Proposals'!$J$29*'Inputs-Proposals'!$J$31*(1-'Inputs-Proposals'!$J$20)*(VLOOKUP(AB$3,'Embedded Emissions'!$A$47:$B$78,2,FALSE)+VLOOKUP(AB$3,'Embedded Emissions'!$A$129:$B$158,2,FALSE)), $C47 = "0", 0), 0)</f>
        <v>0</v>
      </c>
      <c r="AD47" s="318">
        <f>IFERROR(_xlfn.IFS($C47="1",( 'Inputs-System'!$C$30*'Coincidence Factors'!$B$5*(1+'Inputs-System'!$C$18)*(1+'Inputs-System'!$C$41))*('Inputs-Proposals'!$J$17*'Inputs-Proposals'!$J$19*(1-'Inputs-Proposals'!$J$20))*(VLOOKUP(AB$3,DRIPE!$A$54:$I$82,5,FALSE)-VLOOKUP(AB$3,DRIPE!$A$54:$I$82,6,FALSE)+VLOOKUP(AB$3,DRIPE!$A$54:$I$82,9,FALSE))+ ('Inputs-System'!$C$26*'Coincidence Factors'!$B$5*(1+'Inputs-System'!$C$18)*(1+'Inputs-System'!$C$42))*'Inputs-Proposals'!$J$16*VLOOKUP(AB$3,DRIPE!$A$54:$I$80,8,FALSE), $C47 = "2",( 'Inputs-System'!$C$30*'Coincidence Factors'!$B$5*(1+'Inputs-System'!$C$18)*(1+'Inputs-System'!$C$41))*('Inputs-Proposals'!$J$23*'Inputs-Proposals'!$J$25*(1-'Inputs-Proposals'!$J$26))*(VLOOKUP(AB$3,DRIPE!$A$54:$I$82,5,FALSE)-VLOOKUP(AB$3,DRIPE!$A$54:$I$82,6,FALSE)+VLOOKUP(AB$3,DRIPE!$A$54:$I$82,9,FALSE))+ ('Inputs-System'!$C$26*'Coincidence Factors'!$B$5*(1+'Inputs-System'!$C$18)*(1+'Inputs-System'!$C$41))+ ('Inputs-System'!$C$26*'Coincidence Factors'!$B$5)*'Inputs-Proposals'!$J$22*VLOOKUP(AB$3,DRIPE!$A$54:$I$80,8,FALSE), $C47= "3", ('Inputs-System'!$C$30*'Coincidence Factors'!$B$5)*('Inputs-Proposals'!$J$29*'Inputs-Proposals'!$J$31*(1-'Inputs-Proposals'!$J$32))*(VLOOKUP(AB$3,DRIPE!$A$54:$I$80,5,FALSE)-VLOOKUP(AB$3,DRIPE!$A$54:$I$80,6,FALSE)+VLOOKUP(AB$3,DRIPE!$A$54:$I$80,9,FALSE))+ ('Inputs-System'!$C$26*'Coincidence Factors'!$B$5*(1+'Inputs-System'!$C$18)*(1+'Inputs-System'!$C$42))*'Inputs-Proposals'!$J$28*VLOOKUP(AB$3,DRIPE!$A$54:$I$80,8,FALSE), $C47 = "0", 0), 0)</f>
        <v>0</v>
      </c>
      <c r="AE47" s="326">
        <f>IFERROR(_xlfn.IFS($C47="1",('Inputs-System'!$C$26*'Coincidence Factors'!$B$5*(1+'Inputs-System'!$C$18)*(1+'Inputs-System'!$C$42))*'Inputs-Proposals'!$J$16*(VLOOKUP(AB$3,Capacity!$A$53:$E$85,4,FALSE)*(1+'Inputs-System'!$C$42)+VLOOKUP(AB$3,Capacity!$A$53:$E$85,5,FALSE)*(1+'Inputs-System'!$C$43)*'Inputs-System'!$C$29), $C47 = "2", ('Inputs-System'!$C$26*'Coincidence Factors'!$B$5*(1+'Inputs-System'!$C$18))*'Inputs-Proposals'!$J$22*(VLOOKUP(AB$3,Capacity!$A$53:$E$85,4,FALSE)*(1+'Inputs-System'!$C$42)+VLOOKUP(AB$3,Capacity!$A$53:$E$85,5,FALSE)*'Inputs-System'!$C$29*(1+'Inputs-System'!$C$43)), $C47 = "3", ('Inputs-System'!$C$26*'Coincidence Factors'!$B$5*(1+'Inputs-System'!$C$18))*'Inputs-Proposals'!$J$28*(VLOOKUP(AB$3,Capacity!$A$53:$E$85,4,FALSE)*(1+'Inputs-System'!$C$42)+VLOOKUP(AB$3,Capacity!$A$53:$E$85,5,FALSE)*'Inputs-System'!$C$29*(1+'Inputs-System'!$C$43)), $C47 = "0", 0), 0)</f>
        <v>0</v>
      </c>
      <c r="AF47" s="100">
        <v>0</v>
      </c>
      <c r="AG47" s="346">
        <f>IFERROR(_xlfn.IFS($C47="1", 'Inputs-System'!$C$30*'Coincidence Factors'!$B$5*'Inputs-Proposals'!$J$17*'Inputs-Proposals'!$J$19*(VLOOKUP(AB$3,'Non-Embedded Emissions'!$A$56:$D$90,2,FALSE)+VLOOKUP(AB$3,'Non-Embedded Emissions'!$A$143:$D$174,2,FALSE)+VLOOKUP(AB$3,'Non-Embedded Emissions'!$A$230:$D$259,2,FALSE)-VLOOKUP(AB$3,'Non-Embedded Emissions'!$A$56:$D$90,3,FALSE)-VLOOKUP(AB$3,'Non-Embedded Emissions'!$A$143:$D$174,3,FALSE)-VLOOKUP(AB$3,'Non-Embedded Emissions'!$A$230:$D$259,3,FALSE)), $C47 = "2", 'Inputs-System'!$C$30*'Coincidence Factors'!$B$5*'Inputs-Proposals'!$J$23*'Inputs-Proposals'!$J$25*(VLOOKUP(AB$3,'Non-Embedded Emissions'!$A$56:$D$90,2,FALSE)+VLOOKUP(AB$3,'Non-Embedded Emissions'!$A$143:$D$174,2,FALSE)+VLOOKUP(AB$3,'Non-Embedded Emissions'!$A$230:$D$259,2,FALSE)-VLOOKUP(AB$3,'Non-Embedded Emissions'!$A$56:$D$90,3,FALSE)-VLOOKUP(AB$3,'Non-Embedded Emissions'!$A$143:$D$174,3,FALSE)-VLOOKUP(AB$3,'Non-Embedded Emissions'!$A$230:$D$259,3,FALSE)), $C47 = "3", 'Inputs-System'!$C$30*'Coincidence Factors'!$B$5*'Inputs-Proposals'!$J$29*'Inputs-Proposals'!$J$31*(VLOOKUP(AB$3,'Non-Embedded Emissions'!$A$56:$D$90,2,FALSE)+VLOOKUP(AB$3,'Non-Embedded Emissions'!$A$143:$D$174,2,FALSE)+VLOOKUP(AB$3,'Non-Embedded Emissions'!$A$230:$D$259,2,FALSE)-VLOOKUP(AB$3,'Non-Embedded Emissions'!$A$56:$D$90,3,FALSE)-VLOOKUP(AB$3,'Non-Embedded Emissions'!$A$143:$D$174,3,FALSE)-VLOOKUP(AB$3,'Non-Embedded Emissions'!$A$230:$D$259,3,FALSE)), $C47 = "0", 0), 0)</f>
        <v>0</v>
      </c>
      <c r="AH47" s="344">
        <f>IFERROR(_xlfn.IFS($C47="1",('Inputs-System'!$C$30*'Coincidence Factors'!$B$5*(1+'Inputs-System'!$C$18)*(1+'Inputs-System'!$C$41)*('Inputs-Proposals'!$J$17*'Inputs-Proposals'!$J$19*(1-'Inputs-Proposals'!$J$20))*(VLOOKUP(AH$3,Energy!$A$51:$K$83,5,FALSE)-VLOOKUP(AH$3,Energy!$A$51:$K$83,6,FALSE))), $C47 = "2",('Inputs-System'!$C$30*'Coincidence Factors'!$B$5)*(1+'Inputs-System'!$C$18)*(1+'Inputs-System'!$C$41)*('Inputs-Proposals'!$J$23*'Inputs-Proposals'!$J$25*(1-'Inputs-Proposals'!$J$26))*(VLOOKUP(AH$3,Energy!$A$51:$K$83,5,FALSE)-VLOOKUP(AH$3,Energy!$A$51:$K$83,6,FALSE)), $C47= "3", ('Inputs-System'!$C$30*'Coincidence Factors'!$B$5*(1+'Inputs-System'!$C$18)*(1+'Inputs-System'!$C$41)*('Inputs-Proposals'!$J$29*'Inputs-Proposals'!$J$31*(1-'Inputs-Proposals'!$J$32))*(VLOOKUP(AH$3,Energy!$A$51:$K$83,5,FALSE)-VLOOKUP(AH$3,Energy!$A$51:$K$83,6,FALSE))), $C47= "0", 0), 0)</f>
        <v>0</v>
      </c>
      <c r="AI47" s="100">
        <f>IFERROR(_xlfn.IFS($C47="1", 'Inputs-System'!$C$30*'Coincidence Factors'!$B$5*(1+'Inputs-System'!$C$18)*(1+'Inputs-System'!$C$41)*'Inputs-Proposals'!$J$17*'Inputs-Proposals'!$J$19*(1-'Inputs-Proposals'!$J$20)*(VLOOKUP(AH$3,'Embedded Emissions'!$A$47:$B$78,2,FALSE)+VLOOKUP(AH$3,'Embedded Emissions'!$A$129:$B$158,2,FALSE)), $C47 = "2",'Inputs-System'!$C$30*'Coincidence Factors'!$B$5*(1+'Inputs-System'!$C$18)*(1+'Inputs-System'!$C$41)*'Inputs-Proposals'!$J$23*'Inputs-Proposals'!$J$25*(1-'Inputs-Proposals'!$J$20)*(VLOOKUP(AH$3,'Embedded Emissions'!$A$47:$B$78,2,FALSE)+VLOOKUP(AH$3,'Embedded Emissions'!$A$129:$B$158,2,FALSE)), $C47 = "3", 'Inputs-System'!$C$30*'Coincidence Factors'!$B$5*(1+'Inputs-System'!$C$18)*(1+'Inputs-System'!$C$41)*'Inputs-Proposals'!$J$29*'Inputs-Proposals'!$J$31*(1-'Inputs-Proposals'!$J$20)*(VLOOKUP(AH$3,'Embedded Emissions'!$A$47:$B$78,2,FALSE)+VLOOKUP(AH$3,'Embedded Emissions'!$A$129:$B$158,2,FALSE)), $C47 = "0", 0), 0)</f>
        <v>0</v>
      </c>
      <c r="AJ47" s="318">
        <f>IFERROR(_xlfn.IFS($C47="1",( 'Inputs-System'!$C$30*'Coincidence Factors'!$B$5*(1+'Inputs-System'!$C$18)*(1+'Inputs-System'!$C$41))*('Inputs-Proposals'!$J$17*'Inputs-Proposals'!$J$19*(1-'Inputs-Proposals'!$J$20))*(VLOOKUP(AH$3,DRIPE!$A$54:$I$82,5,FALSE)-VLOOKUP(AH$3,DRIPE!$A$54:$I$82,6,FALSE)+VLOOKUP(AH$3,DRIPE!$A$54:$I$82,9,FALSE))+ ('Inputs-System'!$C$26*'Coincidence Factors'!$B$5*(1+'Inputs-System'!$C$18)*(1+'Inputs-System'!$C$42))*'Inputs-Proposals'!$J$16*VLOOKUP(AH$3,DRIPE!$A$54:$I$80,8,FALSE), $C47 = "2",( 'Inputs-System'!$C$30*'Coincidence Factors'!$B$5*(1+'Inputs-System'!$C$18)*(1+'Inputs-System'!$C$41))*('Inputs-Proposals'!$J$23*'Inputs-Proposals'!$J$25*(1-'Inputs-Proposals'!$J$26))*(VLOOKUP(AH$3,DRIPE!$A$54:$I$82,5,FALSE)-VLOOKUP(AH$3,DRIPE!$A$54:$I$82,6,FALSE)+VLOOKUP(AH$3,DRIPE!$A$54:$I$82,9,FALSE))+ ('Inputs-System'!$C$26*'Coincidence Factors'!$B$5*(1+'Inputs-System'!$C$18)*(1+'Inputs-System'!$C$41))+ ('Inputs-System'!$C$26*'Coincidence Factors'!$B$5)*'Inputs-Proposals'!$J$22*VLOOKUP(AH$3,DRIPE!$A$54:$I$80,8,FALSE), $C47= "3", ('Inputs-System'!$C$30*'Coincidence Factors'!$B$5)*('Inputs-Proposals'!$J$29*'Inputs-Proposals'!$J$31*(1-'Inputs-Proposals'!$J$32))*(VLOOKUP(AH$3,DRIPE!$A$54:$I$80,5,FALSE)-VLOOKUP(AH$3,DRIPE!$A$54:$I$80,6,FALSE)+VLOOKUP(AH$3,DRIPE!$A$54:$I$80,9,FALSE))+ ('Inputs-System'!$C$26*'Coincidence Factors'!$B$5*(1+'Inputs-System'!$C$18)*(1+'Inputs-System'!$C$42))*'Inputs-Proposals'!$J$28*VLOOKUP(AH$3,DRIPE!$A$54:$I$80,8,FALSE), $C47 = "0", 0), 0)</f>
        <v>0</v>
      </c>
      <c r="AK47" s="326">
        <f>IFERROR(_xlfn.IFS($C47="1",('Inputs-System'!$C$26*'Coincidence Factors'!$B$5*(1+'Inputs-System'!$C$18)*(1+'Inputs-System'!$C$42))*'Inputs-Proposals'!$J$16*(VLOOKUP(AH$3,Capacity!$A$53:$E$85,4,FALSE)*(1+'Inputs-System'!$C$42)+VLOOKUP(AH$3,Capacity!$A$53:$E$85,5,FALSE)*(1+'Inputs-System'!$C$43)*'Inputs-System'!$C$29), $C47 = "2", ('Inputs-System'!$C$26*'Coincidence Factors'!$B$5*(1+'Inputs-System'!$C$18))*'Inputs-Proposals'!$J$22*(VLOOKUP(AH$3,Capacity!$A$53:$E$85,4,FALSE)*(1+'Inputs-System'!$C$42)+VLOOKUP(AH$3,Capacity!$A$53:$E$85,5,FALSE)*'Inputs-System'!$C$29*(1+'Inputs-System'!$C$43)), $C47 = "3", ('Inputs-System'!$C$26*'Coincidence Factors'!$B$5*(1+'Inputs-System'!$C$18))*'Inputs-Proposals'!$J$28*(VLOOKUP(AH$3,Capacity!$A$53:$E$85,4,FALSE)*(1+'Inputs-System'!$C$42)+VLOOKUP(AH$3,Capacity!$A$53:$E$85,5,FALSE)*'Inputs-System'!$C$29*(1+'Inputs-System'!$C$43)), $C47 = "0", 0), 0)</f>
        <v>0</v>
      </c>
      <c r="AL47" s="100">
        <v>0</v>
      </c>
      <c r="AM47" s="346">
        <f>IFERROR(_xlfn.IFS($C47="1", 'Inputs-System'!$C$30*'Coincidence Factors'!$B$5*'Inputs-Proposals'!$J$17*'Inputs-Proposals'!$J$19*(VLOOKUP(AH$3,'Non-Embedded Emissions'!$A$56:$D$90,2,FALSE)+VLOOKUP(AH$3,'Non-Embedded Emissions'!$A$143:$D$174,2,FALSE)+VLOOKUP(AH$3,'Non-Embedded Emissions'!$A$230:$D$259,2,FALSE)-VLOOKUP(AH$3,'Non-Embedded Emissions'!$A$56:$D$90,3,FALSE)-VLOOKUP(AH$3,'Non-Embedded Emissions'!$A$143:$D$174,3,FALSE)-VLOOKUP(AH$3,'Non-Embedded Emissions'!$A$230:$D$259,3,FALSE)), $C47 = "2", 'Inputs-System'!$C$30*'Coincidence Factors'!$B$5*'Inputs-Proposals'!$J$23*'Inputs-Proposals'!$J$25*(VLOOKUP(AH$3,'Non-Embedded Emissions'!$A$56:$D$90,2,FALSE)+VLOOKUP(AH$3,'Non-Embedded Emissions'!$A$143:$D$174,2,FALSE)+VLOOKUP(AH$3,'Non-Embedded Emissions'!$A$230:$D$259,2,FALSE)-VLOOKUP(AH$3,'Non-Embedded Emissions'!$A$56:$D$90,3,FALSE)-VLOOKUP(AH$3,'Non-Embedded Emissions'!$A$143:$D$174,3,FALSE)-VLOOKUP(AH$3,'Non-Embedded Emissions'!$A$230:$D$259,3,FALSE)), $C47 = "3", 'Inputs-System'!$C$30*'Coincidence Factors'!$B$5*'Inputs-Proposals'!$J$29*'Inputs-Proposals'!$J$31*(VLOOKUP(AH$3,'Non-Embedded Emissions'!$A$56:$D$90,2,FALSE)+VLOOKUP(AH$3,'Non-Embedded Emissions'!$A$143:$D$174,2,FALSE)+VLOOKUP(AH$3,'Non-Embedded Emissions'!$A$230:$D$259,2,FALSE)-VLOOKUP(AH$3,'Non-Embedded Emissions'!$A$56:$D$90,3,FALSE)-VLOOKUP(AH$3,'Non-Embedded Emissions'!$A$143:$D$174,3,FALSE)-VLOOKUP(AH$3,'Non-Embedded Emissions'!$A$230:$D$259,3,FALSE)), $C47 = "0", 0), 0)</f>
        <v>0</v>
      </c>
      <c r="AN47" s="344">
        <f>IFERROR(_xlfn.IFS($C47="1",('Inputs-System'!$C$30*'Coincidence Factors'!$B$5*(1+'Inputs-System'!$C$18)*(1+'Inputs-System'!$C$41)*('Inputs-Proposals'!$J$17*'Inputs-Proposals'!$J$19*(1-'Inputs-Proposals'!$J$20))*(VLOOKUP(AN$3,Energy!$A$51:$K$83,5,FALSE)-VLOOKUP(AN$3,Energy!$A$51:$K$83,6,FALSE))), $C47 = "2",('Inputs-System'!$C$30*'Coincidence Factors'!$B$5)*(1+'Inputs-System'!$C$18)*(1+'Inputs-System'!$C$41)*('Inputs-Proposals'!$J$23*'Inputs-Proposals'!$J$25*(1-'Inputs-Proposals'!$J$26))*(VLOOKUP(AN$3,Energy!$A$51:$K$83,5,FALSE)-VLOOKUP(AN$3,Energy!$A$51:$K$83,6,FALSE)), $C47= "3", ('Inputs-System'!$C$30*'Coincidence Factors'!$B$5*(1+'Inputs-System'!$C$18)*(1+'Inputs-System'!$C$41)*('Inputs-Proposals'!$J$29*'Inputs-Proposals'!$J$31*(1-'Inputs-Proposals'!$J$32))*(VLOOKUP(AN$3,Energy!$A$51:$K$83,5,FALSE)-VLOOKUP(AN$3,Energy!$A$51:$K$83,6,FALSE))), $C47= "0", 0), 0)</f>
        <v>0</v>
      </c>
      <c r="AO47" s="100">
        <f>IFERROR(_xlfn.IFS($C47="1", 'Inputs-System'!$C$30*'Coincidence Factors'!$B$5*(1+'Inputs-System'!$C$18)*(1+'Inputs-System'!$C$41)*'Inputs-Proposals'!$J$17*'Inputs-Proposals'!$J$19*(1-'Inputs-Proposals'!$J$20)*(VLOOKUP(AN$3,'Embedded Emissions'!$A$47:$B$78,2,FALSE)+VLOOKUP(AN$3,'Embedded Emissions'!$A$129:$B$158,2,FALSE)), $C47 = "2",'Inputs-System'!$C$30*'Coincidence Factors'!$B$5*(1+'Inputs-System'!$C$18)*(1+'Inputs-System'!$C$41)*'Inputs-Proposals'!$J$23*'Inputs-Proposals'!$J$25*(1-'Inputs-Proposals'!$J$20)*(VLOOKUP(AN$3,'Embedded Emissions'!$A$47:$B$78,2,FALSE)+VLOOKUP(AN$3,'Embedded Emissions'!$A$129:$B$158,2,FALSE)), $C47 = "3", 'Inputs-System'!$C$30*'Coincidence Factors'!$B$5*(1+'Inputs-System'!$C$18)*(1+'Inputs-System'!$C$41)*'Inputs-Proposals'!$J$29*'Inputs-Proposals'!$J$31*(1-'Inputs-Proposals'!$J$20)*(VLOOKUP(AN$3,'Embedded Emissions'!$A$47:$B$78,2,FALSE)+VLOOKUP(AN$3,'Embedded Emissions'!$A$129:$B$158,2,FALSE)), $C47 = "0", 0), 0)</f>
        <v>0</v>
      </c>
      <c r="AP47" s="318">
        <f>IFERROR(_xlfn.IFS($C47="1",( 'Inputs-System'!$C$30*'Coincidence Factors'!$B$5*(1+'Inputs-System'!$C$18)*(1+'Inputs-System'!$C$41))*('Inputs-Proposals'!$J$17*'Inputs-Proposals'!$J$19*(1-'Inputs-Proposals'!$J$20))*(VLOOKUP(AN$3,DRIPE!$A$54:$I$82,5,FALSE)-VLOOKUP(AN$3,DRIPE!$A$54:$I$82,6,FALSE)+VLOOKUP(AN$3,DRIPE!$A$54:$I$82,9,FALSE))+ ('Inputs-System'!$C$26*'Coincidence Factors'!$B$5*(1+'Inputs-System'!$C$18)*(1+'Inputs-System'!$C$42))*'Inputs-Proposals'!$J$16*VLOOKUP(AN$3,DRIPE!$A$54:$I$80,8,FALSE), $C47 = "2",( 'Inputs-System'!$C$30*'Coincidence Factors'!$B$5*(1+'Inputs-System'!$C$18)*(1+'Inputs-System'!$C$41))*('Inputs-Proposals'!$J$23*'Inputs-Proposals'!$J$25*(1-'Inputs-Proposals'!$J$26))*(VLOOKUP(AN$3,DRIPE!$A$54:$I$82,5,FALSE)-VLOOKUP(AN$3,DRIPE!$A$54:$I$82,6,FALSE)+VLOOKUP(AN$3,DRIPE!$A$54:$I$82,9,FALSE))+ ('Inputs-System'!$C$26*'Coincidence Factors'!$B$5*(1+'Inputs-System'!$C$18)*(1+'Inputs-System'!$C$41))+ ('Inputs-System'!$C$26*'Coincidence Factors'!$B$5)*'Inputs-Proposals'!$J$22*VLOOKUP(AN$3,DRIPE!$A$54:$I$80,8,FALSE), $C47= "3", ('Inputs-System'!$C$30*'Coincidence Factors'!$B$5)*('Inputs-Proposals'!$J$29*'Inputs-Proposals'!$J$31*(1-'Inputs-Proposals'!$J$32))*(VLOOKUP(AN$3,DRIPE!$A$54:$I$80,5,FALSE)-VLOOKUP(AN$3,DRIPE!$A$54:$I$80,6,FALSE)+VLOOKUP(AN$3,DRIPE!$A$54:$I$80,9,FALSE))+ ('Inputs-System'!$C$26*'Coincidence Factors'!$B$5*(1+'Inputs-System'!$C$18)*(1+'Inputs-System'!$C$42))*'Inputs-Proposals'!$J$28*VLOOKUP(AN$3,DRIPE!$A$54:$I$80,8,FALSE), $C47 = "0", 0), 0)</f>
        <v>0</v>
      </c>
      <c r="AQ47" s="326">
        <f>IFERROR(_xlfn.IFS($C47="1",('Inputs-System'!$C$26*'Coincidence Factors'!$B$5*(1+'Inputs-System'!$C$18)*(1+'Inputs-System'!$C$42))*'Inputs-Proposals'!$J$16*(VLOOKUP(AN$3,Capacity!$A$53:$E$85,4,FALSE)*(1+'Inputs-System'!$C$42)+VLOOKUP(AN$3,Capacity!$A$53:$E$85,5,FALSE)*(1+'Inputs-System'!$C$43)*'Inputs-System'!$C$29), $C47 = "2", ('Inputs-System'!$C$26*'Coincidence Factors'!$B$5*(1+'Inputs-System'!$C$18))*'Inputs-Proposals'!$J$22*(VLOOKUP(AN$3,Capacity!$A$53:$E$85,4,FALSE)*(1+'Inputs-System'!$C$42)+VLOOKUP(AN$3,Capacity!$A$53:$E$85,5,FALSE)*'Inputs-System'!$C$29*(1+'Inputs-System'!$C$43)), $C47 = "3", ('Inputs-System'!$C$26*'Coincidence Factors'!$B$5*(1+'Inputs-System'!$C$18))*'Inputs-Proposals'!$J$28*(VLOOKUP(AN$3,Capacity!$A$53:$E$85,4,FALSE)*(1+'Inputs-System'!$C$42)+VLOOKUP(AN$3,Capacity!$A$53:$E$85,5,FALSE)*'Inputs-System'!$C$29*(1+'Inputs-System'!$C$43)), $C47 = "0", 0), 0)</f>
        <v>0</v>
      </c>
      <c r="AR47" s="100">
        <v>0</v>
      </c>
      <c r="AS47" s="346">
        <f>IFERROR(_xlfn.IFS($C47="1", 'Inputs-System'!$C$30*'Coincidence Factors'!$B$5*'Inputs-Proposals'!$J$17*'Inputs-Proposals'!$J$19*(VLOOKUP(AN$3,'Non-Embedded Emissions'!$A$56:$D$90,2,FALSE)+VLOOKUP(AN$3,'Non-Embedded Emissions'!$A$143:$D$174,2,FALSE)+VLOOKUP(AN$3,'Non-Embedded Emissions'!$A$230:$D$259,2,FALSE)-VLOOKUP(AN$3,'Non-Embedded Emissions'!$A$56:$D$90,3,FALSE)-VLOOKUP(AN$3,'Non-Embedded Emissions'!$A$143:$D$174,3,FALSE)-VLOOKUP(AN$3,'Non-Embedded Emissions'!$A$230:$D$259,3,FALSE)), $C47 = "2", 'Inputs-System'!$C$30*'Coincidence Factors'!$B$5*'Inputs-Proposals'!$J$23*'Inputs-Proposals'!$J$25*(VLOOKUP(AN$3,'Non-Embedded Emissions'!$A$56:$D$90,2,FALSE)+VLOOKUP(AN$3,'Non-Embedded Emissions'!$A$143:$D$174,2,FALSE)+VLOOKUP(AN$3,'Non-Embedded Emissions'!$A$230:$D$259,2,FALSE)-VLOOKUP(AN$3,'Non-Embedded Emissions'!$A$56:$D$90,3,FALSE)-VLOOKUP(AN$3,'Non-Embedded Emissions'!$A$143:$D$174,3,FALSE)-VLOOKUP(AN$3,'Non-Embedded Emissions'!$A$230:$D$259,3,FALSE)), $C47 = "3", 'Inputs-System'!$C$30*'Coincidence Factors'!$B$5*'Inputs-Proposals'!$J$29*'Inputs-Proposals'!$J$31*(VLOOKUP(AN$3,'Non-Embedded Emissions'!$A$56:$D$90,2,FALSE)+VLOOKUP(AN$3,'Non-Embedded Emissions'!$A$143:$D$174,2,FALSE)+VLOOKUP(AN$3,'Non-Embedded Emissions'!$A$230:$D$259,2,FALSE)-VLOOKUP(AN$3,'Non-Embedded Emissions'!$A$56:$D$90,3,FALSE)-VLOOKUP(AN$3,'Non-Embedded Emissions'!$A$143:$D$174,3,FALSE)-VLOOKUP(AN$3,'Non-Embedded Emissions'!$A$230:$D$259,3,FALSE)), $C47 = "0", 0), 0)</f>
        <v>0</v>
      </c>
      <c r="AT47" s="344">
        <f>IFERROR(_xlfn.IFS($C47="1",('Inputs-System'!$C$30*'Coincidence Factors'!$B$5*(1+'Inputs-System'!$C$18)*(1+'Inputs-System'!$C$41)*('Inputs-Proposals'!$J$17*'Inputs-Proposals'!$J$19*(1-'Inputs-Proposals'!$J$20))*(VLOOKUP(AT$3,Energy!$A$51:$K$83,5,FALSE)-VLOOKUP(AT$3,Energy!$A$51:$K$83,6,FALSE))), $C47 = "2",('Inputs-System'!$C$30*'Coincidence Factors'!$B$5)*(1+'Inputs-System'!$C$18)*(1+'Inputs-System'!$C$41)*('Inputs-Proposals'!$J$23*'Inputs-Proposals'!$J$25*(1-'Inputs-Proposals'!$J$26))*(VLOOKUP(AT$3,Energy!$A$51:$K$83,5,FALSE)-VLOOKUP(AT$3,Energy!$A$51:$K$83,6,FALSE)), $C47= "3", ('Inputs-System'!$C$30*'Coincidence Factors'!$B$5*(1+'Inputs-System'!$C$18)*(1+'Inputs-System'!$C$41)*('Inputs-Proposals'!$J$29*'Inputs-Proposals'!$J$31*(1-'Inputs-Proposals'!$J$32))*(VLOOKUP(AT$3,Energy!$A$51:$K$83,5,FALSE)-VLOOKUP(AT$3,Energy!$A$51:$K$83,6,FALSE))), $C47= "0", 0), 0)</f>
        <v>0</v>
      </c>
      <c r="AU47" s="100">
        <f>IFERROR(_xlfn.IFS($C47="1", 'Inputs-System'!$C$30*'Coincidence Factors'!$B$5*(1+'Inputs-System'!$C$18)*(1+'Inputs-System'!$C$41)*'Inputs-Proposals'!$J$17*'Inputs-Proposals'!$J$19*(1-'Inputs-Proposals'!$J$20)*(VLOOKUP(AT$3,'Embedded Emissions'!$A$47:$B$78,2,FALSE)+VLOOKUP(AT$3,'Embedded Emissions'!$A$129:$B$158,2,FALSE)), $C47 = "2",'Inputs-System'!$C$30*'Coincidence Factors'!$B$5*(1+'Inputs-System'!$C$18)*(1+'Inputs-System'!$C$41)*'Inputs-Proposals'!$J$23*'Inputs-Proposals'!$J$25*(1-'Inputs-Proposals'!$J$20)*(VLOOKUP(AT$3,'Embedded Emissions'!$A$47:$B$78,2,FALSE)+VLOOKUP(AT$3,'Embedded Emissions'!$A$129:$B$158,2,FALSE)), $C47 = "3", 'Inputs-System'!$C$30*'Coincidence Factors'!$B$5*(1+'Inputs-System'!$C$18)*(1+'Inputs-System'!$C$41)*'Inputs-Proposals'!$J$29*'Inputs-Proposals'!$J$31*(1-'Inputs-Proposals'!$J$20)*(VLOOKUP(AT$3,'Embedded Emissions'!$A$47:$B$78,2,FALSE)+VLOOKUP(AT$3,'Embedded Emissions'!$A$129:$B$158,2,FALSE)), $C47 = "0", 0), 0)</f>
        <v>0</v>
      </c>
      <c r="AV47" s="318">
        <f>IFERROR(_xlfn.IFS($C47="1",( 'Inputs-System'!$C$30*'Coincidence Factors'!$B$5*(1+'Inputs-System'!$C$18)*(1+'Inputs-System'!$C$41))*('Inputs-Proposals'!$J$17*'Inputs-Proposals'!$J$19*(1-'Inputs-Proposals'!$J$20))*(VLOOKUP(AT$3,DRIPE!$A$54:$I$82,5,FALSE)-VLOOKUP(AT$3,DRIPE!$A$54:$I$82,6,FALSE)+VLOOKUP(AT$3,DRIPE!$A$54:$I$82,9,FALSE))+ ('Inputs-System'!$C$26*'Coincidence Factors'!$B$5*(1+'Inputs-System'!$C$18)*(1+'Inputs-System'!$C$42))*'Inputs-Proposals'!$J$16*VLOOKUP(AT$3,DRIPE!$A$54:$I$80,8,FALSE), $C47 = "2",( 'Inputs-System'!$C$30*'Coincidence Factors'!$B$5*(1+'Inputs-System'!$C$18)*(1+'Inputs-System'!$C$41))*('Inputs-Proposals'!$J$23*'Inputs-Proposals'!$J$25*(1-'Inputs-Proposals'!$J$26))*(VLOOKUP(AT$3,DRIPE!$A$54:$I$82,5,FALSE)-VLOOKUP(AT$3,DRIPE!$A$54:$I$82,6,FALSE)+VLOOKUP(AT$3,DRIPE!$A$54:$I$82,9,FALSE))+ ('Inputs-System'!$C$26*'Coincidence Factors'!$B$5*(1+'Inputs-System'!$C$18)*(1+'Inputs-System'!$C$41))+ ('Inputs-System'!$C$26*'Coincidence Factors'!$B$5)*'Inputs-Proposals'!$J$22*VLOOKUP(AT$3,DRIPE!$A$54:$I$80,8,FALSE), $C47= "3", ('Inputs-System'!$C$30*'Coincidence Factors'!$B$5)*('Inputs-Proposals'!$J$29*'Inputs-Proposals'!$J$31*(1-'Inputs-Proposals'!$J$32))*(VLOOKUP(AT$3,DRIPE!$A$54:$I$80,5,FALSE)-VLOOKUP(AT$3,DRIPE!$A$54:$I$80,6,FALSE)+VLOOKUP(AT$3,DRIPE!$A$54:$I$80,9,FALSE))+ ('Inputs-System'!$C$26*'Coincidence Factors'!$B$5*(1+'Inputs-System'!$C$18)*(1+'Inputs-System'!$C$42))*'Inputs-Proposals'!$J$28*VLOOKUP(AT$3,DRIPE!$A$54:$I$80,8,FALSE), $C47 = "0", 0), 0)</f>
        <v>0</v>
      </c>
      <c r="AW47" s="326">
        <f>IFERROR(_xlfn.IFS($C47="1",('Inputs-System'!$C$26*'Coincidence Factors'!$B$5*(1+'Inputs-System'!$C$18)*(1+'Inputs-System'!$C$42))*'Inputs-Proposals'!$J$16*(VLOOKUP(AT$3,Capacity!$A$53:$E$85,4,FALSE)*(1+'Inputs-System'!$C$42)+VLOOKUP(AT$3,Capacity!$A$53:$E$85,5,FALSE)*(1+'Inputs-System'!$C$43)*'Inputs-System'!$C$29), $C47 = "2", ('Inputs-System'!$C$26*'Coincidence Factors'!$B$5*(1+'Inputs-System'!$C$18))*'Inputs-Proposals'!$J$22*(VLOOKUP(AT$3,Capacity!$A$53:$E$85,4,FALSE)*(1+'Inputs-System'!$C$42)+VLOOKUP(AT$3,Capacity!$A$53:$E$85,5,FALSE)*'Inputs-System'!$C$29*(1+'Inputs-System'!$C$43)), $C47 = "3", ('Inputs-System'!$C$26*'Coincidence Factors'!$B$5*(1+'Inputs-System'!$C$18))*'Inputs-Proposals'!$J$28*(VLOOKUP(AT$3,Capacity!$A$53:$E$85,4,FALSE)*(1+'Inputs-System'!$C$42)+VLOOKUP(AT$3,Capacity!$A$53:$E$85,5,FALSE)*'Inputs-System'!$C$29*(1+'Inputs-System'!$C$43)), $C47 = "0", 0), 0)</f>
        <v>0</v>
      </c>
      <c r="AX47" s="100">
        <v>0</v>
      </c>
      <c r="AY47" s="346">
        <f>IFERROR(_xlfn.IFS($C47="1", 'Inputs-System'!$C$30*'Coincidence Factors'!$B$5*'Inputs-Proposals'!$J$17*'Inputs-Proposals'!$J$19*(VLOOKUP(AT$3,'Non-Embedded Emissions'!$A$56:$D$90,2,FALSE)+VLOOKUP(AT$3,'Non-Embedded Emissions'!$A$143:$D$174,2,FALSE)+VLOOKUP(AT$3,'Non-Embedded Emissions'!$A$230:$D$259,2,FALSE)-VLOOKUP(AT$3,'Non-Embedded Emissions'!$A$56:$D$90,3,FALSE)-VLOOKUP(AT$3,'Non-Embedded Emissions'!$A$143:$D$174,3,FALSE)-VLOOKUP(AT$3,'Non-Embedded Emissions'!$A$230:$D$259,3,FALSE)), $C47 = "2", 'Inputs-System'!$C$30*'Coincidence Factors'!$B$5*'Inputs-Proposals'!$J$23*'Inputs-Proposals'!$J$25*(VLOOKUP(AT$3,'Non-Embedded Emissions'!$A$56:$D$90,2,FALSE)+VLOOKUP(AT$3,'Non-Embedded Emissions'!$A$143:$D$174,2,FALSE)+VLOOKUP(AT$3,'Non-Embedded Emissions'!$A$230:$D$259,2,FALSE)-VLOOKUP(AT$3,'Non-Embedded Emissions'!$A$56:$D$90,3,FALSE)-VLOOKUP(AT$3,'Non-Embedded Emissions'!$A$143:$D$174,3,FALSE)-VLOOKUP(AT$3,'Non-Embedded Emissions'!$A$230:$D$259,3,FALSE)), $C47 = "3", 'Inputs-System'!$C$30*'Coincidence Factors'!$B$5*'Inputs-Proposals'!$J$29*'Inputs-Proposals'!$J$31*(VLOOKUP(AT$3,'Non-Embedded Emissions'!$A$56:$D$90,2,FALSE)+VLOOKUP(AT$3,'Non-Embedded Emissions'!$A$143:$D$174,2,FALSE)+VLOOKUP(AT$3,'Non-Embedded Emissions'!$A$230:$D$259,2,FALSE)-VLOOKUP(AT$3,'Non-Embedded Emissions'!$A$56:$D$90,3,FALSE)-VLOOKUP(AT$3,'Non-Embedded Emissions'!$A$143:$D$174,3,FALSE)-VLOOKUP(AT$3,'Non-Embedded Emissions'!$A$230:$D$259,3,FALSE)), $C47 = "0", 0), 0)</f>
        <v>0</v>
      </c>
      <c r="AZ47" s="344">
        <f>IFERROR(_xlfn.IFS($C47="1",('Inputs-System'!$C$30*'Coincidence Factors'!$B$5*(1+'Inputs-System'!$C$18)*(1+'Inputs-System'!$C$41)*('Inputs-Proposals'!$J$17*'Inputs-Proposals'!$J$19*(1-'Inputs-Proposals'!$J$20))*(VLOOKUP(AZ$3,Energy!$A$51:$K$83,5,FALSE)-VLOOKUP(AZ$3,Energy!$A$51:$K$83,6,FALSE))), $C47 = "2",('Inputs-System'!$C$30*'Coincidence Factors'!$B$5)*(1+'Inputs-System'!$C$18)*(1+'Inputs-System'!$C$41)*('Inputs-Proposals'!$J$23*'Inputs-Proposals'!$J$25*(1-'Inputs-Proposals'!$J$26))*(VLOOKUP(AZ$3,Energy!$A$51:$K$83,5,FALSE)-VLOOKUP(AZ$3,Energy!$A$51:$K$83,6,FALSE)), $C47= "3", ('Inputs-System'!$C$30*'Coincidence Factors'!$B$5*(1+'Inputs-System'!$C$18)*(1+'Inputs-System'!$C$41)*('Inputs-Proposals'!$J$29*'Inputs-Proposals'!$J$31*(1-'Inputs-Proposals'!$J$32))*(VLOOKUP(AZ$3,Energy!$A$51:$K$83,5,FALSE)-VLOOKUP(AZ$3,Energy!$A$51:$K$83,6,FALSE))), $C47= "0", 0), 0)</f>
        <v>0</v>
      </c>
      <c r="BA47" s="100">
        <f>IFERROR(_xlfn.IFS($C47="1", 'Inputs-System'!$C$30*'Coincidence Factors'!$B$5*(1+'Inputs-System'!$C$18)*(1+'Inputs-System'!$C$41)*'Inputs-Proposals'!$J$17*'Inputs-Proposals'!$J$19*(1-'Inputs-Proposals'!$J$20)*(VLOOKUP(AZ$3,'Embedded Emissions'!$A$47:$B$78,2,FALSE)+VLOOKUP(AZ$3,'Embedded Emissions'!$A$129:$B$158,2,FALSE)), $C47 = "2",'Inputs-System'!$C$30*'Coincidence Factors'!$B$5*(1+'Inputs-System'!$C$18)*(1+'Inputs-System'!$C$41)*'Inputs-Proposals'!$J$23*'Inputs-Proposals'!$J$25*(1-'Inputs-Proposals'!$J$20)*(VLOOKUP(AZ$3,'Embedded Emissions'!$A$47:$B$78,2,FALSE)+VLOOKUP(AZ$3,'Embedded Emissions'!$A$129:$B$158,2,FALSE)), $C47 = "3", 'Inputs-System'!$C$30*'Coincidence Factors'!$B$5*(1+'Inputs-System'!$C$18)*(1+'Inputs-System'!$C$41)*'Inputs-Proposals'!$J$29*'Inputs-Proposals'!$J$31*(1-'Inputs-Proposals'!$J$20)*(VLOOKUP(AZ$3,'Embedded Emissions'!$A$47:$B$78,2,FALSE)+VLOOKUP(AZ$3,'Embedded Emissions'!$A$129:$B$158,2,FALSE)), $C47 = "0", 0), 0)</f>
        <v>0</v>
      </c>
      <c r="BB47" s="318">
        <f>IFERROR(_xlfn.IFS($C47="1",( 'Inputs-System'!$C$30*'Coincidence Factors'!$B$5*(1+'Inputs-System'!$C$18)*(1+'Inputs-System'!$C$41))*('Inputs-Proposals'!$J$17*'Inputs-Proposals'!$J$19*(1-'Inputs-Proposals'!$J$20))*(VLOOKUP(AZ$3,DRIPE!$A$54:$I$82,5,FALSE)-VLOOKUP(AZ$3,DRIPE!$A$54:$I$82,6,FALSE)+VLOOKUP(AZ$3,DRIPE!$A$54:$I$82,9,FALSE))+ ('Inputs-System'!$C$26*'Coincidence Factors'!$B$5*(1+'Inputs-System'!$C$18)*(1+'Inputs-System'!$C$42))*'Inputs-Proposals'!$J$16*VLOOKUP(AZ$3,DRIPE!$A$54:$I$80,8,FALSE), $C47 = "2",( 'Inputs-System'!$C$30*'Coincidence Factors'!$B$5*(1+'Inputs-System'!$C$18)*(1+'Inputs-System'!$C$41))*('Inputs-Proposals'!$J$23*'Inputs-Proposals'!$J$25*(1-'Inputs-Proposals'!$J$26))*(VLOOKUP(AZ$3,DRIPE!$A$54:$I$82,5,FALSE)-VLOOKUP(AZ$3,DRIPE!$A$54:$I$82,6,FALSE)+VLOOKUP(AZ$3,DRIPE!$A$54:$I$82,9,FALSE))+ ('Inputs-System'!$C$26*'Coincidence Factors'!$B$5*(1+'Inputs-System'!$C$18)*(1+'Inputs-System'!$C$41))+ ('Inputs-System'!$C$26*'Coincidence Factors'!$B$5)*'Inputs-Proposals'!$J$22*VLOOKUP(AZ$3,DRIPE!$A$54:$I$80,8,FALSE), $C47= "3", ('Inputs-System'!$C$30*'Coincidence Factors'!$B$5)*('Inputs-Proposals'!$J$29*'Inputs-Proposals'!$J$31*(1-'Inputs-Proposals'!$J$32))*(VLOOKUP(AZ$3,DRIPE!$A$54:$I$80,5,FALSE)-VLOOKUP(AZ$3,DRIPE!$A$54:$I$80,6,FALSE)+VLOOKUP(AZ$3,DRIPE!$A$54:$I$80,9,FALSE))+ ('Inputs-System'!$C$26*'Coincidence Factors'!$B$5*(1+'Inputs-System'!$C$18)*(1+'Inputs-System'!$C$42))*'Inputs-Proposals'!$J$28*VLOOKUP(AZ$3,DRIPE!$A$54:$I$80,8,FALSE), $C47 = "0", 0), 0)</f>
        <v>0</v>
      </c>
      <c r="BC47" s="326">
        <f>IFERROR(_xlfn.IFS($C47="1",('Inputs-System'!$C$26*'Coincidence Factors'!$B$5*(1+'Inputs-System'!$C$18)*(1+'Inputs-System'!$C$42))*'Inputs-Proposals'!$J$16*(VLOOKUP(AZ$3,Capacity!$A$53:$E$85,4,FALSE)*(1+'Inputs-System'!$C$42)+VLOOKUP(AZ$3,Capacity!$A$53:$E$85,5,FALSE)*(1+'Inputs-System'!$C$43)*'Inputs-System'!$C$29), $C47 = "2", ('Inputs-System'!$C$26*'Coincidence Factors'!$B$5*(1+'Inputs-System'!$C$18))*'Inputs-Proposals'!$J$22*(VLOOKUP(AZ$3,Capacity!$A$53:$E$85,4,FALSE)*(1+'Inputs-System'!$C$42)+VLOOKUP(AZ$3,Capacity!$A$53:$E$85,5,FALSE)*'Inputs-System'!$C$29*(1+'Inputs-System'!$C$43)), $C47 = "3", ('Inputs-System'!$C$26*'Coincidence Factors'!$B$5*(1+'Inputs-System'!$C$18))*'Inputs-Proposals'!$J$28*(VLOOKUP(AZ$3,Capacity!$A$53:$E$85,4,FALSE)*(1+'Inputs-System'!$C$42)+VLOOKUP(AZ$3,Capacity!$A$53:$E$85,5,FALSE)*'Inputs-System'!$C$29*(1+'Inputs-System'!$C$43)), $C47 = "0", 0), 0)</f>
        <v>0</v>
      </c>
      <c r="BD47" s="100">
        <v>0</v>
      </c>
      <c r="BE47" s="346">
        <f>IFERROR(_xlfn.IFS($C47="1", 'Inputs-System'!$C$30*'Coincidence Factors'!$B$5*'Inputs-Proposals'!$J$17*'Inputs-Proposals'!$J$19*(VLOOKUP(AZ$3,'Non-Embedded Emissions'!$A$56:$D$90,2,FALSE)+VLOOKUP(AZ$3,'Non-Embedded Emissions'!$A$143:$D$174,2,FALSE)+VLOOKUP(AZ$3,'Non-Embedded Emissions'!$A$230:$D$259,2,FALSE)-VLOOKUP(AZ$3,'Non-Embedded Emissions'!$A$56:$D$90,3,FALSE)-VLOOKUP(AZ$3,'Non-Embedded Emissions'!$A$143:$D$174,3,FALSE)-VLOOKUP(AZ$3,'Non-Embedded Emissions'!$A$230:$D$259,3,FALSE)), $C47 = "2", 'Inputs-System'!$C$30*'Coincidence Factors'!$B$5*'Inputs-Proposals'!$J$23*'Inputs-Proposals'!$J$25*(VLOOKUP(AZ$3,'Non-Embedded Emissions'!$A$56:$D$90,2,FALSE)+VLOOKUP(AZ$3,'Non-Embedded Emissions'!$A$143:$D$174,2,FALSE)+VLOOKUP(AZ$3,'Non-Embedded Emissions'!$A$230:$D$259,2,FALSE)-VLOOKUP(AZ$3,'Non-Embedded Emissions'!$A$56:$D$90,3,FALSE)-VLOOKUP(AZ$3,'Non-Embedded Emissions'!$A$143:$D$174,3,FALSE)-VLOOKUP(AZ$3,'Non-Embedded Emissions'!$A$230:$D$259,3,FALSE)), $C47 = "3", 'Inputs-System'!$C$30*'Coincidence Factors'!$B$5*'Inputs-Proposals'!$J$29*'Inputs-Proposals'!$J$31*(VLOOKUP(AZ$3,'Non-Embedded Emissions'!$A$56:$D$90,2,FALSE)+VLOOKUP(AZ$3,'Non-Embedded Emissions'!$A$143:$D$174,2,FALSE)+VLOOKUP(AZ$3,'Non-Embedded Emissions'!$A$230:$D$259,2,FALSE)-VLOOKUP(AZ$3,'Non-Embedded Emissions'!$A$56:$D$90,3,FALSE)-VLOOKUP(AZ$3,'Non-Embedded Emissions'!$A$143:$D$174,3,FALSE)-VLOOKUP(AZ$3,'Non-Embedded Emissions'!$A$230:$D$259,3,FALSE)), $C47 = "0", 0), 0)</f>
        <v>0</v>
      </c>
      <c r="BF47" s="344">
        <f>IFERROR(_xlfn.IFS($C47="1",('Inputs-System'!$C$30*'Coincidence Factors'!$B$5*(1+'Inputs-System'!$C$18)*(1+'Inputs-System'!$C$41)*('Inputs-Proposals'!$J$17*'Inputs-Proposals'!$J$19*(1-'Inputs-Proposals'!$J$20))*(VLOOKUP(BF$3,Energy!$A$51:$K$83,5,FALSE)-VLOOKUP(BF$3,Energy!$A$51:$K$83,6,FALSE))), $C47 = "2",('Inputs-System'!$C$30*'Coincidence Factors'!$B$5)*(1+'Inputs-System'!$C$18)*(1+'Inputs-System'!$C$41)*('Inputs-Proposals'!$J$23*'Inputs-Proposals'!$J$25*(1-'Inputs-Proposals'!$J$26))*(VLOOKUP(BF$3,Energy!$A$51:$K$83,5,FALSE)-VLOOKUP(BF$3,Energy!$A$51:$K$83,6,FALSE)), $C47= "3", ('Inputs-System'!$C$30*'Coincidence Factors'!$B$5*(1+'Inputs-System'!$C$18)*(1+'Inputs-System'!$C$41)*('Inputs-Proposals'!$J$29*'Inputs-Proposals'!$J$31*(1-'Inputs-Proposals'!$J$32))*(VLOOKUP(BF$3,Energy!$A$51:$K$83,5,FALSE)-VLOOKUP(BF$3,Energy!$A$51:$K$83,6,FALSE))), $C47= "0", 0), 0)</f>
        <v>0</v>
      </c>
      <c r="BG47" s="100">
        <f>IFERROR(_xlfn.IFS($C47="1", 'Inputs-System'!$C$30*'Coincidence Factors'!$B$5*(1+'Inputs-System'!$C$18)*(1+'Inputs-System'!$C$41)*'Inputs-Proposals'!$J$17*'Inputs-Proposals'!$J$19*(1-'Inputs-Proposals'!$J$20)*(VLOOKUP(BF$3,'Embedded Emissions'!$A$47:$B$78,2,FALSE)+VLOOKUP(BF$3,'Embedded Emissions'!$A$129:$B$158,2,FALSE)), $C47 = "2",'Inputs-System'!$C$30*'Coincidence Factors'!$B$5*(1+'Inputs-System'!$C$18)*(1+'Inputs-System'!$C$41)*'Inputs-Proposals'!$J$23*'Inputs-Proposals'!$J$25*(1-'Inputs-Proposals'!$J$20)*(VLOOKUP(BF$3,'Embedded Emissions'!$A$47:$B$78,2,FALSE)+VLOOKUP(BF$3,'Embedded Emissions'!$A$129:$B$158,2,FALSE)), $C47 = "3", 'Inputs-System'!$C$30*'Coincidence Factors'!$B$5*(1+'Inputs-System'!$C$18)*(1+'Inputs-System'!$C$41)*'Inputs-Proposals'!$J$29*'Inputs-Proposals'!$J$31*(1-'Inputs-Proposals'!$J$20)*(VLOOKUP(BF$3,'Embedded Emissions'!$A$47:$B$78,2,FALSE)+VLOOKUP(BF$3,'Embedded Emissions'!$A$129:$B$158,2,FALSE)), $C47 = "0", 0), 0)</f>
        <v>0</v>
      </c>
      <c r="BH47" s="318">
        <f>IFERROR(_xlfn.IFS($C47="1",( 'Inputs-System'!$C$30*'Coincidence Factors'!$B$5*(1+'Inputs-System'!$C$18)*(1+'Inputs-System'!$C$41))*('Inputs-Proposals'!$J$17*'Inputs-Proposals'!$J$19*(1-'Inputs-Proposals'!$J$20))*(VLOOKUP(BF$3,DRIPE!$A$54:$I$82,5,FALSE)-VLOOKUP(BF$3,DRIPE!$A$54:$I$82,6,FALSE)+VLOOKUP(BF$3,DRIPE!$A$54:$I$82,9,FALSE))+ ('Inputs-System'!$C$26*'Coincidence Factors'!$B$5*(1+'Inputs-System'!$C$18)*(1+'Inputs-System'!$C$42))*'Inputs-Proposals'!$J$16*VLOOKUP(BF$3,DRIPE!$A$54:$I$80,8,FALSE), $C47 = "2",( 'Inputs-System'!$C$30*'Coincidence Factors'!$B$5*(1+'Inputs-System'!$C$18)*(1+'Inputs-System'!$C$41))*('Inputs-Proposals'!$J$23*'Inputs-Proposals'!$J$25*(1-'Inputs-Proposals'!$J$26))*(VLOOKUP(BF$3,DRIPE!$A$54:$I$82,5,FALSE)-VLOOKUP(BF$3,DRIPE!$A$54:$I$82,6,FALSE)+VLOOKUP(BF$3,DRIPE!$A$54:$I$82,9,FALSE))+ ('Inputs-System'!$C$26*'Coincidence Factors'!$B$5*(1+'Inputs-System'!$C$18)*(1+'Inputs-System'!$C$41))+ ('Inputs-System'!$C$26*'Coincidence Factors'!$B$5)*'Inputs-Proposals'!$J$22*VLOOKUP(BF$3,DRIPE!$A$54:$I$80,8,FALSE), $C47= "3", ('Inputs-System'!$C$30*'Coincidence Factors'!$B$5)*('Inputs-Proposals'!$J$29*'Inputs-Proposals'!$J$31*(1-'Inputs-Proposals'!$J$32))*(VLOOKUP(BF$3,DRIPE!$A$54:$I$80,5,FALSE)-VLOOKUP(BF$3,DRIPE!$A$54:$I$80,6,FALSE)+VLOOKUP(BF$3,DRIPE!$A$54:$I$80,9,FALSE))+ ('Inputs-System'!$C$26*'Coincidence Factors'!$B$5*(1+'Inputs-System'!$C$18)*(1+'Inputs-System'!$C$42))*'Inputs-Proposals'!$J$28*VLOOKUP(BF$3,DRIPE!$A$54:$I$80,8,FALSE), $C47 = "0", 0), 0)</f>
        <v>0</v>
      </c>
      <c r="BI47" s="326">
        <f>IFERROR(_xlfn.IFS($C47="1",('Inputs-System'!$C$26*'Coincidence Factors'!$B$5*(1+'Inputs-System'!$C$18)*(1+'Inputs-System'!$C$42))*'Inputs-Proposals'!$J$16*(VLOOKUP(BF$3,Capacity!$A$53:$E$85,4,FALSE)*(1+'Inputs-System'!$C$42)+VLOOKUP(BF$3,Capacity!$A$53:$E$85,5,FALSE)*(1+'Inputs-System'!$C$43)*'Inputs-System'!$C$29), $C47 = "2", ('Inputs-System'!$C$26*'Coincidence Factors'!$B$5*(1+'Inputs-System'!$C$18))*'Inputs-Proposals'!$J$22*(VLOOKUP(BF$3,Capacity!$A$53:$E$85,4,FALSE)*(1+'Inputs-System'!$C$42)+VLOOKUP(BF$3,Capacity!$A$53:$E$85,5,FALSE)*'Inputs-System'!$C$29*(1+'Inputs-System'!$C$43)), $C47 = "3", ('Inputs-System'!$C$26*'Coincidence Factors'!$B$5*(1+'Inputs-System'!$C$18))*'Inputs-Proposals'!$J$28*(VLOOKUP(BF$3,Capacity!$A$53:$E$85,4,FALSE)*(1+'Inputs-System'!$C$42)+VLOOKUP(BF$3,Capacity!$A$53:$E$85,5,FALSE)*'Inputs-System'!$C$29*(1+'Inputs-System'!$C$43)), $C47 = "0", 0), 0)</f>
        <v>0</v>
      </c>
      <c r="BJ47" s="100">
        <v>0</v>
      </c>
      <c r="BK47" s="346">
        <f>IFERROR(_xlfn.IFS($C47="1", 'Inputs-System'!$C$30*'Coincidence Factors'!$B$5*'Inputs-Proposals'!$J$17*'Inputs-Proposals'!$J$19*(VLOOKUP(BF$3,'Non-Embedded Emissions'!$A$56:$D$90,2,FALSE)+VLOOKUP(BF$3,'Non-Embedded Emissions'!$A$143:$D$174,2,FALSE)+VLOOKUP(BF$3,'Non-Embedded Emissions'!$A$230:$D$259,2,FALSE)-VLOOKUP(BF$3,'Non-Embedded Emissions'!$A$56:$D$90,3,FALSE)-VLOOKUP(BF$3,'Non-Embedded Emissions'!$A$143:$D$174,3,FALSE)-VLOOKUP(BF$3,'Non-Embedded Emissions'!$A$230:$D$259,3,FALSE)), $C47 = "2", 'Inputs-System'!$C$30*'Coincidence Factors'!$B$5*'Inputs-Proposals'!$J$23*'Inputs-Proposals'!$J$25*(VLOOKUP(BF$3,'Non-Embedded Emissions'!$A$56:$D$90,2,FALSE)+VLOOKUP(BF$3,'Non-Embedded Emissions'!$A$143:$D$174,2,FALSE)+VLOOKUP(BF$3,'Non-Embedded Emissions'!$A$230:$D$259,2,FALSE)-VLOOKUP(BF$3,'Non-Embedded Emissions'!$A$56:$D$90,3,FALSE)-VLOOKUP(BF$3,'Non-Embedded Emissions'!$A$143:$D$174,3,FALSE)-VLOOKUP(BF$3,'Non-Embedded Emissions'!$A$230:$D$259,3,FALSE)), $C47 = "3", 'Inputs-System'!$C$30*'Coincidence Factors'!$B$5*'Inputs-Proposals'!$J$29*'Inputs-Proposals'!$J$31*(VLOOKUP(BF$3,'Non-Embedded Emissions'!$A$56:$D$90,2,FALSE)+VLOOKUP(BF$3,'Non-Embedded Emissions'!$A$143:$D$174,2,FALSE)+VLOOKUP(BF$3,'Non-Embedded Emissions'!$A$230:$D$259,2,FALSE)-VLOOKUP(BF$3,'Non-Embedded Emissions'!$A$56:$D$90,3,FALSE)-VLOOKUP(BF$3,'Non-Embedded Emissions'!$A$143:$D$174,3,FALSE)-VLOOKUP(BF$3,'Non-Embedded Emissions'!$A$230:$D$259,3,FALSE)), $C47 = "0", 0), 0)</f>
        <v>0</v>
      </c>
      <c r="BL47" s="344">
        <f>IFERROR(_xlfn.IFS($C47="1",('Inputs-System'!$C$30*'Coincidence Factors'!$B$5*(1+'Inputs-System'!$C$18)*(1+'Inputs-System'!$C$41)*('Inputs-Proposals'!$J$17*'Inputs-Proposals'!$J$19*(1-'Inputs-Proposals'!$J$20))*(VLOOKUP(BL$3,Energy!$A$51:$K$83,5,FALSE)-VLOOKUP(BL$3,Energy!$A$51:$K$83,6,FALSE))), $C47 = "2",('Inputs-System'!$C$30*'Coincidence Factors'!$B$5)*(1+'Inputs-System'!$C$18)*(1+'Inputs-System'!$C$41)*('Inputs-Proposals'!$J$23*'Inputs-Proposals'!$J$25*(1-'Inputs-Proposals'!$J$26))*(VLOOKUP(BL$3,Energy!$A$51:$K$83,5,FALSE)-VLOOKUP(BL$3,Energy!$A$51:$K$83,6,FALSE)), $C47= "3", ('Inputs-System'!$C$30*'Coincidence Factors'!$B$5*(1+'Inputs-System'!$C$18)*(1+'Inputs-System'!$C$41)*('Inputs-Proposals'!$J$29*'Inputs-Proposals'!$J$31*(1-'Inputs-Proposals'!$J$32))*(VLOOKUP(BL$3,Energy!$A$51:$K$83,5,FALSE)-VLOOKUP(BL$3,Energy!$A$51:$K$83,6,FALSE))), $C47= "0", 0), 0)</f>
        <v>0</v>
      </c>
      <c r="BM47" s="100">
        <f>IFERROR(_xlfn.IFS($C47="1", 'Inputs-System'!$C$30*'Coincidence Factors'!$B$5*(1+'Inputs-System'!$C$18)*(1+'Inputs-System'!$C$41)*'Inputs-Proposals'!$J$17*'Inputs-Proposals'!$J$19*(1-'Inputs-Proposals'!$J$20)*(VLOOKUP(BL$3,'Embedded Emissions'!$A$47:$B$78,2,FALSE)+VLOOKUP(BL$3,'Embedded Emissions'!$A$129:$B$158,2,FALSE)), $C47 = "2",'Inputs-System'!$C$30*'Coincidence Factors'!$B$5*(1+'Inputs-System'!$C$18)*(1+'Inputs-System'!$C$41)*'Inputs-Proposals'!$J$23*'Inputs-Proposals'!$J$25*(1-'Inputs-Proposals'!$J$20)*(VLOOKUP(BL$3,'Embedded Emissions'!$A$47:$B$78,2,FALSE)+VLOOKUP(BL$3,'Embedded Emissions'!$A$129:$B$158,2,FALSE)), $C47 = "3", 'Inputs-System'!$C$30*'Coincidence Factors'!$B$5*(1+'Inputs-System'!$C$18)*(1+'Inputs-System'!$C$41)*'Inputs-Proposals'!$J$29*'Inputs-Proposals'!$J$31*(1-'Inputs-Proposals'!$J$20)*(VLOOKUP(BL$3,'Embedded Emissions'!$A$47:$B$78,2,FALSE)+VLOOKUP(BL$3,'Embedded Emissions'!$A$129:$B$158,2,FALSE)), $C47 = "0", 0), 0)</f>
        <v>0</v>
      </c>
      <c r="BN47" s="318">
        <f>IFERROR(_xlfn.IFS($C47="1",( 'Inputs-System'!$C$30*'Coincidence Factors'!$B$5*(1+'Inputs-System'!$C$18)*(1+'Inputs-System'!$C$41))*('Inputs-Proposals'!$J$17*'Inputs-Proposals'!$J$19*(1-'Inputs-Proposals'!$J$20))*(VLOOKUP(BL$3,DRIPE!$A$54:$I$82,5,FALSE)-VLOOKUP(BL$3,DRIPE!$A$54:$I$82,6,FALSE)+VLOOKUP(BL$3,DRIPE!$A$54:$I$82,9,FALSE))+ ('Inputs-System'!$C$26*'Coincidence Factors'!$B$5*(1+'Inputs-System'!$C$18)*(1+'Inputs-System'!$C$42))*'Inputs-Proposals'!$J$16*VLOOKUP(BL$3,DRIPE!$A$54:$I$80,8,FALSE), $C47 = "2",( 'Inputs-System'!$C$30*'Coincidence Factors'!$B$5*(1+'Inputs-System'!$C$18)*(1+'Inputs-System'!$C$41))*('Inputs-Proposals'!$J$23*'Inputs-Proposals'!$J$25*(1-'Inputs-Proposals'!$J$26))*(VLOOKUP(BL$3,DRIPE!$A$54:$I$82,5,FALSE)-VLOOKUP(BL$3,DRIPE!$A$54:$I$82,6,FALSE)+VLOOKUP(BL$3,DRIPE!$A$54:$I$82,9,FALSE))+ ('Inputs-System'!$C$26*'Coincidence Factors'!$B$5*(1+'Inputs-System'!$C$18)*(1+'Inputs-System'!$C$41))+ ('Inputs-System'!$C$26*'Coincidence Factors'!$B$5)*'Inputs-Proposals'!$J$22*VLOOKUP(BL$3,DRIPE!$A$54:$I$80,8,FALSE), $C47= "3", ('Inputs-System'!$C$30*'Coincidence Factors'!$B$5)*('Inputs-Proposals'!$J$29*'Inputs-Proposals'!$J$31*(1-'Inputs-Proposals'!$J$32))*(VLOOKUP(BL$3,DRIPE!$A$54:$I$80,5,FALSE)-VLOOKUP(BL$3,DRIPE!$A$54:$I$80,6,FALSE)+VLOOKUP(BL$3,DRIPE!$A$54:$I$80,9,FALSE))+ ('Inputs-System'!$C$26*'Coincidence Factors'!$B$5*(1+'Inputs-System'!$C$18)*(1+'Inputs-System'!$C$42))*'Inputs-Proposals'!$J$28*VLOOKUP(BL$3,DRIPE!$A$54:$I$80,8,FALSE), $C47 = "0", 0), 0)</f>
        <v>0</v>
      </c>
      <c r="BO47" s="326">
        <f>IFERROR(_xlfn.IFS($C47="1",('Inputs-System'!$C$26*'Coincidence Factors'!$B$5*(1+'Inputs-System'!$C$18)*(1+'Inputs-System'!$C$42))*'Inputs-Proposals'!$J$16*(VLOOKUP(BL$3,Capacity!$A$53:$E$85,4,FALSE)*(1+'Inputs-System'!$C$42)+VLOOKUP(BL$3,Capacity!$A$53:$E$85,5,FALSE)*(1+'Inputs-System'!$C$43)*'Inputs-System'!$C$29), $C47 = "2", ('Inputs-System'!$C$26*'Coincidence Factors'!$B$5*(1+'Inputs-System'!$C$18))*'Inputs-Proposals'!$J$22*(VLOOKUP(BL$3,Capacity!$A$53:$E$85,4,FALSE)*(1+'Inputs-System'!$C$42)+VLOOKUP(BL$3,Capacity!$A$53:$E$85,5,FALSE)*'Inputs-System'!$C$29*(1+'Inputs-System'!$C$43)), $C47 = "3", ('Inputs-System'!$C$26*'Coincidence Factors'!$B$5*(1+'Inputs-System'!$C$18))*'Inputs-Proposals'!$J$28*(VLOOKUP(BL$3,Capacity!$A$53:$E$85,4,FALSE)*(1+'Inputs-System'!$C$42)+VLOOKUP(BL$3,Capacity!$A$53:$E$85,5,FALSE)*'Inputs-System'!$C$29*(1+'Inputs-System'!$C$43)), $C47 = "0", 0), 0)</f>
        <v>0</v>
      </c>
      <c r="BP47" s="100">
        <v>0</v>
      </c>
      <c r="BQ47" s="346">
        <f>IFERROR(_xlfn.IFS($C47="1", 'Inputs-System'!$C$30*'Coincidence Factors'!$B$5*'Inputs-Proposals'!$J$17*'Inputs-Proposals'!$J$19*(VLOOKUP(BL$3,'Non-Embedded Emissions'!$A$56:$D$90,2,FALSE)+VLOOKUP(BL$3,'Non-Embedded Emissions'!$A$143:$D$174,2,FALSE)+VLOOKUP(BL$3,'Non-Embedded Emissions'!$A$230:$D$259,2,FALSE)-VLOOKUP(BL$3,'Non-Embedded Emissions'!$A$56:$D$90,3,FALSE)-VLOOKUP(BL$3,'Non-Embedded Emissions'!$A$143:$D$174,3,FALSE)-VLOOKUP(BL$3,'Non-Embedded Emissions'!$A$230:$D$259,3,FALSE)), $C47 = "2", 'Inputs-System'!$C$30*'Coincidence Factors'!$B$5*'Inputs-Proposals'!$J$23*'Inputs-Proposals'!$J$25*(VLOOKUP(BL$3,'Non-Embedded Emissions'!$A$56:$D$90,2,FALSE)+VLOOKUP(BL$3,'Non-Embedded Emissions'!$A$143:$D$174,2,FALSE)+VLOOKUP(BL$3,'Non-Embedded Emissions'!$A$230:$D$259,2,FALSE)-VLOOKUP(BL$3,'Non-Embedded Emissions'!$A$56:$D$90,3,FALSE)-VLOOKUP(BL$3,'Non-Embedded Emissions'!$A$143:$D$174,3,FALSE)-VLOOKUP(BL$3,'Non-Embedded Emissions'!$A$230:$D$259,3,FALSE)), $C47 = "3", 'Inputs-System'!$C$30*'Coincidence Factors'!$B$5*'Inputs-Proposals'!$J$29*'Inputs-Proposals'!$J$31*(VLOOKUP(BL$3,'Non-Embedded Emissions'!$A$56:$D$90,2,FALSE)+VLOOKUP(BL$3,'Non-Embedded Emissions'!$A$143:$D$174,2,FALSE)+VLOOKUP(BL$3,'Non-Embedded Emissions'!$A$230:$D$259,2,FALSE)-VLOOKUP(BL$3,'Non-Embedded Emissions'!$A$56:$D$90,3,FALSE)-VLOOKUP(BL$3,'Non-Embedded Emissions'!$A$143:$D$174,3,FALSE)-VLOOKUP(BL$3,'Non-Embedded Emissions'!$A$230:$D$259,3,FALSE)), $C47 = "0", 0), 0)</f>
        <v>0</v>
      </c>
      <c r="BR47" s="344">
        <f>IFERROR(_xlfn.IFS($C47="1",('Inputs-System'!$C$30*'Coincidence Factors'!$B$5*(1+'Inputs-System'!$C$18)*(1+'Inputs-System'!$C$41)*('Inputs-Proposals'!$J$17*'Inputs-Proposals'!$J$19*(1-'Inputs-Proposals'!$J$20))*(VLOOKUP(BR$3,Energy!$A$51:$K$83,5,FALSE)-VLOOKUP(BR$3,Energy!$A$51:$K$83,6,FALSE))), $C47 = "2",('Inputs-System'!$C$30*'Coincidence Factors'!$B$5)*(1+'Inputs-System'!$C$18)*(1+'Inputs-System'!$C$41)*('Inputs-Proposals'!$J$23*'Inputs-Proposals'!$J$25*(1-'Inputs-Proposals'!$J$26))*(VLOOKUP(BR$3,Energy!$A$51:$K$83,5,FALSE)-VLOOKUP(BR$3,Energy!$A$51:$K$83,6,FALSE)), $C47= "3", ('Inputs-System'!$C$30*'Coincidence Factors'!$B$5*(1+'Inputs-System'!$C$18)*(1+'Inputs-System'!$C$41)*('Inputs-Proposals'!$J$29*'Inputs-Proposals'!$J$31*(1-'Inputs-Proposals'!$J$32))*(VLOOKUP(BR$3,Energy!$A$51:$K$83,5,FALSE)-VLOOKUP(BR$3,Energy!$A$51:$K$83,6,FALSE))), $C47= "0", 0), 0)</f>
        <v>0</v>
      </c>
      <c r="BS47" s="100">
        <f>IFERROR(_xlfn.IFS($C47="1", 'Inputs-System'!$C$30*'Coincidence Factors'!$B$5*(1+'Inputs-System'!$C$18)*(1+'Inputs-System'!$C$41)*'Inputs-Proposals'!$J$17*'Inputs-Proposals'!$J$19*(1-'Inputs-Proposals'!$J$20)*(VLOOKUP(BR$3,'Embedded Emissions'!$A$47:$B$78,2,FALSE)+VLOOKUP(BR$3,'Embedded Emissions'!$A$129:$B$158,2,FALSE)), $C47 = "2",'Inputs-System'!$C$30*'Coincidence Factors'!$B$5*(1+'Inputs-System'!$C$18)*(1+'Inputs-System'!$C$41)*'Inputs-Proposals'!$J$23*'Inputs-Proposals'!$J$25*(1-'Inputs-Proposals'!$J$20)*(VLOOKUP(BR$3,'Embedded Emissions'!$A$47:$B$78,2,FALSE)+VLOOKUP(BR$3,'Embedded Emissions'!$A$129:$B$158,2,FALSE)), $C47 = "3", 'Inputs-System'!$C$30*'Coincidence Factors'!$B$5*(1+'Inputs-System'!$C$18)*(1+'Inputs-System'!$C$41)*'Inputs-Proposals'!$J$29*'Inputs-Proposals'!$J$31*(1-'Inputs-Proposals'!$J$20)*(VLOOKUP(BR$3,'Embedded Emissions'!$A$47:$B$78,2,FALSE)+VLOOKUP(BR$3,'Embedded Emissions'!$A$129:$B$158,2,FALSE)), $C47 = "0", 0), 0)</f>
        <v>0</v>
      </c>
      <c r="BT47" s="318">
        <f>IFERROR(_xlfn.IFS($C47="1",( 'Inputs-System'!$C$30*'Coincidence Factors'!$B$5*(1+'Inputs-System'!$C$18)*(1+'Inputs-System'!$C$41))*('Inputs-Proposals'!$J$17*'Inputs-Proposals'!$J$19*(1-'Inputs-Proposals'!$J$20))*(VLOOKUP(BR$3,DRIPE!$A$54:$I$82,5,FALSE)-VLOOKUP(BR$3,DRIPE!$A$54:$I$82,6,FALSE)+VLOOKUP(BR$3,DRIPE!$A$54:$I$82,9,FALSE))+ ('Inputs-System'!$C$26*'Coincidence Factors'!$B$5*(1+'Inputs-System'!$C$18)*(1+'Inputs-System'!$C$42))*'Inputs-Proposals'!$J$16*VLOOKUP(BR$3,DRIPE!$A$54:$I$80,8,FALSE), $C47 = "2",( 'Inputs-System'!$C$30*'Coincidence Factors'!$B$5*(1+'Inputs-System'!$C$18)*(1+'Inputs-System'!$C$41))*('Inputs-Proposals'!$J$23*'Inputs-Proposals'!$J$25*(1-'Inputs-Proposals'!$J$26))*(VLOOKUP(BR$3,DRIPE!$A$54:$I$82,5,FALSE)-VLOOKUP(BR$3,DRIPE!$A$54:$I$82,6,FALSE)+VLOOKUP(BR$3,DRIPE!$A$54:$I$82,9,FALSE))+ ('Inputs-System'!$C$26*'Coincidence Factors'!$B$5*(1+'Inputs-System'!$C$18)*(1+'Inputs-System'!$C$41))+ ('Inputs-System'!$C$26*'Coincidence Factors'!$B$5)*'Inputs-Proposals'!$J$22*VLOOKUP(BR$3,DRIPE!$A$54:$I$80,8,FALSE), $C47= "3", ('Inputs-System'!$C$30*'Coincidence Factors'!$B$5)*('Inputs-Proposals'!$J$29*'Inputs-Proposals'!$J$31*(1-'Inputs-Proposals'!$J$32))*(VLOOKUP(BR$3,DRIPE!$A$54:$I$80,5,FALSE)-VLOOKUP(BR$3,DRIPE!$A$54:$I$80,6,FALSE)+VLOOKUP(BR$3,DRIPE!$A$54:$I$80,9,FALSE))+ ('Inputs-System'!$C$26*'Coincidence Factors'!$B$5*(1+'Inputs-System'!$C$18)*(1+'Inputs-System'!$C$42))*'Inputs-Proposals'!$J$28*VLOOKUP(BR$3,DRIPE!$A$54:$I$80,8,FALSE), $C47 = "0", 0), 0)</f>
        <v>0</v>
      </c>
      <c r="BU47" s="326">
        <f>IFERROR(_xlfn.IFS($C47="1",('Inputs-System'!$C$26*'Coincidence Factors'!$B$5*(1+'Inputs-System'!$C$18)*(1+'Inputs-System'!$C$42))*'Inputs-Proposals'!$J$16*(VLOOKUP(BR$3,Capacity!$A$53:$E$85,4,FALSE)*(1+'Inputs-System'!$C$42)+VLOOKUP(BR$3,Capacity!$A$53:$E$85,5,FALSE)*(1+'Inputs-System'!$C$43)*'Inputs-System'!$C$29), $C47 = "2", ('Inputs-System'!$C$26*'Coincidence Factors'!$B$5*(1+'Inputs-System'!$C$18))*'Inputs-Proposals'!$J$22*(VLOOKUP(BR$3,Capacity!$A$53:$E$85,4,FALSE)*(1+'Inputs-System'!$C$42)+VLOOKUP(BR$3,Capacity!$A$53:$E$85,5,FALSE)*'Inputs-System'!$C$29*(1+'Inputs-System'!$C$43)), $C47 = "3", ('Inputs-System'!$C$26*'Coincidence Factors'!$B$5*(1+'Inputs-System'!$C$18))*'Inputs-Proposals'!$J$28*(VLOOKUP(BR$3,Capacity!$A$53:$E$85,4,FALSE)*(1+'Inputs-System'!$C$42)+VLOOKUP(BR$3,Capacity!$A$53:$E$85,5,FALSE)*'Inputs-System'!$C$29*(1+'Inputs-System'!$C$43)), $C47 = "0", 0), 0)</f>
        <v>0</v>
      </c>
      <c r="BV47" s="100">
        <v>0</v>
      </c>
      <c r="BW47" s="346">
        <f>IFERROR(_xlfn.IFS($C47="1", 'Inputs-System'!$C$30*'Coincidence Factors'!$B$5*'Inputs-Proposals'!$J$17*'Inputs-Proposals'!$J$19*(VLOOKUP(BR$3,'Non-Embedded Emissions'!$A$56:$D$90,2,FALSE)+VLOOKUP(BR$3,'Non-Embedded Emissions'!$A$143:$D$174,2,FALSE)+VLOOKUP(BR$3,'Non-Embedded Emissions'!$A$230:$D$259,2,FALSE)-VLOOKUP(BR$3,'Non-Embedded Emissions'!$A$56:$D$90,3,FALSE)-VLOOKUP(BR$3,'Non-Embedded Emissions'!$A$143:$D$174,3,FALSE)-VLOOKUP(BR$3,'Non-Embedded Emissions'!$A$230:$D$259,3,FALSE)), $C47 = "2", 'Inputs-System'!$C$30*'Coincidence Factors'!$B$5*'Inputs-Proposals'!$J$23*'Inputs-Proposals'!$J$25*(VLOOKUP(BR$3,'Non-Embedded Emissions'!$A$56:$D$90,2,FALSE)+VLOOKUP(BR$3,'Non-Embedded Emissions'!$A$143:$D$174,2,FALSE)+VLOOKUP(BR$3,'Non-Embedded Emissions'!$A$230:$D$259,2,FALSE)-VLOOKUP(BR$3,'Non-Embedded Emissions'!$A$56:$D$90,3,FALSE)-VLOOKUP(BR$3,'Non-Embedded Emissions'!$A$143:$D$174,3,FALSE)-VLOOKUP(BR$3,'Non-Embedded Emissions'!$A$230:$D$259,3,FALSE)), $C47 = "3", 'Inputs-System'!$C$30*'Coincidence Factors'!$B$5*'Inputs-Proposals'!$J$29*'Inputs-Proposals'!$J$31*(VLOOKUP(BR$3,'Non-Embedded Emissions'!$A$56:$D$90,2,FALSE)+VLOOKUP(BR$3,'Non-Embedded Emissions'!$A$143:$D$174,2,FALSE)+VLOOKUP(BR$3,'Non-Embedded Emissions'!$A$230:$D$259,2,FALSE)-VLOOKUP(BR$3,'Non-Embedded Emissions'!$A$56:$D$90,3,FALSE)-VLOOKUP(BR$3,'Non-Embedded Emissions'!$A$143:$D$174,3,FALSE)-VLOOKUP(BR$3,'Non-Embedded Emissions'!$A$230:$D$259,3,FALSE)), $C47 = "0", 0), 0)</f>
        <v>0</v>
      </c>
      <c r="BX47" s="344">
        <f>IFERROR(_xlfn.IFS($C47="1",('Inputs-System'!$C$30*'Coincidence Factors'!$B$5*(1+'Inputs-System'!$C$18)*(1+'Inputs-System'!$C$41)*('Inputs-Proposals'!$J$17*'Inputs-Proposals'!$J$19*(1-'Inputs-Proposals'!$J$20))*(VLOOKUP(BX$3,Energy!$A$51:$K$83,5,FALSE)-VLOOKUP(BX$3,Energy!$A$51:$K$83,6,FALSE))), $C47 = "2",('Inputs-System'!$C$30*'Coincidence Factors'!$B$5)*(1+'Inputs-System'!$C$18)*(1+'Inputs-System'!$C$41)*('Inputs-Proposals'!$J$23*'Inputs-Proposals'!$J$25*(1-'Inputs-Proposals'!$J$26))*(VLOOKUP(BX$3,Energy!$A$51:$K$83,5,FALSE)-VLOOKUP(BX$3,Energy!$A$51:$K$83,6,FALSE)), $C47= "3", ('Inputs-System'!$C$30*'Coincidence Factors'!$B$5*(1+'Inputs-System'!$C$18)*(1+'Inputs-System'!$C$41)*('Inputs-Proposals'!$J$29*'Inputs-Proposals'!$J$31*(1-'Inputs-Proposals'!$J$32))*(VLOOKUP(BX$3,Energy!$A$51:$K$83,5,FALSE)-VLOOKUP(BX$3,Energy!$A$51:$K$83,6,FALSE))), $C47= "0", 0), 0)</f>
        <v>0</v>
      </c>
      <c r="BY47" s="100">
        <f>IFERROR(_xlfn.IFS($C47="1", 'Inputs-System'!$C$30*'Coincidence Factors'!$B$5*(1+'Inputs-System'!$C$18)*(1+'Inputs-System'!$C$41)*'Inputs-Proposals'!$J$17*'Inputs-Proposals'!$J$19*(1-'Inputs-Proposals'!$J$20)*(VLOOKUP(BX$3,'Embedded Emissions'!$A$47:$B$78,2,FALSE)+VLOOKUP(BX$3,'Embedded Emissions'!$A$129:$B$158,2,FALSE)), $C47 = "2",'Inputs-System'!$C$30*'Coincidence Factors'!$B$5*(1+'Inputs-System'!$C$18)*(1+'Inputs-System'!$C$41)*'Inputs-Proposals'!$J$23*'Inputs-Proposals'!$J$25*(1-'Inputs-Proposals'!$J$20)*(VLOOKUP(BX$3,'Embedded Emissions'!$A$47:$B$78,2,FALSE)+VLOOKUP(BX$3,'Embedded Emissions'!$A$129:$B$158,2,FALSE)), $C47 = "3", 'Inputs-System'!$C$30*'Coincidence Factors'!$B$5*(1+'Inputs-System'!$C$18)*(1+'Inputs-System'!$C$41)*'Inputs-Proposals'!$J$29*'Inputs-Proposals'!$J$31*(1-'Inputs-Proposals'!$J$20)*(VLOOKUP(BX$3,'Embedded Emissions'!$A$47:$B$78,2,FALSE)+VLOOKUP(BX$3,'Embedded Emissions'!$A$129:$B$158,2,FALSE)), $C47 = "0", 0), 0)</f>
        <v>0</v>
      </c>
      <c r="BZ47" s="318">
        <f>IFERROR(_xlfn.IFS($C47="1",( 'Inputs-System'!$C$30*'Coincidence Factors'!$B$5*(1+'Inputs-System'!$C$18)*(1+'Inputs-System'!$C$41))*('Inputs-Proposals'!$J$17*'Inputs-Proposals'!$J$19*(1-'Inputs-Proposals'!$J$20))*(VLOOKUP(BX$3,DRIPE!$A$54:$I$82,5,FALSE)-VLOOKUP(BX$3,DRIPE!$A$54:$I$82,6,FALSE)+VLOOKUP(BX$3,DRIPE!$A$54:$I$82,9,FALSE))+ ('Inputs-System'!$C$26*'Coincidence Factors'!$B$5*(1+'Inputs-System'!$C$18)*(1+'Inputs-System'!$C$42))*'Inputs-Proposals'!$J$16*VLOOKUP(BX$3,DRIPE!$A$54:$I$80,8,FALSE), $C47 = "2",( 'Inputs-System'!$C$30*'Coincidence Factors'!$B$5*(1+'Inputs-System'!$C$18)*(1+'Inputs-System'!$C$41))*('Inputs-Proposals'!$J$23*'Inputs-Proposals'!$J$25*(1-'Inputs-Proposals'!$J$26))*(VLOOKUP(BX$3,DRIPE!$A$54:$I$82,5,FALSE)-VLOOKUP(BX$3,DRIPE!$A$54:$I$82,6,FALSE)+VLOOKUP(BX$3,DRIPE!$A$54:$I$82,9,FALSE))+ ('Inputs-System'!$C$26*'Coincidence Factors'!$B$5*(1+'Inputs-System'!$C$18)*(1+'Inputs-System'!$C$41))+ ('Inputs-System'!$C$26*'Coincidence Factors'!$B$5)*'Inputs-Proposals'!$J$22*VLOOKUP(BX$3,DRIPE!$A$54:$I$80,8,FALSE), $C47= "3", ('Inputs-System'!$C$30*'Coincidence Factors'!$B$5)*('Inputs-Proposals'!$J$29*'Inputs-Proposals'!$J$31*(1-'Inputs-Proposals'!$J$32))*(VLOOKUP(BX$3,DRIPE!$A$54:$I$80,5,FALSE)-VLOOKUP(BX$3,DRIPE!$A$54:$I$80,6,FALSE)+VLOOKUP(BX$3,DRIPE!$A$54:$I$80,9,FALSE))+ ('Inputs-System'!$C$26*'Coincidence Factors'!$B$5*(1+'Inputs-System'!$C$18)*(1+'Inputs-System'!$C$42))*'Inputs-Proposals'!$J$28*VLOOKUP(BX$3,DRIPE!$A$54:$I$80,8,FALSE), $C47 = "0", 0), 0)</f>
        <v>0</v>
      </c>
      <c r="CA47" s="326">
        <f>IFERROR(_xlfn.IFS($C47="1",('Inputs-System'!$C$26*'Coincidence Factors'!$B$5*(1+'Inputs-System'!$C$18)*(1+'Inputs-System'!$C$42))*'Inputs-Proposals'!$J$16*(VLOOKUP(BX$3,Capacity!$A$53:$E$85,4,FALSE)*(1+'Inputs-System'!$C$42)+VLOOKUP(BX$3,Capacity!$A$53:$E$85,5,FALSE)*(1+'Inputs-System'!$C$43)*'Inputs-System'!$C$29), $C47 = "2", ('Inputs-System'!$C$26*'Coincidence Factors'!$B$5*(1+'Inputs-System'!$C$18))*'Inputs-Proposals'!$J$22*(VLOOKUP(BX$3,Capacity!$A$53:$E$85,4,FALSE)*(1+'Inputs-System'!$C$42)+VLOOKUP(BX$3,Capacity!$A$53:$E$85,5,FALSE)*'Inputs-System'!$C$29*(1+'Inputs-System'!$C$43)), $C47 = "3", ('Inputs-System'!$C$26*'Coincidence Factors'!$B$5*(1+'Inputs-System'!$C$18))*'Inputs-Proposals'!$J$28*(VLOOKUP(BX$3,Capacity!$A$53:$E$85,4,FALSE)*(1+'Inputs-System'!$C$42)+VLOOKUP(BX$3,Capacity!$A$53:$E$85,5,FALSE)*'Inputs-System'!$C$29*(1+'Inputs-System'!$C$43)), $C47 = "0", 0), 0)</f>
        <v>0</v>
      </c>
      <c r="CB47" s="100">
        <v>0</v>
      </c>
      <c r="CC47" s="346">
        <f>IFERROR(_xlfn.IFS($C47="1", 'Inputs-System'!$C$30*'Coincidence Factors'!$B$5*'Inputs-Proposals'!$J$17*'Inputs-Proposals'!$J$19*(VLOOKUP(BX$3,'Non-Embedded Emissions'!$A$56:$D$90,2,FALSE)+VLOOKUP(BX$3,'Non-Embedded Emissions'!$A$143:$D$174,2,FALSE)+VLOOKUP(BX$3,'Non-Embedded Emissions'!$A$230:$D$259,2,FALSE)-VLOOKUP(BX$3,'Non-Embedded Emissions'!$A$56:$D$90,3,FALSE)-VLOOKUP(BX$3,'Non-Embedded Emissions'!$A$143:$D$174,3,FALSE)-VLOOKUP(BX$3,'Non-Embedded Emissions'!$A$230:$D$259,3,FALSE)), $C47 = "2", 'Inputs-System'!$C$30*'Coincidence Factors'!$B$5*'Inputs-Proposals'!$J$23*'Inputs-Proposals'!$J$25*(VLOOKUP(BX$3,'Non-Embedded Emissions'!$A$56:$D$90,2,FALSE)+VLOOKUP(BX$3,'Non-Embedded Emissions'!$A$143:$D$174,2,FALSE)+VLOOKUP(BX$3,'Non-Embedded Emissions'!$A$230:$D$259,2,FALSE)-VLOOKUP(BX$3,'Non-Embedded Emissions'!$A$56:$D$90,3,FALSE)-VLOOKUP(BX$3,'Non-Embedded Emissions'!$A$143:$D$174,3,FALSE)-VLOOKUP(BX$3,'Non-Embedded Emissions'!$A$230:$D$259,3,FALSE)), $C47 = "3", 'Inputs-System'!$C$30*'Coincidence Factors'!$B$5*'Inputs-Proposals'!$J$29*'Inputs-Proposals'!$J$31*(VLOOKUP(BX$3,'Non-Embedded Emissions'!$A$56:$D$90,2,FALSE)+VLOOKUP(BX$3,'Non-Embedded Emissions'!$A$143:$D$174,2,FALSE)+VLOOKUP(BX$3,'Non-Embedded Emissions'!$A$230:$D$259,2,FALSE)-VLOOKUP(BX$3,'Non-Embedded Emissions'!$A$56:$D$90,3,FALSE)-VLOOKUP(BX$3,'Non-Embedded Emissions'!$A$143:$D$174,3,FALSE)-VLOOKUP(BX$3,'Non-Embedded Emissions'!$A$230:$D$259,3,FALSE)), $C47 = "0", 0), 0)</f>
        <v>0</v>
      </c>
      <c r="CD47" s="344">
        <f>IFERROR(_xlfn.IFS($C47="1",('Inputs-System'!$C$30*'Coincidence Factors'!$B$5*(1+'Inputs-System'!$C$18)*(1+'Inputs-System'!$C$41)*('Inputs-Proposals'!$J$17*'Inputs-Proposals'!$J$19*(1-'Inputs-Proposals'!$J$20))*(VLOOKUP(CD$3,Energy!$A$51:$K$83,5,FALSE)-VLOOKUP(CD$3,Energy!$A$51:$K$83,6,FALSE))), $C47 = "2",('Inputs-System'!$C$30*'Coincidence Factors'!$B$5)*(1+'Inputs-System'!$C$18)*(1+'Inputs-System'!$C$41)*('Inputs-Proposals'!$J$23*'Inputs-Proposals'!$J$25*(1-'Inputs-Proposals'!$J$26))*(VLOOKUP(CD$3,Energy!$A$51:$K$83,5,FALSE)-VLOOKUP(CD$3,Energy!$A$51:$K$83,6,FALSE)), $C47= "3", ('Inputs-System'!$C$30*'Coincidence Factors'!$B$5*(1+'Inputs-System'!$C$18)*(1+'Inputs-System'!$C$41)*('Inputs-Proposals'!$J$29*'Inputs-Proposals'!$J$31*(1-'Inputs-Proposals'!$J$32))*(VLOOKUP(CD$3,Energy!$A$51:$K$83,5,FALSE)-VLOOKUP(CD$3,Energy!$A$51:$K$83,6,FALSE))), $C47= "0", 0), 0)</f>
        <v>0</v>
      </c>
      <c r="CE47" s="100">
        <f>IFERROR(_xlfn.IFS($C47="1", 'Inputs-System'!$C$30*'Coincidence Factors'!$B$5*(1+'Inputs-System'!$C$18)*(1+'Inputs-System'!$C$41)*'Inputs-Proposals'!$J$17*'Inputs-Proposals'!$J$19*(1-'Inputs-Proposals'!$J$20)*(VLOOKUP(CD$3,'Embedded Emissions'!$A$47:$B$78,2,FALSE)+VLOOKUP(CD$3,'Embedded Emissions'!$A$129:$B$158,2,FALSE)), $C47 = "2",'Inputs-System'!$C$30*'Coincidence Factors'!$B$5*(1+'Inputs-System'!$C$18)*(1+'Inputs-System'!$C$41)*'Inputs-Proposals'!$J$23*'Inputs-Proposals'!$J$25*(1-'Inputs-Proposals'!$J$20)*(VLOOKUP(CD$3,'Embedded Emissions'!$A$47:$B$78,2,FALSE)+VLOOKUP(CD$3,'Embedded Emissions'!$A$129:$B$158,2,FALSE)), $C47 = "3", 'Inputs-System'!$C$30*'Coincidence Factors'!$B$5*(1+'Inputs-System'!$C$18)*(1+'Inputs-System'!$C$41)*'Inputs-Proposals'!$J$29*'Inputs-Proposals'!$J$31*(1-'Inputs-Proposals'!$J$20)*(VLOOKUP(CD$3,'Embedded Emissions'!$A$47:$B$78,2,FALSE)+VLOOKUP(CD$3,'Embedded Emissions'!$A$129:$B$158,2,FALSE)), $C47 = "0", 0), 0)</f>
        <v>0</v>
      </c>
      <c r="CF47" s="318">
        <f>IFERROR(_xlfn.IFS($C47="1",( 'Inputs-System'!$C$30*'Coincidence Factors'!$B$5*(1+'Inputs-System'!$C$18)*(1+'Inputs-System'!$C$41))*('Inputs-Proposals'!$J$17*'Inputs-Proposals'!$J$19*(1-'Inputs-Proposals'!$J$20))*(VLOOKUP(CD$3,DRIPE!$A$54:$I$82,5,FALSE)-VLOOKUP(CD$3,DRIPE!$A$54:$I$82,6,FALSE)+VLOOKUP(CD$3,DRIPE!$A$54:$I$82,9,FALSE))+ ('Inputs-System'!$C$26*'Coincidence Factors'!$B$5*(1+'Inputs-System'!$C$18)*(1+'Inputs-System'!$C$42))*'Inputs-Proposals'!$J$16*VLOOKUP(CD$3,DRIPE!$A$54:$I$80,8,FALSE), $C47 = "2",( 'Inputs-System'!$C$30*'Coincidence Factors'!$B$5*(1+'Inputs-System'!$C$18)*(1+'Inputs-System'!$C$41))*('Inputs-Proposals'!$J$23*'Inputs-Proposals'!$J$25*(1-'Inputs-Proposals'!$J$26))*(VLOOKUP(CD$3,DRIPE!$A$54:$I$82,5,FALSE)-VLOOKUP(CD$3,DRIPE!$A$54:$I$82,6,FALSE)+VLOOKUP(CD$3,DRIPE!$A$54:$I$82,9,FALSE))+ ('Inputs-System'!$C$26*'Coincidence Factors'!$B$5*(1+'Inputs-System'!$C$18)*(1+'Inputs-System'!$C$41))+ ('Inputs-System'!$C$26*'Coincidence Factors'!$B$5)*'Inputs-Proposals'!$J$22*VLOOKUP(CD$3,DRIPE!$A$54:$I$80,8,FALSE), $C47= "3", ('Inputs-System'!$C$30*'Coincidence Factors'!$B$5)*('Inputs-Proposals'!$J$29*'Inputs-Proposals'!$J$31*(1-'Inputs-Proposals'!$J$32))*(VLOOKUP(CD$3,DRIPE!$A$54:$I$80,5,FALSE)-VLOOKUP(CD$3,DRIPE!$A$54:$I$80,6,FALSE)+VLOOKUP(CD$3,DRIPE!$A$54:$I$80,9,FALSE))+ ('Inputs-System'!$C$26*'Coincidence Factors'!$B$5*(1+'Inputs-System'!$C$18)*(1+'Inputs-System'!$C$42))*'Inputs-Proposals'!$J$28*VLOOKUP(CD$3,DRIPE!$A$54:$I$80,8,FALSE), $C47 = "0", 0), 0)</f>
        <v>0</v>
      </c>
      <c r="CG47" s="326">
        <f>IFERROR(_xlfn.IFS($C47="1",('Inputs-System'!$C$26*'Coincidence Factors'!$B$5*(1+'Inputs-System'!$C$18)*(1+'Inputs-System'!$C$42))*'Inputs-Proposals'!$J$16*(VLOOKUP(CD$3,Capacity!$A$53:$E$85,4,FALSE)*(1+'Inputs-System'!$C$42)+VLOOKUP(CD$3,Capacity!$A$53:$E$85,5,FALSE)*(1+'Inputs-System'!$C$43)*'Inputs-System'!$C$29), $C47 = "2", ('Inputs-System'!$C$26*'Coincidence Factors'!$B$5*(1+'Inputs-System'!$C$18))*'Inputs-Proposals'!$J$22*(VLOOKUP(CD$3,Capacity!$A$53:$E$85,4,FALSE)*(1+'Inputs-System'!$C$42)+VLOOKUP(CD$3,Capacity!$A$53:$E$85,5,FALSE)*'Inputs-System'!$C$29*(1+'Inputs-System'!$C$43)), $C47 = "3", ('Inputs-System'!$C$26*'Coincidence Factors'!$B$5*(1+'Inputs-System'!$C$18))*'Inputs-Proposals'!$J$28*(VLOOKUP(CD$3,Capacity!$A$53:$E$85,4,FALSE)*(1+'Inputs-System'!$C$42)+VLOOKUP(CD$3,Capacity!$A$53:$E$85,5,FALSE)*'Inputs-System'!$C$29*(1+'Inputs-System'!$C$43)), $C47 = "0", 0), 0)</f>
        <v>0</v>
      </c>
      <c r="CH47" s="100">
        <v>0</v>
      </c>
      <c r="CI47" s="346">
        <f>IFERROR(_xlfn.IFS($C47="1", 'Inputs-System'!$C$30*'Coincidence Factors'!$B$5*'Inputs-Proposals'!$J$17*'Inputs-Proposals'!$J$19*(VLOOKUP(CD$3,'Non-Embedded Emissions'!$A$56:$D$90,2,FALSE)+VLOOKUP(CD$3,'Non-Embedded Emissions'!$A$143:$D$174,2,FALSE)+VLOOKUP(CD$3,'Non-Embedded Emissions'!$A$230:$D$259,2,FALSE)-VLOOKUP(CD$3,'Non-Embedded Emissions'!$A$56:$D$90,3,FALSE)-VLOOKUP(CD$3,'Non-Embedded Emissions'!$A$143:$D$174,3,FALSE)-VLOOKUP(CD$3,'Non-Embedded Emissions'!$A$230:$D$259,3,FALSE)), $C47 = "2", 'Inputs-System'!$C$30*'Coincidence Factors'!$B$5*'Inputs-Proposals'!$J$23*'Inputs-Proposals'!$J$25*(VLOOKUP(CD$3,'Non-Embedded Emissions'!$A$56:$D$90,2,FALSE)+VLOOKUP(CD$3,'Non-Embedded Emissions'!$A$143:$D$174,2,FALSE)+VLOOKUP(CD$3,'Non-Embedded Emissions'!$A$230:$D$259,2,FALSE)-VLOOKUP(CD$3,'Non-Embedded Emissions'!$A$56:$D$90,3,FALSE)-VLOOKUP(CD$3,'Non-Embedded Emissions'!$A$143:$D$174,3,FALSE)-VLOOKUP(CD$3,'Non-Embedded Emissions'!$A$230:$D$259,3,FALSE)), $C47 = "3", 'Inputs-System'!$C$30*'Coincidence Factors'!$B$5*'Inputs-Proposals'!$J$29*'Inputs-Proposals'!$J$31*(VLOOKUP(CD$3,'Non-Embedded Emissions'!$A$56:$D$90,2,FALSE)+VLOOKUP(CD$3,'Non-Embedded Emissions'!$A$143:$D$174,2,FALSE)+VLOOKUP(CD$3,'Non-Embedded Emissions'!$A$230:$D$259,2,FALSE)-VLOOKUP(CD$3,'Non-Embedded Emissions'!$A$56:$D$90,3,FALSE)-VLOOKUP(CD$3,'Non-Embedded Emissions'!$A$143:$D$174,3,FALSE)-VLOOKUP(CD$3,'Non-Embedded Emissions'!$A$230:$D$259,3,FALSE)), $C47 = "0", 0), 0)</f>
        <v>0</v>
      </c>
      <c r="CJ47" s="344">
        <f>IFERROR(_xlfn.IFS($C47="1",('Inputs-System'!$C$30*'Coincidence Factors'!$B$5*(1+'Inputs-System'!$C$18)*(1+'Inputs-System'!$C$41)*('Inputs-Proposals'!$J$17*'Inputs-Proposals'!$J$19*(1-'Inputs-Proposals'!$J$20))*(VLOOKUP(CJ$3,Energy!$A$51:$K$83,5,FALSE)-VLOOKUP(CJ$3,Energy!$A$51:$K$83,6,FALSE))), $C47 = "2",('Inputs-System'!$C$30*'Coincidence Factors'!$B$5)*(1+'Inputs-System'!$C$18)*(1+'Inputs-System'!$C$41)*('Inputs-Proposals'!$J$23*'Inputs-Proposals'!$J$25*(1-'Inputs-Proposals'!$J$26))*(VLOOKUP(CJ$3,Energy!$A$51:$K$83,5,FALSE)-VLOOKUP(CJ$3,Energy!$A$51:$K$83,6,FALSE)), $C47= "3", ('Inputs-System'!$C$30*'Coincidence Factors'!$B$5*(1+'Inputs-System'!$C$18)*(1+'Inputs-System'!$C$41)*('Inputs-Proposals'!$J$29*'Inputs-Proposals'!$J$31*(1-'Inputs-Proposals'!$J$32))*(VLOOKUP(CJ$3,Energy!$A$51:$K$83,5,FALSE)-VLOOKUP(CJ$3,Energy!$A$51:$K$83,6,FALSE))), $C47= "0", 0), 0)</f>
        <v>0</v>
      </c>
      <c r="CK47" s="100">
        <f>IFERROR(_xlfn.IFS($C47="1", 'Inputs-System'!$C$30*'Coincidence Factors'!$B$5*(1+'Inputs-System'!$C$18)*(1+'Inputs-System'!$C$41)*'Inputs-Proposals'!$J$17*'Inputs-Proposals'!$J$19*(1-'Inputs-Proposals'!$J$20)*(VLOOKUP(CJ$3,'Embedded Emissions'!$A$47:$B$78,2,FALSE)+VLOOKUP(CJ$3,'Embedded Emissions'!$A$129:$B$158,2,FALSE)), $C47 = "2",'Inputs-System'!$C$30*'Coincidence Factors'!$B$5*(1+'Inputs-System'!$C$18)*(1+'Inputs-System'!$C$41)*'Inputs-Proposals'!$J$23*'Inputs-Proposals'!$J$25*(1-'Inputs-Proposals'!$J$20)*(VLOOKUP(CJ$3,'Embedded Emissions'!$A$47:$B$78,2,FALSE)+VLOOKUP(CJ$3,'Embedded Emissions'!$A$129:$B$158,2,FALSE)), $C47 = "3", 'Inputs-System'!$C$30*'Coincidence Factors'!$B$5*(1+'Inputs-System'!$C$18)*(1+'Inputs-System'!$C$41)*'Inputs-Proposals'!$J$29*'Inputs-Proposals'!$J$31*(1-'Inputs-Proposals'!$J$20)*(VLOOKUP(CJ$3,'Embedded Emissions'!$A$47:$B$78,2,FALSE)+VLOOKUP(CJ$3,'Embedded Emissions'!$A$129:$B$158,2,FALSE)), $C47 = "0", 0), 0)</f>
        <v>0</v>
      </c>
      <c r="CL47" s="318">
        <f>IFERROR(_xlfn.IFS($C47="1",( 'Inputs-System'!$C$30*'Coincidence Factors'!$B$5*(1+'Inputs-System'!$C$18)*(1+'Inputs-System'!$C$41))*('Inputs-Proposals'!$J$17*'Inputs-Proposals'!$J$19*(1-'Inputs-Proposals'!$J$20))*(VLOOKUP(CJ$3,DRIPE!$A$54:$I$82,5,FALSE)-VLOOKUP(CJ$3,DRIPE!$A$54:$I$82,6,FALSE)+VLOOKUP(CJ$3,DRIPE!$A$54:$I$82,9,FALSE))+ ('Inputs-System'!$C$26*'Coincidence Factors'!$B$5*(1+'Inputs-System'!$C$18)*(1+'Inputs-System'!$C$42))*'Inputs-Proposals'!$J$16*VLOOKUP(CJ$3,DRIPE!$A$54:$I$80,8,FALSE), $C47 = "2",( 'Inputs-System'!$C$30*'Coincidence Factors'!$B$5*(1+'Inputs-System'!$C$18)*(1+'Inputs-System'!$C$41))*('Inputs-Proposals'!$J$23*'Inputs-Proposals'!$J$25*(1-'Inputs-Proposals'!$J$26))*(VLOOKUP(CJ$3,DRIPE!$A$54:$I$82,5,FALSE)-VLOOKUP(CJ$3,DRIPE!$A$54:$I$82,6,FALSE)+VLOOKUP(CJ$3,DRIPE!$A$54:$I$82,9,FALSE))+ ('Inputs-System'!$C$26*'Coincidence Factors'!$B$5*(1+'Inputs-System'!$C$18)*(1+'Inputs-System'!$C$41))+ ('Inputs-System'!$C$26*'Coincidence Factors'!$B$5)*'Inputs-Proposals'!$J$22*VLOOKUP(CJ$3,DRIPE!$A$54:$I$80,8,FALSE), $C47= "3", ('Inputs-System'!$C$30*'Coincidence Factors'!$B$5)*('Inputs-Proposals'!$J$29*'Inputs-Proposals'!$J$31*(1-'Inputs-Proposals'!$J$32))*(VLOOKUP(CJ$3,DRIPE!$A$54:$I$80,5,FALSE)-VLOOKUP(CJ$3,DRIPE!$A$54:$I$80,6,FALSE)+VLOOKUP(CJ$3,DRIPE!$A$54:$I$80,9,FALSE))+ ('Inputs-System'!$C$26*'Coincidence Factors'!$B$5*(1+'Inputs-System'!$C$18)*(1+'Inputs-System'!$C$42))*'Inputs-Proposals'!$J$28*VLOOKUP(CJ$3,DRIPE!$A$54:$I$80,8,FALSE), $C47 = "0", 0), 0)</f>
        <v>0</v>
      </c>
      <c r="CM47" s="326">
        <f>IFERROR(_xlfn.IFS($C47="1",('Inputs-System'!$C$26*'Coincidence Factors'!$B$5*(1+'Inputs-System'!$C$18)*(1+'Inputs-System'!$C$42))*'Inputs-Proposals'!$J$16*(VLOOKUP(CJ$3,Capacity!$A$53:$E$85,4,FALSE)*(1+'Inputs-System'!$C$42)+VLOOKUP(CJ$3,Capacity!$A$53:$E$85,5,FALSE)*(1+'Inputs-System'!$C$43)*'Inputs-System'!$C$29), $C47 = "2", ('Inputs-System'!$C$26*'Coincidence Factors'!$B$5*(1+'Inputs-System'!$C$18))*'Inputs-Proposals'!$J$22*(VLOOKUP(CJ$3,Capacity!$A$53:$E$85,4,FALSE)*(1+'Inputs-System'!$C$42)+VLOOKUP(CJ$3,Capacity!$A$53:$E$85,5,FALSE)*'Inputs-System'!$C$29*(1+'Inputs-System'!$C$43)), $C47 = "3", ('Inputs-System'!$C$26*'Coincidence Factors'!$B$5*(1+'Inputs-System'!$C$18))*'Inputs-Proposals'!$J$28*(VLOOKUP(CJ$3,Capacity!$A$53:$E$85,4,FALSE)*(1+'Inputs-System'!$C$42)+VLOOKUP(CJ$3,Capacity!$A$53:$E$85,5,FALSE)*'Inputs-System'!$C$29*(1+'Inputs-System'!$C$43)), $C47 = "0", 0), 0)</f>
        <v>0</v>
      </c>
      <c r="CN47" s="100">
        <v>0</v>
      </c>
      <c r="CO47" s="346">
        <f>IFERROR(_xlfn.IFS($C47="1", 'Inputs-System'!$C$30*'Coincidence Factors'!$B$5*'Inputs-Proposals'!$J$17*'Inputs-Proposals'!$J$19*(VLOOKUP(CJ$3,'Non-Embedded Emissions'!$A$56:$D$90,2,FALSE)+VLOOKUP(CJ$3,'Non-Embedded Emissions'!$A$143:$D$174,2,FALSE)+VLOOKUP(CJ$3,'Non-Embedded Emissions'!$A$230:$D$259,2,FALSE)-VLOOKUP(CJ$3,'Non-Embedded Emissions'!$A$56:$D$90,3,FALSE)-VLOOKUP(CJ$3,'Non-Embedded Emissions'!$A$143:$D$174,3,FALSE)-VLOOKUP(CJ$3,'Non-Embedded Emissions'!$A$230:$D$259,3,FALSE)), $C47 = "2", 'Inputs-System'!$C$30*'Coincidence Factors'!$B$5*'Inputs-Proposals'!$J$23*'Inputs-Proposals'!$J$25*(VLOOKUP(CJ$3,'Non-Embedded Emissions'!$A$56:$D$90,2,FALSE)+VLOOKUP(CJ$3,'Non-Embedded Emissions'!$A$143:$D$174,2,FALSE)+VLOOKUP(CJ$3,'Non-Embedded Emissions'!$A$230:$D$259,2,FALSE)-VLOOKUP(CJ$3,'Non-Embedded Emissions'!$A$56:$D$90,3,FALSE)-VLOOKUP(CJ$3,'Non-Embedded Emissions'!$A$143:$D$174,3,FALSE)-VLOOKUP(CJ$3,'Non-Embedded Emissions'!$A$230:$D$259,3,FALSE)), $C47 = "3", 'Inputs-System'!$C$30*'Coincidence Factors'!$B$5*'Inputs-Proposals'!$J$29*'Inputs-Proposals'!$J$31*(VLOOKUP(CJ$3,'Non-Embedded Emissions'!$A$56:$D$90,2,FALSE)+VLOOKUP(CJ$3,'Non-Embedded Emissions'!$A$143:$D$174,2,FALSE)+VLOOKUP(CJ$3,'Non-Embedded Emissions'!$A$230:$D$259,2,FALSE)-VLOOKUP(CJ$3,'Non-Embedded Emissions'!$A$56:$D$90,3,FALSE)-VLOOKUP(CJ$3,'Non-Embedded Emissions'!$A$143:$D$174,3,FALSE)-VLOOKUP(CJ$3,'Non-Embedded Emissions'!$A$230:$D$259,3,FALSE)), $C47 = "0", 0), 0)</f>
        <v>0</v>
      </c>
      <c r="CP47" s="344">
        <f>IFERROR(_xlfn.IFS($C47="1",('Inputs-System'!$C$30*'Coincidence Factors'!$B$5*(1+'Inputs-System'!$C$18)*(1+'Inputs-System'!$C$41)*('Inputs-Proposals'!$J$17*'Inputs-Proposals'!$J$19*(1-'Inputs-Proposals'!$J$20))*(VLOOKUP(CP$3,Energy!$A$51:$K$83,5,FALSE)-VLOOKUP(CP$3,Energy!$A$51:$K$83,6,FALSE))), $C47 = "2",('Inputs-System'!$C$30*'Coincidence Factors'!$B$5)*(1+'Inputs-System'!$C$18)*(1+'Inputs-System'!$C$41)*('Inputs-Proposals'!$J$23*'Inputs-Proposals'!$J$25*(1-'Inputs-Proposals'!$J$26))*(VLOOKUP(CP$3,Energy!$A$51:$K$83,5,FALSE)-VLOOKUP(CP$3,Energy!$A$51:$K$83,6,FALSE)), $C47= "3", ('Inputs-System'!$C$30*'Coincidence Factors'!$B$5*(1+'Inputs-System'!$C$18)*(1+'Inputs-System'!$C$41)*('Inputs-Proposals'!$J$29*'Inputs-Proposals'!$J$31*(1-'Inputs-Proposals'!$J$32))*(VLOOKUP(CP$3,Energy!$A$51:$K$83,5,FALSE)-VLOOKUP(CP$3,Energy!$A$51:$K$83,6,FALSE))), $C47= "0", 0), 0)</f>
        <v>0</v>
      </c>
      <c r="CQ47" s="100">
        <f>IFERROR(_xlfn.IFS($C47="1", 'Inputs-System'!$C$30*'Coincidence Factors'!$B$5*(1+'Inputs-System'!$C$18)*(1+'Inputs-System'!$C$41)*'Inputs-Proposals'!$J$17*'Inputs-Proposals'!$J$19*(1-'Inputs-Proposals'!$J$20)*(VLOOKUP(CP$3,'Embedded Emissions'!$A$47:$B$78,2,FALSE)+VLOOKUP(CP$3,'Embedded Emissions'!$A$129:$B$158,2,FALSE)), $C47 = "2",'Inputs-System'!$C$30*'Coincidence Factors'!$B$5*(1+'Inputs-System'!$C$18)*(1+'Inputs-System'!$C$41)*'Inputs-Proposals'!$J$23*'Inputs-Proposals'!$J$25*(1-'Inputs-Proposals'!$J$20)*(VLOOKUP(CP$3,'Embedded Emissions'!$A$47:$B$78,2,FALSE)+VLOOKUP(CP$3,'Embedded Emissions'!$A$129:$B$158,2,FALSE)), $C47 = "3", 'Inputs-System'!$C$30*'Coincidence Factors'!$B$5*(1+'Inputs-System'!$C$18)*(1+'Inputs-System'!$C$41)*'Inputs-Proposals'!$J$29*'Inputs-Proposals'!$J$31*(1-'Inputs-Proposals'!$J$20)*(VLOOKUP(CP$3,'Embedded Emissions'!$A$47:$B$78,2,FALSE)+VLOOKUP(CP$3,'Embedded Emissions'!$A$129:$B$158,2,FALSE)), $C47 = "0", 0), 0)</f>
        <v>0</v>
      </c>
      <c r="CR47" s="318">
        <f>IFERROR(_xlfn.IFS($C47="1",( 'Inputs-System'!$C$30*'Coincidence Factors'!$B$5*(1+'Inputs-System'!$C$18)*(1+'Inputs-System'!$C$41))*('Inputs-Proposals'!$J$17*'Inputs-Proposals'!$J$19*(1-'Inputs-Proposals'!$J$20))*(VLOOKUP(CP$3,DRIPE!$A$54:$I$82,5,FALSE)-VLOOKUP(CP$3,DRIPE!$A$54:$I$82,6,FALSE)+VLOOKUP(CP$3,DRIPE!$A$54:$I$82,9,FALSE))+ ('Inputs-System'!$C$26*'Coincidence Factors'!$B$5*(1+'Inputs-System'!$C$18)*(1+'Inputs-System'!$C$42))*'Inputs-Proposals'!$J$16*VLOOKUP(CP$3,DRIPE!$A$54:$I$80,8,FALSE), $C47 = "2",( 'Inputs-System'!$C$30*'Coincidence Factors'!$B$5*(1+'Inputs-System'!$C$18)*(1+'Inputs-System'!$C$41))*('Inputs-Proposals'!$J$23*'Inputs-Proposals'!$J$25*(1-'Inputs-Proposals'!$J$26))*(VLOOKUP(CP$3,DRIPE!$A$54:$I$82,5,FALSE)-VLOOKUP(CP$3,DRIPE!$A$54:$I$82,6,FALSE)+VLOOKUP(CP$3,DRIPE!$A$54:$I$82,9,FALSE))+ ('Inputs-System'!$C$26*'Coincidence Factors'!$B$5*(1+'Inputs-System'!$C$18)*(1+'Inputs-System'!$C$41))+ ('Inputs-System'!$C$26*'Coincidence Factors'!$B$5)*'Inputs-Proposals'!$J$22*VLOOKUP(CP$3,DRIPE!$A$54:$I$80,8,FALSE), $C47= "3", ('Inputs-System'!$C$30*'Coincidence Factors'!$B$5)*('Inputs-Proposals'!$J$29*'Inputs-Proposals'!$J$31*(1-'Inputs-Proposals'!$J$32))*(VLOOKUP(CP$3,DRIPE!$A$54:$I$80,5,FALSE)-VLOOKUP(CP$3,DRIPE!$A$54:$I$80,6,FALSE)+VLOOKUP(CP$3,DRIPE!$A$54:$I$80,9,FALSE))+ ('Inputs-System'!$C$26*'Coincidence Factors'!$B$5*(1+'Inputs-System'!$C$18)*(1+'Inputs-System'!$C$42))*'Inputs-Proposals'!$J$28*VLOOKUP(CP$3,DRIPE!$A$54:$I$80,8,FALSE), $C47 = "0", 0), 0)</f>
        <v>0</v>
      </c>
      <c r="CS47" s="326">
        <f>IFERROR(_xlfn.IFS($C47="1",('Inputs-System'!$C$26*'Coincidence Factors'!$B$5*(1+'Inputs-System'!$C$18)*(1+'Inputs-System'!$C$42))*'Inputs-Proposals'!$J$16*(VLOOKUP(CP$3,Capacity!$A$53:$E$85,4,FALSE)*(1+'Inputs-System'!$C$42)+VLOOKUP(CP$3,Capacity!$A$53:$E$85,5,FALSE)*(1+'Inputs-System'!$C$43)*'Inputs-System'!$C$29), $C47 = "2", ('Inputs-System'!$C$26*'Coincidence Factors'!$B$5*(1+'Inputs-System'!$C$18))*'Inputs-Proposals'!$J$22*(VLOOKUP(CP$3,Capacity!$A$53:$E$85,4,FALSE)*(1+'Inputs-System'!$C$42)+VLOOKUP(CP$3,Capacity!$A$53:$E$85,5,FALSE)*'Inputs-System'!$C$29*(1+'Inputs-System'!$C$43)), $C47 = "3", ('Inputs-System'!$C$26*'Coincidence Factors'!$B$5*(1+'Inputs-System'!$C$18))*'Inputs-Proposals'!$J$28*(VLOOKUP(CP$3,Capacity!$A$53:$E$85,4,FALSE)*(1+'Inputs-System'!$C$42)+VLOOKUP(CP$3,Capacity!$A$53:$E$85,5,FALSE)*'Inputs-System'!$C$29*(1+'Inputs-System'!$C$43)), $C47 = "0", 0), 0)</f>
        <v>0</v>
      </c>
      <c r="CT47" s="100">
        <v>0</v>
      </c>
      <c r="CU47" s="346">
        <f>IFERROR(_xlfn.IFS($C47="1", 'Inputs-System'!$C$30*'Coincidence Factors'!$B$5*'Inputs-Proposals'!$J$17*'Inputs-Proposals'!$J$19*(VLOOKUP(CP$3,'Non-Embedded Emissions'!$A$56:$D$90,2,FALSE)+VLOOKUP(CP$3,'Non-Embedded Emissions'!$A$143:$D$174,2,FALSE)+VLOOKUP(CP$3,'Non-Embedded Emissions'!$A$230:$D$259,2,FALSE)-VLOOKUP(CP$3,'Non-Embedded Emissions'!$A$56:$D$90,3,FALSE)-VLOOKUP(CP$3,'Non-Embedded Emissions'!$A$143:$D$174,3,FALSE)-VLOOKUP(CP$3,'Non-Embedded Emissions'!$A$230:$D$259,3,FALSE)), $C47 = "2", 'Inputs-System'!$C$30*'Coincidence Factors'!$B$5*'Inputs-Proposals'!$J$23*'Inputs-Proposals'!$J$25*(VLOOKUP(CP$3,'Non-Embedded Emissions'!$A$56:$D$90,2,FALSE)+VLOOKUP(CP$3,'Non-Embedded Emissions'!$A$143:$D$174,2,FALSE)+VLOOKUP(CP$3,'Non-Embedded Emissions'!$A$230:$D$259,2,FALSE)-VLOOKUP(CP$3,'Non-Embedded Emissions'!$A$56:$D$90,3,FALSE)-VLOOKUP(CP$3,'Non-Embedded Emissions'!$A$143:$D$174,3,FALSE)-VLOOKUP(CP$3,'Non-Embedded Emissions'!$A$230:$D$259,3,FALSE)), $C47 = "3", 'Inputs-System'!$C$30*'Coincidence Factors'!$B$5*'Inputs-Proposals'!$J$29*'Inputs-Proposals'!$J$31*(VLOOKUP(CP$3,'Non-Embedded Emissions'!$A$56:$D$90,2,FALSE)+VLOOKUP(CP$3,'Non-Embedded Emissions'!$A$143:$D$174,2,FALSE)+VLOOKUP(CP$3,'Non-Embedded Emissions'!$A$230:$D$259,2,FALSE)-VLOOKUP(CP$3,'Non-Embedded Emissions'!$A$56:$D$90,3,FALSE)-VLOOKUP(CP$3,'Non-Embedded Emissions'!$A$143:$D$174,3,FALSE)-VLOOKUP(CP$3,'Non-Embedded Emissions'!$A$230:$D$259,3,FALSE)), $C47 = "0", 0), 0)</f>
        <v>0</v>
      </c>
      <c r="CV47" s="344">
        <f>IFERROR(_xlfn.IFS($C47="1",('Inputs-System'!$C$30*'Coincidence Factors'!$B$5*(1+'Inputs-System'!$C$18)*(1+'Inputs-System'!$C$41)*('Inputs-Proposals'!$J$17*'Inputs-Proposals'!$J$19*(1-'Inputs-Proposals'!$J$20))*(VLOOKUP(CV$3,Energy!$A$51:$K$83,5,FALSE)-VLOOKUP(CV$3,Energy!$A$51:$K$83,6,FALSE))), $C47 = "2",('Inputs-System'!$C$30*'Coincidence Factors'!$B$5)*(1+'Inputs-System'!$C$18)*(1+'Inputs-System'!$C$41)*('Inputs-Proposals'!$J$23*'Inputs-Proposals'!$J$25*(1-'Inputs-Proposals'!$J$26))*(VLOOKUP(CV$3,Energy!$A$51:$K$83,5,FALSE)-VLOOKUP(CV$3,Energy!$A$51:$K$83,6,FALSE)), $C47= "3", ('Inputs-System'!$C$30*'Coincidence Factors'!$B$5*(1+'Inputs-System'!$C$18)*(1+'Inputs-System'!$C$41)*('Inputs-Proposals'!$J$29*'Inputs-Proposals'!$J$31*(1-'Inputs-Proposals'!$J$32))*(VLOOKUP(CV$3,Energy!$A$51:$K$83,5,FALSE)-VLOOKUP(CV$3,Energy!$A$51:$K$83,6,FALSE))), $C47= "0", 0), 0)</f>
        <v>0</v>
      </c>
      <c r="CW47" s="100">
        <f>IFERROR(_xlfn.IFS($C47="1", 'Inputs-System'!$C$30*'Coincidence Factors'!$B$5*(1+'Inputs-System'!$C$18)*(1+'Inputs-System'!$C$41)*'Inputs-Proposals'!$J$17*'Inputs-Proposals'!$J$19*(1-'Inputs-Proposals'!$J$20)*(VLOOKUP(CV$3,'Embedded Emissions'!$A$47:$B$78,2,FALSE)+VLOOKUP(CV$3,'Embedded Emissions'!$A$129:$B$158,2,FALSE)), $C47 = "2",'Inputs-System'!$C$30*'Coincidence Factors'!$B$5*(1+'Inputs-System'!$C$18)*(1+'Inputs-System'!$C$41)*'Inputs-Proposals'!$J$23*'Inputs-Proposals'!$J$25*(1-'Inputs-Proposals'!$J$20)*(VLOOKUP(CV$3,'Embedded Emissions'!$A$47:$B$78,2,FALSE)+VLOOKUP(CV$3,'Embedded Emissions'!$A$129:$B$158,2,FALSE)), $C47 = "3", 'Inputs-System'!$C$30*'Coincidence Factors'!$B$5*(1+'Inputs-System'!$C$18)*(1+'Inputs-System'!$C$41)*'Inputs-Proposals'!$J$29*'Inputs-Proposals'!$J$31*(1-'Inputs-Proposals'!$J$20)*(VLOOKUP(CV$3,'Embedded Emissions'!$A$47:$B$78,2,FALSE)+VLOOKUP(CV$3,'Embedded Emissions'!$A$129:$B$158,2,FALSE)), $C47 = "0", 0), 0)</f>
        <v>0</v>
      </c>
      <c r="CX47" s="318">
        <f>IFERROR(_xlfn.IFS($C47="1",( 'Inputs-System'!$C$30*'Coincidence Factors'!$B$5*(1+'Inputs-System'!$C$18)*(1+'Inputs-System'!$C$41))*('Inputs-Proposals'!$J$17*'Inputs-Proposals'!$J$19*(1-'Inputs-Proposals'!$J$20))*(VLOOKUP(CV$3,DRIPE!$A$54:$I$82,5,FALSE)-VLOOKUP(CV$3,DRIPE!$A$54:$I$82,6,FALSE)+VLOOKUP(CV$3,DRIPE!$A$54:$I$82,9,FALSE))+ ('Inputs-System'!$C$26*'Coincidence Factors'!$B$5*(1+'Inputs-System'!$C$18)*(1+'Inputs-System'!$C$42))*'Inputs-Proposals'!$J$16*VLOOKUP(CV$3,DRIPE!$A$54:$I$80,8,FALSE), $C47 = "2",( 'Inputs-System'!$C$30*'Coincidence Factors'!$B$5*(1+'Inputs-System'!$C$18)*(1+'Inputs-System'!$C$41))*('Inputs-Proposals'!$J$23*'Inputs-Proposals'!$J$25*(1-'Inputs-Proposals'!$J$26))*(VLOOKUP(CV$3,DRIPE!$A$54:$I$82,5,FALSE)-VLOOKUP(CV$3,DRIPE!$A$54:$I$82,6,FALSE)+VLOOKUP(CV$3,DRIPE!$A$54:$I$82,9,FALSE))+ ('Inputs-System'!$C$26*'Coincidence Factors'!$B$5*(1+'Inputs-System'!$C$18)*(1+'Inputs-System'!$C$41))+ ('Inputs-System'!$C$26*'Coincidence Factors'!$B$5)*'Inputs-Proposals'!$J$22*VLOOKUP(CV$3,DRIPE!$A$54:$I$80,8,FALSE), $C47= "3", ('Inputs-System'!$C$30*'Coincidence Factors'!$B$5)*('Inputs-Proposals'!$J$29*'Inputs-Proposals'!$J$31*(1-'Inputs-Proposals'!$J$32))*(VLOOKUP(CV$3,DRIPE!$A$54:$I$80,5,FALSE)-VLOOKUP(CV$3,DRIPE!$A$54:$I$80,6,FALSE)+VLOOKUP(CV$3,DRIPE!$A$54:$I$80,9,FALSE))+ ('Inputs-System'!$C$26*'Coincidence Factors'!$B$5*(1+'Inputs-System'!$C$18)*(1+'Inputs-System'!$C$42))*'Inputs-Proposals'!$J$28*VLOOKUP(CV$3,DRIPE!$A$54:$I$80,8,FALSE), $C47 = "0", 0), 0)</f>
        <v>0</v>
      </c>
      <c r="CY47" s="326">
        <f>IFERROR(_xlfn.IFS($C47="1",('Inputs-System'!$C$26*'Coincidence Factors'!$B$5*(1+'Inputs-System'!$C$18)*(1+'Inputs-System'!$C$42))*'Inputs-Proposals'!$J$16*(VLOOKUP(CV$3,Capacity!$A$53:$E$85,4,FALSE)*(1+'Inputs-System'!$C$42)+VLOOKUP(CV$3,Capacity!$A$53:$E$85,5,FALSE)*(1+'Inputs-System'!$C$43)*'Inputs-System'!$C$29), $C47 = "2", ('Inputs-System'!$C$26*'Coincidence Factors'!$B$5*(1+'Inputs-System'!$C$18))*'Inputs-Proposals'!$J$22*(VLOOKUP(CV$3,Capacity!$A$53:$E$85,4,FALSE)*(1+'Inputs-System'!$C$42)+VLOOKUP(CV$3,Capacity!$A$53:$E$85,5,FALSE)*'Inputs-System'!$C$29*(1+'Inputs-System'!$C$43)), $C47 = "3", ('Inputs-System'!$C$26*'Coincidence Factors'!$B$5*(1+'Inputs-System'!$C$18))*'Inputs-Proposals'!$J$28*(VLOOKUP(CV$3,Capacity!$A$53:$E$85,4,FALSE)*(1+'Inputs-System'!$C$42)+VLOOKUP(CV$3,Capacity!$A$53:$E$85,5,FALSE)*'Inputs-System'!$C$29*(1+'Inputs-System'!$C$43)), $C47 = "0", 0), 0)</f>
        <v>0</v>
      </c>
      <c r="CZ47" s="100">
        <v>0</v>
      </c>
      <c r="DA47" s="346">
        <f>IFERROR(_xlfn.IFS($C47="1", 'Inputs-System'!$C$30*'Coincidence Factors'!$B$5*'Inputs-Proposals'!$J$17*'Inputs-Proposals'!$J$19*(VLOOKUP(CV$3,'Non-Embedded Emissions'!$A$56:$D$90,2,FALSE)+VLOOKUP(CV$3,'Non-Embedded Emissions'!$A$143:$D$174,2,FALSE)+VLOOKUP(CV$3,'Non-Embedded Emissions'!$A$230:$D$259,2,FALSE)-VLOOKUP(CV$3,'Non-Embedded Emissions'!$A$56:$D$90,3,FALSE)-VLOOKUP(CV$3,'Non-Embedded Emissions'!$A$143:$D$174,3,FALSE)-VLOOKUP(CV$3,'Non-Embedded Emissions'!$A$230:$D$259,3,FALSE)), $C47 = "2", 'Inputs-System'!$C$30*'Coincidence Factors'!$B$5*'Inputs-Proposals'!$J$23*'Inputs-Proposals'!$J$25*(VLOOKUP(CV$3,'Non-Embedded Emissions'!$A$56:$D$90,2,FALSE)+VLOOKUP(CV$3,'Non-Embedded Emissions'!$A$143:$D$174,2,FALSE)+VLOOKUP(CV$3,'Non-Embedded Emissions'!$A$230:$D$259,2,FALSE)-VLOOKUP(CV$3,'Non-Embedded Emissions'!$A$56:$D$90,3,FALSE)-VLOOKUP(CV$3,'Non-Embedded Emissions'!$A$143:$D$174,3,FALSE)-VLOOKUP(CV$3,'Non-Embedded Emissions'!$A$230:$D$259,3,FALSE)), $C47 = "3", 'Inputs-System'!$C$30*'Coincidence Factors'!$B$5*'Inputs-Proposals'!$J$29*'Inputs-Proposals'!$J$31*(VLOOKUP(CV$3,'Non-Embedded Emissions'!$A$56:$D$90,2,FALSE)+VLOOKUP(CV$3,'Non-Embedded Emissions'!$A$143:$D$174,2,FALSE)+VLOOKUP(CV$3,'Non-Embedded Emissions'!$A$230:$D$259,2,FALSE)-VLOOKUP(CV$3,'Non-Embedded Emissions'!$A$56:$D$90,3,FALSE)-VLOOKUP(CV$3,'Non-Embedded Emissions'!$A$143:$D$174,3,FALSE)-VLOOKUP(CV$3,'Non-Embedded Emissions'!$A$230:$D$259,3,FALSE)), $C47 = "0", 0), 0)</f>
        <v>0</v>
      </c>
      <c r="DB47" s="344">
        <f>IFERROR(_xlfn.IFS($C47="1",('Inputs-System'!$C$30*'Coincidence Factors'!$B$5*(1+'Inputs-System'!$C$18)*(1+'Inputs-System'!$C$41)*('Inputs-Proposals'!$J$17*'Inputs-Proposals'!$J$19*(1-'Inputs-Proposals'!$J$20))*(VLOOKUP(DB$3,Energy!$A$51:$K$83,5,FALSE)-VLOOKUP(DB$3,Energy!$A$51:$K$83,6,FALSE))), $C47 = "2",('Inputs-System'!$C$30*'Coincidence Factors'!$B$5)*(1+'Inputs-System'!$C$18)*(1+'Inputs-System'!$C$41)*('Inputs-Proposals'!$J$23*'Inputs-Proposals'!$J$25*(1-'Inputs-Proposals'!$J$26))*(VLOOKUP(DB$3,Energy!$A$51:$K$83,5,FALSE)-VLOOKUP(DB$3,Energy!$A$51:$K$83,6,FALSE)), $C47= "3", ('Inputs-System'!$C$30*'Coincidence Factors'!$B$5*(1+'Inputs-System'!$C$18)*(1+'Inputs-System'!$C$41)*('Inputs-Proposals'!$J$29*'Inputs-Proposals'!$J$31*(1-'Inputs-Proposals'!$J$32))*(VLOOKUP(DB$3,Energy!$A$51:$K$83,5,FALSE)-VLOOKUP(DB$3,Energy!$A$51:$K$83,6,FALSE))), $C47= "0", 0), 0)</f>
        <v>0</v>
      </c>
      <c r="DC47" s="100">
        <f>IFERROR(_xlfn.IFS($C47="1", 'Inputs-System'!$C$30*'Coincidence Factors'!$B$5*(1+'Inputs-System'!$C$18)*(1+'Inputs-System'!$C$41)*'Inputs-Proposals'!$J$17*'Inputs-Proposals'!$J$19*(1-'Inputs-Proposals'!$J$20)*(VLOOKUP(DB$3,'Embedded Emissions'!$A$47:$B$78,2,FALSE)+VLOOKUP(DB$3,'Embedded Emissions'!$A$129:$B$158,2,FALSE)), $C47 = "2",'Inputs-System'!$C$30*'Coincidence Factors'!$B$5*(1+'Inputs-System'!$C$18)*(1+'Inputs-System'!$C$41)*'Inputs-Proposals'!$J$23*'Inputs-Proposals'!$J$25*(1-'Inputs-Proposals'!$J$20)*(VLOOKUP(DB$3,'Embedded Emissions'!$A$47:$B$78,2,FALSE)+VLOOKUP(DB$3,'Embedded Emissions'!$A$129:$B$158,2,FALSE)), $C47 = "3", 'Inputs-System'!$C$30*'Coincidence Factors'!$B$5*(1+'Inputs-System'!$C$18)*(1+'Inputs-System'!$C$41)*'Inputs-Proposals'!$J$29*'Inputs-Proposals'!$J$31*(1-'Inputs-Proposals'!$J$20)*(VLOOKUP(DB$3,'Embedded Emissions'!$A$47:$B$78,2,FALSE)+VLOOKUP(DB$3,'Embedded Emissions'!$A$129:$B$158,2,FALSE)), $C47 = "0", 0), 0)</f>
        <v>0</v>
      </c>
      <c r="DD47" s="318">
        <f>IFERROR(_xlfn.IFS($C47="1",( 'Inputs-System'!$C$30*'Coincidence Factors'!$B$5*(1+'Inputs-System'!$C$18)*(1+'Inputs-System'!$C$41))*('Inputs-Proposals'!$J$17*'Inputs-Proposals'!$J$19*(1-'Inputs-Proposals'!$J$20))*(VLOOKUP(DB$3,DRIPE!$A$54:$I$82,5,FALSE)-VLOOKUP(DB$3,DRIPE!$A$54:$I$82,6,FALSE)+VLOOKUP(DB$3,DRIPE!$A$54:$I$82,9,FALSE))+ ('Inputs-System'!$C$26*'Coincidence Factors'!$B$5*(1+'Inputs-System'!$C$18)*(1+'Inputs-System'!$C$42))*'Inputs-Proposals'!$J$16*VLOOKUP(DB$3,DRIPE!$A$54:$I$80,8,FALSE), $C47 = "2",( 'Inputs-System'!$C$30*'Coincidence Factors'!$B$5*(1+'Inputs-System'!$C$18)*(1+'Inputs-System'!$C$41))*('Inputs-Proposals'!$J$23*'Inputs-Proposals'!$J$25*(1-'Inputs-Proposals'!$J$26))*(VLOOKUP(DB$3,DRIPE!$A$54:$I$82,5,FALSE)-VLOOKUP(DB$3,DRIPE!$A$54:$I$82,6,FALSE)+VLOOKUP(DB$3,DRIPE!$A$54:$I$82,9,FALSE))+ ('Inputs-System'!$C$26*'Coincidence Factors'!$B$5*(1+'Inputs-System'!$C$18)*(1+'Inputs-System'!$C$41))+ ('Inputs-System'!$C$26*'Coincidence Factors'!$B$5)*'Inputs-Proposals'!$J$22*VLOOKUP(DB$3,DRIPE!$A$54:$I$80,8,FALSE), $C47= "3", ('Inputs-System'!$C$30*'Coincidence Factors'!$B$5)*('Inputs-Proposals'!$J$29*'Inputs-Proposals'!$J$31*(1-'Inputs-Proposals'!$J$32))*(VLOOKUP(DB$3,DRIPE!$A$54:$I$80,5,FALSE)-VLOOKUP(DB$3,DRIPE!$A$54:$I$80,6,FALSE)+VLOOKUP(DB$3,DRIPE!$A$54:$I$80,9,FALSE))+ ('Inputs-System'!$C$26*'Coincidence Factors'!$B$5*(1+'Inputs-System'!$C$18)*(1+'Inputs-System'!$C$42))*'Inputs-Proposals'!$J$28*VLOOKUP(DB$3,DRIPE!$A$54:$I$80,8,FALSE), $C47 = "0", 0), 0)</f>
        <v>0</v>
      </c>
      <c r="DE47" s="326">
        <f>IFERROR(_xlfn.IFS($C47="1",('Inputs-System'!$C$26*'Coincidence Factors'!$B$5*(1+'Inputs-System'!$C$18)*(1+'Inputs-System'!$C$42))*'Inputs-Proposals'!$J$16*(VLOOKUP(DB$3,Capacity!$A$53:$E$85,4,FALSE)*(1+'Inputs-System'!$C$42)+VLOOKUP(DB$3,Capacity!$A$53:$E$85,5,FALSE)*(1+'Inputs-System'!$C$43)*'Inputs-System'!$C$29), $C47 = "2", ('Inputs-System'!$C$26*'Coincidence Factors'!$B$5*(1+'Inputs-System'!$C$18))*'Inputs-Proposals'!$J$22*(VLOOKUP(DB$3,Capacity!$A$53:$E$85,4,FALSE)*(1+'Inputs-System'!$C$42)+VLOOKUP(DB$3,Capacity!$A$53:$E$85,5,FALSE)*'Inputs-System'!$C$29*(1+'Inputs-System'!$C$43)), $C47 = "3", ('Inputs-System'!$C$26*'Coincidence Factors'!$B$5*(1+'Inputs-System'!$C$18))*'Inputs-Proposals'!$J$28*(VLOOKUP(DB$3,Capacity!$A$53:$E$85,4,FALSE)*(1+'Inputs-System'!$C$42)+VLOOKUP(DB$3,Capacity!$A$53:$E$85,5,FALSE)*'Inputs-System'!$C$29*(1+'Inputs-System'!$C$43)), $C47 = "0", 0), 0)</f>
        <v>0</v>
      </c>
      <c r="DF47" s="100">
        <v>0</v>
      </c>
      <c r="DG47" s="346">
        <f>IFERROR(_xlfn.IFS($C47="1", 'Inputs-System'!$C$30*'Coincidence Factors'!$B$5*'Inputs-Proposals'!$J$17*'Inputs-Proposals'!$J$19*(VLOOKUP(DB$3,'Non-Embedded Emissions'!$A$56:$D$90,2,FALSE)+VLOOKUP(DB$3,'Non-Embedded Emissions'!$A$143:$D$174,2,FALSE)+VLOOKUP(DB$3,'Non-Embedded Emissions'!$A$230:$D$259,2,FALSE)-VLOOKUP(DB$3,'Non-Embedded Emissions'!$A$56:$D$90,3,FALSE)-VLOOKUP(DB$3,'Non-Embedded Emissions'!$A$143:$D$174,3,FALSE)-VLOOKUP(DB$3,'Non-Embedded Emissions'!$A$230:$D$259,3,FALSE)), $C47 = "2", 'Inputs-System'!$C$30*'Coincidence Factors'!$B$5*'Inputs-Proposals'!$J$23*'Inputs-Proposals'!$J$25*(VLOOKUP(DB$3,'Non-Embedded Emissions'!$A$56:$D$90,2,FALSE)+VLOOKUP(DB$3,'Non-Embedded Emissions'!$A$143:$D$174,2,FALSE)+VLOOKUP(DB$3,'Non-Embedded Emissions'!$A$230:$D$259,2,FALSE)-VLOOKUP(DB$3,'Non-Embedded Emissions'!$A$56:$D$90,3,FALSE)-VLOOKUP(DB$3,'Non-Embedded Emissions'!$A$143:$D$174,3,FALSE)-VLOOKUP(DB$3,'Non-Embedded Emissions'!$A$230:$D$259,3,FALSE)), $C47 = "3", 'Inputs-System'!$C$30*'Coincidence Factors'!$B$5*'Inputs-Proposals'!$J$29*'Inputs-Proposals'!$J$31*(VLOOKUP(DB$3,'Non-Embedded Emissions'!$A$56:$D$90,2,FALSE)+VLOOKUP(DB$3,'Non-Embedded Emissions'!$A$143:$D$174,2,FALSE)+VLOOKUP(DB$3,'Non-Embedded Emissions'!$A$230:$D$259,2,FALSE)-VLOOKUP(DB$3,'Non-Embedded Emissions'!$A$56:$D$90,3,FALSE)-VLOOKUP(DB$3,'Non-Embedded Emissions'!$A$143:$D$174,3,FALSE)-VLOOKUP(DB$3,'Non-Embedded Emissions'!$A$230:$D$259,3,FALSE)), $C47 = "0", 0), 0)</f>
        <v>0</v>
      </c>
      <c r="DH47" s="344">
        <f>IFERROR(_xlfn.IFS($C47="1",('Inputs-System'!$C$30*'Coincidence Factors'!$B$5*(1+'Inputs-System'!$C$18)*(1+'Inputs-System'!$C$41)*('Inputs-Proposals'!$J$17*'Inputs-Proposals'!$J$19*(1-'Inputs-Proposals'!$J$20))*(VLOOKUP(DH$3,Energy!$A$51:$K$83,5,FALSE)-VLOOKUP(DH$3,Energy!$A$51:$K$83,6,FALSE))), $C47 = "2",('Inputs-System'!$C$30*'Coincidence Factors'!$B$5)*(1+'Inputs-System'!$C$18)*(1+'Inputs-System'!$C$41)*('Inputs-Proposals'!$J$23*'Inputs-Proposals'!$J$25*(1-'Inputs-Proposals'!$J$26))*(VLOOKUP(DH$3,Energy!$A$51:$K$83,5,FALSE)-VLOOKUP(DH$3,Energy!$A$51:$K$83,6,FALSE)), $C47= "3", ('Inputs-System'!$C$30*'Coincidence Factors'!$B$5*(1+'Inputs-System'!$C$18)*(1+'Inputs-System'!$C$41)*('Inputs-Proposals'!$J$29*'Inputs-Proposals'!$J$31*(1-'Inputs-Proposals'!$J$32))*(VLOOKUP(DH$3,Energy!$A$51:$K$83,5,FALSE)-VLOOKUP(DH$3,Energy!$A$51:$K$83,6,FALSE))), $C47= "0", 0), 0)</f>
        <v>0</v>
      </c>
      <c r="DI47" s="100">
        <f>IFERROR(_xlfn.IFS($C47="1", 'Inputs-System'!$C$30*'Coincidence Factors'!$B$5*(1+'Inputs-System'!$C$18)*(1+'Inputs-System'!$C$41)*'Inputs-Proposals'!$J$17*'Inputs-Proposals'!$J$19*(1-'Inputs-Proposals'!$J$20)*(VLOOKUP(DH$3,'Embedded Emissions'!$A$47:$B$78,2,FALSE)+VLOOKUP(DH$3,'Embedded Emissions'!$A$129:$B$158,2,FALSE)), $C47 = "2",'Inputs-System'!$C$30*'Coincidence Factors'!$B$5*(1+'Inputs-System'!$C$18)*(1+'Inputs-System'!$C$41)*'Inputs-Proposals'!$J$23*'Inputs-Proposals'!$J$25*(1-'Inputs-Proposals'!$J$20)*(VLOOKUP(DH$3,'Embedded Emissions'!$A$47:$B$78,2,FALSE)+VLOOKUP(DH$3,'Embedded Emissions'!$A$129:$B$158,2,FALSE)), $C47 = "3", 'Inputs-System'!$C$30*'Coincidence Factors'!$B$5*(1+'Inputs-System'!$C$18)*(1+'Inputs-System'!$C$41)*'Inputs-Proposals'!$J$29*'Inputs-Proposals'!$J$31*(1-'Inputs-Proposals'!$J$20)*(VLOOKUP(DH$3,'Embedded Emissions'!$A$47:$B$78,2,FALSE)+VLOOKUP(DH$3,'Embedded Emissions'!$A$129:$B$158,2,FALSE)), $C47 = "0", 0), 0)</f>
        <v>0</v>
      </c>
      <c r="DJ47" s="318">
        <f>IFERROR(_xlfn.IFS($C47="1",( 'Inputs-System'!$C$30*'Coincidence Factors'!$B$5*(1+'Inputs-System'!$C$18)*(1+'Inputs-System'!$C$41))*('Inputs-Proposals'!$J$17*'Inputs-Proposals'!$J$19*(1-'Inputs-Proposals'!$J$20))*(VLOOKUP(DH$3,DRIPE!$A$54:$I$82,5,FALSE)-VLOOKUP(DH$3,DRIPE!$A$54:$I$82,6,FALSE)+VLOOKUP(DH$3,DRIPE!$A$54:$I$82,9,FALSE))+ ('Inputs-System'!$C$26*'Coincidence Factors'!$B$5*(1+'Inputs-System'!$C$18)*(1+'Inputs-System'!$C$42))*'Inputs-Proposals'!$J$16*VLOOKUP(DH$3,DRIPE!$A$54:$I$80,8,FALSE), $C47 = "2",( 'Inputs-System'!$C$30*'Coincidence Factors'!$B$5*(1+'Inputs-System'!$C$18)*(1+'Inputs-System'!$C$41))*('Inputs-Proposals'!$J$23*'Inputs-Proposals'!$J$25*(1-'Inputs-Proposals'!$J$26))*(VLOOKUP(DH$3,DRIPE!$A$54:$I$82,5,FALSE)-VLOOKUP(DH$3,DRIPE!$A$54:$I$82,6,FALSE)+VLOOKUP(DH$3,DRIPE!$A$54:$I$82,9,FALSE))+ ('Inputs-System'!$C$26*'Coincidence Factors'!$B$5*(1+'Inputs-System'!$C$18)*(1+'Inputs-System'!$C$41))+ ('Inputs-System'!$C$26*'Coincidence Factors'!$B$5)*'Inputs-Proposals'!$J$22*VLOOKUP(DH$3,DRIPE!$A$54:$I$80,8,FALSE), $C47= "3", ('Inputs-System'!$C$30*'Coincidence Factors'!$B$5)*('Inputs-Proposals'!$J$29*'Inputs-Proposals'!$J$31*(1-'Inputs-Proposals'!$J$32))*(VLOOKUP(DH$3,DRIPE!$A$54:$I$80,5,FALSE)-VLOOKUP(DH$3,DRIPE!$A$54:$I$80,6,FALSE)+VLOOKUP(DH$3,DRIPE!$A$54:$I$80,9,FALSE))+ ('Inputs-System'!$C$26*'Coincidence Factors'!$B$5*(1+'Inputs-System'!$C$18)*(1+'Inputs-System'!$C$42))*'Inputs-Proposals'!$J$28*VLOOKUP(DH$3,DRIPE!$A$54:$I$80,8,FALSE), $C47 = "0", 0), 0)</f>
        <v>0</v>
      </c>
      <c r="DK47" s="326">
        <f>IFERROR(_xlfn.IFS($C47="1",('Inputs-System'!$C$26*'Coincidence Factors'!$B$5*(1+'Inputs-System'!$C$18)*(1+'Inputs-System'!$C$42))*'Inputs-Proposals'!$J$16*(VLOOKUP(DH$3,Capacity!$A$53:$E$85,4,FALSE)*(1+'Inputs-System'!$C$42)+VLOOKUP(DH$3,Capacity!$A$53:$E$85,5,FALSE)*(1+'Inputs-System'!$C$43)*'Inputs-System'!$C$29), $C47 = "2", ('Inputs-System'!$C$26*'Coincidence Factors'!$B$5*(1+'Inputs-System'!$C$18))*'Inputs-Proposals'!$J$22*(VLOOKUP(DH$3,Capacity!$A$53:$E$85,4,FALSE)*(1+'Inputs-System'!$C$42)+VLOOKUP(DH$3,Capacity!$A$53:$E$85,5,FALSE)*'Inputs-System'!$C$29*(1+'Inputs-System'!$C$43)), $C47 = "3", ('Inputs-System'!$C$26*'Coincidence Factors'!$B$5*(1+'Inputs-System'!$C$18))*'Inputs-Proposals'!$J$28*(VLOOKUP(DH$3,Capacity!$A$53:$E$85,4,FALSE)*(1+'Inputs-System'!$C$42)+VLOOKUP(DH$3,Capacity!$A$53:$E$85,5,FALSE)*'Inputs-System'!$C$29*(1+'Inputs-System'!$C$43)), $C47 = "0", 0), 0)</f>
        <v>0</v>
      </c>
      <c r="DL47" s="100">
        <v>0</v>
      </c>
      <c r="DM47" s="346">
        <f>IFERROR(_xlfn.IFS($C47="1", 'Inputs-System'!$C$30*'Coincidence Factors'!$B$5*'Inputs-Proposals'!$J$17*'Inputs-Proposals'!$J$19*(VLOOKUP(DH$3,'Non-Embedded Emissions'!$A$56:$D$90,2,FALSE)+VLOOKUP(DH$3,'Non-Embedded Emissions'!$A$143:$D$174,2,FALSE)+VLOOKUP(DH$3,'Non-Embedded Emissions'!$A$230:$D$259,2,FALSE)-VLOOKUP(DH$3,'Non-Embedded Emissions'!$A$56:$D$90,3,FALSE)-VLOOKUP(DH$3,'Non-Embedded Emissions'!$A$143:$D$174,3,FALSE)-VLOOKUP(DH$3,'Non-Embedded Emissions'!$A$230:$D$259,3,FALSE)), $C47 = "2", 'Inputs-System'!$C$30*'Coincidence Factors'!$B$5*'Inputs-Proposals'!$J$23*'Inputs-Proposals'!$J$25*(VLOOKUP(DH$3,'Non-Embedded Emissions'!$A$56:$D$90,2,FALSE)+VLOOKUP(DH$3,'Non-Embedded Emissions'!$A$143:$D$174,2,FALSE)+VLOOKUP(DH$3,'Non-Embedded Emissions'!$A$230:$D$259,2,FALSE)-VLOOKUP(DH$3,'Non-Embedded Emissions'!$A$56:$D$90,3,FALSE)-VLOOKUP(DH$3,'Non-Embedded Emissions'!$A$143:$D$174,3,FALSE)-VLOOKUP(DH$3,'Non-Embedded Emissions'!$A$230:$D$259,3,FALSE)), $C47 = "3", 'Inputs-System'!$C$30*'Coincidence Factors'!$B$5*'Inputs-Proposals'!$J$29*'Inputs-Proposals'!$J$31*(VLOOKUP(DH$3,'Non-Embedded Emissions'!$A$56:$D$90,2,FALSE)+VLOOKUP(DH$3,'Non-Embedded Emissions'!$A$143:$D$174,2,FALSE)+VLOOKUP(DH$3,'Non-Embedded Emissions'!$A$230:$D$259,2,FALSE)-VLOOKUP(DH$3,'Non-Embedded Emissions'!$A$56:$D$90,3,FALSE)-VLOOKUP(DH$3,'Non-Embedded Emissions'!$A$143:$D$174,3,FALSE)-VLOOKUP(DH$3,'Non-Embedded Emissions'!$A$230:$D$259,3,FALSE)), $C47 = "0", 0), 0)</f>
        <v>0</v>
      </c>
      <c r="DN47" s="344">
        <f>IFERROR(_xlfn.IFS($C47="1",('Inputs-System'!$C$30*'Coincidence Factors'!$B$5*(1+'Inputs-System'!$C$18)*(1+'Inputs-System'!$C$41)*('Inputs-Proposals'!$J$17*'Inputs-Proposals'!$J$19*(1-'Inputs-Proposals'!$J$20))*(VLOOKUP(DN$3,Energy!$A$51:$K$83,5,FALSE)-VLOOKUP(DN$3,Energy!$A$51:$K$83,6,FALSE))), $C47 = "2",('Inputs-System'!$C$30*'Coincidence Factors'!$B$5)*(1+'Inputs-System'!$C$18)*(1+'Inputs-System'!$C$41)*('Inputs-Proposals'!$J$23*'Inputs-Proposals'!$J$25*(1-'Inputs-Proposals'!$J$26))*(VLOOKUP(DN$3,Energy!$A$51:$K$83,5,FALSE)-VLOOKUP(DN$3,Energy!$A$51:$K$83,6,FALSE)), $C47= "3", ('Inputs-System'!$C$30*'Coincidence Factors'!$B$5*(1+'Inputs-System'!$C$18)*(1+'Inputs-System'!$C$41)*('Inputs-Proposals'!$J$29*'Inputs-Proposals'!$J$31*(1-'Inputs-Proposals'!$J$32))*(VLOOKUP(DN$3,Energy!$A$51:$K$83,5,FALSE)-VLOOKUP(DN$3,Energy!$A$51:$K$83,6,FALSE))), $C47= "0", 0), 0)</f>
        <v>0</v>
      </c>
      <c r="DO47" s="100">
        <f>IFERROR(_xlfn.IFS($C47="1", 'Inputs-System'!$C$30*'Coincidence Factors'!$B$5*(1+'Inputs-System'!$C$18)*(1+'Inputs-System'!$C$41)*'Inputs-Proposals'!$J$17*'Inputs-Proposals'!$J$19*(1-'Inputs-Proposals'!$J$20)*(VLOOKUP(DN$3,'Embedded Emissions'!$A$47:$B$78,2,FALSE)+VLOOKUP(DN$3,'Embedded Emissions'!$A$129:$B$158,2,FALSE)), $C47 = "2",'Inputs-System'!$C$30*'Coincidence Factors'!$B$5*(1+'Inputs-System'!$C$18)*(1+'Inputs-System'!$C$41)*'Inputs-Proposals'!$J$23*'Inputs-Proposals'!$J$25*(1-'Inputs-Proposals'!$J$20)*(VLOOKUP(DN$3,'Embedded Emissions'!$A$47:$B$78,2,FALSE)+VLOOKUP(DN$3,'Embedded Emissions'!$A$129:$B$158,2,FALSE)), $C47 = "3", 'Inputs-System'!$C$30*'Coincidence Factors'!$B$5*(1+'Inputs-System'!$C$18)*(1+'Inputs-System'!$C$41)*'Inputs-Proposals'!$J$29*'Inputs-Proposals'!$J$31*(1-'Inputs-Proposals'!$J$20)*(VLOOKUP(DN$3,'Embedded Emissions'!$A$47:$B$78,2,FALSE)+VLOOKUP(DN$3,'Embedded Emissions'!$A$129:$B$158,2,FALSE)), $C47 = "0", 0), 0)</f>
        <v>0</v>
      </c>
      <c r="DP47" s="318">
        <f>IFERROR(_xlfn.IFS($C47="1",( 'Inputs-System'!$C$30*'Coincidence Factors'!$B$5*(1+'Inputs-System'!$C$18)*(1+'Inputs-System'!$C$41))*('Inputs-Proposals'!$J$17*'Inputs-Proposals'!$J$19*(1-'Inputs-Proposals'!$J$20))*(VLOOKUP(DN$3,DRIPE!$A$54:$I$82,5,FALSE)-VLOOKUP(DN$3,DRIPE!$A$54:$I$82,6,FALSE)+VLOOKUP(DN$3,DRIPE!$A$54:$I$82,9,FALSE))+ ('Inputs-System'!$C$26*'Coincidence Factors'!$B$5*(1+'Inputs-System'!$C$18)*(1+'Inputs-System'!$C$42))*'Inputs-Proposals'!$J$16*VLOOKUP(DN$3,DRIPE!$A$54:$I$80,8,FALSE), $C47 = "2",( 'Inputs-System'!$C$30*'Coincidence Factors'!$B$5*(1+'Inputs-System'!$C$18)*(1+'Inputs-System'!$C$41))*('Inputs-Proposals'!$J$23*'Inputs-Proposals'!$J$25*(1-'Inputs-Proposals'!$J$26))*(VLOOKUP(DN$3,DRIPE!$A$54:$I$82,5,FALSE)-VLOOKUP(DN$3,DRIPE!$A$54:$I$82,6,FALSE)+VLOOKUP(DN$3,DRIPE!$A$54:$I$82,9,FALSE))+ ('Inputs-System'!$C$26*'Coincidence Factors'!$B$5*(1+'Inputs-System'!$C$18)*(1+'Inputs-System'!$C$41))+ ('Inputs-System'!$C$26*'Coincidence Factors'!$B$5)*'Inputs-Proposals'!$J$22*VLOOKUP(DN$3,DRIPE!$A$54:$I$80,8,FALSE), $C47= "3", ('Inputs-System'!$C$30*'Coincidence Factors'!$B$5)*('Inputs-Proposals'!$J$29*'Inputs-Proposals'!$J$31*(1-'Inputs-Proposals'!$J$32))*(VLOOKUP(DN$3,DRIPE!$A$54:$I$80,5,FALSE)-VLOOKUP(DN$3,DRIPE!$A$54:$I$80,6,FALSE)+VLOOKUP(DN$3,DRIPE!$A$54:$I$80,9,FALSE))+ ('Inputs-System'!$C$26*'Coincidence Factors'!$B$5*(1+'Inputs-System'!$C$18)*(1+'Inputs-System'!$C$42))*'Inputs-Proposals'!$J$28*VLOOKUP(DN$3,DRIPE!$A$54:$I$80,8,FALSE), $C47 = "0", 0), 0)</f>
        <v>0</v>
      </c>
      <c r="DQ47" s="326">
        <f>IFERROR(_xlfn.IFS($C47="1",('Inputs-System'!$C$26*'Coincidence Factors'!$B$5*(1+'Inputs-System'!$C$18)*(1+'Inputs-System'!$C$42))*'Inputs-Proposals'!$J$16*(VLOOKUP(DN$3,Capacity!$A$53:$E$85,4,FALSE)*(1+'Inputs-System'!$C$42)+VLOOKUP(DN$3,Capacity!$A$53:$E$85,5,FALSE)*(1+'Inputs-System'!$C$43)*'Inputs-System'!$C$29), $C47 = "2", ('Inputs-System'!$C$26*'Coincidence Factors'!$B$5*(1+'Inputs-System'!$C$18))*'Inputs-Proposals'!$J$22*(VLOOKUP(DN$3,Capacity!$A$53:$E$85,4,FALSE)*(1+'Inputs-System'!$C$42)+VLOOKUP(DN$3,Capacity!$A$53:$E$85,5,FALSE)*'Inputs-System'!$C$29*(1+'Inputs-System'!$C$43)), $C47 = "3", ('Inputs-System'!$C$26*'Coincidence Factors'!$B$5*(1+'Inputs-System'!$C$18))*'Inputs-Proposals'!$J$28*(VLOOKUP(DN$3,Capacity!$A$53:$E$85,4,FALSE)*(1+'Inputs-System'!$C$42)+VLOOKUP(DN$3,Capacity!$A$53:$E$85,5,FALSE)*'Inputs-System'!$C$29*(1+'Inputs-System'!$C$43)), $C47 = "0", 0), 0)</f>
        <v>0</v>
      </c>
      <c r="DR47" s="100">
        <v>0</v>
      </c>
      <c r="DS47" s="346">
        <f>IFERROR(_xlfn.IFS($C47="1", 'Inputs-System'!$C$30*'Coincidence Factors'!$B$5*'Inputs-Proposals'!$J$17*'Inputs-Proposals'!$J$19*(VLOOKUP(DN$3,'Non-Embedded Emissions'!$A$56:$D$90,2,FALSE)+VLOOKUP(DN$3,'Non-Embedded Emissions'!$A$143:$D$174,2,FALSE)+VLOOKUP(DN$3,'Non-Embedded Emissions'!$A$230:$D$259,2,FALSE)-VLOOKUP(DN$3,'Non-Embedded Emissions'!$A$56:$D$90,3,FALSE)-VLOOKUP(DN$3,'Non-Embedded Emissions'!$A$143:$D$174,3,FALSE)-VLOOKUP(DN$3,'Non-Embedded Emissions'!$A$230:$D$259,3,FALSE)), $C47 = "2", 'Inputs-System'!$C$30*'Coincidence Factors'!$B$5*'Inputs-Proposals'!$J$23*'Inputs-Proposals'!$J$25*(VLOOKUP(DN$3,'Non-Embedded Emissions'!$A$56:$D$90,2,FALSE)+VLOOKUP(DN$3,'Non-Embedded Emissions'!$A$143:$D$174,2,FALSE)+VLOOKUP(DN$3,'Non-Embedded Emissions'!$A$230:$D$259,2,FALSE)-VLOOKUP(DN$3,'Non-Embedded Emissions'!$A$56:$D$90,3,FALSE)-VLOOKUP(DN$3,'Non-Embedded Emissions'!$A$143:$D$174,3,FALSE)-VLOOKUP(DN$3,'Non-Embedded Emissions'!$A$230:$D$259,3,FALSE)), $C47 = "3", 'Inputs-System'!$C$30*'Coincidence Factors'!$B$5*'Inputs-Proposals'!$J$29*'Inputs-Proposals'!$J$31*(VLOOKUP(DN$3,'Non-Embedded Emissions'!$A$56:$D$90,2,FALSE)+VLOOKUP(DN$3,'Non-Embedded Emissions'!$A$143:$D$174,2,FALSE)+VLOOKUP(DN$3,'Non-Embedded Emissions'!$A$230:$D$259,2,FALSE)-VLOOKUP(DN$3,'Non-Embedded Emissions'!$A$56:$D$90,3,FALSE)-VLOOKUP(DN$3,'Non-Embedded Emissions'!$A$143:$D$174,3,FALSE)-VLOOKUP(DN$3,'Non-Embedded Emissions'!$A$230:$D$259,3,FALSE)), $C47 = "0", 0), 0)</f>
        <v>0</v>
      </c>
      <c r="DT47" s="344">
        <f>IFERROR(_xlfn.IFS($C47="1",('Inputs-System'!$C$30*'Coincidence Factors'!$B$5*(1+'Inputs-System'!$C$18)*(1+'Inputs-System'!$C$41)*('Inputs-Proposals'!$J$17*'Inputs-Proposals'!$J$19*(1-'Inputs-Proposals'!$J$20))*(VLOOKUP(DT$3,Energy!$A$51:$K$83,5,FALSE)-VLOOKUP(DT$3,Energy!$A$51:$K$83,6,FALSE))), $C47 = "2",('Inputs-System'!$C$30*'Coincidence Factors'!$B$5)*(1+'Inputs-System'!$C$18)*(1+'Inputs-System'!$C$41)*('Inputs-Proposals'!$J$23*'Inputs-Proposals'!$J$25*(1-'Inputs-Proposals'!$J$26))*(VLOOKUP(DT$3,Energy!$A$51:$K$83,5,FALSE)-VLOOKUP(DT$3,Energy!$A$51:$K$83,6,FALSE)), $C47= "3", ('Inputs-System'!$C$30*'Coincidence Factors'!$B$5*(1+'Inputs-System'!$C$18)*(1+'Inputs-System'!$C$41)*('Inputs-Proposals'!$J$29*'Inputs-Proposals'!$J$31*(1-'Inputs-Proposals'!$J$32))*(VLOOKUP(DT$3,Energy!$A$51:$K$83,5,FALSE)-VLOOKUP(DT$3,Energy!$A$51:$K$83,6,FALSE))), $C47= "0", 0), 0)</f>
        <v>0</v>
      </c>
      <c r="DU47" s="100">
        <f>IFERROR(_xlfn.IFS($C47="1", 'Inputs-System'!$C$30*'Coincidence Factors'!$B$5*(1+'Inputs-System'!$C$18)*(1+'Inputs-System'!$C$41)*'Inputs-Proposals'!$J$17*'Inputs-Proposals'!$J$19*(1-'Inputs-Proposals'!$J$20)*(VLOOKUP(DT$3,'Embedded Emissions'!$A$47:$B$78,2,FALSE)+VLOOKUP(DT$3,'Embedded Emissions'!$A$129:$B$158,2,FALSE)), $C47 = "2",'Inputs-System'!$C$30*'Coincidence Factors'!$B$5*(1+'Inputs-System'!$C$18)*(1+'Inputs-System'!$C$41)*'Inputs-Proposals'!$J$23*'Inputs-Proposals'!$J$25*(1-'Inputs-Proposals'!$J$20)*(VLOOKUP(DT$3,'Embedded Emissions'!$A$47:$B$78,2,FALSE)+VLOOKUP(DT$3,'Embedded Emissions'!$A$129:$B$158,2,FALSE)), $C47 = "3", 'Inputs-System'!$C$30*'Coincidence Factors'!$B$5*(1+'Inputs-System'!$C$18)*(1+'Inputs-System'!$C$41)*'Inputs-Proposals'!$J$29*'Inputs-Proposals'!$J$31*(1-'Inputs-Proposals'!$J$20)*(VLOOKUP(DT$3,'Embedded Emissions'!$A$47:$B$78,2,FALSE)+VLOOKUP(DT$3,'Embedded Emissions'!$A$129:$B$158,2,FALSE)), $C47 = "0", 0), 0)</f>
        <v>0</v>
      </c>
      <c r="DV47" s="318">
        <f>IFERROR(_xlfn.IFS($C47="1",( 'Inputs-System'!$C$30*'Coincidence Factors'!$B$5*(1+'Inputs-System'!$C$18)*(1+'Inputs-System'!$C$41))*('Inputs-Proposals'!$J$17*'Inputs-Proposals'!$J$19*(1-'Inputs-Proposals'!$J$20))*(VLOOKUP(DT$3,DRIPE!$A$54:$I$82,5,FALSE)-VLOOKUP(DT$3,DRIPE!$A$54:$I$82,6,FALSE)+VLOOKUP(DT$3,DRIPE!$A$54:$I$82,9,FALSE))+ ('Inputs-System'!$C$26*'Coincidence Factors'!$B$5*(1+'Inputs-System'!$C$18)*(1+'Inputs-System'!$C$42))*'Inputs-Proposals'!$J$16*VLOOKUP(DT$3,DRIPE!$A$54:$I$80,8,FALSE), $C47 = "2",( 'Inputs-System'!$C$30*'Coincidence Factors'!$B$5*(1+'Inputs-System'!$C$18)*(1+'Inputs-System'!$C$41))*('Inputs-Proposals'!$J$23*'Inputs-Proposals'!$J$25*(1-'Inputs-Proposals'!$J$26))*(VLOOKUP(DT$3,DRIPE!$A$54:$I$82,5,FALSE)-VLOOKUP(DT$3,DRIPE!$A$54:$I$82,6,FALSE)+VLOOKUP(DT$3,DRIPE!$A$54:$I$82,9,FALSE))+ ('Inputs-System'!$C$26*'Coincidence Factors'!$B$5*(1+'Inputs-System'!$C$18)*(1+'Inputs-System'!$C$41))+ ('Inputs-System'!$C$26*'Coincidence Factors'!$B$5)*'Inputs-Proposals'!$J$22*VLOOKUP(DT$3,DRIPE!$A$54:$I$80,8,FALSE), $C47= "3", ('Inputs-System'!$C$30*'Coincidence Factors'!$B$5)*('Inputs-Proposals'!$J$29*'Inputs-Proposals'!$J$31*(1-'Inputs-Proposals'!$J$32))*(VLOOKUP(DT$3,DRIPE!$A$54:$I$80,5,FALSE)-VLOOKUP(DT$3,DRIPE!$A$54:$I$80,6,FALSE)+VLOOKUP(DT$3,DRIPE!$A$54:$I$80,9,FALSE))+ ('Inputs-System'!$C$26*'Coincidence Factors'!$B$5*(1+'Inputs-System'!$C$18)*(1+'Inputs-System'!$C$42))*'Inputs-Proposals'!$J$28*VLOOKUP(DT$3,DRIPE!$A$54:$I$80,8,FALSE), $C47 = "0", 0), 0)</f>
        <v>0</v>
      </c>
      <c r="DW47" s="326">
        <f>IFERROR(_xlfn.IFS($C47="1",('Inputs-System'!$C$26*'Coincidence Factors'!$B$5*(1+'Inputs-System'!$C$18)*(1+'Inputs-System'!$C$42))*'Inputs-Proposals'!$J$16*(VLOOKUP(DT$3,Capacity!$A$53:$E$85,4,FALSE)*(1+'Inputs-System'!$C$42)+VLOOKUP(DT$3,Capacity!$A$53:$E$85,5,FALSE)*(1+'Inputs-System'!$C$43)*'Inputs-System'!$C$29), $C47 = "2", ('Inputs-System'!$C$26*'Coincidence Factors'!$B$5*(1+'Inputs-System'!$C$18))*'Inputs-Proposals'!$J$22*(VLOOKUP(DT$3,Capacity!$A$53:$E$85,4,FALSE)*(1+'Inputs-System'!$C$42)+VLOOKUP(DT$3,Capacity!$A$53:$E$85,5,FALSE)*'Inputs-System'!$C$29*(1+'Inputs-System'!$C$43)), $C47 = "3", ('Inputs-System'!$C$26*'Coincidence Factors'!$B$5*(1+'Inputs-System'!$C$18))*'Inputs-Proposals'!$J$28*(VLOOKUP(DT$3,Capacity!$A$53:$E$85,4,FALSE)*(1+'Inputs-System'!$C$42)+VLOOKUP(DT$3,Capacity!$A$53:$E$85,5,FALSE)*'Inputs-System'!$C$29*(1+'Inputs-System'!$C$43)), $C47 = "0", 0), 0)</f>
        <v>0</v>
      </c>
      <c r="DX47" s="100">
        <v>0</v>
      </c>
      <c r="DY47" s="346">
        <f>IFERROR(_xlfn.IFS($C47="1", 'Inputs-System'!$C$30*'Coincidence Factors'!$B$5*'Inputs-Proposals'!$J$17*'Inputs-Proposals'!$J$19*(VLOOKUP(DT$3,'Non-Embedded Emissions'!$A$56:$D$90,2,FALSE)+VLOOKUP(DT$3,'Non-Embedded Emissions'!$A$143:$D$174,2,FALSE)+VLOOKUP(DT$3,'Non-Embedded Emissions'!$A$230:$D$259,2,FALSE)-VLOOKUP(DT$3,'Non-Embedded Emissions'!$A$56:$D$90,3,FALSE)-VLOOKUP(DT$3,'Non-Embedded Emissions'!$A$143:$D$174,3,FALSE)-VLOOKUP(DT$3,'Non-Embedded Emissions'!$A$230:$D$259,3,FALSE)), $C47 = "2", 'Inputs-System'!$C$30*'Coincidence Factors'!$B$5*'Inputs-Proposals'!$J$23*'Inputs-Proposals'!$J$25*(VLOOKUP(DT$3,'Non-Embedded Emissions'!$A$56:$D$90,2,FALSE)+VLOOKUP(DT$3,'Non-Embedded Emissions'!$A$143:$D$174,2,FALSE)+VLOOKUP(DT$3,'Non-Embedded Emissions'!$A$230:$D$259,2,FALSE)-VLOOKUP(DT$3,'Non-Embedded Emissions'!$A$56:$D$90,3,FALSE)-VLOOKUP(DT$3,'Non-Embedded Emissions'!$A$143:$D$174,3,FALSE)-VLOOKUP(DT$3,'Non-Embedded Emissions'!$A$230:$D$259,3,FALSE)), $C47 = "3", 'Inputs-System'!$C$30*'Coincidence Factors'!$B$5*'Inputs-Proposals'!$J$29*'Inputs-Proposals'!$J$31*(VLOOKUP(DT$3,'Non-Embedded Emissions'!$A$56:$D$90,2,FALSE)+VLOOKUP(DT$3,'Non-Embedded Emissions'!$A$143:$D$174,2,FALSE)+VLOOKUP(DT$3,'Non-Embedded Emissions'!$A$230:$D$259,2,FALSE)-VLOOKUP(DT$3,'Non-Embedded Emissions'!$A$56:$D$90,3,FALSE)-VLOOKUP(DT$3,'Non-Embedded Emissions'!$A$143:$D$174,3,FALSE)-VLOOKUP(DT$3,'Non-Embedded Emissions'!$A$230:$D$259,3,FALSE)), $C47 = "0", 0), 0)</f>
        <v>0</v>
      </c>
      <c r="DZ47" s="344">
        <f>IFERROR(_xlfn.IFS($C47="1",('Inputs-System'!$C$30*'Coincidence Factors'!$B$5*(1+'Inputs-System'!$C$18)*(1+'Inputs-System'!$C$41)*('Inputs-Proposals'!$J$17*'Inputs-Proposals'!$J$19*(1-'Inputs-Proposals'!$J$20))*(VLOOKUP(DZ$3,Energy!$A$51:$K$83,5,FALSE)-VLOOKUP(DZ$3,Energy!$A$51:$K$83,6,FALSE))), $C47 = "2",('Inputs-System'!$C$30*'Coincidence Factors'!$B$5)*(1+'Inputs-System'!$C$18)*(1+'Inputs-System'!$C$41)*('Inputs-Proposals'!$J$23*'Inputs-Proposals'!$J$25*(1-'Inputs-Proposals'!$J$26))*(VLOOKUP(DZ$3,Energy!$A$51:$K$83,5,FALSE)-VLOOKUP(DZ$3,Energy!$A$51:$K$83,6,FALSE)), $C47= "3", ('Inputs-System'!$C$30*'Coincidence Factors'!$B$5*(1+'Inputs-System'!$C$18)*(1+'Inputs-System'!$C$41)*('Inputs-Proposals'!$J$29*'Inputs-Proposals'!$J$31*(1-'Inputs-Proposals'!$J$32))*(VLOOKUP(DZ$3,Energy!$A$51:$K$83,5,FALSE)-VLOOKUP(DZ$3,Energy!$A$51:$K$83,6,FALSE))), $C47= "0", 0), 0)</f>
        <v>0</v>
      </c>
      <c r="EA47" s="100">
        <f>IFERROR(_xlfn.IFS($C47="1", 'Inputs-System'!$C$30*'Coincidence Factors'!$B$5*(1+'Inputs-System'!$C$18)*(1+'Inputs-System'!$C$41)*'Inputs-Proposals'!$J$17*'Inputs-Proposals'!$J$19*(1-'Inputs-Proposals'!$J$20)*(VLOOKUP(DZ$3,'Embedded Emissions'!$A$47:$B$78,2,FALSE)+VLOOKUP(DZ$3,'Embedded Emissions'!$A$129:$B$158,2,FALSE)), $C47 = "2",'Inputs-System'!$C$30*'Coincidence Factors'!$B$5*(1+'Inputs-System'!$C$18)*(1+'Inputs-System'!$C$41)*'Inputs-Proposals'!$J$23*'Inputs-Proposals'!$J$25*(1-'Inputs-Proposals'!$J$20)*(VLOOKUP(DZ$3,'Embedded Emissions'!$A$47:$B$78,2,FALSE)+VLOOKUP(DZ$3,'Embedded Emissions'!$A$129:$B$158,2,FALSE)), $C47 = "3", 'Inputs-System'!$C$30*'Coincidence Factors'!$B$5*(1+'Inputs-System'!$C$18)*(1+'Inputs-System'!$C$41)*'Inputs-Proposals'!$J$29*'Inputs-Proposals'!$J$31*(1-'Inputs-Proposals'!$J$20)*(VLOOKUP(DZ$3,'Embedded Emissions'!$A$47:$B$78,2,FALSE)+VLOOKUP(DZ$3,'Embedded Emissions'!$A$129:$B$158,2,FALSE)), $C47 = "0", 0), 0)</f>
        <v>0</v>
      </c>
      <c r="EB47" s="318">
        <f>IFERROR(_xlfn.IFS($C47="1",( 'Inputs-System'!$C$30*'Coincidence Factors'!$B$5*(1+'Inputs-System'!$C$18)*(1+'Inputs-System'!$C$41))*('Inputs-Proposals'!$J$17*'Inputs-Proposals'!$J$19*(1-'Inputs-Proposals'!$J$20))*(VLOOKUP(DZ$3,DRIPE!$A$54:$I$82,5,FALSE)-VLOOKUP(DZ$3,DRIPE!$A$54:$I$82,6,FALSE)+VLOOKUP(DZ$3,DRIPE!$A$54:$I$82,9,FALSE))+ ('Inputs-System'!$C$26*'Coincidence Factors'!$B$5*(1+'Inputs-System'!$C$18)*(1+'Inputs-System'!$C$42))*'Inputs-Proposals'!$J$16*VLOOKUP(DZ$3,DRIPE!$A$54:$I$80,8,FALSE), $C47 = "2",( 'Inputs-System'!$C$30*'Coincidence Factors'!$B$5*(1+'Inputs-System'!$C$18)*(1+'Inputs-System'!$C$41))*('Inputs-Proposals'!$J$23*'Inputs-Proposals'!$J$25*(1-'Inputs-Proposals'!$J$26))*(VLOOKUP(DZ$3,DRIPE!$A$54:$I$82,5,FALSE)-VLOOKUP(DZ$3,DRIPE!$A$54:$I$82,6,FALSE)+VLOOKUP(DZ$3,DRIPE!$A$54:$I$82,9,FALSE))+ ('Inputs-System'!$C$26*'Coincidence Factors'!$B$5*(1+'Inputs-System'!$C$18)*(1+'Inputs-System'!$C$41))+ ('Inputs-System'!$C$26*'Coincidence Factors'!$B$5)*'Inputs-Proposals'!$J$22*VLOOKUP(DZ$3,DRIPE!$A$54:$I$80,8,FALSE), $C47= "3", ('Inputs-System'!$C$30*'Coincidence Factors'!$B$5)*('Inputs-Proposals'!$J$29*'Inputs-Proposals'!$J$31*(1-'Inputs-Proposals'!$J$32))*(VLOOKUP(DZ$3,DRIPE!$A$54:$I$80,5,FALSE)-VLOOKUP(DZ$3,DRIPE!$A$54:$I$80,6,FALSE)+VLOOKUP(DZ$3,DRIPE!$A$54:$I$80,9,FALSE))+ ('Inputs-System'!$C$26*'Coincidence Factors'!$B$5*(1+'Inputs-System'!$C$18)*(1+'Inputs-System'!$C$42))*'Inputs-Proposals'!$J$28*VLOOKUP(DZ$3,DRIPE!$A$54:$I$80,8,FALSE), $C47 = "0", 0), 0)</f>
        <v>0</v>
      </c>
      <c r="EC47" s="326">
        <f>IFERROR(_xlfn.IFS($C47="1",('Inputs-System'!$C$26*'Coincidence Factors'!$B$5*(1+'Inputs-System'!$C$18)*(1+'Inputs-System'!$C$42))*'Inputs-Proposals'!$J$16*(VLOOKUP(DZ$3,Capacity!$A$53:$E$85,4,FALSE)*(1+'Inputs-System'!$C$42)+VLOOKUP(DZ$3,Capacity!$A$53:$E$85,5,FALSE)*(1+'Inputs-System'!$C$43)*'Inputs-System'!$C$29), $C47 = "2", ('Inputs-System'!$C$26*'Coincidence Factors'!$B$5*(1+'Inputs-System'!$C$18))*'Inputs-Proposals'!$J$22*(VLOOKUP(DZ$3,Capacity!$A$53:$E$85,4,FALSE)*(1+'Inputs-System'!$C$42)+VLOOKUP(DZ$3,Capacity!$A$53:$E$85,5,FALSE)*'Inputs-System'!$C$29*(1+'Inputs-System'!$C$43)), $C47 = "3", ('Inputs-System'!$C$26*'Coincidence Factors'!$B$5*(1+'Inputs-System'!$C$18))*'Inputs-Proposals'!$J$28*(VLOOKUP(DZ$3,Capacity!$A$53:$E$85,4,FALSE)*(1+'Inputs-System'!$C$42)+VLOOKUP(DZ$3,Capacity!$A$53:$E$85,5,FALSE)*'Inputs-System'!$C$29*(1+'Inputs-System'!$C$43)), $C47 = "0", 0), 0)</f>
        <v>0</v>
      </c>
      <c r="ED47" s="100">
        <v>0</v>
      </c>
      <c r="EE47" s="346">
        <f>IFERROR(_xlfn.IFS($C47="1", 'Inputs-System'!$C$30*'Coincidence Factors'!$B$5*'Inputs-Proposals'!$J$17*'Inputs-Proposals'!$J$19*(VLOOKUP(DZ$3,'Non-Embedded Emissions'!$A$56:$D$90,2,FALSE)+VLOOKUP(DZ$3,'Non-Embedded Emissions'!$A$143:$D$174,2,FALSE)+VLOOKUP(DZ$3,'Non-Embedded Emissions'!$A$230:$D$259,2,FALSE)-VLOOKUP(DZ$3,'Non-Embedded Emissions'!$A$56:$D$90,3,FALSE)-VLOOKUP(DZ$3,'Non-Embedded Emissions'!$A$143:$D$174,3,FALSE)-VLOOKUP(DZ$3,'Non-Embedded Emissions'!$A$230:$D$259,3,FALSE)), $C47 = "2", 'Inputs-System'!$C$30*'Coincidence Factors'!$B$5*'Inputs-Proposals'!$J$23*'Inputs-Proposals'!$J$25*(VLOOKUP(DZ$3,'Non-Embedded Emissions'!$A$56:$D$90,2,FALSE)+VLOOKUP(DZ$3,'Non-Embedded Emissions'!$A$143:$D$174,2,FALSE)+VLOOKUP(DZ$3,'Non-Embedded Emissions'!$A$230:$D$259,2,FALSE)-VLOOKUP(DZ$3,'Non-Embedded Emissions'!$A$56:$D$90,3,FALSE)-VLOOKUP(DZ$3,'Non-Embedded Emissions'!$A$143:$D$174,3,FALSE)-VLOOKUP(DZ$3,'Non-Embedded Emissions'!$A$230:$D$259,3,FALSE)), $C47 = "3", 'Inputs-System'!$C$30*'Coincidence Factors'!$B$5*'Inputs-Proposals'!$J$29*'Inputs-Proposals'!$J$31*(VLOOKUP(DZ$3,'Non-Embedded Emissions'!$A$56:$D$90,2,FALSE)+VLOOKUP(DZ$3,'Non-Embedded Emissions'!$A$143:$D$174,2,FALSE)+VLOOKUP(DZ$3,'Non-Embedded Emissions'!$A$230:$D$259,2,FALSE)-VLOOKUP(DZ$3,'Non-Embedded Emissions'!$A$56:$D$90,3,FALSE)-VLOOKUP(DZ$3,'Non-Embedded Emissions'!$A$143:$D$174,3,FALSE)-VLOOKUP(DZ$3,'Non-Embedded Emissions'!$A$230:$D$259,3,FALSE)), $C47 = "0", 0), 0)</f>
        <v>0</v>
      </c>
    </row>
    <row r="48" spans="1:135" x14ac:dyDescent="0.35">
      <c r="A48" s="708"/>
      <c r="B48" s="3" t="s">
        <v>158</v>
      </c>
      <c r="C48" s="3" t="str">
        <f>IFERROR(_xlfn.IFS('Benefits Calc'!B48='Inputs-Proposals'!$J$15, "1", 'Benefits Calc'!B48='Inputs-Proposals'!$J$21, "2", 'Benefits Calc'!B48='Inputs-Proposals'!$J$27, "3"), "0")</f>
        <v>0</v>
      </c>
      <c r="D48" s="323">
        <f t="shared" si="0"/>
        <v>0</v>
      </c>
      <c r="E48" s="44">
        <f t="shared" si="1"/>
        <v>0</v>
      </c>
      <c r="F48" s="44">
        <f t="shared" si="2"/>
        <v>0</v>
      </c>
      <c r="G48" s="44">
        <f t="shared" si="3"/>
        <v>0</v>
      </c>
      <c r="H48" s="44">
        <f t="shared" si="4"/>
        <v>0</v>
      </c>
      <c r="I48" s="44">
        <f t="shared" si="5"/>
        <v>0</v>
      </c>
      <c r="J48" s="323">
        <f>NPV('Inputs-System'!$C$20,P48+V48+AB48+AH48+AN48+AT48+AZ48+BF48+BL48+BR48+BX48+CD48+CJ48+CP48+CV48+DB48+DH48+DN48+DT48+DZ48)</f>
        <v>0</v>
      </c>
      <c r="K48" s="44">
        <f>NPV('Inputs-System'!$C$20,Q48+W48+AC48+AI48+AO48+AU48+BA48+BG48+BM48+BS48+BY48+CE48+CK48+CQ48+CW48+DC48+DI48+DO48+DU48+EA48)</f>
        <v>0</v>
      </c>
      <c r="L48" s="44">
        <f>NPV('Inputs-System'!$C$20,R48+X48+AD48+AJ48+AP48+AV48+BB48+BH48+BN48+BT48+BZ48+CF48+CL48+CR48+CX48+DD48+DJ48+DP48+DV48+EB48)</f>
        <v>0</v>
      </c>
      <c r="M48" s="44">
        <f>NPV('Inputs-System'!$C$20,S48+Y48+AE48+AK48+AQ48+AW48+BC48+BI48+BO48+BU48+CA48+CG48+CM48+CS48+CY48+DE48+DK48+DQ48+DW48+EC48)</f>
        <v>0</v>
      </c>
      <c r="N48" s="44">
        <f>NPV('Inputs-System'!$C$20,T48+Z48+AF48+AL48+AR48+AX48+BD48+BJ48+BP48+BV48+CB48+CH48+CN48+CT48+CZ48+DF48+DL48+DR48+DX48+ED48)</f>
        <v>0</v>
      </c>
      <c r="O48" s="119">
        <f>NPV('Inputs-System'!$C$20,U48+AA48+AG48+AM48+AS48+AY48+BE48+BK48+BQ48+BW48+CC48+CI48+CO48+CU48+DA48+DG48+DM48+DS48+DY48+EE48)</f>
        <v>0</v>
      </c>
      <c r="P48" s="45">
        <f>IFERROR(_xlfn.IFS($C48="1",('Inputs-System'!$C$30*'Coincidence Factors'!$B$6*(1+'Inputs-System'!$C$18)*(1+'Inputs-System'!$C$41)*('Inputs-Proposals'!$J$17*'Inputs-Proposals'!$J$19*(1-'Inputs-Proposals'!$J$20^(P$3-'Inputs-System'!$C$7+1)))*(VLOOKUP(P$3,Energy!$A$51:$K$83,5,FALSE))), $C48 = "2",('Inputs-System'!$C$30*'Coincidence Factors'!$B$6)*(1+'Inputs-System'!$C$18)*(1+'Inputs-System'!$C$41)*('Inputs-Proposals'!$J$23*'Inputs-Proposals'!$J$25*(1-'Inputs-Proposals'!$J$26^(P$3-'Inputs-System'!$C$7+1)))*(VLOOKUP(P$3,Energy!$A$51:$K$83,5,FALSE)), $C48= "3", ('Inputs-System'!$C$30*'Coincidence Factors'!$B$6*(1+'Inputs-System'!$C$18)*(1+'Inputs-System'!$C$41)*('Inputs-Proposals'!$J$29*'Inputs-Proposals'!$J$31*(1-'Inputs-Proposals'!$J$32^(P$3-'Inputs-System'!$C$7+1)))*(VLOOKUP(P$3,Energy!$A$51:$K$83,5,FALSE))), $C48= "0", 0), 0)</f>
        <v>0</v>
      </c>
      <c r="Q48" s="44">
        <f>IFERROR(_xlfn.IFS($C48="1",('Inputs-System'!$C$30*'Coincidence Factors'!$B$6*(1+'Inputs-System'!$C$18)*(1+'Inputs-System'!$C$41))*'Inputs-Proposals'!$J$17*'Inputs-Proposals'!$J$19*(1-'Inputs-Proposals'!$J$20^(P$3-'Inputs-System'!$C$7+1))*(VLOOKUP(P$3,'Embedded Emissions'!$A$47:$B$78,2,FALSE)+VLOOKUP(P$3,'Embedded Emissions'!$A$129:$B$158,2,FALSE)), $C48 = "2",('Inputs-System'!$C$30*'Coincidence Factors'!$B$6*(1+'Inputs-System'!$C$18)*(1+'Inputs-System'!$C$41))*'Inputs-Proposals'!$J$23*'Inputs-Proposals'!$J$25*(1-'Inputs-Proposals'!$J$20^(P$3-'Inputs-System'!$C$7+1))*(VLOOKUP(P$3,'Embedded Emissions'!$A$47:$B$78,2,FALSE)+VLOOKUP(P$3,'Embedded Emissions'!$A$129:$B$158,2,FALSE)), $C48 = "3", ('Inputs-System'!$C$30*'Coincidence Factors'!$B$6*(1+'Inputs-System'!$C$18)*(1+'Inputs-System'!$C$41))*'Inputs-Proposals'!$J$29*'Inputs-Proposals'!$J$31*(1-'Inputs-Proposals'!$J$20^(P$3-'Inputs-System'!$C$7+1))*(VLOOKUP(P$3,'Embedded Emissions'!$A$47:$B$78,2,FALSE)+VLOOKUP(P$3,'Embedded Emissions'!$A$129:$B$158,2,FALSE)), $C48 = "0", 0), 0)</f>
        <v>0</v>
      </c>
      <c r="R48" s="44">
        <f>IFERROR(_xlfn.IFS($C48="1",( 'Inputs-System'!$C$30*'Coincidence Factors'!$B$6*(1+'Inputs-System'!$C$18)*(1+'Inputs-System'!$C$41))*('Inputs-Proposals'!$J$17*'Inputs-Proposals'!$J$19*(1-'Inputs-Proposals'!$J$20)^(P$3-'Inputs-System'!$C$7))*(VLOOKUP(P$3,DRIPE!$A$54:$I$82,5,FALSE)+VLOOKUP(P$3,DRIPE!$A$54:$I$82,9,FALSE))+ ('Inputs-System'!$C$26*'Coincidence Factors'!$B$6*(1+'Inputs-System'!$C$18)*(1+'Inputs-System'!$C$42))*'Inputs-Proposals'!$J$16*VLOOKUP(P$3,DRIPE!$A$54:$I$82,8,FALSE), $C48 = "2",( 'Inputs-System'!$C$30*'Coincidence Factors'!$B$6*(1+'Inputs-System'!$C$18)*(1+'Inputs-System'!$C$41))*('Inputs-Proposals'!$J$23*'Inputs-Proposals'!$J$25*(1-'Inputs-Proposals'!$J$26)^(P$3-'Inputs-System'!$C$7))*(VLOOKUP(P$3,DRIPE!$A$54:$I$82,5,FALSE)+VLOOKUP(P$3,DRIPE!$A$54:$I$82,9,FALSE))+ ('Inputs-System'!$C$26*'Coincidence Factors'!$B$6*(1+'Inputs-System'!$C$18)*(1+'Inputs-System'!$C$42))*'Inputs-Proposals'!$J$22*VLOOKUP(P$3,DRIPE!$A$54:$I$82,8,FALSE), $C48= "3", ( 'Inputs-System'!$C$30*'Coincidence Factors'!$B$6*(1+'Inputs-System'!$C$18)*(1+'Inputs-System'!$C$41))*('Inputs-Proposals'!$J$29*'Inputs-Proposals'!$J$31*(1-'Inputs-Proposals'!$J$32)^(P$3-'Inputs-System'!$C$7))*(VLOOKUP(P$3,DRIPE!$A$54:$I$82,5,FALSE)+VLOOKUP(P$3,DRIPE!$A$54:$I$82,9,FALSE))+ ('Inputs-System'!$C$26*'Coincidence Factors'!$B$6*(1+'Inputs-System'!$C$18)*(1+'Inputs-System'!$C$42))*'Inputs-Proposals'!$J$28*VLOOKUP(P$3,DRIPE!$A$54:$I$82,8,FALSE), $C48 = "0", 0), 0)</f>
        <v>0</v>
      </c>
      <c r="S48" s="45">
        <f>IFERROR(_xlfn.IFS($C48="1",('Inputs-System'!$C$26*'Coincidence Factors'!$B$6*(1+'Inputs-System'!$C$18))*'Inputs-Proposals'!$J$16*(VLOOKUP(P$3,Capacity!$A$53:$E$85,4,FALSE)*(1+'Inputs-System'!$C$42)+VLOOKUP(P$3,Capacity!$A$53:$E$85,5,FALSE)*'Inputs-System'!$C$29*(1+'Inputs-System'!$C$43)), $C48 = "2", ('Inputs-System'!$C$26*'Coincidence Factors'!$B$6*(1+'Inputs-System'!$C$18))*'Inputs-Proposals'!$J$22*(VLOOKUP(P$3,Capacity!$A$53:$E$85,4,FALSE)*(1+'Inputs-System'!$C$42)+VLOOKUP(P$3,Capacity!$A$53:$E$85,5,FALSE)*'Inputs-System'!$C$29*(1+'Inputs-System'!$C$43)), $C48 = "3",('Inputs-System'!$C$26*'Coincidence Factors'!$B$6*(1+'Inputs-System'!$C$18))*'Inputs-Proposals'!$J$28*(VLOOKUP(P$3,Capacity!$A$53:$E$85,4,FALSE)*(1+'Inputs-System'!$C$42)+VLOOKUP(P$3,Capacity!$A$53:$E$85,5,FALSE)*'Inputs-System'!$C$29*(1+'Inputs-System'!$C$43)), $C48 = "0", 0), 0)</f>
        <v>0</v>
      </c>
      <c r="T48" s="44">
        <v>0</v>
      </c>
      <c r="U48" s="44">
        <f>IFERROR(_xlfn.IFS($C48="1", 'Inputs-System'!$C$30*'Coincidence Factors'!$B$6*'Inputs-Proposals'!$J$17*'Inputs-Proposals'!$J$19*(VLOOKUP(P$3,'Non-Embedded Emissions'!$A$56:$D$90,2,FALSE)+VLOOKUP(P$3,'Non-Embedded Emissions'!$A$143:$D$174,2,FALSE)+VLOOKUP(P$3,'Non-Embedded Emissions'!$A$230:$D$259,2,FALSE)), $C48 = "2", 'Inputs-System'!$C$30*'Coincidence Factors'!$B$6*'Inputs-Proposals'!$J$23*'Inputs-Proposals'!$J$25*(VLOOKUP(P$3,'Non-Embedded Emissions'!$A$56:$D$90,2,FALSE)+VLOOKUP(P$3,'Non-Embedded Emissions'!$A$143:$D$174,2,FALSE)+VLOOKUP(P$3,'Non-Embedded Emissions'!$A$230:$D$259,2,FALSE)), $C48 = "3", 'Inputs-System'!$C$30*'Coincidence Factors'!$B$6*'Inputs-Proposals'!$J$29*'Inputs-Proposals'!$J$31*(VLOOKUP(P$3,'Non-Embedded Emissions'!$A$56:$D$90,2,FALSE)+VLOOKUP(P$3,'Non-Embedded Emissions'!$A$143:$D$174,2,FALSE)+VLOOKUP(P$3,'Non-Embedded Emissions'!$A$230:$D$259,2,FALSE)), $C48 = "0", 0), 0)</f>
        <v>0</v>
      </c>
      <c r="V48" s="347">
        <f>IFERROR(_xlfn.IFS($C48="1",('Inputs-System'!$C$30*'Coincidence Factors'!$B$6*(1+'Inputs-System'!$C$18)*(1+'Inputs-System'!$C$41)*('Inputs-Proposals'!$J$17*'Inputs-Proposals'!$J$19*(1-'Inputs-Proposals'!$J$20^(V$3-'Inputs-System'!$C$7)))*(VLOOKUP(V$3,Energy!$A$51:$K$83,5,FALSE))), $C48 = "2",('Inputs-System'!$C$30*'Coincidence Factors'!$B$6)*(1+'Inputs-System'!$C$18)*(1+'Inputs-System'!$C$41)*('Inputs-Proposals'!$J$23*'Inputs-Proposals'!$J$25*(1-'Inputs-Proposals'!$J$26^(V$3-'Inputs-System'!$C$7)))*(VLOOKUP(V$3,Energy!$A$51:$K$83,5,FALSE)), $C48= "3", ('Inputs-System'!$C$30*'Coincidence Factors'!$B$6*(1+'Inputs-System'!$C$18)*(1+'Inputs-System'!$C$41)*('Inputs-Proposals'!$J$29*'Inputs-Proposals'!$J$31*(1-'Inputs-Proposals'!$J$32^(V$3-'Inputs-System'!$C$7)))*(VLOOKUP(V$3,Energy!$A$51:$K$83,5,FALSE))), $C48= "0", 0), 0)</f>
        <v>0</v>
      </c>
      <c r="W48" s="44">
        <f>IFERROR(_xlfn.IFS($C48="1",('Inputs-System'!$C$30*'Coincidence Factors'!$B$6*(1+'Inputs-System'!$C$18)*(1+'Inputs-System'!$C$41))*'Inputs-Proposals'!$J$17*'Inputs-Proposals'!$J$19*(1-'Inputs-Proposals'!$J$20^(V$3-'Inputs-System'!$C$7))*(VLOOKUP(V$3,'Embedded Emissions'!$A$47:$B$78,2,FALSE)+VLOOKUP(V$3,'Embedded Emissions'!$A$129:$B$158,2,FALSE)), $C48 = "2",('Inputs-System'!$C$30*'Coincidence Factors'!$B$6*(1+'Inputs-System'!$C$18)*(1+'Inputs-System'!$C$41))*'Inputs-Proposals'!$J$23*'Inputs-Proposals'!$J$25*(1-'Inputs-Proposals'!$J$20^(V$3-'Inputs-System'!$C$7))*(VLOOKUP(V$3,'Embedded Emissions'!$A$47:$B$78,2,FALSE)+VLOOKUP(V$3,'Embedded Emissions'!$A$129:$B$158,2,FALSE)), $C48 = "3", ('Inputs-System'!$C$30*'Coincidence Factors'!$B$6*(1+'Inputs-System'!$C$18)*(1+'Inputs-System'!$C$41))*'Inputs-Proposals'!$J$29*'Inputs-Proposals'!$J$31*(1-'Inputs-Proposals'!$J$20^(V$3-'Inputs-System'!$C$7))*(VLOOKUP(V$3,'Embedded Emissions'!$A$47:$B$78,2,FALSE)+VLOOKUP(V$3,'Embedded Emissions'!$A$129:$B$158,2,FALSE)), $C48 = "0", 0), 0)</f>
        <v>0</v>
      </c>
      <c r="X48" s="44">
        <f>IFERROR(_xlfn.IFS($C48="1",( 'Inputs-System'!$C$30*'Coincidence Factors'!$B$6*(1+'Inputs-System'!$C$18)*(1+'Inputs-System'!$C$41))*('Inputs-Proposals'!$J$17*'Inputs-Proposals'!$J$19*(1-'Inputs-Proposals'!$J$20)^(V$3-'Inputs-System'!$C$7))*(VLOOKUP(V$3,DRIPE!$A$54:$I$82,5,FALSE)+VLOOKUP(V$3,DRIPE!$A$54:$I$82,9,FALSE))+ ('Inputs-System'!$C$26*'Coincidence Factors'!$B$6*(1+'Inputs-System'!$C$18)*(1+'Inputs-System'!$C$42))*'Inputs-Proposals'!$J$16*VLOOKUP(V$3,DRIPE!$A$54:$I$82,8,FALSE), $C48 = "2",( 'Inputs-System'!$C$30*'Coincidence Factors'!$B$6*(1+'Inputs-System'!$C$18)*(1+'Inputs-System'!$C$41))*('Inputs-Proposals'!$J$23*'Inputs-Proposals'!$J$25*(1-'Inputs-Proposals'!$J$26)^(V$3-'Inputs-System'!$C$7))*(VLOOKUP(V$3,DRIPE!$A$54:$I$82,5,FALSE)+VLOOKUP(V$3,DRIPE!$A$54:$I$82,9,FALSE))+ ('Inputs-System'!$C$26*'Coincidence Factors'!$B$6*(1+'Inputs-System'!$C$18)*(1+'Inputs-System'!$C$42))*'Inputs-Proposals'!$J$22*VLOOKUP(V$3,DRIPE!$A$54:$I$82,8,FALSE), $C48= "3", ( 'Inputs-System'!$C$30*'Coincidence Factors'!$B$6*(1+'Inputs-System'!$C$18)*(1+'Inputs-System'!$C$41))*('Inputs-Proposals'!$J$29*'Inputs-Proposals'!$J$31*(1-'Inputs-Proposals'!$J$32)^(V$3-'Inputs-System'!$C$7))*(VLOOKUP(V$3,DRIPE!$A$54:$I$82,5,FALSE)+VLOOKUP(V$3,DRIPE!$A$54:$I$82,9,FALSE))+ ('Inputs-System'!$C$26*'Coincidence Factors'!$B$6*(1+'Inputs-System'!$C$18)*(1+'Inputs-System'!$C$42))*'Inputs-Proposals'!$J$28*VLOOKUP(V$3,DRIPE!$A$54:$I$82,8,FALSE), $C48 = "0", 0), 0)</f>
        <v>0</v>
      </c>
      <c r="Y48" s="45">
        <f>IFERROR(_xlfn.IFS($C48="1",('Inputs-System'!$C$26*'Coincidence Factors'!$B$6*(1+'Inputs-System'!$C$18))*'Inputs-Proposals'!$J$16*(VLOOKUP(V$3,Capacity!$A$53:$E$85,4,FALSE)*(1+'Inputs-System'!$C$42)+VLOOKUP(V$3,Capacity!$A$53:$E$85,5,FALSE)*'Inputs-System'!$C$29*(1+'Inputs-System'!$C$43)), $C48 = "2", ('Inputs-System'!$C$26*'Coincidence Factors'!$B$6*(1+'Inputs-System'!$C$18))*'Inputs-Proposals'!$J$22*(VLOOKUP(V$3,Capacity!$A$53:$E$85,4,FALSE)*(1+'Inputs-System'!$C$42)+VLOOKUP(V$3,Capacity!$A$53:$E$85,5,FALSE)*'Inputs-System'!$C$29*(1+'Inputs-System'!$C$43)), $C48 = "3",('Inputs-System'!$C$26*'Coincidence Factors'!$B$6*(1+'Inputs-System'!$C$18))*'Inputs-Proposals'!$J$28*(VLOOKUP(V$3,Capacity!$A$53:$E$85,4,FALSE)*(1+'Inputs-System'!$C$42)+VLOOKUP(V$3,Capacity!$A$53:$E$85,5,FALSE)*'Inputs-System'!$C$29*(1+'Inputs-System'!$C$43)), $C48 = "0", 0), 0)</f>
        <v>0</v>
      </c>
      <c r="Z48" s="44">
        <v>0</v>
      </c>
      <c r="AA48" s="342">
        <f>IFERROR(_xlfn.IFS($C48="1", 'Inputs-System'!$C$30*'Coincidence Factors'!$B$6*'Inputs-Proposals'!$J$17*'Inputs-Proposals'!$J$19*(VLOOKUP(V$3,'Non-Embedded Emissions'!$A$56:$D$90,2,FALSE)+VLOOKUP(V$3,'Non-Embedded Emissions'!$A$143:$D$174,2,FALSE)+VLOOKUP(V$3,'Non-Embedded Emissions'!$A$230:$D$259,2,FALSE)), $C48 = "2", 'Inputs-System'!$C$30*'Coincidence Factors'!$B$6*'Inputs-Proposals'!$J$23*'Inputs-Proposals'!$J$25*(VLOOKUP(V$3,'Non-Embedded Emissions'!$A$56:$D$90,2,FALSE)+VLOOKUP(V$3,'Non-Embedded Emissions'!$A$143:$D$174,2,FALSE)+VLOOKUP(V$3,'Non-Embedded Emissions'!$A$230:$D$259,2,FALSE)), $C48 = "3", 'Inputs-System'!$C$30*'Coincidence Factors'!$B$6*'Inputs-Proposals'!$J$29*'Inputs-Proposals'!$J$31*(VLOOKUP(V$3,'Non-Embedded Emissions'!$A$56:$D$90,2,FALSE)+VLOOKUP(V$3,'Non-Embedded Emissions'!$A$143:$D$174,2,FALSE)+VLOOKUP(V$3,'Non-Embedded Emissions'!$A$230:$D$259,2,FALSE)), $C48 = "0", 0), 0)</f>
        <v>0</v>
      </c>
      <c r="AB48" s="347">
        <f>IFERROR(_xlfn.IFS($C48="1",('Inputs-System'!$C$30*'Coincidence Factors'!$B$6*(1+'Inputs-System'!$C$18)*(1+'Inputs-System'!$C$41)*('Inputs-Proposals'!$J$17*'Inputs-Proposals'!$J$19*(1-'Inputs-Proposals'!$J$20^(AB$3-'Inputs-System'!$C$7)))*(VLOOKUP(AB$3,Energy!$A$51:$K$83,5,FALSE))), $C48 = "2",('Inputs-System'!$C$30*'Coincidence Factors'!$B$6)*(1+'Inputs-System'!$C$18)*(1+'Inputs-System'!$C$41)*('Inputs-Proposals'!$J$23*'Inputs-Proposals'!$J$25*(1-'Inputs-Proposals'!$J$26^(AB$3-'Inputs-System'!$C$7)))*(VLOOKUP(AB$3,Energy!$A$51:$K$83,5,FALSE)), $C48= "3", ('Inputs-System'!$C$30*'Coincidence Factors'!$B$6*(1+'Inputs-System'!$C$18)*(1+'Inputs-System'!$C$41)*('Inputs-Proposals'!$J$29*'Inputs-Proposals'!$J$31*(1-'Inputs-Proposals'!$J$32^(AB$3-'Inputs-System'!$C$7)))*(VLOOKUP(AB$3,Energy!$A$51:$K$83,5,FALSE))), $C48= "0", 0), 0)</f>
        <v>0</v>
      </c>
      <c r="AC48" s="44">
        <f>IFERROR(_xlfn.IFS($C48="1",('Inputs-System'!$C$30*'Coincidence Factors'!$B$6*(1+'Inputs-System'!$C$18)*(1+'Inputs-System'!$C$41))*'Inputs-Proposals'!$J$17*'Inputs-Proposals'!$J$19*(1-'Inputs-Proposals'!$J$20^(AB$3-'Inputs-System'!$C$7))*(VLOOKUP(AB$3,'Embedded Emissions'!$A$47:$B$78,2,FALSE)+VLOOKUP(AB$3,'Embedded Emissions'!$A$129:$B$158,2,FALSE)), $C48 = "2",('Inputs-System'!$C$30*'Coincidence Factors'!$B$6*(1+'Inputs-System'!$C$18)*(1+'Inputs-System'!$C$41))*'Inputs-Proposals'!$J$23*'Inputs-Proposals'!$J$25*(1-'Inputs-Proposals'!$J$20^(AB$3-'Inputs-System'!$C$7))*(VLOOKUP(AB$3,'Embedded Emissions'!$A$47:$B$78,2,FALSE)+VLOOKUP(AB$3,'Embedded Emissions'!$A$129:$B$158,2,FALSE)), $C48 = "3", ('Inputs-System'!$C$30*'Coincidence Factors'!$B$6*(1+'Inputs-System'!$C$18)*(1+'Inputs-System'!$C$41))*'Inputs-Proposals'!$J$29*'Inputs-Proposals'!$J$31*(1-'Inputs-Proposals'!$J$20^(AB$3-'Inputs-System'!$C$7))*(VLOOKUP(AB$3,'Embedded Emissions'!$A$47:$B$78,2,FALSE)+VLOOKUP(AB$3,'Embedded Emissions'!$A$129:$B$158,2,FALSE)), $C48 = "0", 0), 0)</f>
        <v>0</v>
      </c>
      <c r="AD48" s="44">
        <f>IFERROR(_xlfn.IFS($C48="1",( 'Inputs-System'!$C$30*'Coincidence Factors'!$B$6*(1+'Inputs-System'!$C$18)*(1+'Inputs-System'!$C$41))*('Inputs-Proposals'!$J$17*'Inputs-Proposals'!$J$19*(1-'Inputs-Proposals'!$J$20)^(AB$3-'Inputs-System'!$C$7))*(VLOOKUP(AB$3,DRIPE!$A$54:$I$82,5,FALSE)+VLOOKUP(AB$3,DRIPE!$A$54:$I$82,9,FALSE))+ ('Inputs-System'!$C$26*'Coincidence Factors'!$B$6*(1+'Inputs-System'!$C$18)*(1+'Inputs-System'!$C$42))*'Inputs-Proposals'!$J$16*VLOOKUP(AB$3,DRIPE!$A$54:$I$82,8,FALSE), $C48 = "2",( 'Inputs-System'!$C$30*'Coincidence Factors'!$B$6*(1+'Inputs-System'!$C$18)*(1+'Inputs-System'!$C$41))*('Inputs-Proposals'!$J$23*'Inputs-Proposals'!$J$25*(1-'Inputs-Proposals'!$J$26)^(AB$3-'Inputs-System'!$C$7))*(VLOOKUP(AB$3,DRIPE!$A$54:$I$82,5,FALSE)+VLOOKUP(AB$3,DRIPE!$A$54:$I$82,9,FALSE))+ ('Inputs-System'!$C$26*'Coincidence Factors'!$B$6*(1+'Inputs-System'!$C$18)*(1+'Inputs-System'!$C$42))*'Inputs-Proposals'!$J$22*VLOOKUP(AB$3,DRIPE!$A$54:$I$82,8,FALSE), $C48= "3", ( 'Inputs-System'!$C$30*'Coincidence Factors'!$B$6*(1+'Inputs-System'!$C$18)*(1+'Inputs-System'!$C$41))*('Inputs-Proposals'!$J$29*'Inputs-Proposals'!$J$31*(1-'Inputs-Proposals'!$J$32)^(AB$3-'Inputs-System'!$C$7))*(VLOOKUP(AB$3,DRIPE!$A$54:$I$82,5,FALSE)+VLOOKUP(AB$3,DRIPE!$A$54:$I$82,9,FALSE))+ ('Inputs-System'!$C$26*'Coincidence Factors'!$B$6*(1+'Inputs-System'!$C$18)*(1+'Inputs-System'!$C$42))*'Inputs-Proposals'!$J$28*VLOOKUP(AB$3,DRIPE!$A$54:$I$82,8,FALSE), $C48 = "0", 0), 0)</f>
        <v>0</v>
      </c>
      <c r="AE48" s="45">
        <f>IFERROR(_xlfn.IFS($C48="1",('Inputs-System'!$C$26*'Coincidence Factors'!$B$6*(1+'Inputs-System'!$C$18))*'Inputs-Proposals'!$J$16*(VLOOKUP(AB$3,Capacity!$A$53:$E$85,4,FALSE)*(1+'Inputs-System'!$C$42)+VLOOKUP(AB$3,Capacity!$A$53:$E$85,5,FALSE)*'Inputs-System'!$C$29*(1+'Inputs-System'!$C$43)), $C48 = "2", ('Inputs-System'!$C$26*'Coincidence Factors'!$B$6*(1+'Inputs-System'!$C$18))*'Inputs-Proposals'!$J$22*(VLOOKUP(AB$3,Capacity!$A$53:$E$85,4,FALSE)*(1+'Inputs-System'!$C$42)+VLOOKUP(AB$3,Capacity!$A$53:$E$85,5,FALSE)*'Inputs-System'!$C$29*(1+'Inputs-System'!$C$43)), $C48 = "3",('Inputs-System'!$C$26*'Coincidence Factors'!$B$6*(1+'Inputs-System'!$C$18))*'Inputs-Proposals'!$J$28*(VLOOKUP(AB$3,Capacity!$A$53:$E$85,4,FALSE)*(1+'Inputs-System'!$C$42)+VLOOKUP(AB$3,Capacity!$A$53:$E$85,5,FALSE)*'Inputs-System'!$C$29*(1+'Inputs-System'!$C$43)), $C48 = "0", 0), 0)</f>
        <v>0</v>
      </c>
      <c r="AF48" s="44">
        <v>0</v>
      </c>
      <c r="AG48" s="342">
        <f>IFERROR(_xlfn.IFS($C48="1", 'Inputs-System'!$C$30*'Coincidence Factors'!$B$6*'Inputs-Proposals'!$J$17*'Inputs-Proposals'!$J$19*(VLOOKUP(AB$3,'Non-Embedded Emissions'!$A$56:$D$90,2,FALSE)+VLOOKUP(AB$3,'Non-Embedded Emissions'!$A$143:$D$174,2,FALSE)+VLOOKUP(AB$3,'Non-Embedded Emissions'!$A$230:$D$259,2,FALSE)), $C48 = "2", 'Inputs-System'!$C$30*'Coincidence Factors'!$B$6*'Inputs-Proposals'!$J$23*'Inputs-Proposals'!$J$25*(VLOOKUP(AB$3,'Non-Embedded Emissions'!$A$56:$D$90,2,FALSE)+VLOOKUP(AB$3,'Non-Embedded Emissions'!$A$143:$D$174,2,FALSE)+VLOOKUP(AB$3,'Non-Embedded Emissions'!$A$230:$D$259,2,FALSE)), $C48 = "3", 'Inputs-System'!$C$30*'Coincidence Factors'!$B$6*'Inputs-Proposals'!$J$29*'Inputs-Proposals'!$J$31*(VLOOKUP(AB$3,'Non-Embedded Emissions'!$A$56:$D$90,2,FALSE)+VLOOKUP(AB$3,'Non-Embedded Emissions'!$A$143:$D$174,2,FALSE)+VLOOKUP(AB$3,'Non-Embedded Emissions'!$A$230:$D$259,2,FALSE)), $C48 = "0", 0), 0)</f>
        <v>0</v>
      </c>
      <c r="AH48" s="347">
        <f>IFERROR(_xlfn.IFS($C48="1",('Inputs-System'!$C$30*'Coincidence Factors'!$B$6*(1+'Inputs-System'!$C$18)*(1+'Inputs-System'!$C$41)*('Inputs-Proposals'!$J$17*'Inputs-Proposals'!$J$19*(1-'Inputs-Proposals'!$J$20^(AH$3-'Inputs-System'!$C$7)))*(VLOOKUP(AH$3,Energy!$A$51:$K$83,5,FALSE))), $C48 = "2",('Inputs-System'!$C$30*'Coincidence Factors'!$B$6)*(1+'Inputs-System'!$C$18)*(1+'Inputs-System'!$C$41)*('Inputs-Proposals'!$J$23*'Inputs-Proposals'!$J$25*(1-'Inputs-Proposals'!$J$26^(AH$3-'Inputs-System'!$C$7)))*(VLOOKUP(AH$3,Energy!$A$51:$K$83,5,FALSE)), $C48= "3", ('Inputs-System'!$C$30*'Coincidence Factors'!$B$6*(1+'Inputs-System'!$C$18)*(1+'Inputs-System'!$C$41)*('Inputs-Proposals'!$J$29*'Inputs-Proposals'!$J$31*(1-'Inputs-Proposals'!$J$32^(AH$3-'Inputs-System'!$C$7)))*(VLOOKUP(AH$3,Energy!$A$51:$K$83,5,FALSE))), $C48= "0", 0), 0)</f>
        <v>0</v>
      </c>
      <c r="AI48" s="44">
        <f>IFERROR(_xlfn.IFS($C48="1",('Inputs-System'!$C$30*'Coincidence Factors'!$B$6*(1+'Inputs-System'!$C$18)*(1+'Inputs-System'!$C$41))*'Inputs-Proposals'!$J$17*'Inputs-Proposals'!$J$19*(1-'Inputs-Proposals'!$J$20^(AH$3-'Inputs-System'!$C$7))*(VLOOKUP(AH$3,'Embedded Emissions'!$A$47:$B$78,2,FALSE)+VLOOKUP(AH$3,'Embedded Emissions'!$A$129:$B$158,2,FALSE)), $C48 = "2",('Inputs-System'!$C$30*'Coincidence Factors'!$B$6*(1+'Inputs-System'!$C$18)*(1+'Inputs-System'!$C$41))*'Inputs-Proposals'!$J$23*'Inputs-Proposals'!$J$25*(1-'Inputs-Proposals'!$J$20^(AH$3-'Inputs-System'!$C$7))*(VLOOKUP(AH$3,'Embedded Emissions'!$A$47:$B$78,2,FALSE)+VLOOKUP(AH$3,'Embedded Emissions'!$A$129:$B$158,2,FALSE)), $C48 = "3", ('Inputs-System'!$C$30*'Coincidence Factors'!$B$6*(1+'Inputs-System'!$C$18)*(1+'Inputs-System'!$C$41))*'Inputs-Proposals'!$J$29*'Inputs-Proposals'!$J$31*(1-'Inputs-Proposals'!$J$20^(AH$3-'Inputs-System'!$C$7))*(VLOOKUP(AH$3,'Embedded Emissions'!$A$47:$B$78,2,FALSE)+VLOOKUP(AH$3,'Embedded Emissions'!$A$129:$B$158,2,FALSE)), $C48 = "0", 0), 0)</f>
        <v>0</v>
      </c>
      <c r="AJ48" s="44">
        <f>IFERROR(_xlfn.IFS($C48="1",( 'Inputs-System'!$C$30*'Coincidence Factors'!$B$6*(1+'Inputs-System'!$C$18)*(1+'Inputs-System'!$C$41))*('Inputs-Proposals'!$J$17*'Inputs-Proposals'!$J$19*(1-'Inputs-Proposals'!$J$20)^(AH$3-'Inputs-System'!$C$7))*(VLOOKUP(AH$3,DRIPE!$A$54:$I$82,5,FALSE)+VLOOKUP(AH$3,DRIPE!$A$54:$I$82,9,FALSE))+ ('Inputs-System'!$C$26*'Coincidence Factors'!$B$6*(1+'Inputs-System'!$C$18)*(1+'Inputs-System'!$C$42))*'Inputs-Proposals'!$J$16*VLOOKUP(AH$3,DRIPE!$A$54:$I$82,8,FALSE), $C48 = "2",( 'Inputs-System'!$C$30*'Coincidence Factors'!$B$6*(1+'Inputs-System'!$C$18)*(1+'Inputs-System'!$C$41))*('Inputs-Proposals'!$J$23*'Inputs-Proposals'!$J$25*(1-'Inputs-Proposals'!$J$26)^(AH$3-'Inputs-System'!$C$7))*(VLOOKUP(AH$3,DRIPE!$A$54:$I$82,5,FALSE)+VLOOKUP(AH$3,DRIPE!$A$54:$I$82,9,FALSE))+ ('Inputs-System'!$C$26*'Coincidence Factors'!$B$6*(1+'Inputs-System'!$C$18)*(1+'Inputs-System'!$C$42))*'Inputs-Proposals'!$J$22*VLOOKUP(AH$3,DRIPE!$A$54:$I$82,8,FALSE), $C48= "3", ( 'Inputs-System'!$C$30*'Coincidence Factors'!$B$6*(1+'Inputs-System'!$C$18)*(1+'Inputs-System'!$C$41))*('Inputs-Proposals'!$J$29*'Inputs-Proposals'!$J$31*(1-'Inputs-Proposals'!$J$32)^(AH$3-'Inputs-System'!$C$7))*(VLOOKUP(AH$3,DRIPE!$A$54:$I$82,5,FALSE)+VLOOKUP(AH$3,DRIPE!$A$54:$I$82,9,FALSE))+ ('Inputs-System'!$C$26*'Coincidence Factors'!$B$6*(1+'Inputs-System'!$C$18)*(1+'Inputs-System'!$C$42))*'Inputs-Proposals'!$J$28*VLOOKUP(AH$3,DRIPE!$A$54:$I$82,8,FALSE), $C48 = "0", 0), 0)</f>
        <v>0</v>
      </c>
      <c r="AK48" s="45">
        <f>IFERROR(_xlfn.IFS($C48="1",('Inputs-System'!$C$26*'Coincidence Factors'!$B$6*(1+'Inputs-System'!$C$18))*'Inputs-Proposals'!$J$16*(VLOOKUP(AH$3,Capacity!$A$53:$E$85,4,FALSE)*(1+'Inputs-System'!$C$42)+VLOOKUP(AH$3,Capacity!$A$53:$E$85,5,FALSE)*'Inputs-System'!$C$29*(1+'Inputs-System'!$C$43)), $C48 = "2", ('Inputs-System'!$C$26*'Coincidence Factors'!$B$6*(1+'Inputs-System'!$C$18))*'Inputs-Proposals'!$J$22*(VLOOKUP(AH$3,Capacity!$A$53:$E$85,4,FALSE)*(1+'Inputs-System'!$C$42)+VLOOKUP(AH$3,Capacity!$A$53:$E$85,5,FALSE)*'Inputs-System'!$C$29*(1+'Inputs-System'!$C$43)), $C48 = "3",('Inputs-System'!$C$26*'Coincidence Factors'!$B$6*(1+'Inputs-System'!$C$18))*'Inputs-Proposals'!$J$28*(VLOOKUP(AH$3,Capacity!$A$53:$E$85,4,FALSE)*(1+'Inputs-System'!$C$42)+VLOOKUP(AH$3,Capacity!$A$53:$E$85,5,FALSE)*'Inputs-System'!$C$29*(1+'Inputs-System'!$C$43)), $C48 = "0", 0), 0)</f>
        <v>0</v>
      </c>
      <c r="AL48" s="44">
        <v>0</v>
      </c>
      <c r="AM48" s="342">
        <f>IFERROR(_xlfn.IFS($C48="1", 'Inputs-System'!$C$30*'Coincidence Factors'!$B$6*'Inputs-Proposals'!$J$17*'Inputs-Proposals'!$J$19*(VLOOKUP(AH$3,'Non-Embedded Emissions'!$A$56:$D$90,2,FALSE)+VLOOKUP(AH$3,'Non-Embedded Emissions'!$A$143:$D$174,2,FALSE)+VLOOKUP(AH$3,'Non-Embedded Emissions'!$A$230:$D$259,2,FALSE)), $C48 = "2", 'Inputs-System'!$C$30*'Coincidence Factors'!$B$6*'Inputs-Proposals'!$J$23*'Inputs-Proposals'!$J$25*(VLOOKUP(AH$3,'Non-Embedded Emissions'!$A$56:$D$90,2,FALSE)+VLOOKUP(AH$3,'Non-Embedded Emissions'!$A$143:$D$174,2,FALSE)+VLOOKUP(AH$3,'Non-Embedded Emissions'!$A$230:$D$259,2,FALSE)), $C48 = "3", 'Inputs-System'!$C$30*'Coincidence Factors'!$B$6*'Inputs-Proposals'!$J$29*'Inputs-Proposals'!$J$31*(VLOOKUP(AH$3,'Non-Embedded Emissions'!$A$56:$D$90,2,FALSE)+VLOOKUP(AH$3,'Non-Embedded Emissions'!$A$143:$D$174,2,FALSE)+VLOOKUP(AH$3,'Non-Embedded Emissions'!$A$230:$D$259,2,FALSE)), $C48 = "0", 0), 0)</f>
        <v>0</v>
      </c>
      <c r="AN48" s="347">
        <f>IFERROR(_xlfn.IFS($C48="1",('Inputs-System'!$C$30*'Coincidence Factors'!$B$6*(1+'Inputs-System'!$C$18)*(1+'Inputs-System'!$C$41)*('Inputs-Proposals'!$J$17*'Inputs-Proposals'!$J$19*(1-'Inputs-Proposals'!$J$20^(AN$3-'Inputs-System'!$C$7)))*(VLOOKUP(AN$3,Energy!$A$51:$K$83,5,FALSE))), $C48 = "2",('Inputs-System'!$C$30*'Coincidence Factors'!$B$6)*(1+'Inputs-System'!$C$18)*(1+'Inputs-System'!$C$41)*('Inputs-Proposals'!$J$23*'Inputs-Proposals'!$J$25*(1-'Inputs-Proposals'!$J$26^(AN$3-'Inputs-System'!$C$7)))*(VLOOKUP(AN$3,Energy!$A$51:$K$83,5,FALSE)), $C48= "3", ('Inputs-System'!$C$30*'Coincidence Factors'!$B$6*(1+'Inputs-System'!$C$18)*(1+'Inputs-System'!$C$41)*('Inputs-Proposals'!$J$29*'Inputs-Proposals'!$J$31*(1-'Inputs-Proposals'!$J$32^(AN$3-'Inputs-System'!$C$7)))*(VLOOKUP(AN$3,Energy!$A$51:$K$83,5,FALSE))), $C48= "0", 0), 0)</f>
        <v>0</v>
      </c>
      <c r="AO48" s="44">
        <f>IFERROR(_xlfn.IFS($C48="1",('Inputs-System'!$C$30*'Coincidence Factors'!$B$6*(1+'Inputs-System'!$C$18)*(1+'Inputs-System'!$C$41))*'Inputs-Proposals'!$J$17*'Inputs-Proposals'!$J$19*(1-'Inputs-Proposals'!$J$20^(AN$3-'Inputs-System'!$C$7))*(VLOOKUP(AN$3,'Embedded Emissions'!$A$47:$B$78,2,FALSE)+VLOOKUP(AN$3,'Embedded Emissions'!$A$129:$B$158,2,FALSE)), $C48 = "2",('Inputs-System'!$C$30*'Coincidence Factors'!$B$6*(1+'Inputs-System'!$C$18)*(1+'Inputs-System'!$C$41))*'Inputs-Proposals'!$J$23*'Inputs-Proposals'!$J$25*(1-'Inputs-Proposals'!$J$20^(AN$3-'Inputs-System'!$C$7))*(VLOOKUP(AN$3,'Embedded Emissions'!$A$47:$B$78,2,FALSE)+VLOOKUP(AN$3,'Embedded Emissions'!$A$129:$B$158,2,FALSE)), $C48 = "3", ('Inputs-System'!$C$30*'Coincidence Factors'!$B$6*(1+'Inputs-System'!$C$18)*(1+'Inputs-System'!$C$41))*'Inputs-Proposals'!$J$29*'Inputs-Proposals'!$J$31*(1-'Inputs-Proposals'!$J$20^(AN$3-'Inputs-System'!$C$7))*(VLOOKUP(AN$3,'Embedded Emissions'!$A$47:$B$78,2,FALSE)+VLOOKUP(AN$3,'Embedded Emissions'!$A$129:$B$158,2,FALSE)), $C48 = "0", 0), 0)</f>
        <v>0</v>
      </c>
      <c r="AP48" s="44">
        <f>IFERROR(_xlfn.IFS($C48="1",( 'Inputs-System'!$C$30*'Coincidence Factors'!$B$6*(1+'Inputs-System'!$C$18)*(1+'Inputs-System'!$C$41))*('Inputs-Proposals'!$J$17*'Inputs-Proposals'!$J$19*(1-'Inputs-Proposals'!$J$20)^(AN$3-'Inputs-System'!$C$7))*(VLOOKUP(AN$3,DRIPE!$A$54:$I$82,5,FALSE)+VLOOKUP(AN$3,DRIPE!$A$54:$I$82,9,FALSE))+ ('Inputs-System'!$C$26*'Coincidence Factors'!$B$6*(1+'Inputs-System'!$C$18)*(1+'Inputs-System'!$C$42))*'Inputs-Proposals'!$J$16*VLOOKUP(AN$3,DRIPE!$A$54:$I$82,8,FALSE), $C48 = "2",( 'Inputs-System'!$C$30*'Coincidence Factors'!$B$6*(1+'Inputs-System'!$C$18)*(1+'Inputs-System'!$C$41))*('Inputs-Proposals'!$J$23*'Inputs-Proposals'!$J$25*(1-'Inputs-Proposals'!$J$26)^(AN$3-'Inputs-System'!$C$7))*(VLOOKUP(AN$3,DRIPE!$A$54:$I$82,5,FALSE)+VLOOKUP(AN$3,DRIPE!$A$54:$I$82,9,FALSE))+ ('Inputs-System'!$C$26*'Coincidence Factors'!$B$6*(1+'Inputs-System'!$C$18)*(1+'Inputs-System'!$C$42))*'Inputs-Proposals'!$J$22*VLOOKUP(AN$3,DRIPE!$A$54:$I$82,8,FALSE), $C48= "3", ( 'Inputs-System'!$C$30*'Coincidence Factors'!$B$6*(1+'Inputs-System'!$C$18)*(1+'Inputs-System'!$C$41))*('Inputs-Proposals'!$J$29*'Inputs-Proposals'!$J$31*(1-'Inputs-Proposals'!$J$32)^(AN$3-'Inputs-System'!$C$7))*(VLOOKUP(AN$3,DRIPE!$A$54:$I$82,5,FALSE)+VLOOKUP(AN$3,DRIPE!$A$54:$I$82,9,FALSE))+ ('Inputs-System'!$C$26*'Coincidence Factors'!$B$6*(1+'Inputs-System'!$C$18)*(1+'Inputs-System'!$C$42))*'Inputs-Proposals'!$J$28*VLOOKUP(AN$3,DRIPE!$A$54:$I$82,8,FALSE), $C48 = "0", 0), 0)</f>
        <v>0</v>
      </c>
      <c r="AQ48" s="45">
        <f>IFERROR(_xlfn.IFS($C48="1",('Inputs-System'!$C$26*'Coincidence Factors'!$B$6*(1+'Inputs-System'!$C$18))*'Inputs-Proposals'!$J$16*(VLOOKUP(AN$3,Capacity!$A$53:$E$85,4,FALSE)*(1+'Inputs-System'!$C$42)+VLOOKUP(AN$3,Capacity!$A$53:$E$85,5,FALSE)*'Inputs-System'!$C$29*(1+'Inputs-System'!$C$43)), $C48 = "2", ('Inputs-System'!$C$26*'Coincidence Factors'!$B$6*(1+'Inputs-System'!$C$18))*'Inputs-Proposals'!$J$22*(VLOOKUP(AN$3,Capacity!$A$53:$E$85,4,FALSE)*(1+'Inputs-System'!$C$42)+VLOOKUP(AN$3,Capacity!$A$53:$E$85,5,FALSE)*'Inputs-System'!$C$29*(1+'Inputs-System'!$C$43)), $C48 = "3",('Inputs-System'!$C$26*'Coincidence Factors'!$B$6*(1+'Inputs-System'!$C$18))*'Inputs-Proposals'!$J$28*(VLOOKUP(AN$3,Capacity!$A$53:$E$85,4,FALSE)*(1+'Inputs-System'!$C$42)+VLOOKUP(AN$3,Capacity!$A$53:$E$85,5,FALSE)*'Inputs-System'!$C$29*(1+'Inputs-System'!$C$43)), $C48 = "0", 0), 0)</f>
        <v>0</v>
      </c>
      <c r="AR48" s="44">
        <v>0</v>
      </c>
      <c r="AS48" s="342">
        <f>IFERROR(_xlfn.IFS($C48="1", 'Inputs-System'!$C$30*'Coincidence Factors'!$B$6*'Inputs-Proposals'!$J$17*'Inputs-Proposals'!$J$19*(VLOOKUP(AN$3,'Non-Embedded Emissions'!$A$56:$D$90,2,FALSE)+VLOOKUP(AN$3,'Non-Embedded Emissions'!$A$143:$D$174,2,FALSE)+VLOOKUP(AN$3,'Non-Embedded Emissions'!$A$230:$D$259,2,FALSE)), $C48 = "2", 'Inputs-System'!$C$30*'Coincidence Factors'!$B$6*'Inputs-Proposals'!$J$23*'Inputs-Proposals'!$J$25*(VLOOKUP(AN$3,'Non-Embedded Emissions'!$A$56:$D$90,2,FALSE)+VLOOKUP(AN$3,'Non-Embedded Emissions'!$A$143:$D$174,2,FALSE)+VLOOKUP(AN$3,'Non-Embedded Emissions'!$A$230:$D$259,2,FALSE)), $C48 = "3", 'Inputs-System'!$C$30*'Coincidence Factors'!$B$6*'Inputs-Proposals'!$J$29*'Inputs-Proposals'!$J$31*(VLOOKUP(AN$3,'Non-Embedded Emissions'!$A$56:$D$90,2,FALSE)+VLOOKUP(AN$3,'Non-Embedded Emissions'!$A$143:$D$174,2,FALSE)+VLOOKUP(AN$3,'Non-Embedded Emissions'!$A$230:$D$259,2,FALSE)), $C48 = "0", 0), 0)</f>
        <v>0</v>
      </c>
      <c r="AT48" s="347">
        <f>IFERROR(_xlfn.IFS($C48="1",('Inputs-System'!$C$30*'Coincidence Factors'!$B$6*(1+'Inputs-System'!$C$18)*(1+'Inputs-System'!$C$41)*('Inputs-Proposals'!$J$17*'Inputs-Proposals'!$J$19*(1-'Inputs-Proposals'!$J$20^(AT$3-'Inputs-System'!$C$7)))*(VLOOKUP(AT$3,Energy!$A$51:$K$83,5,FALSE))), $C48 = "2",('Inputs-System'!$C$30*'Coincidence Factors'!$B$6)*(1+'Inputs-System'!$C$18)*(1+'Inputs-System'!$C$41)*('Inputs-Proposals'!$J$23*'Inputs-Proposals'!$J$25*(1-'Inputs-Proposals'!$J$26^(AT$3-'Inputs-System'!$C$7)))*(VLOOKUP(AT$3,Energy!$A$51:$K$83,5,FALSE)), $C48= "3", ('Inputs-System'!$C$30*'Coincidence Factors'!$B$6*(1+'Inputs-System'!$C$18)*(1+'Inputs-System'!$C$41)*('Inputs-Proposals'!$J$29*'Inputs-Proposals'!$J$31*(1-'Inputs-Proposals'!$J$32^(AT$3-'Inputs-System'!$C$7)))*(VLOOKUP(AT$3,Energy!$A$51:$K$83,5,FALSE))), $C48= "0", 0), 0)</f>
        <v>0</v>
      </c>
      <c r="AU48" s="44">
        <f>IFERROR(_xlfn.IFS($C48="1",('Inputs-System'!$C$30*'Coincidence Factors'!$B$6*(1+'Inputs-System'!$C$18)*(1+'Inputs-System'!$C$41))*'Inputs-Proposals'!$J$17*'Inputs-Proposals'!$J$19*(1-'Inputs-Proposals'!$J$20^(AT$3-'Inputs-System'!$C$7))*(VLOOKUP(AT$3,'Embedded Emissions'!$A$47:$B$78,2,FALSE)+VLOOKUP(AT$3,'Embedded Emissions'!$A$129:$B$158,2,FALSE)), $C48 = "2",('Inputs-System'!$C$30*'Coincidence Factors'!$B$6*(1+'Inputs-System'!$C$18)*(1+'Inputs-System'!$C$41))*'Inputs-Proposals'!$J$23*'Inputs-Proposals'!$J$25*(1-'Inputs-Proposals'!$J$20^(AT$3-'Inputs-System'!$C$7))*(VLOOKUP(AT$3,'Embedded Emissions'!$A$47:$B$78,2,FALSE)+VLOOKUP(AT$3,'Embedded Emissions'!$A$129:$B$158,2,FALSE)), $C48 = "3", ('Inputs-System'!$C$30*'Coincidence Factors'!$B$6*(1+'Inputs-System'!$C$18)*(1+'Inputs-System'!$C$41))*'Inputs-Proposals'!$J$29*'Inputs-Proposals'!$J$31*(1-'Inputs-Proposals'!$J$20^(AT$3-'Inputs-System'!$C$7))*(VLOOKUP(AT$3,'Embedded Emissions'!$A$47:$B$78,2,FALSE)+VLOOKUP(AT$3,'Embedded Emissions'!$A$129:$B$158,2,FALSE)), $C48 = "0", 0), 0)</f>
        <v>0</v>
      </c>
      <c r="AV48" s="44">
        <f>IFERROR(_xlfn.IFS($C48="1",( 'Inputs-System'!$C$30*'Coincidence Factors'!$B$6*(1+'Inputs-System'!$C$18)*(1+'Inputs-System'!$C$41))*('Inputs-Proposals'!$J$17*'Inputs-Proposals'!$J$19*(1-'Inputs-Proposals'!$J$20)^(AT$3-'Inputs-System'!$C$7))*(VLOOKUP(AT$3,DRIPE!$A$54:$I$82,5,FALSE)+VLOOKUP(AT$3,DRIPE!$A$54:$I$82,9,FALSE))+ ('Inputs-System'!$C$26*'Coincidence Factors'!$B$6*(1+'Inputs-System'!$C$18)*(1+'Inputs-System'!$C$42))*'Inputs-Proposals'!$J$16*VLOOKUP(AT$3,DRIPE!$A$54:$I$82,8,FALSE), $C48 = "2",( 'Inputs-System'!$C$30*'Coincidence Factors'!$B$6*(1+'Inputs-System'!$C$18)*(1+'Inputs-System'!$C$41))*('Inputs-Proposals'!$J$23*'Inputs-Proposals'!$J$25*(1-'Inputs-Proposals'!$J$26)^(AT$3-'Inputs-System'!$C$7))*(VLOOKUP(AT$3,DRIPE!$A$54:$I$82,5,FALSE)+VLOOKUP(AT$3,DRIPE!$A$54:$I$82,9,FALSE))+ ('Inputs-System'!$C$26*'Coincidence Factors'!$B$6*(1+'Inputs-System'!$C$18)*(1+'Inputs-System'!$C$42))*'Inputs-Proposals'!$J$22*VLOOKUP(AT$3,DRIPE!$A$54:$I$82,8,FALSE), $C48= "3", ( 'Inputs-System'!$C$30*'Coincidence Factors'!$B$6*(1+'Inputs-System'!$C$18)*(1+'Inputs-System'!$C$41))*('Inputs-Proposals'!$J$29*'Inputs-Proposals'!$J$31*(1-'Inputs-Proposals'!$J$32)^(AT$3-'Inputs-System'!$C$7))*(VLOOKUP(AT$3,DRIPE!$A$54:$I$82,5,FALSE)+VLOOKUP(AT$3,DRIPE!$A$54:$I$82,9,FALSE))+ ('Inputs-System'!$C$26*'Coincidence Factors'!$B$6*(1+'Inputs-System'!$C$18)*(1+'Inputs-System'!$C$42))*'Inputs-Proposals'!$J$28*VLOOKUP(AT$3,DRIPE!$A$54:$I$82,8,FALSE), $C48 = "0", 0), 0)</f>
        <v>0</v>
      </c>
      <c r="AW48" s="45">
        <f>IFERROR(_xlfn.IFS($C48="1",('Inputs-System'!$C$26*'Coincidence Factors'!$B$6*(1+'Inputs-System'!$C$18))*'Inputs-Proposals'!$J$16*(VLOOKUP(AT$3,Capacity!$A$53:$E$85,4,FALSE)*(1+'Inputs-System'!$C$42)+VLOOKUP(AT$3,Capacity!$A$53:$E$85,5,FALSE)*'Inputs-System'!$C$29*(1+'Inputs-System'!$C$43)), $C48 = "2", ('Inputs-System'!$C$26*'Coincidence Factors'!$B$6*(1+'Inputs-System'!$C$18))*'Inputs-Proposals'!$J$22*(VLOOKUP(AT$3,Capacity!$A$53:$E$85,4,FALSE)*(1+'Inputs-System'!$C$42)+VLOOKUP(AT$3,Capacity!$A$53:$E$85,5,FALSE)*'Inputs-System'!$C$29*(1+'Inputs-System'!$C$43)), $C48 = "3",('Inputs-System'!$C$26*'Coincidence Factors'!$B$6*(1+'Inputs-System'!$C$18))*'Inputs-Proposals'!$J$28*(VLOOKUP(AT$3,Capacity!$A$53:$E$85,4,FALSE)*(1+'Inputs-System'!$C$42)+VLOOKUP(AT$3,Capacity!$A$53:$E$85,5,FALSE)*'Inputs-System'!$C$29*(1+'Inputs-System'!$C$43)), $C48 = "0", 0), 0)</f>
        <v>0</v>
      </c>
      <c r="AX48" s="44">
        <v>0</v>
      </c>
      <c r="AY48" s="342">
        <f>IFERROR(_xlfn.IFS($C48="1", 'Inputs-System'!$C$30*'Coincidence Factors'!$B$6*'Inputs-Proposals'!$J$17*'Inputs-Proposals'!$J$19*(VLOOKUP(AT$3,'Non-Embedded Emissions'!$A$56:$D$90,2,FALSE)+VLOOKUP(AT$3,'Non-Embedded Emissions'!$A$143:$D$174,2,FALSE)+VLOOKUP(AT$3,'Non-Embedded Emissions'!$A$230:$D$259,2,FALSE)), $C48 = "2", 'Inputs-System'!$C$30*'Coincidence Factors'!$B$6*'Inputs-Proposals'!$J$23*'Inputs-Proposals'!$J$25*(VLOOKUP(AT$3,'Non-Embedded Emissions'!$A$56:$D$90,2,FALSE)+VLOOKUP(AT$3,'Non-Embedded Emissions'!$A$143:$D$174,2,FALSE)+VLOOKUP(AT$3,'Non-Embedded Emissions'!$A$230:$D$259,2,FALSE)), $C48 = "3", 'Inputs-System'!$C$30*'Coincidence Factors'!$B$6*'Inputs-Proposals'!$J$29*'Inputs-Proposals'!$J$31*(VLOOKUP(AT$3,'Non-Embedded Emissions'!$A$56:$D$90,2,FALSE)+VLOOKUP(AT$3,'Non-Embedded Emissions'!$A$143:$D$174,2,FALSE)+VLOOKUP(AT$3,'Non-Embedded Emissions'!$A$230:$D$259,2,FALSE)), $C48 = "0", 0), 0)</f>
        <v>0</v>
      </c>
      <c r="AZ48" s="347">
        <f>IFERROR(_xlfn.IFS($C48="1",('Inputs-System'!$C$30*'Coincidence Factors'!$B$6*(1+'Inputs-System'!$C$18)*(1+'Inputs-System'!$C$41)*('Inputs-Proposals'!$J$17*'Inputs-Proposals'!$J$19*(1-'Inputs-Proposals'!$J$20^(AZ$3-'Inputs-System'!$C$7)))*(VLOOKUP(AZ$3,Energy!$A$51:$K$83,5,FALSE))), $C48 = "2",('Inputs-System'!$C$30*'Coincidence Factors'!$B$6)*(1+'Inputs-System'!$C$18)*(1+'Inputs-System'!$C$41)*('Inputs-Proposals'!$J$23*'Inputs-Proposals'!$J$25*(1-'Inputs-Proposals'!$J$26^(AZ$3-'Inputs-System'!$C$7)))*(VLOOKUP(AZ$3,Energy!$A$51:$K$83,5,FALSE)), $C48= "3", ('Inputs-System'!$C$30*'Coincidence Factors'!$B$6*(1+'Inputs-System'!$C$18)*(1+'Inputs-System'!$C$41)*('Inputs-Proposals'!$J$29*'Inputs-Proposals'!$J$31*(1-'Inputs-Proposals'!$J$32^(AZ$3-'Inputs-System'!$C$7)))*(VLOOKUP(AZ$3,Energy!$A$51:$K$83,5,FALSE))), $C48= "0", 0), 0)</f>
        <v>0</v>
      </c>
      <c r="BA48" s="44">
        <f>IFERROR(_xlfn.IFS($C48="1",('Inputs-System'!$C$30*'Coincidence Factors'!$B$6*(1+'Inputs-System'!$C$18)*(1+'Inputs-System'!$C$41))*'Inputs-Proposals'!$J$17*'Inputs-Proposals'!$J$19*(1-'Inputs-Proposals'!$J$20^(AZ$3-'Inputs-System'!$C$7))*(VLOOKUP(AZ$3,'Embedded Emissions'!$A$47:$B$78,2,FALSE)+VLOOKUP(AZ$3,'Embedded Emissions'!$A$129:$B$158,2,FALSE)), $C48 = "2",('Inputs-System'!$C$30*'Coincidence Factors'!$B$6*(1+'Inputs-System'!$C$18)*(1+'Inputs-System'!$C$41))*'Inputs-Proposals'!$J$23*'Inputs-Proposals'!$J$25*(1-'Inputs-Proposals'!$J$20^(AZ$3-'Inputs-System'!$C$7))*(VLOOKUP(AZ$3,'Embedded Emissions'!$A$47:$B$78,2,FALSE)+VLOOKUP(AZ$3,'Embedded Emissions'!$A$129:$B$158,2,FALSE)), $C48 = "3", ('Inputs-System'!$C$30*'Coincidence Factors'!$B$6*(1+'Inputs-System'!$C$18)*(1+'Inputs-System'!$C$41))*'Inputs-Proposals'!$J$29*'Inputs-Proposals'!$J$31*(1-'Inputs-Proposals'!$J$20^(AZ$3-'Inputs-System'!$C$7))*(VLOOKUP(AZ$3,'Embedded Emissions'!$A$47:$B$78,2,FALSE)+VLOOKUP(AZ$3,'Embedded Emissions'!$A$129:$B$158,2,FALSE)), $C48 = "0", 0), 0)</f>
        <v>0</v>
      </c>
      <c r="BB48" s="44">
        <f>IFERROR(_xlfn.IFS($C48="1",( 'Inputs-System'!$C$30*'Coincidence Factors'!$B$6*(1+'Inputs-System'!$C$18)*(1+'Inputs-System'!$C$41))*('Inputs-Proposals'!$J$17*'Inputs-Proposals'!$J$19*(1-'Inputs-Proposals'!$J$20)^(AZ$3-'Inputs-System'!$C$7))*(VLOOKUP(AZ$3,DRIPE!$A$54:$I$82,5,FALSE)+VLOOKUP(AZ$3,DRIPE!$A$54:$I$82,9,FALSE))+ ('Inputs-System'!$C$26*'Coincidence Factors'!$B$6*(1+'Inputs-System'!$C$18)*(1+'Inputs-System'!$C$42))*'Inputs-Proposals'!$J$16*VLOOKUP(AZ$3,DRIPE!$A$54:$I$82,8,FALSE), $C48 = "2",( 'Inputs-System'!$C$30*'Coincidence Factors'!$B$6*(1+'Inputs-System'!$C$18)*(1+'Inputs-System'!$C$41))*('Inputs-Proposals'!$J$23*'Inputs-Proposals'!$J$25*(1-'Inputs-Proposals'!$J$26)^(AZ$3-'Inputs-System'!$C$7))*(VLOOKUP(AZ$3,DRIPE!$A$54:$I$82,5,FALSE)+VLOOKUP(AZ$3,DRIPE!$A$54:$I$82,9,FALSE))+ ('Inputs-System'!$C$26*'Coincidence Factors'!$B$6*(1+'Inputs-System'!$C$18)*(1+'Inputs-System'!$C$42))*'Inputs-Proposals'!$J$22*VLOOKUP(AZ$3,DRIPE!$A$54:$I$82,8,FALSE), $C48= "3", ( 'Inputs-System'!$C$30*'Coincidence Factors'!$B$6*(1+'Inputs-System'!$C$18)*(1+'Inputs-System'!$C$41))*('Inputs-Proposals'!$J$29*'Inputs-Proposals'!$J$31*(1-'Inputs-Proposals'!$J$32)^(AZ$3-'Inputs-System'!$C$7))*(VLOOKUP(AZ$3,DRIPE!$A$54:$I$82,5,FALSE)+VLOOKUP(AZ$3,DRIPE!$A$54:$I$82,9,FALSE))+ ('Inputs-System'!$C$26*'Coincidence Factors'!$B$6*(1+'Inputs-System'!$C$18)*(1+'Inputs-System'!$C$42))*'Inputs-Proposals'!$J$28*VLOOKUP(AZ$3,DRIPE!$A$54:$I$82,8,FALSE), $C48 = "0", 0), 0)</f>
        <v>0</v>
      </c>
      <c r="BC48" s="45">
        <f>IFERROR(_xlfn.IFS($C48="1",('Inputs-System'!$C$26*'Coincidence Factors'!$B$6*(1+'Inputs-System'!$C$18))*'Inputs-Proposals'!$J$16*(VLOOKUP(AZ$3,Capacity!$A$53:$E$85,4,FALSE)*(1+'Inputs-System'!$C$42)+VLOOKUP(AZ$3,Capacity!$A$53:$E$85,5,FALSE)*'Inputs-System'!$C$29*(1+'Inputs-System'!$C$43)), $C48 = "2", ('Inputs-System'!$C$26*'Coincidence Factors'!$B$6*(1+'Inputs-System'!$C$18))*'Inputs-Proposals'!$J$22*(VLOOKUP(AZ$3,Capacity!$A$53:$E$85,4,FALSE)*(1+'Inputs-System'!$C$42)+VLOOKUP(AZ$3,Capacity!$A$53:$E$85,5,FALSE)*'Inputs-System'!$C$29*(1+'Inputs-System'!$C$43)), $C48 = "3",('Inputs-System'!$C$26*'Coincidence Factors'!$B$6*(1+'Inputs-System'!$C$18))*'Inputs-Proposals'!$J$28*(VLOOKUP(AZ$3,Capacity!$A$53:$E$85,4,FALSE)*(1+'Inputs-System'!$C$42)+VLOOKUP(AZ$3,Capacity!$A$53:$E$85,5,FALSE)*'Inputs-System'!$C$29*(1+'Inputs-System'!$C$43)), $C48 = "0", 0), 0)</f>
        <v>0</v>
      </c>
      <c r="BD48" s="44">
        <v>0</v>
      </c>
      <c r="BE48" s="342">
        <f>IFERROR(_xlfn.IFS($C48="1", 'Inputs-System'!$C$30*'Coincidence Factors'!$B$6*'Inputs-Proposals'!$J$17*'Inputs-Proposals'!$J$19*(VLOOKUP(AZ$3,'Non-Embedded Emissions'!$A$56:$D$90,2,FALSE)+VLOOKUP(AZ$3,'Non-Embedded Emissions'!$A$143:$D$174,2,FALSE)+VLOOKUP(AZ$3,'Non-Embedded Emissions'!$A$230:$D$259,2,FALSE)), $C48 = "2", 'Inputs-System'!$C$30*'Coincidence Factors'!$B$6*'Inputs-Proposals'!$J$23*'Inputs-Proposals'!$J$25*(VLOOKUP(AZ$3,'Non-Embedded Emissions'!$A$56:$D$90,2,FALSE)+VLOOKUP(AZ$3,'Non-Embedded Emissions'!$A$143:$D$174,2,FALSE)+VLOOKUP(AZ$3,'Non-Embedded Emissions'!$A$230:$D$259,2,FALSE)), $C48 = "3", 'Inputs-System'!$C$30*'Coincidence Factors'!$B$6*'Inputs-Proposals'!$J$29*'Inputs-Proposals'!$J$31*(VLOOKUP(AZ$3,'Non-Embedded Emissions'!$A$56:$D$90,2,FALSE)+VLOOKUP(AZ$3,'Non-Embedded Emissions'!$A$143:$D$174,2,FALSE)+VLOOKUP(AZ$3,'Non-Embedded Emissions'!$A$230:$D$259,2,FALSE)), $C48 = "0", 0), 0)</f>
        <v>0</v>
      </c>
      <c r="BF48" s="347">
        <f>IFERROR(_xlfn.IFS($C48="1",('Inputs-System'!$C$30*'Coincidence Factors'!$B$6*(1+'Inputs-System'!$C$18)*(1+'Inputs-System'!$C$41)*('Inputs-Proposals'!$J$17*'Inputs-Proposals'!$J$19*(1-'Inputs-Proposals'!$J$20^(BF$3-'Inputs-System'!$C$7)))*(VLOOKUP(BF$3,Energy!$A$51:$K$83,5,FALSE))), $C48 = "2",('Inputs-System'!$C$30*'Coincidence Factors'!$B$6)*(1+'Inputs-System'!$C$18)*(1+'Inputs-System'!$C$41)*('Inputs-Proposals'!$J$23*'Inputs-Proposals'!$J$25*(1-'Inputs-Proposals'!$J$26^(BF$3-'Inputs-System'!$C$7)))*(VLOOKUP(BF$3,Energy!$A$51:$K$83,5,FALSE)), $C48= "3", ('Inputs-System'!$C$30*'Coincidence Factors'!$B$6*(1+'Inputs-System'!$C$18)*(1+'Inputs-System'!$C$41)*('Inputs-Proposals'!$J$29*'Inputs-Proposals'!$J$31*(1-'Inputs-Proposals'!$J$32^(BF$3-'Inputs-System'!$C$7)))*(VLOOKUP(BF$3,Energy!$A$51:$K$83,5,FALSE))), $C48= "0", 0), 0)</f>
        <v>0</v>
      </c>
      <c r="BG48" s="44">
        <f>IFERROR(_xlfn.IFS($C48="1",('Inputs-System'!$C$30*'Coincidence Factors'!$B$6*(1+'Inputs-System'!$C$18)*(1+'Inputs-System'!$C$41))*'Inputs-Proposals'!$J$17*'Inputs-Proposals'!$J$19*(1-'Inputs-Proposals'!$J$20^(BF$3-'Inputs-System'!$C$7))*(VLOOKUP(BF$3,'Embedded Emissions'!$A$47:$B$78,2,FALSE)+VLOOKUP(BF$3,'Embedded Emissions'!$A$129:$B$158,2,FALSE)), $C48 = "2",('Inputs-System'!$C$30*'Coincidence Factors'!$B$6*(1+'Inputs-System'!$C$18)*(1+'Inputs-System'!$C$41))*'Inputs-Proposals'!$J$23*'Inputs-Proposals'!$J$25*(1-'Inputs-Proposals'!$J$20^(BF$3-'Inputs-System'!$C$7))*(VLOOKUP(BF$3,'Embedded Emissions'!$A$47:$B$78,2,FALSE)+VLOOKUP(BF$3,'Embedded Emissions'!$A$129:$B$158,2,FALSE)), $C48 = "3", ('Inputs-System'!$C$30*'Coincidence Factors'!$B$6*(1+'Inputs-System'!$C$18)*(1+'Inputs-System'!$C$41))*'Inputs-Proposals'!$J$29*'Inputs-Proposals'!$J$31*(1-'Inputs-Proposals'!$J$20^(BF$3-'Inputs-System'!$C$7))*(VLOOKUP(BF$3,'Embedded Emissions'!$A$47:$B$78,2,FALSE)+VLOOKUP(BF$3,'Embedded Emissions'!$A$129:$B$158,2,FALSE)), $C48 = "0", 0), 0)</f>
        <v>0</v>
      </c>
      <c r="BH48" s="44">
        <f>IFERROR(_xlfn.IFS($C48="1",( 'Inputs-System'!$C$30*'Coincidence Factors'!$B$6*(1+'Inputs-System'!$C$18)*(1+'Inputs-System'!$C$41))*('Inputs-Proposals'!$J$17*'Inputs-Proposals'!$J$19*(1-'Inputs-Proposals'!$J$20)^(BF$3-'Inputs-System'!$C$7))*(VLOOKUP(BF$3,DRIPE!$A$54:$I$82,5,FALSE)+VLOOKUP(BF$3,DRIPE!$A$54:$I$82,9,FALSE))+ ('Inputs-System'!$C$26*'Coincidence Factors'!$B$6*(1+'Inputs-System'!$C$18)*(1+'Inputs-System'!$C$42))*'Inputs-Proposals'!$J$16*VLOOKUP(BF$3,DRIPE!$A$54:$I$82,8,FALSE), $C48 = "2",( 'Inputs-System'!$C$30*'Coincidence Factors'!$B$6*(1+'Inputs-System'!$C$18)*(1+'Inputs-System'!$C$41))*('Inputs-Proposals'!$J$23*'Inputs-Proposals'!$J$25*(1-'Inputs-Proposals'!$J$26)^(BF$3-'Inputs-System'!$C$7))*(VLOOKUP(BF$3,DRIPE!$A$54:$I$82,5,FALSE)+VLOOKUP(BF$3,DRIPE!$A$54:$I$82,9,FALSE))+ ('Inputs-System'!$C$26*'Coincidence Factors'!$B$6*(1+'Inputs-System'!$C$18)*(1+'Inputs-System'!$C$42))*'Inputs-Proposals'!$J$22*VLOOKUP(BF$3,DRIPE!$A$54:$I$82,8,FALSE), $C48= "3", ( 'Inputs-System'!$C$30*'Coincidence Factors'!$B$6*(1+'Inputs-System'!$C$18)*(1+'Inputs-System'!$C$41))*('Inputs-Proposals'!$J$29*'Inputs-Proposals'!$J$31*(1-'Inputs-Proposals'!$J$32)^(BF$3-'Inputs-System'!$C$7))*(VLOOKUP(BF$3,DRIPE!$A$54:$I$82,5,FALSE)+VLOOKUP(BF$3,DRIPE!$A$54:$I$82,9,FALSE))+ ('Inputs-System'!$C$26*'Coincidence Factors'!$B$6*(1+'Inputs-System'!$C$18)*(1+'Inputs-System'!$C$42))*'Inputs-Proposals'!$J$28*VLOOKUP(BF$3,DRIPE!$A$54:$I$82,8,FALSE), $C48 = "0", 0), 0)</f>
        <v>0</v>
      </c>
      <c r="BI48" s="45">
        <f>IFERROR(_xlfn.IFS($C48="1",('Inputs-System'!$C$26*'Coincidence Factors'!$B$6*(1+'Inputs-System'!$C$18))*'Inputs-Proposals'!$J$16*(VLOOKUP(BF$3,Capacity!$A$53:$E$85,4,FALSE)*(1+'Inputs-System'!$C$42)+VLOOKUP(BF$3,Capacity!$A$53:$E$85,5,FALSE)*'Inputs-System'!$C$29*(1+'Inputs-System'!$C$43)), $C48 = "2", ('Inputs-System'!$C$26*'Coincidence Factors'!$B$6*(1+'Inputs-System'!$C$18))*'Inputs-Proposals'!$J$22*(VLOOKUP(BF$3,Capacity!$A$53:$E$85,4,FALSE)*(1+'Inputs-System'!$C$42)+VLOOKUP(BF$3,Capacity!$A$53:$E$85,5,FALSE)*'Inputs-System'!$C$29*(1+'Inputs-System'!$C$43)), $C48 = "3",('Inputs-System'!$C$26*'Coincidence Factors'!$B$6*(1+'Inputs-System'!$C$18))*'Inputs-Proposals'!$J$28*(VLOOKUP(BF$3,Capacity!$A$53:$E$85,4,FALSE)*(1+'Inputs-System'!$C$42)+VLOOKUP(BF$3,Capacity!$A$53:$E$85,5,FALSE)*'Inputs-System'!$C$29*(1+'Inputs-System'!$C$43)), $C48 = "0", 0), 0)</f>
        <v>0</v>
      </c>
      <c r="BJ48" s="44">
        <v>0</v>
      </c>
      <c r="BK48" s="342">
        <f>IFERROR(_xlfn.IFS($C48="1", 'Inputs-System'!$C$30*'Coincidence Factors'!$B$6*'Inputs-Proposals'!$J$17*'Inputs-Proposals'!$J$19*(VLOOKUP(BF$3,'Non-Embedded Emissions'!$A$56:$D$90,2,FALSE)+VLOOKUP(BF$3,'Non-Embedded Emissions'!$A$143:$D$174,2,FALSE)+VLOOKUP(BF$3,'Non-Embedded Emissions'!$A$230:$D$259,2,FALSE)), $C48 = "2", 'Inputs-System'!$C$30*'Coincidence Factors'!$B$6*'Inputs-Proposals'!$J$23*'Inputs-Proposals'!$J$25*(VLOOKUP(BF$3,'Non-Embedded Emissions'!$A$56:$D$90,2,FALSE)+VLOOKUP(BF$3,'Non-Embedded Emissions'!$A$143:$D$174,2,FALSE)+VLOOKUP(BF$3,'Non-Embedded Emissions'!$A$230:$D$259,2,FALSE)), $C48 = "3", 'Inputs-System'!$C$30*'Coincidence Factors'!$B$6*'Inputs-Proposals'!$J$29*'Inputs-Proposals'!$J$31*(VLOOKUP(BF$3,'Non-Embedded Emissions'!$A$56:$D$90,2,FALSE)+VLOOKUP(BF$3,'Non-Embedded Emissions'!$A$143:$D$174,2,FALSE)+VLOOKUP(BF$3,'Non-Embedded Emissions'!$A$230:$D$259,2,FALSE)), $C48 = "0", 0), 0)</f>
        <v>0</v>
      </c>
      <c r="BL48" s="347">
        <f>IFERROR(_xlfn.IFS($C48="1",('Inputs-System'!$C$30*'Coincidence Factors'!$B$6*(1+'Inputs-System'!$C$18)*(1+'Inputs-System'!$C$41)*('Inputs-Proposals'!$J$17*'Inputs-Proposals'!$J$19*(1-'Inputs-Proposals'!$J$20^(BL$3-'Inputs-System'!$C$7)))*(VLOOKUP(BL$3,Energy!$A$51:$K$83,5,FALSE))), $C48 = "2",('Inputs-System'!$C$30*'Coincidence Factors'!$B$6)*(1+'Inputs-System'!$C$18)*(1+'Inputs-System'!$C$41)*('Inputs-Proposals'!$J$23*'Inputs-Proposals'!$J$25*(1-'Inputs-Proposals'!$J$26^(BL$3-'Inputs-System'!$C$7)))*(VLOOKUP(BL$3,Energy!$A$51:$K$83,5,FALSE)), $C48= "3", ('Inputs-System'!$C$30*'Coincidence Factors'!$B$6*(1+'Inputs-System'!$C$18)*(1+'Inputs-System'!$C$41)*('Inputs-Proposals'!$J$29*'Inputs-Proposals'!$J$31*(1-'Inputs-Proposals'!$J$32^(BL$3-'Inputs-System'!$C$7)))*(VLOOKUP(BL$3,Energy!$A$51:$K$83,5,FALSE))), $C48= "0", 0), 0)</f>
        <v>0</v>
      </c>
      <c r="BM48" s="44">
        <f>IFERROR(_xlfn.IFS($C48="1",('Inputs-System'!$C$30*'Coincidence Factors'!$B$6*(1+'Inputs-System'!$C$18)*(1+'Inputs-System'!$C$41))*'Inputs-Proposals'!$J$17*'Inputs-Proposals'!$J$19*(1-'Inputs-Proposals'!$J$20^(BL$3-'Inputs-System'!$C$7))*(VLOOKUP(BL$3,'Embedded Emissions'!$A$47:$B$78,2,FALSE)+VLOOKUP(BL$3,'Embedded Emissions'!$A$129:$B$158,2,FALSE)), $C48 = "2",('Inputs-System'!$C$30*'Coincidence Factors'!$B$6*(1+'Inputs-System'!$C$18)*(1+'Inputs-System'!$C$41))*'Inputs-Proposals'!$J$23*'Inputs-Proposals'!$J$25*(1-'Inputs-Proposals'!$J$20^(BL$3-'Inputs-System'!$C$7))*(VLOOKUP(BL$3,'Embedded Emissions'!$A$47:$B$78,2,FALSE)+VLOOKUP(BL$3,'Embedded Emissions'!$A$129:$B$158,2,FALSE)), $C48 = "3", ('Inputs-System'!$C$30*'Coincidence Factors'!$B$6*(1+'Inputs-System'!$C$18)*(1+'Inputs-System'!$C$41))*'Inputs-Proposals'!$J$29*'Inputs-Proposals'!$J$31*(1-'Inputs-Proposals'!$J$20^(BL$3-'Inputs-System'!$C$7))*(VLOOKUP(BL$3,'Embedded Emissions'!$A$47:$B$78,2,FALSE)+VLOOKUP(BL$3,'Embedded Emissions'!$A$129:$B$158,2,FALSE)), $C48 = "0", 0), 0)</f>
        <v>0</v>
      </c>
      <c r="BN48" s="44">
        <f>IFERROR(_xlfn.IFS($C48="1",( 'Inputs-System'!$C$30*'Coincidence Factors'!$B$6*(1+'Inputs-System'!$C$18)*(1+'Inputs-System'!$C$41))*('Inputs-Proposals'!$J$17*'Inputs-Proposals'!$J$19*(1-'Inputs-Proposals'!$J$20)^(BL$3-'Inputs-System'!$C$7))*(VLOOKUP(BL$3,DRIPE!$A$54:$I$82,5,FALSE)+VLOOKUP(BL$3,DRIPE!$A$54:$I$82,9,FALSE))+ ('Inputs-System'!$C$26*'Coincidence Factors'!$B$6*(1+'Inputs-System'!$C$18)*(1+'Inputs-System'!$C$42))*'Inputs-Proposals'!$J$16*VLOOKUP(BL$3,DRIPE!$A$54:$I$82,8,FALSE), $C48 = "2",( 'Inputs-System'!$C$30*'Coincidence Factors'!$B$6*(1+'Inputs-System'!$C$18)*(1+'Inputs-System'!$C$41))*('Inputs-Proposals'!$J$23*'Inputs-Proposals'!$J$25*(1-'Inputs-Proposals'!$J$26)^(BL$3-'Inputs-System'!$C$7))*(VLOOKUP(BL$3,DRIPE!$A$54:$I$82,5,FALSE)+VLOOKUP(BL$3,DRIPE!$A$54:$I$82,9,FALSE))+ ('Inputs-System'!$C$26*'Coincidence Factors'!$B$6*(1+'Inputs-System'!$C$18)*(1+'Inputs-System'!$C$42))*'Inputs-Proposals'!$J$22*VLOOKUP(BL$3,DRIPE!$A$54:$I$82,8,FALSE), $C48= "3", ( 'Inputs-System'!$C$30*'Coincidence Factors'!$B$6*(1+'Inputs-System'!$C$18)*(1+'Inputs-System'!$C$41))*('Inputs-Proposals'!$J$29*'Inputs-Proposals'!$J$31*(1-'Inputs-Proposals'!$J$32)^(BL$3-'Inputs-System'!$C$7))*(VLOOKUP(BL$3,DRIPE!$A$54:$I$82,5,FALSE)+VLOOKUP(BL$3,DRIPE!$A$54:$I$82,9,FALSE))+ ('Inputs-System'!$C$26*'Coincidence Factors'!$B$6*(1+'Inputs-System'!$C$18)*(1+'Inputs-System'!$C$42))*'Inputs-Proposals'!$J$28*VLOOKUP(BL$3,DRIPE!$A$54:$I$82,8,FALSE), $C48 = "0", 0), 0)</f>
        <v>0</v>
      </c>
      <c r="BO48" s="45">
        <f>IFERROR(_xlfn.IFS($C48="1",('Inputs-System'!$C$26*'Coincidence Factors'!$B$6*(1+'Inputs-System'!$C$18))*'Inputs-Proposals'!$J$16*(VLOOKUP(BL$3,Capacity!$A$53:$E$85,4,FALSE)*(1+'Inputs-System'!$C$42)+VLOOKUP(BL$3,Capacity!$A$53:$E$85,5,FALSE)*'Inputs-System'!$C$29*(1+'Inputs-System'!$C$43)), $C48 = "2", ('Inputs-System'!$C$26*'Coincidence Factors'!$B$6*(1+'Inputs-System'!$C$18))*'Inputs-Proposals'!$J$22*(VLOOKUP(BL$3,Capacity!$A$53:$E$85,4,FALSE)*(1+'Inputs-System'!$C$42)+VLOOKUP(BL$3,Capacity!$A$53:$E$85,5,FALSE)*'Inputs-System'!$C$29*(1+'Inputs-System'!$C$43)), $C48 = "3",('Inputs-System'!$C$26*'Coincidence Factors'!$B$6*(1+'Inputs-System'!$C$18))*'Inputs-Proposals'!$J$28*(VLOOKUP(BL$3,Capacity!$A$53:$E$85,4,FALSE)*(1+'Inputs-System'!$C$42)+VLOOKUP(BL$3,Capacity!$A$53:$E$85,5,FALSE)*'Inputs-System'!$C$29*(1+'Inputs-System'!$C$43)), $C48 = "0", 0), 0)</f>
        <v>0</v>
      </c>
      <c r="BP48" s="44">
        <v>0</v>
      </c>
      <c r="BQ48" s="342">
        <f>IFERROR(_xlfn.IFS($C48="1", 'Inputs-System'!$C$30*'Coincidence Factors'!$B$6*'Inputs-Proposals'!$J$17*'Inputs-Proposals'!$J$19*(VLOOKUP(BL$3,'Non-Embedded Emissions'!$A$56:$D$90,2,FALSE)+VLOOKUP(BL$3,'Non-Embedded Emissions'!$A$143:$D$174,2,FALSE)+VLOOKUP(BL$3,'Non-Embedded Emissions'!$A$230:$D$259,2,FALSE)), $C48 = "2", 'Inputs-System'!$C$30*'Coincidence Factors'!$B$6*'Inputs-Proposals'!$J$23*'Inputs-Proposals'!$J$25*(VLOOKUP(BL$3,'Non-Embedded Emissions'!$A$56:$D$90,2,FALSE)+VLOOKUP(BL$3,'Non-Embedded Emissions'!$A$143:$D$174,2,FALSE)+VLOOKUP(BL$3,'Non-Embedded Emissions'!$A$230:$D$259,2,FALSE)), $C48 = "3", 'Inputs-System'!$C$30*'Coincidence Factors'!$B$6*'Inputs-Proposals'!$J$29*'Inputs-Proposals'!$J$31*(VLOOKUP(BL$3,'Non-Embedded Emissions'!$A$56:$D$90,2,FALSE)+VLOOKUP(BL$3,'Non-Embedded Emissions'!$A$143:$D$174,2,FALSE)+VLOOKUP(BL$3,'Non-Embedded Emissions'!$A$230:$D$259,2,FALSE)), $C48 = "0", 0), 0)</f>
        <v>0</v>
      </c>
      <c r="BR48" s="347">
        <f>IFERROR(_xlfn.IFS($C48="1",('Inputs-System'!$C$30*'Coincidence Factors'!$B$6*(1+'Inputs-System'!$C$18)*(1+'Inputs-System'!$C$41)*('Inputs-Proposals'!$J$17*'Inputs-Proposals'!$J$19*(1-'Inputs-Proposals'!$J$20^(BR$3-'Inputs-System'!$C$7)))*(VLOOKUP(BR$3,Energy!$A$51:$K$83,5,FALSE))), $C48 = "2",('Inputs-System'!$C$30*'Coincidence Factors'!$B$6)*(1+'Inputs-System'!$C$18)*(1+'Inputs-System'!$C$41)*('Inputs-Proposals'!$J$23*'Inputs-Proposals'!$J$25*(1-'Inputs-Proposals'!$J$26^(BR$3-'Inputs-System'!$C$7)))*(VLOOKUP(BR$3,Energy!$A$51:$K$83,5,FALSE)), $C48= "3", ('Inputs-System'!$C$30*'Coincidence Factors'!$B$6*(1+'Inputs-System'!$C$18)*(1+'Inputs-System'!$C$41)*('Inputs-Proposals'!$J$29*'Inputs-Proposals'!$J$31*(1-'Inputs-Proposals'!$J$32^(BR$3-'Inputs-System'!$C$7)))*(VLOOKUP(BR$3,Energy!$A$51:$K$83,5,FALSE))), $C48= "0", 0), 0)</f>
        <v>0</v>
      </c>
      <c r="BS48" s="44">
        <f>IFERROR(_xlfn.IFS($C48="1",('Inputs-System'!$C$30*'Coincidence Factors'!$B$6*(1+'Inputs-System'!$C$18)*(1+'Inputs-System'!$C$41))*'Inputs-Proposals'!$J$17*'Inputs-Proposals'!$J$19*(1-'Inputs-Proposals'!$J$20^(BR$3-'Inputs-System'!$C$7))*(VLOOKUP(BR$3,'Embedded Emissions'!$A$47:$B$78,2,FALSE)+VLOOKUP(BR$3,'Embedded Emissions'!$A$129:$B$158,2,FALSE)), $C48 = "2",('Inputs-System'!$C$30*'Coincidence Factors'!$B$6*(1+'Inputs-System'!$C$18)*(1+'Inputs-System'!$C$41))*'Inputs-Proposals'!$J$23*'Inputs-Proposals'!$J$25*(1-'Inputs-Proposals'!$J$20^(BR$3-'Inputs-System'!$C$7))*(VLOOKUP(BR$3,'Embedded Emissions'!$A$47:$B$78,2,FALSE)+VLOOKUP(BR$3,'Embedded Emissions'!$A$129:$B$158,2,FALSE)), $C48 = "3", ('Inputs-System'!$C$30*'Coincidence Factors'!$B$6*(1+'Inputs-System'!$C$18)*(1+'Inputs-System'!$C$41))*'Inputs-Proposals'!$J$29*'Inputs-Proposals'!$J$31*(1-'Inputs-Proposals'!$J$20^(BR$3-'Inputs-System'!$C$7))*(VLOOKUP(BR$3,'Embedded Emissions'!$A$47:$B$78,2,FALSE)+VLOOKUP(BR$3,'Embedded Emissions'!$A$129:$B$158,2,FALSE)), $C48 = "0", 0), 0)</f>
        <v>0</v>
      </c>
      <c r="BT48" s="44">
        <f>IFERROR(_xlfn.IFS($C48="1",( 'Inputs-System'!$C$30*'Coincidence Factors'!$B$6*(1+'Inputs-System'!$C$18)*(1+'Inputs-System'!$C$41))*('Inputs-Proposals'!$J$17*'Inputs-Proposals'!$J$19*(1-'Inputs-Proposals'!$J$20)^(BR$3-'Inputs-System'!$C$7))*(VLOOKUP(BR$3,DRIPE!$A$54:$I$82,5,FALSE)+VLOOKUP(BR$3,DRIPE!$A$54:$I$82,9,FALSE))+ ('Inputs-System'!$C$26*'Coincidence Factors'!$B$6*(1+'Inputs-System'!$C$18)*(1+'Inputs-System'!$C$42))*'Inputs-Proposals'!$J$16*VLOOKUP(BR$3,DRIPE!$A$54:$I$82,8,FALSE), $C48 = "2",( 'Inputs-System'!$C$30*'Coincidence Factors'!$B$6*(1+'Inputs-System'!$C$18)*(1+'Inputs-System'!$C$41))*('Inputs-Proposals'!$J$23*'Inputs-Proposals'!$J$25*(1-'Inputs-Proposals'!$J$26)^(BR$3-'Inputs-System'!$C$7))*(VLOOKUP(BR$3,DRIPE!$A$54:$I$82,5,FALSE)+VLOOKUP(BR$3,DRIPE!$A$54:$I$82,9,FALSE))+ ('Inputs-System'!$C$26*'Coincidence Factors'!$B$6*(1+'Inputs-System'!$C$18)*(1+'Inputs-System'!$C$42))*'Inputs-Proposals'!$J$22*VLOOKUP(BR$3,DRIPE!$A$54:$I$82,8,FALSE), $C48= "3", ( 'Inputs-System'!$C$30*'Coincidence Factors'!$B$6*(1+'Inputs-System'!$C$18)*(1+'Inputs-System'!$C$41))*('Inputs-Proposals'!$J$29*'Inputs-Proposals'!$J$31*(1-'Inputs-Proposals'!$J$32)^(BR$3-'Inputs-System'!$C$7))*(VLOOKUP(BR$3,DRIPE!$A$54:$I$82,5,FALSE)+VLOOKUP(BR$3,DRIPE!$A$54:$I$82,9,FALSE))+ ('Inputs-System'!$C$26*'Coincidence Factors'!$B$6*(1+'Inputs-System'!$C$18)*(1+'Inputs-System'!$C$42))*'Inputs-Proposals'!$J$28*VLOOKUP(BR$3,DRIPE!$A$54:$I$82,8,FALSE), $C48 = "0", 0), 0)</f>
        <v>0</v>
      </c>
      <c r="BU48" s="45">
        <f>IFERROR(_xlfn.IFS($C48="1",('Inputs-System'!$C$26*'Coincidence Factors'!$B$6*(1+'Inputs-System'!$C$18))*'Inputs-Proposals'!$J$16*(VLOOKUP(BR$3,Capacity!$A$53:$E$85,4,FALSE)*(1+'Inputs-System'!$C$42)+VLOOKUP(BR$3,Capacity!$A$53:$E$85,5,FALSE)*'Inputs-System'!$C$29*(1+'Inputs-System'!$C$43)), $C48 = "2", ('Inputs-System'!$C$26*'Coincidence Factors'!$B$6*(1+'Inputs-System'!$C$18))*'Inputs-Proposals'!$J$22*(VLOOKUP(BR$3,Capacity!$A$53:$E$85,4,FALSE)*(1+'Inputs-System'!$C$42)+VLOOKUP(BR$3,Capacity!$A$53:$E$85,5,FALSE)*'Inputs-System'!$C$29*(1+'Inputs-System'!$C$43)), $C48 = "3",('Inputs-System'!$C$26*'Coincidence Factors'!$B$6*(1+'Inputs-System'!$C$18))*'Inputs-Proposals'!$J$28*(VLOOKUP(BR$3,Capacity!$A$53:$E$85,4,FALSE)*(1+'Inputs-System'!$C$42)+VLOOKUP(BR$3,Capacity!$A$53:$E$85,5,FALSE)*'Inputs-System'!$C$29*(1+'Inputs-System'!$C$43)), $C48 = "0", 0), 0)</f>
        <v>0</v>
      </c>
      <c r="BV48" s="44">
        <v>0</v>
      </c>
      <c r="BW48" s="342">
        <f>IFERROR(_xlfn.IFS($C48="1", 'Inputs-System'!$C$30*'Coincidence Factors'!$B$6*'Inputs-Proposals'!$J$17*'Inputs-Proposals'!$J$19*(VLOOKUP(BR$3,'Non-Embedded Emissions'!$A$56:$D$90,2,FALSE)+VLOOKUP(BR$3,'Non-Embedded Emissions'!$A$143:$D$174,2,FALSE)+VLOOKUP(BR$3,'Non-Embedded Emissions'!$A$230:$D$259,2,FALSE)), $C48 = "2", 'Inputs-System'!$C$30*'Coincidence Factors'!$B$6*'Inputs-Proposals'!$J$23*'Inputs-Proposals'!$J$25*(VLOOKUP(BR$3,'Non-Embedded Emissions'!$A$56:$D$90,2,FALSE)+VLOOKUP(BR$3,'Non-Embedded Emissions'!$A$143:$D$174,2,FALSE)+VLOOKUP(BR$3,'Non-Embedded Emissions'!$A$230:$D$259,2,FALSE)), $C48 = "3", 'Inputs-System'!$C$30*'Coincidence Factors'!$B$6*'Inputs-Proposals'!$J$29*'Inputs-Proposals'!$J$31*(VLOOKUP(BR$3,'Non-Embedded Emissions'!$A$56:$D$90,2,FALSE)+VLOOKUP(BR$3,'Non-Embedded Emissions'!$A$143:$D$174,2,FALSE)+VLOOKUP(BR$3,'Non-Embedded Emissions'!$A$230:$D$259,2,FALSE)), $C48 = "0", 0), 0)</f>
        <v>0</v>
      </c>
      <c r="BX48" s="347">
        <f>IFERROR(_xlfn.IFS($C48="1",('Inputs-System'!$C$30*'Coincidence Factors'!$B$6*(1+'Inputs-System'!$C$18)*(1+'Inputs-System'!$C$41)*('Inputs-Proposals'!$J$17*'Inputs-Proposals'!$J$19*(1-'Inputs-Proposals'!$J$20^(BX$3-'Inputs-System'!$C$7)))*(VLOOKUP(BX$3,Energy!$A$51:$K$83,5,FALSE))), $C48 = "2",('Inputs-System'!$C$30*'Coincidence Factors'!$B$6)*(1+'Inputs-System'!$C$18)*(1+'Inputs-System'!$C$41)*('Inputs-Proposals'!$J$23*'Inputs-Proposals'!$J$25*(1-'Inputs-Proposals'!$J$26^(BX$3-'Inputs-System'!$C$7)))*(VLOOKUP(BX$3,Energy!$A$51:$K$83,5,FALSE)), $C48= "3", ('Inputs-System'!$C$30*'Coincidence Factors'!$B$6*(1+'Inputs-System'!$C$18)*(1+'Inputs-System'!$C$41)*('Inputs-Proposals'!$J$29*'Inputs-Proposals'!$J$31*(1-'Inputs-Proposals'!$J$32^(BX$3-'Inputs-System'!$C$7)))*(VLOOKUP(BX$3,Energy!$A$51:$K$83,5,FALSE))), $C48= "0", 0), 0)</f>
        <v>0</v>
      </c>
      <c r="BY48" s="44">
        <f>IFERROR(_xlfn.IFS($C48="1",('Inputs-System'!$C$30*'Coincidence Factors'!$B$6*(1+'Inputs-System'!$C$18)*(1+'Inputs-System'!$C$41))*'Inputs-Proposals'!$J$17*'Inputs-Proposals'!$J$19*(1-'Inputs-Proposals'!$J$20^(BX$3-'Inputs-System'!$C$7))*(VLOOKUP(BX$3,'Embedded Emissions'!$A$47:$B$78,2,FALSE)+VLOOKUP(BX$3,'Embedded Emissions'!$A$129:$B$158,2,FALSE)), $C48 = "2",('Inputs-System'!$C$30*'Coincidence Factors'!$B$6*(1+'Inputs-System'!$C$18)*(1+'Inputs-System'!$C$41))*'Inputs-Proposals'!$J$23*'Inputs-Proposals'!$J$25*(1-'Inputs-Proposals'!$J$20^(BX$3-'Inputs-System'!$C$7))*(VLOOKUP(BX$3,'Embedded Emissions'!$A$47:$B$78,2,FALSE)+VLOOKUP(BX$3,'Embedded Emissions'!$A$129:$B$158,2,FALSE)), $C48 = "3", ('Inputs-System'!$C$30*'Coincidence Factors'!$B$6*(1+'Inputs-System'!$C$18)*(1+'Inputs-System'!$C$41))*'Inputs-Proposals'!$J$29*'Inputs-Proposals'!$J$31*(1-'Inputs-Proposals'!$J$20^(BX$3-'Inputs-System'!$C$7))*(VLOOKUP(BX$3,'Embedded Emissions'!$A$47:$B$78,2,FALSE)+VLOOKUP(BX$3,'Embedded Emissions'!$A$129:$B$158,2,FALSE)), $C48 = "0", 0), 0)</f>
        <v>0</v>
      </c>
      <c r="BZ48" s="44">
        <f>IFERROR(_xlfn.IFS($C48="1",( 'Inputs-System'!$C$30*'Coincidence Factors'!$B$6*(1+'Inputs-System'!$C$18)*(1+'Inputs-System'!$C$41))*('Inputs-Proposals'!$J$17*'Inputs-Proposals'!$J$19*(1-'Inputs-Proposals'!$J$20)^(BX$3-'Inputs-System'!$C$7))*(VLOOKUP(BX$3,DRIPE!$A$54:$I$82,5,FALSE)+VLOOKUP(BX$3,DRIPE!$A$54:$I$82,9,FALSE))+ ('Inputs-System'!$C$26*'Coincidence Factors'!$B$6*(1+'Inputs-System'!$C$18)*(1+'Inputs-System'!$C$42))*'Inputs-Proposals'!$J$16*VLOOKUP(BX$3,DRIPE!$A$54:$I$82,8,FALSE), $C48 = "2",( 'Inputs-System'!$C$30*'Coincidence Factors'!$B$6*(1+'Inputs-System'!$C$18)*(1+'Inputs-System'!$C$41))*('Inputs-Proposals'!$J$23*'Inputs-Proposals'!$J$25*(1-'Inputs-Proposals'!$J$26)^(BX$3-'Inputs-System'!$C$7))*(VLOOKUP(BX$3,DRIPE!$A$54:$I$82,5,FALSE)+VLOOKUP(BX$3,DRIPE!$A$54:$I$82,9,FALSE))+ ('Inputs-System'!$C$26*'Coincidence Factors'!$B$6*(1+'Inputs-System'!$C$18)*(1+'Inputs-System'!$C$42))*'Inputs-Proposals'!$J$22*VLOOKUP(BX$3,DRIPE!$A$54:$I$82,8,FALSE), $C48= "3", ( 'Inputs-System'!$C$30*'Coincidence Factors'!$B$6*(1+'Inputs-System'!$C$18)*(1+'Inputs-System'!$C$41))*('Inputs-Proposals'!$J$29*'Inputs-Proposals'!$J$31*(1-'Inputs-Proposals'!$J$32)^(BX$3-'Inputs-System'!$C$7))*(VLOOKUP(BX$3,DRIPE!$A$54:$I$82,5,FALSE)+VLOOKUP(BX$3,DRIPE!$A$54:$I$82,9,FALSE))+ ('Inputs-System'!$C$26*'Coincidence Factors'!$B$6*(1+'Inputs-System'!$C$18)*(1+'Inputs-System'!$C$42))*'Inputs-Proposals'!$J$28*VLOOKUP(BX$3,DRIPE!$A$54:$I$82,8,FALSE), $C48 = "0", 0), 0)</f>
        <v>0</v>
      </c>
      <c r="CA48" s="45">
        <f>IFERROR(_xlfn.IFS($C48="1",('Inputs-System'!$C$26*'Coincidence Factors'!$B$6*(1+'Inputs-System'!$C$18))*'Inputs-Proposals'!$J$16*(VLOOKUP(BX$3,Capacity!$A$53:$E$85,4,FALSE)*(1+'Inputs-System'!$C$42)+VLOOKUP(BX$3,Capacity!$A$53:$E$85,5,FALSE)*'Inputs-System'!$C$29*(1+'Inputs-System'!$C$43)), $C48 = "2", ('Inputs-System'!$C$26*'Coincidence Factors'!$B$6*(1+'Inputs-System'!$C$18))*'Inputs-Proposals'!$J$22*(VLOOKUP(BX$3,Capacity!$A$53:$E$85,4,FALSE)*(1+'Inputs-System'!$C$42)+VLOOKUP(BX$3,Capacity!$A$53:$E$85,5,FALSE)*'Inputs-System'!$C$29*(1+'Inputs-System'!$C$43)), $C48 = "3",('Inputs-System'!$C$26*'Coincidence Factors'!$B$6*(1+'Inputs-System'!$C$18))*'Inputs-Proposals'!$J$28*(VLOOKUP(BX$3,Capacity!$A$53:$E$85,4,FALSE)*(1+'Inputs-System'!$C$42)+VLOOKUP(BX$3,Capacity!$A$53:$E$85,5,FALSE)*'Inputs-System'!$C$29*(1+'Inputs-System'!$C$43)), $C48 = "0", 0), 0)</f>
        <v>0</v>
      </c>
      <c r="CB48" s="44">
        <v>0</v>
      </c>
      <c r="CC48" s="342">
        <f>IFERROR(_xlfn.IFS($C48="1", 'Inputs-System'!$C$30*'Coincidence Factors'!$B$6*'Inputs-Proposals'!$J$17*'Inputs-Proposals'!$J$19*(VLOOKUP(BX$3,'Non-Embedded Emissions'!$A$56:$D$90,2,FALSE)+VLOOKUP(BX$3,'Non-Embedded Emissions'!$A$143:$D$174,2,FALSE)+VLOOKUP(BX$3,'Non-Embedded Emissions'!$A$230:$D$259,2,FALSE)), $C48 = "2", 'Inputs-System'!$C$30*'Coincidence Factors'!$B$6*'Inputs-Proposals'!$J$23*'Inputs-Proposals'!$J$25*(VLOOKUP(BX$3,'Non-Embedded Emissions'!$A$56:$D$90,2,FALSE)+VLOOKUP(BX$3,'Non-Embedded Emissions'!$A$143:$D$174,2,FALSE)+VLOOKUP(BX$3,'Non-Embedded Emissions'!$A$230:$D$259,2,FALSE)), $C48 = "3", 'Inputs-System'!$C$30*'Coincidence Factors'!$B$6*'Inputs-Proposals'!$J$29*'Inputs-Proposals'!$J$31*(VLOOKUP(BX$3,'Non-Embedded Emissions'!$A$56:$D$90,2,FALSE)+VLOOKUP(BX$3,'Non-Embedded Emissions'!$A$143:$D$174,2,FALSE)+VLOOKUP(BX$3,'Non-Embedded Emissions'!$A$230:$D$259,2,FALSE)), $C48 = "0", 0), 0)</f>
        <v>0</v>
      </c>
      <c r="CD48" s="347">
        <f>IFERROR(_xlfn.IFS($C48="1",('Inputs-System'!$C$30*'Coincidence Factors'!$B$6*(1+'Inputs-System'!$C$18)*(1+'Inputs-System'!$C$41)*('Inputs-Proposals'!$J$17*'Inputs-Proposals'!$J$19*(1-'Inputs-Proposals'!$J$20^(CD$3-'Inputs-System'!$C$7)))*(VLOOKUP(CD$3,Energy!$A$51:$K$83,5,FALSE))), $C48 = "2",('Inputs-System'!$C$30*'Coincidence Factors'!$B$6)*(1+'Inputs-System'!$C$18)*(1+'Inputs-System'!$C$41)*('Inputs-Proposals'!$J$23*'Inputs-Proposals'!$J$25*(1-'Inputs-Proposals'!$J$26^(CD$3-'Inputs-System'!$C$7)))*(VLOOKUP(CD$3,Energy!$A$51:$K$83,5,FALSE)), $C48= "3", ('Inputs-System'!$C$30*'Coincidence Factors'!$B$6*(1+'Inputs-System'!$C$18)*(1+'Inputs-System'!$C$41)*('Inputs-Proposals'!$J$29*'Inputs-Proposals'!$J$31*(1-'Inputs-Proposals'!$J$32^(CD$3-'Inputs-System'!$C$7)))*(VLOOKUP(CD$3,Energy!$A$51:$K$83,5,FALSE))), $C48= "0", 0), 0)</f>
        <v>0</v>
      </c>
      <c r="CE48" s="44">
        <f>IFERROR(_xlfn.IFS($C48="1",('Inputs-System'!$C$30*'Coincidence Factors'!$B$6*(1+'Inputs-System'!$C$18)*(1+'Inputs-System'!$C$41))*'Inputs-Proposals'!$J$17*'Inputs-Proposals'!$J$19*(1-'Inputs-Proposals'!$J$20^(CD$3-'Inputs-System'!$C$7))*(VLOOKUP(CD$3,'Embedded Emissions'!$A$47:$B$78,2,FALSE)+VLOOKUP(CD$3,'Embedded Emissions'!$A$129:$B$158,2,FALSE)), $C48 = "2",('Inputs-System'!$C$30*'Coincidence Factors'!$B$6*(1+'Inputs-System'!$C$18)*(1+'Inputs-System'!$C$41))*'Inputs-Proposals'!$J$23*'Inputs-Proposals'!$J$25*(1-'Inputs-Proposals'!$J$20^(CD$3-'Inputs-System'!$C$7))*(VLOOKUP(CD$3,'Embedded Emissions'!$A$47:$B$78,2,FALSE)+VLOOKUP(CD$3,'Embedded Emissions'!$A$129:$B$158,2,FALSE)), $C48 = "3", ('Inputs-System'!$C$30*'Coincidence Factors'!$B$6*(1+'Inputs-System'!$C$18)*(1+'Inputs-System'!$C$41))*'Inputs-Proposals'!$J$29*'Inputs-Proposals'!$J$31*(1-'Inputs-Proposals'!$J$20^(CD$3-'Inputs-System'!$C$7))*(VLOOKUP(CD$3,'Embedded Emissions'!$A$47:$B$78,2,FALSE)+VLOOKUP(CD$3,'Embedded Emissions'!$A$129:$B$158,2,FALSE)), $C48 = "0", 0), 0)</f>
        <v>0</v>
      </c>
      <c r="CF48" s="44">
        <f>IFERROR(_xlfn.IFS($C48="1",( 'Inputs-System'!$C$30*'Coincidence Factors'!$B$6*(1+'Inputs-System'!$C$18)*(1+'Inputs-System'!$C$41))*('Inputs-Proposals'!$J$17*'Inputs-Proposals'!$J$19*(1-'Inputs-Proposals'!$J$20)^(CD$3-'Inputs-System'!$C$7))*(VLOOKUP(CD$3,DRIPE!$A$54:$I$82,5,FALSE)+VLOOKUP(CD$3,DRIPE!$A$54:$I$82,9,FALSE))+ ('Inputs-System'!$C$26*'Coincidence Factors'!$B$6*(1+'Inputs-System'!$C$18)*(1+'Inputs-System'!$C$42))*'Inputs-Proposals'!$J$16*VLOOKUP(CD$3,DRIPE!$A$54:$I$82,8,FALSE), $C48 = "2",( 'Inputs-System'!$C$30*'Coincidence Factors'!$B$6*(1+'Inputs-System'!$C$18)*(1+'Inputs-System'!$C$41))*('Inputs-Proposals'!$J$23*'Inputs-Proposals'!$J$25*(1-'Inputs-Proposals'!$J$26)^(CD$3-'Inputs-System'!$C$7))*(VLOOKUP(CD$3,DRIPE!$A$54:$I$82,5,FALSE)+VLOOKUP(CD$3,DRIPE!$A$54:$I$82,9,FALSE))+ ('Inputs-System'!$C$26*'Coincidence Factors'!$B$6*(1+'Inputs-System'!$C$18)*(1+'Inputs-System'!$C$42))*'Inputs-Proposals'!$J$22*VLOOKUP(CD$3,DRIPE!$A$54:$I$82,8,FALSE), $C48= "3", ( 'Inputs-System'!$C$30*'Coincidence Factors'!$B$6*(1+'Inputs-System'!$C$18)*(1+'Inputs-System'!$C$41))*('Inputs-Proposals'!$J$29*'Inputs-Proposals'!$J$31*(1-'Inputs-Proposals'!$J$32)^(CD$3-'Inputs-System'!$C$7))*(VLOOKUP(CD$3,DRIPE!$A$54:$I$82,5,FALSE)+VLOOKUP(CD$3,DRIPE!$A$54:$I$82,9,FALSE))+ ('Inputs-System'!$C$26*'Coincidence Factors'!$B$6*(1+'Inputs-System'!$C$18)*(1+'Inputs-System'!$C$42))*'Inputs-Proposals'!$J$28*VLOOKUP(CD$3,DRIPE!$A$54:$I$82,8,FALSE), $C48 = "0", 0), 0)</f>
        <v>0</v>
      </c>
      <c r="CG48" s="45">
        <f>IFERROR(_xlfn.IFS($C48="1",('Inputs-System'!$C$26*'Coincidence Factors'!$B$6*(1+'Inputs-System'!$C$18))*'Inputs-Proposals'!$J$16*(VLOOKUP(CD$3,Capacity!$A$53:$E$85,4,FALSE)*(1+'Inputs-System'!$C$42)+VLOOKUP(CD$3,Capacity!$A$53:$E$85,5,FALSE)*'Inputs-System'!$C$29*(1+'Inputs-System'!$C$43)), $C48 = "2", ('Inputs-System'!$C$26*'Coincidence Factors'!$B$6*(1+'Inputs-System'!$C$18))*'Inputs-Proposals'!$J$22*(VLOOKUP(CD$3,Capacity!$A$53:$E$85,4,FALSE)*(1+'Inputs-System'!$C$42)+VLOOKUP(CD$3,Capacity!$A$53:$E$85,5,FALSE)*'Inputs-System'!$C$29*(1+'Inputs-System'!$C$43)), $C48 = "3",('Inputs-System'!$C$26*'Coincidence Factors'!$B$6*(1+'Inputs-System'!$C$18))*'Inputs-Proposals'!$J$28*(VLOOKUP(CD$3,Capacity!$A$53:$E$85,4,FALSE)*(1+'Inputs-System'!$C$42)+VLOOKUP(CD$3,Capacity!$A$53:$E$85,5,FALSE)*'Inputs-System'!$C$29*(1+'Inputs-System'!$C$43)), $C48 = "0", 0), 0)</f>
        <v>0</v>
      </c>
      <c r="CH48" s="44">
        <v>0</v>
      </c>
      <c r="CI48" s="342">
        <f>IFERROR(_xlfn.IFS($C48="1", 'Inputs-System'!$C$30*'Coincidence Factors'!$B$6*'Inputs-Proposals'!$J$17*'Inputs-Proposals'!$J$19*(VLOOKUP(CD$3,'Non-Embedded Emissions'!$A$56:$D$90,2,FALSE)+VLOOKUP(CD$3,'Non-Embedded Emissions'!$A$143:$D$174,2,FALSE)+VLOOKUP(CD$3,'Non-Embedded Emissions'!$A$230:$D$259,2,FALSE)), $C48 = "2", 'Inputs-System'!$C$30*'Coincidence Factors'!$B$6*'Inputs-Proposals'!$J$23*'Inputs-Proposals'!$J$25*(VLOOKUP(CD$3,'Non-Embedded Emissions'!$A$56:$D$90,2,FALSE)+VLOOKUP(CD$3,'Non-Embedded Emissions'!$A$143:$D$174,2,FALSE)+VLOOKUP(CD$3,'Non-Embedded Emissions'!$A$230:$D$259,2,FALSE)), $C48 = "3", 'Inputs-System'!$C$30*'Coincidence Factors'!$B$6*'Inputs-Proposals'!$J$29*'Inputs-Proposals'!$J$31*(VLOOKUP(CD$3,'Non-Embedded Emissions'!$A$56:$D$90,2,FALSE)+VLOOKUP(CD$3,'Non-Embedded Emissions'!$A$143:$D$174,2,FALSE)+VLOOKUP(CD$3,'Non-Embedded Emissions'!$A$230:$D$259,2,FALSE)), $C48 = "0", 0), 0)</f>
        <v>0</v>
      </c>
      <c r="CJ48" s="347">
        <f>IFERROR(_xlfn.IFS($C48="1",('Inputs-System'!$C$30*'Coincidence Factors'!$B$6*(1+'Inputs-System'!$C$18)*(1+'Inputs-System'!$C$41)*('Inputs-Proposals'!$J$17*'Inputs-Proposals'!$J$19*(1-'Inputs-Proposals'!$J$20^(CJ$3-'Inputs-System'!$C$7)))*(VLOOKUP(CJ$3,Energy!$A$51:$K$83,5,FALSE))), $C48 = "2",('Inputs-System'!$C$30*'Coincidence Factors'!$B$6)*(1+'Inputs-System'!$C$18)*(1+'Inputs-System'!$C$41)*('Inputs-Proposals'!$J$23*'Inputs-Proposals'!$J$25*(1-'Inputs-Proposals'!$J$26^(CJ$3-'Inputs-System'!$C$7)))*(VLOOKUP(CJ$3,Energy!$A$51:$K$83,5,FALSE)), $C48= "3", ('Inputs-System'!$C$30*'Coincidence Factors'!$B$6*(1+'Inputs-System'!$C$18)*(1+'Inputs-System'!$C$41)*('Inputs-Proposals'!$J$29*'Inputs-Proposals'!$J$31*(1-'Inputs-Proposals'!$J$32^(CJ$3-'Inputs-System'!$C$7)))*(VLOOKUP(CJ$3,Energy!$A$51:$K$83,5,FALSE))), $C48= "0", 0), 0)</f>
        <v>0</v>
      </c>
      <c r="CK48" s="44">
        <f>IFERROR(_xlfn.IFS($C48="1",('Inputs-System'!$C$30*'Coincidence Factors'!$B$6*(1+'Inputs-System'!$C$18)*(1+'Inputs-System'!$C$41))*'Inputs-Proposals'!$J$17*'Inputs-Proposals'!$J$19*(1-'Inputs-Proposals'!$J$20^(CJ$3-'Inputs-System'!$C$7))*(VLOOKUP(CJ$3,'Embedded Emissions'!$A$47:$B$78,2,FALSE)+VLOOKUP(CJ$3,'Embedded Emissions'!$A$129:$B$158,2,FALSE)), $C48 = "2",('Inputs-System'!$C$30*'Coincidence Factors'!$B$6*(1+'Inputs-System'!$C$18)*(1+'Inputs-System'!$C$41))*'Inputs-Proposals'!$J$23*'Inputs-Proposals'!$J$25*(1-'Inputs-Proposals'!$J$20^(CJ$3-'Inputs-System'!$C$7))*(VLOOKUP(CJ$3,'Embedded Emissions'!$A$47:$B$78,2,FALSE)+VLOOKUP(CJ$3,'Embedded Emissions'!$A$129:$B$158,2,FALSE)), $C48 = "3", ('Inputs-System'!$C$30*'Coincidence Factors'!$B$6*(1+'Inputs-System'!$C$18)*(1+'Inputs-System'!$C$41))*'Inputs-Proposals'!$J$29*'Inputs-Proposals'!$J$31*(1-'Inputs-Proposals'!$J$20^(CJ$3-'Inputs-System'!$C$7))*(VLOOKUP(CJ$3,'Embedded Emissions'!$A$47:$B$78,2,FALSE)+VLOOKUP(CJ$3,'Embedded Emissions'!$A$129:$B$158,2,FALSE)), $C48 = "0", 0), 0)</f>
        <v>0</v>
      </c>
      <c r="CL48" s="44">
        <f>IFERROR(_xlfn.IFS($C48="1",( 'Inputs-System'!$C$30*'Coincidence Factors'!$B$6*(1+'Inputs-System'!$C$18)*(1+'Inputs-System'!$C$41))*('Inputs-Proposals'!$J$17*'Inputs-Proposals'!$J$19*(1-'Inputs-Proposals'!$J$20)^(CJ$3-'Inputs-System'!$C$7))*(VLOOKUP(CJ$3,DRIPE!$A$54:$I$82,5,FALSE)+VLOOKUP(CJ$3,DRIPE!$A$54:$I$82,9,FALSE))+ ('Inputs-System'!$C$26*'Coincidence Factors'!$B$6*(1+'Inputs-System'!$C$18)*(1+'Inputs-System'!$C$42))*'Inputs-Proposals'!$J$16*VLOOKUP(CJ$3,DRIPE!$A$54:$I$82,8,FALSE), $C48 = "2",( 'Inputs-System'!$C$30*'Coincidence Factors'!$B$6*(1+'Inputs-System'!$C$18)*(1+'Inputs-System'!$C$41))*('Inputs-Proposals'!$J$23*'Inputs-Proposals'!$J$25*(1-'Inputs-Proposals'!$J$26)^(CJ$3-'Inputs-System'!$C$7))*(VLOOKUP(CJ$3,DRIPE!$A$54:$I$82,5,FALSE)+VLOOKUP(CJ$3,DRIPE!$A$54:$I$82,9,FALSE))+ ('Inputs-System'!$C$26*'Coincidence Factors'!$B$6*(1+'Inputs-System'!$C$18)*(1+'Inputs-System'!$C$42))*'Inputs-Proposals'!$J$22*VLOOKUP(CJ$3,DRIPE!$A$54:$I$82,8,FALSE), $C48= "3", ( 'Inputs-System'!$C$30*'Coincidence Factors'!$B$6*(1+'Inputs-System'!$C$18)*(1+'Inputs-System'!$C$41))*('Inputs-Proposals'!$J$29*'Inputs-Proposals'!$J$31*(1-'Inputs-Proposals'!$J$32)^(CJ$3-'Inputs-System'!$C$7))*(VLOOKUP(CJ$3,DRIPE!$A$54:$I$82,5,FALSE)+VLOOKUP(CJ$3,DRIPE!$A$54:$I$82,9,FALSE))+ ('Inputs-System'!$C$26*'Coincidence Factors'!$B$6*(1+'Inputs-System'!$C$18)*(1+'Inputs-System'!$C$42))*'Inputs-Proposals'!$J$28*VLOOKUP(CJ$3,DRIPE!$A$54:$I$82,8,FALSE), $C48 = "0", 0), 0)</f>
        <v>0</v>
      </c>
      <c r="CM48" s="45">
        <f>IFERROR(_xlfn.IFS($C48="1",('Inputs-System'!$C$26*'Coincidence Factors'!$B$6*(1+'Inputs-System'!$C$18))*'Inputs-Proposals'!$J$16*(VLOOKUP(CJ$3,Capacity!$A$53:$E$85,4,FALSE)*(1+'Inputs-System'!$C$42)+VLOOKUP(CJ$3,Capacity!$A$53:$E$85,5,FALSE)*'Inputs-System'!$C$29*(1+'Inputs-System'!$C$43)), $C48 = "2", ('Inputs-System'!$C$26*'Coincidence Factors'!$B$6*(1+'Inputs-System'!$C$18))*'Inputs-Proposals'!$J$22*(VLOOKUP(CJ$3,Capacity!$A$53:$E$85,4,FALSE)*(1+'Inputs-System'!$C$42)+VLOOKUP(CJ$3,Capacity!$A$53:$E$85,5,FALSE)*'Inputs-System'!$C$29*(1+'Inputs-System'!$C$43)), $C48 = "3",('Inputs-System'!$C$26*'Coincidence Factors'!$B$6*(1+'Inputs-System'!$C$18))*'Inputs-Proposals'!$J$28*(VLOOKUP(CJ$3,Capacity!$A$53:$E$85,4,FALSE)*(1+'Inputs-System'!$C$42)+VLOOKUP(CJ$3,Capacity!$A$53:$E$85,5,FALSE)*'Inputs-System'!$C$29*(1+'Inputs-System'!$C$43)), $C48 = "0", 0), 0)</f>
        <v>0</v>
      </c>
      <c r="CN48" s="44">
        <v>0</v>
      </c>
      <c r="CO48" s="342">
        <f>IFERROR(_xlfn.IFS($C48="1", 'Inputs-System'!$C$30*'Coincidence Factors'!$B$6*'Inputs-Proposals'!$J$17*'Inputs-Proposals'!$J$19*(VLOOKUP(CJ$3,'Non-Embedded Emissions'!$A$56:$D$90,2,FALSE)+VLOOKUP(CJ$3,'Non-Embedded Emissions'!$A$143:$D$174,2,FALSE)+VLOOKUP(CJ$3,'Non-Embedded Emissions'!$A$230:$D$259,2,FALSE)), $C48 = "2", 'Inputs-System'!$C$30*'Coincidence Factors'!$B$6*'Inputs-Proposals'!$J$23*'Inputs-Proposals'!$J$25*(VLOOKUP(CJ$3,'Non-Embedded Emissions'!$A$56:$D$90,2,FALSE)+VLOOKUP(CJ$3,'Non-Embedded Emissions'!$A$143:$D$174,2,FALSE)+VLOOKUP(CJ$3,'Non-Embedded Emissions'!$A$230:$D$259,2,FALSE)), $C48 = "3", 'Inputs-System'!$C$30*'Coincidence Factors'!$B$6*'Inputs-Proposals'!$J$29*'Inputs-Proposals'!$J$31*(VLOOKUP(CJ$3,'Non-Embedded Emissions'!$A$56:$D$90,2,FALSE)+VLOOKUP(CJ$3,'Non-Embedded Emissions'!$A$143:$D$174,2,FALSE)+VLOOKUP(CJ$3,'Non-Embedded Emissions'!$A$230:$D$259,2,FALSE)), $C48 = "0", 0), 0)</f>
        <v>0</v>
      </c>
      <c r="CP48" s="347">
        <f>IFERROR(_xlfn.IFS($C48="1",('Inputs-System'!$C$30*'Coincidence Factors'!$B$6*(1+'Inputs-System'!$C$18)*(1+'Inputs-System'!$C$41)*('Inputs-Proposals'!$J$17*'Inputs-Proposals'!$J$19*(1-'Inputs-Proposals'!$J$20^(CP$3-'Inputs-System'!$C$7)))*(VLOOKUP(CP$3,Energy!$A$51:$K$83,5,FALSE))), $C48 = "2",('Inputs-System'!$C$30*'Coincidence Factors'!$B$6)*(1+'Inputs-System'!$C$18)*(1+'Inputs-System'!$C$41)*('Inputs-Proposals'!$J$23*'Inputs-Proposals'!$J$25*(1-'Inputs-Proposals'!$J$26^(CP$3-'Inputs-System'!$C$7)))*(VLOOKUP(CP$3,Energy!$A$51:$K$83,5,FALSE)), $C48= "3", ('Inputs-System'!$C$30*'Coincidence Factors'!$B$6*(1+'Inputs-System'!$C$18)*(1+'Inputs-System'!$C$41)*('Inputs-Proposals'!$J$29*'Inputs-Proposals'!$J$31*(1-'Inputs-Proposals'!$J$32^(CP$3-'Inputs-System'!$C$7)))*(VLOOKUP(CP$3,Energy!$A$51:$K$83,5,FALSE))), $C48= "0", 0), 0)</f>
        <v>0</v>
      </c>
      <c r="CQ48" s="44">
        <f>IFERROR(_xlfn.IFS($C48="1",('Inputs-System'!$C$30*'Coincidence Factors'!$B$6*(1+'Inputs-System'!$C$18)*(1+'Inputs-System'!$C$41))*'Inputs-Proposals'!$J$17*'Inputs-Proposals'!$J$19*(1-'Inputs-Proposals'!$J$20^(CP$3-'Inputs-System'!$C$7))*(VLOOKUP(CP$3,'Embedded Emissions'!$A$47:$B$78,2,FALSE)+VLOOKUP(CP$3,'Embedded Emissions'!$A$129:$B$158,2,FALSE)), $C48 = "2",('Inputs-System'!$C$30*'Coincidence Factors'!$B$6*(1+'Inputs-System'!$C$18)*(1+'Inputs-System'!$C$41))*'Inputs-Proposals'!$J$23*'Inputs-Proposals'!$J$25*(1-'Inputs-Proposals'!$J$20^(CP$3-'Inputs-System'!$C$7))*(VLOOKUP(CP$3,'Embedded Emissions'!$A$47:$B$78,2,FALSE)+VLOOKUP(CP$3,'Embedded Emissions'!$A$129:$B$158,2,FALSE)), $C48 = "3", ('Inputs-System'!$C$30*'Coincidence Factors'!$B$6*(1+'Inputs-System'!$C$18)*(1+'Inputs-System'!$C$41))*'Inputs-Proposals'!$J$29*'Inputs-Proposals'!$J$31*(1-'Inputs-Proposals'!$J$20^(CP$3-'Inputs-System'!$C$7))*(VLOOKUP(CP$3,'Embedded Emissions'!$A$47:$B$78,2,FALSE)+VLOOKUP(CP$3,'Embedded Emissions'!$A$129:$B$158,2,FALSE)), $C48 = "0", 0), 0)</f>
        <v>0</v>
      </c>
      <c r="CR48" s="44">
        <f>IFERROR(_xlfn.IFS($C48="1",( 'Inputs-System'!$C$30*'Coincidence Factors'!$B$6*(1+'Inputs-System'!$C$18)*(1+'Inputs-System'!$C$41))*('Inputs-Proposals'!$J$17*'Inputs-Proposals'!$J$19*(1-'Inputs-Proposals'!$J$20)^(CP$3-'Inputs-System'!$C$7))*(VLOOKUP(CP$3,DRIPE!$A$54:$I$82,5,FALSE)+VLOOKUP(CP$3,DRIPE!$A$54:$I$82,9,FALSE))+ ('Inputs-System'!$C$26*'Coincidence Factors'!$B$6*(1+'Inputs-System'!$C$18)*(1+'Inputs-System'!$C$42))*'Inputs-Proposals'!$J$16*VLOOKUP(CP$3,DRIPE!$A$54:$I$82,8,FALSE), $C48 = "2",( 'Inputs-System'!$C$30*'Coincidence Factors'!$B$6*(1+'Inputs-System'!$C$18)*(1+'Inputs-System'!$C$41))*('Inputs-Proposals'!$J$23*'Inputs-Proposals'!$J$25*(1-'Inputs-Proposals'!$J$26)^(CP$3-'Inputs-System'!$C$7))*(VLOOKUP(CP$3,DRIPE!$A$54:$I$82,5,FALSE)+VLOOKUP(CP$3,DRIPE!$A$54:$I$82,9,FALSE))+ ('Inputs-System'!$C$26*'Coincidence Factors'!$B$6*(1+'Inputs-System'!$C$18)*(1+'Inputs-System'!$C$42))*'Inputs-Proposals'!$J$22*VLOOKUP(CP$3,DRIPE!$A$54:$I$82,8,FALSE), $C48= "3", ( 'Inputs-System'!$C$30*'Coincidence Factors'!$B$6*(1+'Inputs-System'!$C$18)*(1+'Inputs-System'!$C$41))*('Inputs-Proposals'!$J$29*'Inputs-Proposals'!$J$31*(1-'Inputs-Proposals'!$J$32)^(CP$3-'Inputs-System'!$C$7))*(VLOOKUP(CP$3,DRIPE!$A$54:$I$82,5,FALSE)+VLOOKUP(CP$3,DRIPE!$A$54:$I$82,9,FALSE))+ ('Inputs-System'!$C$26*'Coincidence Factors'!$B$6*(1+'Inputs-System'!$C$18)*(1+'Inputs-System'!$C$42))*'Inputs-Proposals'!$J$28*VLOOKUP(CP$3,DRIPE!$A$54:$I$82,8,FALSE), $C48 = "0", 0), 0)</f>
        <v>0</v>
      </c>
      <c r="CS48" s="45">
        <f>IFERROR(_xlfn.IFS($C48="1",('Inputs-System'!$C$26*'Coincidence Factors'!$B$6*(1+'Inputs-System'!$C$18))*'Inputs-Proposals'!$J$16*(VLOOKUP(CP$3,Capacity!$A$53:$E$85,4,FALSE)*(1+'Inputs-System'!$C$42)+VLOOKUP(CP$3,Capacity!$A$53:$E$85,5,FALSE)*'Inputs-System'!$C$29*(1+'Inputs-System'!$C$43)), $C48 = "2", ('Inputs-System'!$C$26*'Coincidence Factors'!$B$6*(1+'Inputs-System'!$C$18))*'Inputs-Proposals'!$J$22*(VLOOKUP(CP$3,Capacity!$A$53:$E$85,4,FALSE)*(1+'Inputs-System'!$C$42)+VLOOKUP(CP$3,Capacity!$A$53:$E$85,5,FALSE)*'Inputs-System'!$C$29*(1+'Inputs-System'!$C$43)), $C48 = "3",('Inputs-System'!$C$26*'Coincidence Factors'!$B$6*(1+'Inputs-System'!$C$18))*'Inputs-Proposals'!$J$28*(VLOOKUP(CP$3,Capacity!$A$53:$E$85,4,FALSE)*(1+'Inputs-System'!$C$42)+VLOOKUP(CP$3,Capacity!$A$53:$E$85,5,FALSE)*'Inputs-System'!$C$29*(1+'Inputs-System'!$C$43)), $C48 = "0", 0), 0)</f>
        <v>0</v>
      </c>
      <c r="CT48" s="44">
        <v>0</v>
      </c>
      <c r="CU48" s="342">
        <f>IFERROR(_xlfn.IFS($C48="1", 'Inputs-System'!$C$30*'Coincidence Factors'!$B$6*'Inputs-Proposals'!$J$17*'Inputs-Proposals'!$J$19*(VLOOKUP(CP$3,'Non-Embedded Emissions'!$A$56:$D$90,2,FALSE)+VLOOKUP(CP$3,'Non-Embedded Emissions'!$A$143:$D$174,2,FALSE)+VLOOKUP(CP$3,'Non-Embedded Emissions'!$A$230:$D$259,2,FALSE)), $C48 = "2", 'Inputs-System'!$C$30*'Coincidence Factors'!$B$6*'Inputs-Proposals'!$J$23*'Inputs-Proposals'!$J$25*(VLOOKUP(CP$3,'Non-Embedded Emissions'!$A$56:$D$90,2,FALSE)+VLOOKUP(CP$3,'Non-Embedded Emissions'!$A$143:$D$174,2,FALSE)+VLOOKUP(CP$3,'Non-Embedded Emissions'!$A$230:$D$259,2,FALSE)), $C48 = "3", 'Inputs-System'!$C$30*'Coincidence Factors'!$B$6*'Inputs-Proposals'!$J$29*'Inputs-Proposals'!$J$31*(VLOOKUP(CP$3,'Non-Embedded Emissions'!$A$56:$D$90,2,FALSE)+VLOOKUP(CP$3,'Non-Embedded Emissions'!$A$143:$D$174,2,FALSE)+VLOOKUP(CP$3,'Non-Embedded Emissions'!$A$230:$D$259,2,FALSE)), $C48 = "0", 0), 0)</f>
        <v>0</v>
      </c>
      <c r="CV48" s="347">
        <f>IFERROR(_xlfn.IFS($C48="1",('Inputs-System'!$C$30*'Coincidence Factors'!$B$6*(1+'Inputs-System'!$C$18)*(1+'Inputs-System'!$C$41)*('Inputs-Proposals'!$J$17*'Inputs-Proposals'!$J$19*(1-'Inputs-Proposals'!$J$20^(CV$3-'Inputs-System'!$C$7)))*(VLOOKUP(CV$3,Energy!$A$51:$K$83,5,FALSE))), $C48 = "2",('Inputs-System'!$C$30*'Coincidence Factors'!$B$6)*(1+'Inputs-System'!$C$18)*(1+'Inputs-System'!$C$41)*('Inputs-Proposals'!$J$23*'Inputs-Proposals'!$J$25*(1-'Inputs-Proposals'!$J$26^(CV$3-'Inputs-System'!$C$7)))*(VLOOKUP(CV$3,Energy!$A$51:$K$83,5,FALSE)), $C48= "3", ('Inputs-System'!$C$30*'Coincidence Factors'!$B$6*(1+'Inputs-System'!$C$18)*(1+'Inputs-System'!$C$41)*('Inputs-Proposals'!$J$29*'Inputs-Proposals'!$J$31*(1-'Inputs-Proposals'!$J$32^(CV$3-'Inputs-System'!$C$7)))*(VLOOKUP(CV$3,Energy!$A$51:$K$83,5,FALSE))), $C48= "0", 0), 0)</f>
        <v>0</v>
      </c>
      <c r="CW48" s="44">
        <f>IFERROR(_xlfn.IFS($C48="1",('Inputs-System'!$C$30*'Coincidence Factors'!$B$6*(1+'Inputs-System'!$C$18)*(1+'Inputs-System'!$C$41))*'Inputs-Proposals'!$J$17*'Inputs-Proposals'!$J$19*(1-'Inputs-Proposals'!$J$20^(CV$3-'Inputs-System'!$C$7))*(VLOOKUP(CV$3,'Embedded Emissions'!$A$47:$B$78,2,FALSE)+VLOOKUP(CV$3,'Embedded Emissions'!$A$129:$B$158,2,FALSE)), $C48 = "2",('Inputs-System'!$C$30*'Coincidence Factors'!$B$6*(1+'Inputs-System'!$C$18)*(1+'Inputs-System'!$C$41))*'Inputs-Proposals'!$J$23*'Inputs-Proposals'!$J$25*(1-'Inputs-Proposals'!$J$20^(CV$3-'Inputs-System'!$C$7))*(VLOOKUP(CV$3,'Embedded Emissions'!$A$47:$B$78,2,FALSE)+VLOOKUP(CV$3,'Embedded Emissions'!$A$129:$B$158,2,FALSE)), $C48 = "3", ('Inputs-System'!$C$30*'Coincidence Factors'!$B$6*(1+'Inputs-System'!$C$18)*(1+'Inputs-System'!$C$41))*'Inputs-Proposals'!$J$29*'Inputs-Proposals'!$J$31*(1-'Inputs-Proposals'!$J$20^(CV$3-'Inputs-System'!$C$7))*(VLOOKUP(CV$3,'Embedded Emissions'!$A$47:$B$78,2,FALSE)+VLOOKUP(CV$3,'Embedded Emissions'!$A$129:$B$158,2,FALSE)), $C48 = "0", 0), 0)</f>
        <v>0</v>
      </c>
      <c r="CX48" s="44">
        <f>IFERROR(_xlfn.IFS($C48="1",( 'Inputs-System'!$C$30*'Coincidence Factors'!$B$6*(1+'Inputs-System'!$C$18)*(1+'Inputs-System'!$C$41))*('Inputs-Proposals'!$J$17*'Inputs-Proposals'!$J$19*(1-'Inputs-Proposals'!$J$20)^(CV$3-'Inputs-System'!$C$7))*(VLOOKUP(CV$3,DRIPE!$A$54:$I$82,5,FALSE)+VLOOKUP(CV$3,DRIPE!$A$54:$I$82,9,FALSE))+ ('Inputs-System'!$C$26*'Coincidence Factors'!$B$6*(1+'Inputs-System'!$C$18)*(1+'Inputs-System'!$C$42))*'Inputs-Proposals'!$J$16*VLOOKUP(CV$3,DRIPE!$A$54:$I$82,8,FALSE), $C48 = "2",( 'Inputs-System'!$C$30*'Coincidence Factors'!$B$6*(1+'Inputs-System'!$C$18)*(1+'Inputs-System'!$C$41))*('Inputs-Proposals'!$J$23*'Inputs-Proposals'!$J$25*(1-'Inputs-Proposals'!$J$26)^(CV$3-'Inputs-System'!$C$7))*(VLOOKUP(CV$3,DRIPE!$A$54:$I$82,5,FALSE)+VLOOKUP(CV$3,DRIPE!$A$54:$I$82,9,FALSE))+ ('Inputs-System'!$C$26*'Coincidence Factors'!$B$6*(1+'Inputs-System'!$C$18)*(1+'Inputs-System'!$C$42))*'Inputs-Proposals'!$J$22*VLOOKUP(CV$3,DRIPE!$A$54:$I$82,8,FALSE), $C48= "3", ( 'Inputs-System'!$C$30*'Coincidence Factors'!$B$6*(1+'Inputs-System'!$C$18)*(1+'Inputs-System'!$C$41))*('Inputs-Proposals'!$J$29*'Inputs-Proposals'!$J$31*(1-'Inputs-Proposals'!$J$32)^(CV$3-'Inputs-System'!$C$7))*(VLOOKUP(CV$3,DRIPE!$A$54:$I$82,5,FALSE)+VLOOKUP(CV$3,DRIPE!$A$54:$I$82,9,FALSE))+ ('Inputs-System'!$C$26*'Coincidence Factors'!$B$6*(1+'Inputs-System'!$C$18)*(1+'Inputs-System'!$C$42))*'Inputs-Proposals'!$J$28*VLOOKUP(CV$3,DRIPE!$A$54:$I$82,8,FALSE), $C48 = "0", 0), 0)</f>
        <v>0</v>
      </c>
      <c r="CY48" s="45">
        <f>IFERROR(_xlfn.IFS($C48="1",('Inputs-System'!$C$26*'Coincidence Factors'!$B$6*(1+'Inputs-System'!$C$18))*'Inputs-Proposals'!$J$16*(VLOOKUP(CV$3,Capacity!$A$53:$E$85,4,FALSE)*(1+'Inputs-System'!$C$42)+VLOOKUP(CV$3,Capacity!$A$53:$E$85,5,FALSE)*'Inputs-System'!$C$29*(1+'Inputs-System'!$C$43)), $C48 = "2", ('Inputs-System'!$C$26*'Coincidence Factors'!$B$6*(1+'Inputs-System'!$C$18))*'Inputs-Proposals'!$J$22*(VLOOKUP(CV$3,Capacity!$A$53:$E$85,4,FALSE)*(1+'Inputs-System'!$C$42)+VLOOKUP(CV$3,Capacity!$A$53:$E$85,5,FALSE)*'Inputs-System'!$C$29*(1+'Inputs-System'!$C$43)), $C48 = "3",('Inputs-System'!$C$26*'Coincidence Factors'!$B$6*(1+'Inputs-System'!$C$18))*'Inputs-Proposals'!$J$28*(VLOOKUP(CV$3,Capacity!$A$53:$E$85,4,FALSE)*(1+'Inputs-System'!$C$42)+VLOOKUP(CV$3,Capacity!$A$53:$E$85,5,FALSE)*'Inputs-System'!$C$29*(1+'Inputs-System'!$C$43)), $C48 = "0", 0), 0)</f>
        <v>0</v>
      </c>
      <c r="CZ48" s="44">
        <v>0</v>
      </c>
      <c r="DA48" s="342">
        <f>IFERROR(_xlfn.IFS($C48="1", 'Inputs-System'!$C$30*'Coincidence Factors'!$B$6*'Inputs-Proposals'!$J$17*'Inputs-Proposals'!$J$19*(VLOOKUP(CV$3,'Non-Embedded Emissions'!$A$56:$D$90,2,FALSE)+VLOOKUP(CV$3,'Non-Embedded Emissions'!$A$143:$D$174,2,FALSE)+VLOOKUP(CV$3,'Non-Embedded Emissions'!$A$230:$D$259,2,FALSE)), $C48 = "2", 'Inputs-System'!$C$30*'Coincidence Factors'!$B$6*'Inputs-Proposals'!$J$23*'Inputs-Proposals'!$J$25*(VLOOKUP(CV$3,'Non-Embedded Emissions'!$A$56:$D$90,2,FALSE)+VLOOKUP(CV$3,'Non-Embedded Emissions'!$A$143:$D$174,2,FALSE)+VLOOKUP(CV$3,'Non-Embedded Emissions'!$A$230:$D$259,2,FALSE)), $C48 = "3", 'Inputs-System'!$C$30*'Coincidence Factors'!$B$6*'Inputs-Proposals'!$J$29*'Inputs-Proposals'!$J$31*(VLOOKUP(CV$3,'Non-Embedded Emissions'!$A$56:$D$90,2,FALSE)+VLOOKUP(CV$3,'Non-Embedded Emissions'!$A$143:$D$174,2,FALSE)+VLOOKUP(CV$3,'Non-Embedded Emissions'!$A$230:$D$259,2,FALSE)), $C48 = "0", 0), 0)</f>
        <v>0</v>
      </c>
      <c r="DB48" s="347">
        <f>IFERROR(_xlfn.IFS($C48="1",('Inputs-System'!$C$30*'Coincidence Factors'!$B$6*(1+'Inputs-System'!$C$18)*(1+'Inputs-System'!$C$41)*('Inputs-Proposals'!$J$17*'Inputs-Proposals'!$J$19*(1-'Inputs-Proposals'!$J$20^(DB$3-'Inputs-System'!$C$7)))*(VLOOKUP(DB$3,Energy!$A$51:$K$83,5,FALSE))), $C48 = "2",('Inputs-System'!$C$30*'Coincidence Factors'!$B$6)*(1+'Inputs-System'!$C$18)*(1+'Inputs-System'!$C$41)*('Inputs-Proposals'!$J$23*'Inputs-Proposals'!$J$25*(1-'Inputs-Proposals'!$J$26^(DB$3-'Inputs-System'!$C$7)))*(VLOOKUP(DB$3,Energy!$A$51:$K$83,5,FALSE)), $C48= "3", ('Inputs-System'!$C$30*'Coincidence Factors'!$B$6*(1+'Inputs-System'!$C$18)*(1+'Inputs-System'!$C$41)*('Inputs-Proposals'!$J$29*'Inputs-Proposals'!$J$31*(1-'Inputs-Proposals'!$J$32^(DB$3-'Inputs-System'!$C$7)))*(VLOOKUP(DB$3,Energy!$A$51:$K$83,5,FALSE))), $C48= "0", 0), 0)</f>
        <v>0</v>
      </c>
      <c r="DC48" s="44">
        <f>IFERROR(_xlfn.IFS($C48="1",('Inputs-System'!$C$30*'Coincidence Factors'!$B$6*(1+'Inputs-System'!$C$18)*(1+'Inputs-System'!$C$41))*'Inputs-Proposals'!$J$17*'Inputs-Proposals'!$J$19*(1-'Inputs-Proposals'!$J$20^(DB$3-'Inputs-System'!$C$7))*(VLOOKUP(DB$3,'Embedded Emissions'!$A$47:$B$78,2,FALSE)+VLOOKUP(DB$3,'Embedded Emissions'!$A$129:$B$158,2,FALSE)), $C48 = "2",('Inputs-System'!$C$30*'Coincidence Factors'!$B$6*(1+'Inputs-System'!$C$18)*(1+'Inputs-System'!$C$41))*'Inputs-Proposals'!$J$23*'Inputs-Proposals'!$J$25*(1-'Inputs-Proposals'!$J$20^(DB$3-'Inputs-System'!$C$7))*(VLOOKUP(DB$3,'Embedded Emissions'!$A$47:$B$78,2,FALSE)+VLOOKUP(DB$3,'Embedded Emissions'!$A$129:$B$158,2,FALSE)), $C48 = "3", ('Inputs-System'!$C$30*'Coincidence Factors'!$B$6*(1+'Inputs-System'!$C$18)*(1+'Inputs-System'!$C$41))*'Inputs-Proposals'!$J$29*'Inputs-Proposals'!$J$31*(1-'Inputs-Proposals'!$J$20^(DB$3-'Inputs-System'!$C$7))*(VLOOKUP(DB$3,'Embedded Emissions'!$A$47:$B$78,2,FALSE)+VLOOKUP(DB$3,'Embedded Emissions'!$A$129:$B$158,2,FALSE)), $C48 = "0", 0), 0)</f>
        <v>0</v>
      </c>
      <c r="DD48" s="44">
        <f>IFERROR(_xlfn.IFS($C48="1",( 'Inputs-System'!$C$30*'Coincidence Factors'!$B$6*(1+'Inputs-System'!$C$18)*(1+'Inputs-System'!$C$41))*('Inputs-Proposals'!$J$17*'Inputs-Proposals'!$J$19*(1-'Inputs-Proposals'!$J$20)^(DB$3-'Inputs-System'!$C$7))*(VLOOKUP(DB$3,DRIPE!$A$54:$I$82,5,FALSE)+VLOOKUP(DB$3,DRIPE!$A$54:$I$82,9,FALSE))+ ('Inputs-System'!$C$26*'Coincidence Factors'!$B$6*(1+'Inputs-System'!$C$18)*(1+'Inputs-System'!$C$42))*'Inputs-Proposals'!$J$16*VLOOKUP(DB$3,DRIPE!$A$54:$I$82,8,FALSE), $C48 = "2",( 'Inputs-System'!$C$30*'Coincidence Factors'!$B$6*(1+'Inputs-System'!$C$18)*(1+'Inputs-System'!$C$41))*('Inputs-Proposals'!$J$23*'Inputs-Proposals'!$J$25*(1-'Inputs-Proposals'!$J$26)^(DB$3-'Inputs-System'!$C$7))*(VLOOKUP(DB$3,DRIPE!$A$54:$I$82,5,FALSE)+VLOOKUP(DB$3,DRIPE!$A$54:$I$82,9,FALSE))+ ('Inputs-System'!$C$26*'Coincidence Factors'!$B$6*(1+'Inputs-System'!$C$18)*(1+'Inputs-System'!$C$42))*'Inputs-Proposals'!$J$22*VLOOKUP(DB$3,DRIPE!$A$54:$I$82,8,FALSE), $C48= "3", ( 'Inputs-System'!$C$30*'Coincidence Factors'!$B$6*(1+'Inputs-System'!$C$18)*(1+'Inputs-System'!$C$41))*('Inputs-Proposals'!$J$29*'Inputs-Proposals'!$J$31*(1-'Inputs-Proposals'!$J$32)^(DB$3-'Inputs-System'!$C$7))*(VLOOKUP(DB$3,DRIPE!$A$54:$I$82,5,FALSE)+VLOOKUP(DB$3,DRIPE!$A$54:$I$82,9,FALSE))+ ('Inputs-System'!$C$26*'Coincidence Factors'!$B$6*(1+'Inputs-System'!$C$18)*(1+'Inputs-System'!$C$42))*'Inputs-Proposals'!$J$28*VLOOKUP(DB$3,DRIPE!$A$54:$I$82,8,FALSE), $C48 = "0", 0), 0)</f>
        <v>0</v>
      </c>
      <c r="DE48" s="45">
        <f>IFERROR(_xlfn.IFS($C48="1",('Inputs-System'!$C$26*'Coincidence Factors'!$B$6*(1+'Inputs-System'!$C$18))*'Inputs-Proposals'!$J$16*(VLOOKUP(DB$3,Capacity!$A$53:$E$85,4,FALSE)*(1+'Inputs-System'!$C$42)+VLOOKUP(DB$3,Capacity!$A$53:$E$85,5,FALSE)*'Inputs-System'!$C$29*(1+'Inputs-System'!$C$43)), $C48 = "2", ('Inputs-System'!$C$26*'Coincidence Factors'!$B$6*(1+'Inputs-System'!$C$18))*'Inputs-Proposals'!$J$22*(VLOOKUP(DB$3,Capacity!$A$53:$E$85,4,FALSE)*(1+'Inputs-System'!$C$42)+VLOOKUP(DB$3,Capacity!$A$53:$E$85,5,FALSE)*'Inputs-System'!$C$29*(1+'Inputs-System'!$C$43)), $C48 = "3",('Inputs-System'!$C$26*'Coincidence Factors'!$B$6*(1+'Inputs-System'!$C$18))*'Inputs-Proposals'!$J$28*(VLOOKUP(DB$3,Capacity!$A$53:$E$85,4,FALSE)*(1+'Inputs-System'!$C$42)+VLOOKUP(DB$3,Capacity!$A$53:$E$85,5,FALSE)*'Inputs-System'!$C$29*(1+'Inputs-System'!$C$43)), $C48 = "0", 0), 0)</f>
        <v>0</v>
      </c>
      <c r="DF48" s="44">
        <v>0</v>
      </c>
      <c r="DG48" s="342">
        <f>IFERROR(_xlfn.IFS($C48="1", 'Inputs-System'!$C$30*'Coincidence Factors'!$B$6*'Inputs-Proposals'!$J$17*'Inputs-Proposals'!$J$19*(VLOOKUP(DB$3,'Non-Embedded Emissions'!$A$56:$D$90,2,FALSE)+VLOOKUP(DB$3,'Non-Embedded Emissions'!$A$143:$D$174,2,FALSE)+VLOOKUP(DB$3,'Non-Embedded Emissions'!$A$230:$D$259,2,FALSE)), $C48 = "2", 'Inputs-System'!$C$30*'Coincidence Factors'!$B$6*'Inputs-Proposals'!$J$23*'Inputs-Proposals'!$J$25*(VLOOKUP(DB$3,'Non-Embedded Emissions'!$A$56:$D$90,2,FALSE)+VLOOKUP(DB$3,'Non-Embedded Emissions'!$A$143:$D$174,2,FALSE)+VLOOKUP(DB$3,'Non-Embedded Emissions'!$A$230:$D$259,2,FALSE)), $C48 = "3", 'Inputs-System'!$C$30*'Coincidence Factors'!$B$6*'Inputs-Proposals'!$J$29*'Inputs-Proposals'!$J$31*(VLOOKUP(DB$3,'Non-Embedded Emissions'!$A$56:$D$90,2,FALSE)+VLOOKUP(DB$3,'Non-Embedded Emissions'!$A$143:$D$174,2,FALSE)+VLOOKUP(DB$3,'Non-Embedded Emissions'!$A$230:$D$259,2,FALSE)), $C48 = "0", 0), 0)</f>
        <v>0</v>
      </c>
      <c r="DH48" s="347">
        <f>IFERROR(_xlfn.IFS($C48="1",('Inputs-System'!$C$30*'Coincidence Factors'!$B$6*(1+'Inputs-System'!$C$18)*(1+'Inputs-System'!$C$41)*('Inputs-Proposals'!$J$17*'Inputs-Proposals'!$J$19*(1-'Inputs-Proposals'!$J$20^(DH$3-'Inputs-System'!$C$7)))*(VLOOKUP(DH$3,Energy!$A$51:$K$83,5,FALSE))), $C48 = "2",('Inputs-System'!$C$30*'Coincidence Factors'!$B$6)*(1+'Inputs-System'!$C$18)*(1+'Inputs-System'!$C$41)*('Inputs-Proposals'!$J$23*'Inputs-Proposals'!$J$25*(1-'Inputs-Proposals'!$J$26^(DH$3-'Inputs-System'!$C$7)))*(VLOOKUP(DH$3,Energy!$A$51:$K$83,5,FALSE)), $C48= "3", ('Inputs-System'!$C$30*'Coincidence Factors'!$B$6*(1+'Inputs-System'!$C$18)*(1+'Inputs-System'!$C$41)*('Inputs-Proposals'!$J$29*'Inputs-Proposals'!$J$31*(1-'Inputs-Proposals'!$J$32^(DH$3-'Inputs-System'!$C$7)))*(VLOOKUP(DH$3,Energy!$A$51:$K$83,5,FALSE))), $C48= "0", 0), 0)</f>
        <v>0</v>
      </c>
      <c r="DI48" s="44">
        <f>IFERROR(_xlfn.IFS($C48="1",('Inputs-System'!$C$30*'Coincidence Factors'!$B$6*(1+'Inputs-System'!$C$18)*(1+'Inputs-System'!$C$41))*'Inputs-Proposals'!$J$17*'Inputs-Proposals'!$J$19*(1-'Inputs-Proposals'!$J$20^(DH$3-'Inputs-System'!$C$7))*(VLOOKUP(DH$3,'Embedded Emissions'!$A$47:$B$78,2,FALSE)+VLOOKUP(DH$3,'Embedded Emissions'!$A$129:$B$158,2,FALSE)), $C48 = "2",('Inputs-System'!$C$30*'Coincidence Factors'!$B$6*(1+'Inputs-System'!$C$18)*(1+'Inputs-System'!$C$41))*'Inputs-Proposals'!$J$23*'Inputs-Proposals'!$J$25*(1-'Inputs-Proposals'!$J$20^(DH$3-'Inputs-System'!$C$7))*(VLOOKUP(DH$3,'Embedded Emissions'!$A$47:$B$78,2,FALSE)+VLOOKUP(DH$3,'Embedded Emissions'!$A$129:$B$158,2,FALSE)), $C48 = "3", ('Inputs-System'!$C$30*'Coincidence Factors'!$B$6*(1+'Inputs-System'!$C$18)*(1+'Inputs-System'!$C$41))*'Inputs-Proposals'!$J$29*'Inputs-Proposals'!$J$31*(1-'Inputs-Proposals'!$J$20^(DH$3-'Inputs-System'!$C$7))*(VLOOKUP(DH$3,'Embedded Emissions'!$A$47:$B$78,2,FALSE)+VLOOKUP(DH$3,'Embedded Emissions'!$A$129:$B$158,2,FALSE)), $C48 = "0", 0), 0)</f>
        <v>0</v>
      </c>
      <c r="DJ48" s="44">
        <f>IFERROR(_xlfn.IFS($C48="1",( 'Inputs-System'!$C$30*'Coincidence Factors'!$B$6*(1+'Inputs-System'!$C$18)*(1+'Inputs-System'!$C$41))*('Inputs-Proposals'!$J$17*'Inputs-Proposals'!$J$19*(1-'Inputs-Proposals'!$J$20)^(DH$3-'Inputs-System'!$C$7))*(VLOOKUP(DH$3,DRIPE!$A$54:$I$82,5,FALSE)+VLOOKUP(DH$3,DRIPE!$A$54:$I$82,9,FALSE))+ ('Inputs-System'!$C$26*'Coincidence Factors'!$B$6*(1+'Inputs-System'!$C$18)*(1+'Inputs-System'!$C$42))*'Inputs-Proposals'!$J$16*VLOOKUP(DH$3,DRIPE!$A$54:$I$82,8,FALSE), $C48 = "2",( 'Inputs-System'!$C$30*'Coincidence Factors'!$B$6*(1+'Inputs-System'!$C$18)*(1+'Inputs-System'!$C$41))*('Inputs-Proposals'!$J$23*'Inputs-Proposals'!$J$25*(1-'Inputs-Proposals'!$J$26)^(DH$3-'Inputs-System'!$C$7))*(VLOOKUP(DH$3,DRIPE!$A$54:$I$82,5,FALSE)+VLOOKUP(DH$3,DRIPE!$A$54:$I$82,9,FALSE))+ ('Inputs-System'!$C$26*'Coincidence Factors'!$B$6*(1+'Inputs-System'!$C$18)*(1+'Inputs-System'!$C$42))*'Inputs-Proposals'!$J$22*VLOOKUP(DH$3,DRIPE!$A$54:$I$82,8,FALSE), $C48= "3", ( 'Inputs-System'!$C$30*'Coincidence Factors'!$B$6*(1+'Inputs-System'!$C$18)*(1+'Inputs-System'!$C$41))*('Inputs-Proposals'!$J$29*'Inputs-Proposals'!$J$31*(1-'Inputs-Proposals'!$J$32)^(DH$3-'Inputs-System'!$C$7))*(VLOOKUP(DH$3,DRIPE!$A$54:$I$82,5,FALSE)+VLOOKUP(DH$3,DRIPE!$A$54:$I$82,9,FALSE))+ ('Inputs-System'!$C$26*'Coincidence Factors'!$B$6*(1+'Inputs-System'!$C$18)*(1+'Inputs-System'!$C$42))*'Inputs-Proposals'!$J$28*VLOOKUP(DH$3,DRIPE!$A$54:$I$82,8,FALSE), $C48 = "0", 0), 0)</f>
        <v>0</v>
      </c>
      <c r="DK48" s="45">
        <f>IFERROR(_xlfn.IFS($C48="1",('Inputs-System'!$C$26*'Coincidence Factors'!$B$6*(1+'Inputs-System'!$C$18))*'Inputs-Proposals'!$J$16*(VLOOKUP(DH$3,Capacity!$A$53:$E$85,4,FALSE)*(1+'Inputs-System'!$C$42)+VLOOKUP(DH$3,Capacity!$A$53:$E$85,5,FALSE)*'Inputs-System'!$C$29*(1+'Inputs-System'!$C$43)), $C48 = "2", ('Inputs-System'!$C$26*'Coincidence Factors'!$B$6*(1+'Inputs-System'!$C$18))*'Inputs-Proposals'!$J$22*(VLOOKUP(DH$3,Capacity!$A$53:$E$85,4,FALSE)*(1+'Inputs-System'!$C$42)+VLOOKUP(DH$3,Capacity!$A$53:$E$85,5,FALSE)*'Inputs-System'!$C$29*(1+'Inputs-System'!$C$43)), $C48 = "3",('Inputs-System'!$C$26*'Coincidence Factors'!$B$6*(1+'Inputs-System'!$C$18))*'Inputs-Proposals'!$J$28*(VLOOKUP(DH$3,Capacity!$A$53:$E$85,4,FALSE)*(1+'Inputs-System'!$C$42)+VLOOKUP(DH$3,Capacity!$A$53:$E$85,5,FALSE)*'Inputs-System'!$C$29*(1+'Inputs-System'!$C$43)), $C48 = "0", 0), 0)</f>
        <v>0</v>
      </c>
      <c r="DL48" s="44">
        <v>0</v>
      </c>
      <c r="DM48" s="342">
        <f>IFERROR(_xlfn.IFS($C48="1", 'Inputs-System'!$C$30*'Coincidence Factors'!$B$6*'Inputs-Proposals'!$J$17*'Inputs-Proposals'!$J$19*(VLOOKUP(DH$3,'Non-Embedded Emissions'!$A$56:$D$90,2,FALSE)+VLOOKUP(DH$3,'Non-Embedded Emissions'!$A$143:$D$174,2,FALSE)+VLOOKUP(DH$3,'Non-Embedded Emissions'!$A$230:$D$259,2,FALSE)), $C48 = "2", 'Inputs-System'!$C$30*'Coincidence Factors'!$B$6*'Inputs-Proposals'!$J$23*'Inputs-Proposals'!$J$25*(VLOOKUP(DH$3,'Non-Embedded Emissions'!$A$56:$D$90,2,FALSE)+VLOOKUP(DH$3,'Non-Embedded Emissions'!$A$143:$D$174,2,FALSE)+VLOOKUP(DH$3,'Non-Embedded Emissions'!$A$230:$D$259,2,FALSE)), $C48 = "3", 'Inputs-System'!$C$30*'Coincidence Factors'!$B$6*'Inputs-Proposals'!$J$29*'Inputs-Proposals'!$J$31*(VLOOKUP(DH$3,'Non-Embedded Emissions'!$A$56:$D$90,2,FALSE)+VLOOKUP(DH$3,'Non-Embedded Emissions'!$A$143:$D$174,2,FALSE)+VLOOKUP(DH$3,'Non-Embedded Emissions'!$A$230:$D$259,2,FALSE)), $C48 = "0", 0), 0)</f>
        <v>0</v>
      </c>
      <c r="DN48" s="347">
        <f>IFERROR(_xlfn.IFS($C48="1",('Inputs-System'!$C$30*'Coincidence Factors'!$B$6*(1+'Inputs-System'!$C$18)*(1+'Inputs-System'!$C$41)*('Inputs-Proposals'!$J$17*'Inputs-Proposals'!$J$19*(1-'Inputs-Proposals'!$J$20^(DN$3-'Inputs-System'!$C$7)))*(VLOOKUP(DN$3,Energy!$A$51:$K$83,5,FALSE))), $C48 = "2",('Inputs-System'!$C$30*'Coincidence Factors'!$B$6)*(1+'Inputs-System'!$C$18)*(1+'Inputs-System'!$C$41)*('Inputs-Proposals'!$J$23*'Inputs-Proposals'!$J$25*(1-'Inputs-Proposals'!$J$26^(DN$3-'Inputs-System'!$C$7)))*(VLOOKUP(DN$3,Energy!$A$51:$K$83,5,FALSE)), $C48= "3", ('Inputs-System'!$C$30*'Coincidence Factors'!$B$6*(1+'Inputs-System'!$C$18)*(1+'Inputs-System'!$C$41)*('Inputs-Proposals'!$J$29*'Inputs-Proposals'!$J$31*(1-'Inputs-Proposals'!$J$32^(DN$3-'Inputs-System'!$C$7)))*(VLOOKUP(DN$3,Energy!$A$51:$K$83,5,FALSE))), $C48= "0", 0), 0)</f>
        <v>0</v>
      </c>
      <c r="DO48" s="44">
        <f>IFERROR(_xlfn.IFS($C48="1",('Inputs-System'!$C$30*'Coincidence Factors'!$B$6*(1+'Inputs-System'!$C$18)*(1+'Inputs-System'!$C$41))*'Inputs-Proposals'!$J$17*'Inputs-Proposals'!$J$19*(1-'Inputs-Proposals'!$J$20^(DN$3-'Inputs-System'!$C$7))*(VLOOKUP(DN$3,'Embedded Emissions'!$A$47:$B$78,2,FALSE)+VLOOKUP(DN$3,'Embedded Emissions'!$A$129:$B$158,2,FALSE)), $C48 = "2",('Inputs-System'!$C$30*'Coincidence Factors'!$B$6*(1+'Inputs-System'!$C$18)*(1+'Inputs-System'!$C$41))*'Inputs-Proposals'!$J$23*'Inputs-Proposals'!$J$25*(1-'Inputs-Proposals'!$J$20^(DN$3-'Inputs-System'!$C$7))*(VLOOKUP(DN$3,'Embedded Emissions'!$A$47:$B$78,2,FALSE)+VLOOKUP(DN$3,'Embedded Emissions'!$A$129:$B$158,2,FALSE)), $C48 = "3", ('Inputs-System'!$C$30*'Coincidence Factors'!$B$6*(1+'Inputs-System'!$C$18)*(1+'Inputs-System'!$C$41))*'Inputs-Proposals'!$J$29*'Inputs-Proposals'!$J$31*(1-'Inputs-Proposals'!$J$20^(DN$3-'Inputs-System'!$C$7))*(VLOOKUP(DN$3,'Embedded Emissions'!$A$47:$B$78,2,FALSE)+VLOOKUP(DN$3,'Embedded Emissions'!$A$129:$B$158,2,FALSE)), $C48 = "0", 0), 0)</f>
        <v>0</v>
      </c>
      <c r="DP48" s="44">
        <f>IFERROR(_xlfn.IFS($C48="1",( 'Inputs-System'!$C$30*'Coincidence Factors'!$B$6*(1+'Inputs-System'!$C$18)*(1+'Inputs-System'!$C$41))*('Inputs-Proposals'!$J$17*'Inputs-Proposals'!$J$19*(1-'Inputs-Proposals'!$J$20)^(DN$3-'Inputs-System'!$C$7))*(VLOOKUP(DN$3,DRIPE!$A$54:$I$82,5,FALSE)+VLOOKUP(DN$3,DRIPE!$A$54:$I$82,9,FALSE))+ ('Inputs-System'!$C$26*'Coincidence Factors'!$B$6*(1+'Inputs-System'!$C$18)*(1+'Inputs-System'!$C$42))*'Inputs-Proposals'!$J$16*VLOOKUP(DN$3,DRIPE!$A$54:$I$82,8,FALSE), $C48 = "2",( 'Inputs-System'!$C$30*'Coincidence Factors'!$B$6*(1+'Inputs-System'!$C$18)*(1+'Inputs-System'!$C$41))*('Inputs-Proposals'!$J$23*'Inputs-Proposals'!$J$25*(1-'Inputs-Proposals'!$J$26)^(DN$3-'Inputs-System'!$C$7))*(VLOOKUP(DN$3,DRIPE!$A$54:$I$82,5,FALSE)+VLOOKUP(DN$3,DRIPE!$A$54:$I$82,9,FALSE))+ ('Inputs-System'!$C$26*'Coincidence Factors'!$B$6*(1+'Inputs-System'!$C$18)*(1+'Inputs-System'!$C$42))*'Inputs-Proposals'!$J$22*VLOOKUP(DN$3,DRIPE!$A$54:$I$82,8,FALSE), $C48= "3", ( 'Inputs-System'!$C$30*'Coincidence Factors'!$B$6*(1+'Inputs-System'!$C$18)*(1+'Inputs-System'!$C$41))*('Inputs-Proposals'!$J$29*'Inputs-Proposals'!$J$31*(1-'Inputs-Proposals'!$J$32)^(DN$3-'Inputs-System'!$C$7))*(VLOOKUP(DN$3,DRIPE!$A$54:$I$82,5,FALSE)+VLOOKUP(DN$3,DRIPE!$A$54:$I$82,9,FALSE))+ ('Inputs-System'!$C$26*'Coincidence Factors'!$B$6*(1+'Inputs-System'!$C$18)*(1+'Inputs-System'!$C$42))*'Inputs-Proposals'!$J$28*VLOOKUP(DN$3,DRIPE!$A$54:$I$82,8,FALSE), $C48 = "0", 0), 0)</f>
        <v>0</v>
      </c>
      <c r="DQ48" s="45">
        <f>IFERROR(_xlfn.IFS($C48="1",('Inputs-System'!$C$26*'Coincidence Factors'!$B$6*(1+'Inputs-System'!$C$18))*'Inputs-Proposals'!$J$16*(VLOOKUP(DN$3,Capacity!$A$53:$E$85,4,FALSE)*(1+'Inputs-System'!$C$42)+VLOOKUP(DN$3,Capacity!$A$53:$E$85,5,FALSE)*'Inputs-System'!$C$29*(1+'Inputs-System'!$C$43)), $C48 = "2", ('Inputs-System'!$C$26*'Coincidence Factors'!$B$6*(1+'Inputs-System'!$C$18))*'Inputs-Proposals'!$J$22*(VLOOKUP(DN$3,Capacity!$A$53:$E$85,4,FALSE)*(1+'Inputs-System'!$C$42)+VLOOKUP(DN$3,Capacity!$A$53:$E$85,5,FALSE)*'Inputs-System'!$C$29*(1+'Inputs-System'!$C$43)), $C48 = "3",('Inputs-System'!$C$26*'Coincidence Factors'!$B$6*(1+'Inputs-System'!$C$18))*'Inputs-Proposals'!$J$28*(VLOOKUP(DN$3,Capacity!$A$53:$E$85,4,FALSE)*(1+'Inputs-System'!$C$42)+VLOOKUP(DN$3,Capacity!$A$53:$E$85,5,FALSE)*'Inputs-System'!$C$29*(1+'Inputs-System'!$C$43)), $C48 = "0", 0), 0)</f>
        <v>0</v>
      </c>
      <c r="DR48" s="44">
        <v>0</v>
      </c>
      <c r="DS48" s="342">
        <f>IFERROR(_xlfn.IFS($C48="1", 'Inputs-System'!$C$30*'Coincidence Factors'!$B$6*'Inputs-Proposals'!$J$17*'Inputs-Proposals'!$J$19*(VLOOKUP(DN$3,'Non-Embedded Emissions'!$A$56:$D$90,2,FALSE)+VLOOKUP(DN$3,'Non-Embedded Emissions'!$A$143:$D$174,2,FALSE)+VLOOKUP(DN$3,'Non-Embedded Emissions'!$A$230:$D$259,2,FALSE)), $C48 = "2", 'Inputs-System'!$C$30*'Coincidence Factors'!$B$6*'Inputs-Proposals'!$J$23*'Inputs-Proposals'!$J$25*(VLOOKUP(DN$3,'Non-Embedded Emissions'!$A$56:$D$90,2,FALSE)+VLOOKUP(DN$3,'Non-Embedded Emissions'!$A$143:$D$174,2,FALSE)+VLOOKUP(DN$3,'Non-Embedded Emissions'!$A$230:$D$259,2,FALSE)), $C48 = "3", 'Inputs-System'!$C$30*'Coincidence Factors'!$B$6*'Inputs-Proposals'!$J$29*'Inputs-Proposals'!$J$31*(VLOOKUP(DN$3,'Non-Embedded Emissions'!$A$56:$D$90,2,FALSE)+VLOOKUP(DN$3,'Non-Embedded Emissions'!$A$143:$D$174,2,FALSE)+VLOOKUP(DN$3,'Non-Embedded Emissions'!$A$230:$D$259,2,FALSE)), $C48 = "0", 0), 0)</f>
        <v>0</v>
      </c>
      <c r="DT48" s="347">
        <f>IFERROR(_xlfn.IFS($C48="1",('Inputs-System'!$C$30*'Coincidence Factors'!$B$6*(1+'Inputs-System'!$C$18)*(1+'Inputs-System'!$C$41)*('Inputs-Proposals'!$J$17*'Inputs-Proposals'!$J$19*(1-'Inputs-Proposals'!$J$20^(DT$3-'Inputs-System'!$C$7)))*(VLOOKUP(DT$3,Energy!$A$51:$K$83,5,FALSE))), $C48 = "2",('Inputs-System'!$C$30*'Coincidence Factors'!$B$6)*(1+'Inputs-System'!$C$18)*(1+'Inputs-System'!$C$41)*('Inputs-Proposals'!$J$23*'Inputs-Proposals'!$J$25*(1-'Inputs-Proposals'!$J$26^(DT$3-'Inputs-System'!$C$7)))*(VLOOKUP(DT$3,Energy!$A$51:$K$83,5,FALSE)), $C48= "3", ('Inputs-System'!$C$30*'Coincidence Factors'!$B$6*(1+'Inputs-System'!$C$18)*(1+'Inputs-System'!$C$41)*('Inputs-Proposals'!$J$29*'Inputs-Proposals'!$J$31*(1-'Inputs-Proposals'!$J$32^(DT$3-'Inputs-System'!$C$7)))*(VLOOKUP(DT$3,Energy!$A$51:$K$83,5,FALSE))), $C48= "0", 0), 0)</f>
        <v>0</v>
      </c>
      <c r="DU48" s="44">
        <f>IFERROR(_xlfn.IFS($C48="1",('Inputs-System'!$C$30*'Coincidence Factors'!$B$6*(1+'Inputs-System'!$C$18)*(1+'Inputs-System'!$C$41))*'Inputs-Proposals'!$J$17*'Inputs-Proposals'!$J$19*(1-'Inputs-Proposals'!$J$20^(DT$3-'Inputs-System'!$C$7))*(VLOOKUP(DT$3,'Embedded Emissions'!$A$47:$B$78,2,FALSE)+VLOOKUP(DT$3,'Embedded Emissions'!$A$129:$B$158,2,FALSE)), $C48 = "2",('Inputs-System'!$C$30*'Coincidence Factors'!$B$6*(1+'Inputs-System'!$C$18)*(1+'Inputs-System'!$C$41))*'Inputs-Proposals'!$J$23*'Inputs-Proposals'!$J$25*(1-'Inputs-Proposals'!$J$20^(DT$3-'Inputs-System'!$C$7))*(VLOOKUP(DT$3,'Embedded Emissions'!$A$47:$B$78,2,FALSE)+VLOOKUP(DT$3,'Embedded Emissions'!$A$129:$B$158,2,FALSE)), $C48 = "3", ('Inputs-System'!$C$30*'Coincidence Factors'!$B$6*(1+'Inputs-System'!$C$18)*(1+'Inputs-System'!$C$41))*'Inputs-Proposals'!$J$29*'Inputs-Proposals'!$J$31*(1-'Inputs-Proposals'!$J$20^(DT$3-'Inputs-System'!$C$7))*(VLOOKUP(DT$3,'Embedded Emissions'!$A$47:$B$78,2,FALSE)+VLOOKUP(DT$3,'Embedded Emissions'!$A$129:$B$158,2,FALSE)), $C48 = "0", 0), 0)</f>
        <v>0</v>
      </c>
      <c r="DV48" s="44">
        <f>IFERROR(_xlfn.IFS($C48="1",( 'Inputs-System'!$C$30*'Coincidence Factors'!$B$6*(1+'Inputs-System'!$C$18)*(1+'Inputs-System'!$C$41))*('Inputs-Proposals'!$J$17*'Inputs-Proposals'!$J$19*(1-'Inputs-Proposals'!$J$20)^(DT$3-'Inputs-System'!$C$7))*(VLOOKUP(DT$3,DRIPE!$A$54:$I$82,5,FALSE)+VLOOKUP(DT$3,DRIPE!$A$54:$I$82,9,FALSE))+ ('Inputs-System'!$C$26*'Coincidence Factors'!$B$6*(1+'Inputs-System'!$C$18)*(1+'Inputs-System'!$C$42))*'Inputs-Proposals'!$J$16*VLOOKUP(DT$3,DRIPE!$A$54:$I$82,8,FALSE), $C48 = "2",( 'Inputs-System'!$C$30*'Coincidence Factors'!$B$6*(1+'Inputs-System'!$C$18)*(1+'Inputs-System'!$C$41))*('Inputs-Proposals'!$J$23*'Inputs-Proposals'!$J$25*(1-'Inputs-Proposals'!$J$26)^(DT$3-'Inputs-System'!$C$7))*(VLOOKUP(DT$3,DRIPE!$A$54:$I$82,5,FALSE)+VLOOKUP(DT$3,DRIPE!$A$54:$I$82,9,FALSE))+ ('Inputs-System'!$C$26*'Coincidence Factors'!$B$6*(1+'Inputs-System'!$C$18)*(1+'Inputs-System'!$C$42))*'Inputs-Proposals'!$J$22*VLOOKUP(DT$3,DRIPE!$A$54:$I$82,8,FALSE), $C48= "3", ( 'Inputs-System'!$C$30*'Coincidence Factors'!$B$6*(1+'Inputs-System'!$C$18)*(1+'Inputs-System'!$C$41))*('Inputs-Proposals'!$J$29*'Inputs-Proposals'!$J$31*(1-'Inputs-Proposals'!$J$32)^(DT$3-'Inputs-System'!$C$7))*(VLOOKUP(DT$3,DRIPE!$A$54:$I$82,5,FALSE)+VLOOKUP(DT$3,DRIPE!$A$54:$I$82,9,FALSE))+ ('Inputs-System'!$C$26*'Coincidence Factors'!$B$6*(1+'Inputs-System'!$C$18)*(1+'Inputs-System'!$C$42))*'Inputs-Proposals'!$J$28*VLOOKUP(DT$3,DRIPE!$A$54:$I$82,8,FALSE), $C48 = "0", 0), 0)</f>
        <v>0</v>
      </c>
      <c r="DW48" s="45">
        <f>IFERROR(_xlfn.IFS($C48="1",('Inputs-System'!$C$26*'Coincidence Factors'!$B$6*(1+'Inputs-System'!$C$18))*'Inputs-Proposals'!$J$16*(VLOOKUP(DT$3,Capacity!$A$53:$E$85,4,FALSE)*(1+'Inputs-System'!$C$42)+VLOOKUP(DT$3,Capacity!$A$53:$E$85,5,FALSE)*'Inputs-System'!$C$29*(1+'Inputs-System'!$C$43)), $C48 = "2", ('Inputs-System'!$C$26*'Coincidence Factors'!$B$6*(1+'Inputs-System'!$C$18))*'Inputs-Proposals'!$J$22*(VLOOKUP(DT$3,Capacity!$A$53:$E$85,4,FALSE)*(1+'Inputs-System'!$C$42)+VLOOKUP(DT$3,Capacity!$A$53:$E$85,5,FALSE)*'Inputs-System'!$C$29*(1+'Inputs-System'!$C$43)), $C48 = "3",('Inputs-System'!$C$26*'Coincidence Factors'!$B$6*(1+'Inputs-System'!$C$18))*'Inputs-Proposals'!$J$28*(VLOOKUP(DT$3,Capacity!$A$53:$E$85,4,FALSE)*(1+'Inputs-System'!$C$42)+VLOOKUP(DT$3,Capacity!$A$53:$E$85,5,FALSE)*'Inputs-System'!$C$29*(1+'Inputs-System'!$C$43)), $C48 = "0", 0), 0)</f>
        <v>0</v>
      </c>
      <c r="DX48" s="44">
        <v>0</v>
      </c>
      <c r="DY48" s="342">
        <f>IFERROR(_xlfn.IFS($C48="1", 'Inputs-System'!$C$30*'Coincidence Factors'!$B$6*'Inputs-Proposals'!$J$17*'Inputs-Proposals'!$J$19*(VLOOKUP(DT$3,'Non-Embedded Emissions'!$A$56:$D$90,2,FALSE)+VLOOKUP(DT$3,'Non-Embedded Emissions'!$A$143:$D$174,2,FALSE)+VLOOKUP(DT$3,'Non-Embedded Emissions'!$A$230:$D$259,2,FALSE)), $C48 = "2", 'Inputs-System'!$C$30*'Coincidence Factors'!$B$6*'Inputs-Proposals'!$J$23*'Inputs-Proposals'!$J$25*(VLOOKUP(DT$3,'Non-Embedded Emissions'!$A$56:$D$90,2,FALSE)+VLOOKUP(DT$3,'Non-Embedded Emissions'!$A$143:$D$174,2,FALSE)+VLOOKUP(DT$3,'Non-Embedded Emissions'!$A$230:$D$259,2,FALSE)), $C48 = "3", 'Inputs-System'!$C$30*'Coincidence Factors'!$B$6*'Inputs-Proposals'!$J$29*'Inputs-Proposals'!$J$31*(VLOOKUP(DT$3,'Non-Embedded Emissions'!$A$56:$D$90,2,FALSE)+VLOOKUP(DT$3,'Non-Embedded Emissions'!$A$143:$D$174,2,FALSE)+VLOOKUP(DT$3,'Non-Embedded Emissions'!$A$230:$D$259,2,FALSE)), $C48 = "0", 0), 0)</f>
        <v>0</v>
      </c>
      <c r="DZ48" s="347">
        <f>IFERROR(_xlfn.IFS($C48="1",('Inputs-System'!$C$30*'Coincidence Factors'!$B$6*(1+'Inputs-System'!$C$18)*(1+'Inputs-System'!$C$41)*('Inputs-Proposals'!$J$17*'Inputs-Proposals'!$J$19*(1-'Inputs-Proposals'!$J$20^(DZ$3-'Inputs-System'!$C$7)))*(VLOOKUP(DZ$3,Energy!$A$51:$K$83,5,FALSE))), $C48 = "2",('Inputs-System'!$C$30*'Coincidence Factors'!$B$6)*(1+'Inputs-System'!$C$18)*(1+'Inputs-System'!$C$41)*('Inputs-Proposals'!$J$23*'Inputs-Proposals'!$J$25*(1-'Inputs-Proposals'!$J$26^(DZ$3-'Inputs-System'!$C$7)))*(VLOOKUP(DZ$3,Energy!$A$51:$K$83,5,FALSE)), $C48= "3", ('Inputs-System'!$C$30*'Coincidence Factors'!$B$6*(1+'Inputs-System'!$C$18)*(1+'Inputs-System'!$C$41)*('Inputs-Proposals'!$J$29*'Inputs-Proposals'!$J$31*(1-'Inputs-Proposals'!$J$32^(DZ$3-'Inputs-System'!$C$7)))*(VLOOKUP(DZ$3,Energy!$A$51:$K$83,5,FALSE))), $C48= "0", 0), 0)</f>
        <v>0</v>
      </c>
      <c r="EA48" s="44">
        <f>IFERROR(_xlfn.IFS($C48="1",('Inputs-System'!$C$30*'Coincidence Factors'!$B$6*(1+'Inputs-System'!$C$18)*(1+'Inputs-System'!$C$41))*'Inputs-Proposals'!$J$17*'Inputs-Proposals'!$J$19*(1-'Inputs-Proposals'!$J$20^(DZ$3-'Inputs-System'!$C$7))*(VLOOKUP(DZ$3,'Embedded Emissions'!$A$47:$B$78,2,FALSE)+VLOOKUP(DZ$3,'Embedded Emissions'!$A$129:$B$158,2,FALSE)), $C48 = "2",('Inputs-System'!$C$30*'Coincidence Factors'!$B$6*(1+'Inputs-System'!$C$18)*(1+'Inputs-System'!$C$41))*'Inputs-Proposals'!$J$23*'Inputs-Proposals'!$J$25*(1-'Inputs-Proposals'!$J$20^(DZ$3-'Inputs-System'!$C$7))*(VLOOKUP(DZ$3,'Embedded Emissions'!$A$47:$B$78,2,FALSE)+VLOOKUP(DZ$3,'Embedded Emissions'!$A$129:$B$158,2,FALSE)), $C48 = "3", ('Inputs-System'!$C$30*'Coincidence Factors'!$B$6*(1+'Inputs-System'!$C$18)*(1+'Inputs-System'!$C$41))*'Inputs-Proposals'!$J$29*'Inputs-Proposals'!$J$31*(1-'Inputs-Proposals'!$J$20^(DZ$3-'Inputs-System'!$C$7))*(VLOOKUP(DZ$3,'Embedded Emissions'!$A$47:$B$78,2,FALSE)+VLOOKUP(DZ$3,'Embedded Emissions'!$A$129:$B$158,2,FALSE)), $C48 = "0", 0), 0)</f>
        <v>0</v>
      </c>
      <c r="EB48" s="44">
        <f>IFERROR(_xlfn.IFS($C48="1",( 'Inputs-System'!$C$30*'Coincidence Factors'!$B$6*(1+'Inputs-System'!$C$18)*(1+'Inputs-System'!$C$41))*('Inputs-Proposals'!$J$17*'Inputs-Proposals'!$J$19*(1-'Inputs-Proposals'!$J$20)^(DZ$3-'Inputs-System'!$C$7))*(VLOOKUP(DZ$3,DRIPE!$A$54:$I$82,5,FALSE)+VLOOKUP(DZ$3,DRIPE!$A$54:$I$82,9,FALSE))+ ('Inputs-System'!$C$26*'Coincidence Factors'!$B$6*(1+'Inputs-System'!$C$18)*(1+'Inputs-System'!$C$42))*'Inputs-Proposals'!$J$16*VLOOKUP(DZ$3,DRIPE!$A$54:$I$82,8,FALSE), $C48 = "2",( 'Inputs-System'!$C$30*'Coincidence Factors'!$B$6*(1+'Inputs-System'!$C$18)*(1+'Inputs-System'!$C$41))*('Inputs-Proposals'!$J$23*'Inputs-Proposals'!$J$25*(1-'Inputs-Proposals'!$J$26)^(DZ$3-'Inputs-System'!$C$7))*(VLOOKUP(DZ$3,DRIPE!$A$54:$I$82,5,FALSE)+VLOOKUP(DZ$3,DRIPE!$A$54:$I$82,9,FALSE))+ ('Inputs-System'!$C$26*'Coincidence Factors'!$B$6*(1+'Inputs-System'!$C$18)*(1+'Inputs-System'!$C$42))*'Inputs-Proposals'!$J$22*VLOOKUP(DZ$3,DRIPE!$A$54:$I$82,8,FALSE), $C48= "3", ( 'Inputs-System'!$C$30*'Coincidence Factors'!$B$6*(1+'Inputs-System'!$C$18)*(1+'Inputs-System'!$C$41))*('Inputs-Proposals'!$J$29*'Inputs-Proposals'!$J$31*(1-'Inputs-Proposals'!$J$32)^(DZ$3-'Inputs-System'!$C$7))*(VLOOKUP(DZ$3,DRIPE!$A$54:$I$82,5,FALSE)+VLOOKUP(DZ$3,DRIPE!$A$54:$I$82,9,FALSE))+ ('Inputs-System'!$C$26*'Coincidence Factors'!$B$6*(1+'Inputs-System'!$C$18)*(1+'Inputs-System'!$C$42))*'Inputs-Proposals'!$J$28*VLOOKUP(DZ$3,DRIPE!$A$54:$I$82,8,FALSE), $C48 = "0", 0), 0)</f>
        <v>0</v>
      </c>
      <c r="EC48" s="45">
        <f>IFERROR(_xlfn.IFS($C48="1",('Inputs-System'!$C$26*'Coincidence Factors'!$B$6*(1+'Inputs-System'!$C$18))*'Inputs-Proposals'!$J$16*(VLOOKUP(DZ$3,Capacity!$A$53:$E$85,4,FALSE)*(1+'Inputs-System'!$C$42)+VLOOKUP(DZ$3,Capacity!$A$53:$E$85,5,FALSE)*'Inputs-System'!$C$29*(1+'Inputs-System'!$C$43)), $C48 = "2", ('Inputs-System'!$C$26*'Coincidence Factors'!$B$6*(1+'Inputs-System'!$C$18))*'Inputs-Proposals'!$J$22*(VLOOKUP(DZ$3,Capacity!$A$53:$E$85,4,FALSE)*(1+'Inputs-System'!$C$42)+VLOOKUP(DZ$3,Capacity!$A$53:$E$85,5,FALSE)*'Inputs-System'!$C$29*(1+'Inputs-System'!$C$43)), $C48 = "3",('Inputs-System'!$C$26*'Coincidence Factors'!$B$6*(1+'Inputs-System'!$C$18))*'Inputs-Proposals'!$J$28*(VLOOKUP(DZ$3,Capacity!$A$53:$E$85,4,FALSE)*(1+'Inputs-System'!$C$42)+VLOOKUP(DZ$3,Capacity!$A$53:$E$85,5,FALSE)*'Inputs-System'!$C$29*(1+'Inputs-System'!$C$43)), $C48 = "0", 0), 0)</f>
        <v>0</v>
      </c>
      <c r="ED48" s="44">
        <v>0</v>
      </c>
      <c r="EE48" s="342">
        <f>IFERROR(_xlfn.IFS($C48="1", 'Inputs-System'!$C$30*'Coincidence Factors'!$B$6*'Inputs-Proposals'!$J$17*'Inputs-Proposals'!$J$19*(VLOOKUP(DZ$3,'Non-Embedded Emissions'!$A$56:$D$90,2,FALSE)+VLOOKUP(DZ$3,'Non-Embedded Emissions'!$A$143:$D$174,2,FALSE)+VLOOKUP(DZ$3,'Non-Embedded Emissions'!$A$230:$D$259,2,FALSE)), $C48 = "2", 'Inputs-System'!$C$30*'Coincidence Factors'!$B$6*'Inputs-Proposals'!$J$23*'Inputs-Proposals'!$J$25*(VLOOKUP(DZ$3,'Non-Embedded Emissions'!$A$56:$D$90,2,FALSE)+VLOOKUP(DZ$3,'Non-Embedded Emissions'!$A$143:$D$174,2,FALSE)+VLOOKUP(DZ$3,'Non-Embedded Emissions'!$A$230:$D$259,2,FALSE)), $C48 = "3", 'Inputs-System'!$C$30*'Coincidence Factors'!$B$6*'Inputs-Proposals'!$J$29*'Inputs-Proposals'!$J$31*(VLOOKUP(DZ$3,'Non-Embedded Emissions'!$A$56:$D$90,2,FALSE)+VLOOKUP(DZ$3,'Non-Embedded Emissions'!$A$143:$D$174,2,FALSE)+VLOOKUP(DZ$3,'Non-Embedded Emissions'!$A$230:$D$259,2,FALSE)), $C48 = "0", 0), 0)</f>
        <v>0</v>
      </c>
    </row>
    <row r="49" spans="1:135" x14ac:dyDescent="0.35">
      <c r="A49" s="708"/>
      <c r="B49" s="3" t="s">
        <v>159</v>
      </c>
      <c r="C49" s="3" t="str">
        <f>IFERROR(_xlfn.IFS('Benefits Calc'!B49='Inputs-Proposals'!$J$15, "1", 'Benefits Calc'!B49='Inputs-Proposals'!$J$21, "2", 'Benefits Calc'!B49='Inputs-Proposals'!$J$27, "3"), "0")</f>
        <v>0</v>
      </c>
      <c r="D49" s="323">
        <f t="shared" si="0"/>
        <v>0</v>
      </c>
      <c r="E49" s="44">
        <f t="shared" si="1"/>
        <v>0</v>
      </c>
      <c r="F49" s="44">
        <f t="shared" si="2"/>
        <v>0</v>
      </c>
      <c r="G49" s="44">
        <f t="shared" si="3"/>
        <v>0</v>
      </c>
      <c r="H49" s="44">
        <f t="shared" si="4"/>
        <v>0</v>
      </c>
      <c r="I49" s="44">
        <f t="shared" si="5"/>
        <v>0</v>
      </c>
      <c r="J49" s="323">
        <f>NPV('Inputs-System'!$C$20,P49+V49+AB49+AH49+AN49+AT49+AZ49+BF49+BL49+BR49+BX49+CD49+CJ49+CP49+CV49+DB49+DH49+DN49+DT49+DZ49)</f>
        <v>0</v>
      </c>
      <c r="K49" s="44">
        <f>NPV('Inputs-System'!$C$20,Q49+W49+AC49+AI49+AO49+AU49+BA49+BG49+BM49+BS49+BY49+CE49+CK49+CQ49+CW49+DC49+DI49+DO49+DU49+EA49)</f>
        <v>0</v>
      </c>
      <c r="L49" s="44">
        <f>NPV('Inputs-System'!$C$20,R49+X49+AD49+AJ49+AP49+AV49+BB49+BH49+BN49+BT49+BZ49+CF49+CL49+CR49+CX49+DD49+DJ49+DP49+DV49+EB49)</f>
        <v>0</v>
      </c>
      <c r="M49" s="44">
        <f>NPV('Inputs-System'!$C$20,S49+Y49+AE49+AK49+AQ49+AW49+BC49+BI49+BO49+BU49+CA49+CG49+CM49+CS49+CY49+DE49+DK49+DQ49+DW49+EC49)</f>
        <v>0</v>
      </c>
      <c r="N49" s="44">
        <f>NPV('Inputs-System'!$C$20,T49+Z49+AF49+AL49+AR49+AX49+BD49+BJ49+BP49+BV49+CB49+CH49+CN49+CT49+CZ49+DF49+DL49+DR49+DX49+ED49)</f>
        <v>0</v>
      </c>
      <c r="O49" s="119">
        <f>NPV('Inputs-System'!$C$20,U49+AA49+AG49+AM49+AS49+AY49+BE49+BK49+BQ49+BW49+CC49+CI49+CO49+CU49+DA49+DG49+DM49+DS49+DY49+EE49)</f>
        <v>0</v>
      </c>
      <c r="P49" s="45">
        <f>IFERROR(_xlfn.IFS($C49="1",('Inputs-System'!$C$30*'Coincidence Factors'!$B$7*(1+'Inputs-System'!$C$18)*(1+'Inputs-System'!$C$41)*('Inputs-Proposals'!$J$17*'Inputs-Proposals'!$J$19*('Inputs-Proposals'!$J$20))*(VLOOKUP(P$3,Energy!$A$51:$K$83,5,FALSE))), $C49 = "2",('Inputs-System'!$C$30*'Coincidence Factors'!$B$7)*(1+'Inputs-System'!$C$18)*(1+'Inputs-System'!$C$41)*('Inputs-Proposals'!$J$23*'Inputs-Proposals'!$J$25*('Inputs-Proposals'!$J$26))*(VLOOKUP(P$3,Energy!$A$51:$K$83,5,FALSE)), $C49= "3", ('Inputs-System'!$C$30*'Coincidence Factors'!$B$7*(1+'Inputs-System'!$C$18)*(1+'Inputs-System'!$C$41)*('Inputs-Proposals'!$J$29*'Inputs-Proposals'!$J$31*('Inputs-Proposals'!$J$32))*(VLOOKUP(P$3,Energy!$A$51:$K$83,5,FALSE))), $C49= "0", 0), 0)</f>
        <v>0</v>
      </c>
      <c r="Q49" s="44">
        <f>IFERROR(_xlfn.IFS($C49="1",'Inputs-System'!$C$30*'Coincidence Factors'!$B$7*(1+'Inputs-System'!$C$18)*(1+'Inputs-System'!$C$41)*'Inputs-Proposals'!$J$17*'Inputs-Proposals'!$J$19*('Inputs-Proposals'!$J$20)*(VLOOKUP(P$3,'Embedded Emissions'!$A$47:$B$78,2,FALSE)+VLOOKUP(P$3,'Embedded Emissions'!$A$129:$B$158,2,FALSE)), $C49 = "2",'Inputs-System'!$C$30*'Coincidence Factors'!$B$7*(1+'Inputs-System'!$C$18)*(1+'Inputs-System'!$C$41)*'Inputs-Proposals'!$J$23*'Inputs-Proposals'!$J$25*('Inputs-Proposals'!$J$20)*(VLOOKUP(P$3,'Embedded Emissions'!$A$47:$B$78,2,FALSE)+VLOOKUP(P$3,'Embedded Emissions'!$A$129:$B$158,2,FALSE)), $C49 = "3", 'Inputs-System'!$C$30*'Coincidence Factors'!$B$7*(1+'Inputs-System'!$C$18)*(1+'Inputs-System'!$C$41)*'Inputs-Proposals'!$J$29*'Inputs-Proposals'!$J$31*('Inputs-Proposals'!$J$20)*(VLOOKUP(P$3,'Embedded Emissions'!$A$47:$B$78,2,FALSE)+VLOOKUP(P$3,'Embedded Emissions'!$A$129:$B$158,2,FALSE)), $C49 = "0", 0), 0)</f>
        <v>0</v>
      </c>
      <c r="R49" s="44">
        <f>IFERROR(_xlfn.IFS($C49="1",( 'Inputs-System'!$C$30*'Coincidence Factors'!$B$7*(1+'Inputs-System'!$C$18)*(1+'Inputs-System'!$C$41))*('Inputs-Proposals'!$J$17*'Inputs-Proposals'!$J$19*('Inputs-Proposals'!$J$20))*(VLOOKUP(P$3,DRIPE!$A$54:$I$82,5,FALSE)+VLOOKUP(P$3,DRIPE!$A$54:$I$82,9,FALSE))+ ('Inputs-System'!$C$26*'Coincidence Factors'!$B$7*(1+'Inputs-System'!$C$18)*(1+'Inputs-System'!$C$42))*'Inputs-Proposals'!$J$16*VLOOKUP(P$3,DRIPE!$A$54:$I$82,8,FALSE), $C49 = "2",( 'Inputs-System'!$C$30*'Coincidence Factors'!$B$7*(1+'Inputs-System'!$C$18)*(1+'Inputs-System'!$C$41))*('Inputs-Proposals'!$J$23*'Inputs-Proposals'!$J$25*('Inputs-Proposals'!$J$26))*(VLOOKUP(P$3,DRIPE!$A$54:$I$82,5,FALSE)+VLOOKUP(P$3,DRIPE!$A$54:$I$82,12,FALSE))+ ('Inputs-System'!$C$26*'Coincidence Factors'!$B$7*(1+'Inputs-System'!$C$18)*(1+'Inputs-System'!$C$42))*'Inputs-Proposals'!$J$22*VLOOKUP(P$3,DRIPE!$A$54:$I$82,8,FALSE), $C49= "3", ( 'Inputs-System'!$C$30*'Coincidence Factors'!$B$7*(1+'Inputs-System'!$C$18)*(1+'Inputs-System'!$C$41))*('Inputs-Proposals'!$J$29*'Inputs-Proposals'!$J$31*('Inputs-Proposals'!$J$32))*(VLOOKUP(P$3,DRIPE!$A$54:$I$82,5,FALSE)+VLOOKUP(P$3,DRIPE!$A$54:$I$82,12,FALSE))+ ('Inputs-System'!$C$26*'Coincidence Factors'!$B$7*(1+'Inputs-System'!$C$18)*(1+'Inputs-System'!$C$42))*'Inputs-Proposals'!$J$28*VLOOKUP(P$3,DRIPE!$A$54:$I$82,8,FALSE), $C49 = "0", 0), 0)</f>
        <v>0</v>
      </c>
      <c r="S49" s="45">
        <f>IFERROR(_xlfn.IFS($C49="1",('Inputs-System'!$C$26*'Coincidence Factors'!$B$7*(1+'Inputs-System'!$C$18))*'Inputs-Proposals'!$J$16*(VLOOKUP(P$3,Capacity!$A$53:$E$85,4,FALSE)*(1+'Inputs-System'!$C$42)+VLOOKUP(P$3,Capacity!$A$53:$E$85,5,FALSE)*'Inputs-System'!$C$29*(1+'Inputs-System'!$C$43)), $C49 = "2", ('Inputs-System'!$C$26*'Coincidence Factors'!$B$7*(1+'Inputs-System'!$C$18))*'Inputs-Proposals'!$J$22*(VLOOKUP(P$3,Capacity!$A$53:$E$85,4,FALSE)*(1+'Inputs-System'!$C$42)+VLOOKUP(P$3,Capacity!$A$53:$E$85,5,FALSE)*'Inputs-System'!$C$29*(1+'Inputs-System'!$C$43)), $C49 = "3",('Inputs-System'!$C$26*'Coincidence Factors'!$B$7*(1+'Inputs-System'!$C$18))*'Inputs-Proposals'!$J$28*(VLOOKUP(P$3,Capacity!$A$53:$E$85,4,FALSE)*(1+'Inputs-System'!$C$42)+VLOOKUP(P$3,Capacity!$A$53:$E$85,5,FALSE)*'Inputs-System'!$C$29*(1+'Inputs-System'!$C$43)), $C49 = "0", 0), 0)</f>
        <v>0</v>
      </c>
      <c r="T49" s="44">
        <v>0</v>
      </c>
      <c r="U49" s="44">
        <f>IFERROR(_xlfn.IFS($C49="1", 'Inputs-System'!$C$30*'Coincidence Factors'!$B$7*'Inputs-Proposals'!$J$17*'Inputs-Proposals'!$J$19*(VLOOKUP(P$3,'Non-Embedded Emissions'!$A$56:$D$90,2,FALSE)+VLOOKUP(P$3,'Non-Embedded Emissions'!$A$143:$D$174,2,FALSE)+VLOOKUP(P$3,'Non-Embedded Emissions'!$A$230:$D$259,2,FALSE)), $C49 = "2", 'Inputs-System'!$C$30*'Coincidence Factors'!$B$7*'Inputs-Proposals'!$J$23*'Inputs-Proposals'!$J$25*(VLOOKUP(P$3,'Non-Embedded Emissions'!$A$56:$D$90,2,FALSE)+VLOOKUP(P$3,'Non-Embedded Emissions'!$A$143:$D$174,2,FALSE)+VLOOKUP(P$3,'Non-Embedded Emissions'!$A$230:$D$259,2,FALSE)), $C49 = "3", 'Inputs-System'!$C$30*'Coincidence Factors'!$B$7*'Inputs-Proposals'!$J$29*'Inputs-Proposals'!$J$31*(VLOOKUP(P$3,'Non-Embedded Emissions'!$A$56:$D$90,2,FALSE)+VLOOKUP(P$3,'Non-Embedded Emissions'!$A$143:$D$174,2,FALSE)+VLOOKUP(P$3,'Non-Embedded Emissions'!$A$230:$D$259,2,FALSE)), $C49 = "0", 0), 0)</f>
        <v>0</v>
      </c>
      <c r="V49" s="347">
        <f>IFERROR(_xlfn.IFS($C49="1",('Inputs-System'!$C$30*'Coincidence Factors'!$B$7*(1+'Inputs-System'!$C$18)*(1+'Inputs-System'!$C$41)*('Inputs-Proposals'!$J$17*'Inputs-Proposals'!$J$19*('Inputs-Proposals'!$J$20))*(VLOOKUP(V$3,Energy!$A$51:$K$83,5,FALSE))), $C49 = "2",('Inputs-System'!$C$30*'Coincidence Factors'!$B$7)*(1+'Inputs-System'!$C$18)*(1+'Inputs-System'!$C$41)*('Inputs-Proposals'!$J$23*'Inputs-Proposals'!$J$25*('Inputs-Proposals'!$J$26))*(VLOOKUP(V$3,Energy!$A$51:$K$83,5,FALSE)), $C49= "3", ('Inputs-System'!$C$30*'Coincidence Factors'!$B$7*(1+'Inputs-System'!$C$18)*(1+'Inputs-System'!$C$41)*('Inputs-Proposals'!$J$29*'Inputs-Proposals'!$J$31*('Inputs-Proposals'!$J$32))*(VLOOKUP(V$3,Energy!$A$51:$K$83,5,FALSE))), $C49= "0", 0), 0)</f>
        <v>0</v>
      </c>
      <c r="W49" s="44">
        <f>IFERROR(_xlfn.IFS($C49="1",'Inputs-System'!$C$30*'Coincidence Factors'!$B$7*(1+'Inputs-System'!$C$18)*(1+'Inputs-System'!$C$41)*'Inputs-Proposals'!$J$17*'Inputs-Proposals'!$J$19*('Inputs-Proposals'!$J$20)*(VLOOKUP(V$3,'Embedded Emissions'!$A$47:$B$78,2,FALSE)+VLOOKUP(V$3,'Embedded Emissions'!$A$129:$B$158,2,FALSE)), $C49 = "2",'Inputs-System'!$C$30*'Coincidence Factors'!$B$7*(1+'Inputs-System'!$C$18)*(1+'Inputs-System'!$C$41)*'Inputs-Proposals'!$J$23*'Inputs-Proposals'!$J$25*('Inputs-Proposals'!$J$20)*(VLOOKUP(V$3,'Embedded Emissions'!$A$47:$B$78,2,FALSE)+VLOOKUP(V$3,'Embedded Emissions'!$A$129:$B$158,2,FALSE)), $C49 = "3", 'Inputs-System'!$C$30*'Coincidence Factors'!$B$7*(1+'Inputs-System'!$C$18)*(1+'Inputs-System'!$C$41)*'Inputs-Proposals'!$J$29*'Inputs-Proposals'!$J$31*('Inputs-Proposals'!$J$20)*(VLOOKUP(V$3,'Embedded Emissions'!$A$47:$B$78,2,FALSE)+VLOOKUP(V$3,'Embedded Emissions'!$A$129:$B$158,2,FALSE)), $C49 = "0", 0), 0)</f>
        <v>0</v>
      </c>
      <c r="X49" s="44">
        <f>IFERROR(_xlfn.IFS($C49="1",( 'Inputs-System'!$C$30*'Coincidence Factors'!$B$7*(1+'Inputs-System'!$C$18)*(1+'Inputs-System'!$C$41))*('Inputs-Proposals'!$J$17*'Inputs-Proposals'!$J$19*('Inputs-Proposals'!$J$20))*(VLOOKUP(V$3,DRIPE!$A$54:$I$82,5,FALSE)+VLOOKUP(V$3,DRIPE!$A$54:$I$82,9,FALSE))+ ('Inputs-System'!$C$26*'Coincidence Factors'!$B$7*(1+'Inputs-System'!$C$18)*(1+'Inputs-System'!$C$42))*'Inputs-Proposals'!$J$16*VLOOKUP(V$3,DRIPE!$A$54:$I$82,8,FALSE), $C49 = "2",( 'Inputs-System'!$C$30*'Coincidence Factors'!$B$7*(1+'Inputs-System'!$C$18)*(1+'Inputs-System'!$C$41))*('Inputs-Proposals'!$J$23*'Inputs-Proposals'!$J$25*('Inputs-Proposals'!$J$26))*(VLOOKUP(V$3,DRIPE!$A$54:$I$82,5,FALSE)+VLOOKUP(V$3,DRIPE!$A$54:$I$82,12,FALSE))+ ('Inputs-System'!$C$26*'Coincidence Factors'!$B$7*(1+'Inputs-System'!$C$18)*(1+'Inputs-System'!$C$42))*'Inputs-Proposals'!$J$22*VLOOKUP(V$3,DRIPE!$A$54:$I$82,8,FALSE), $C49= "3", ( 'Inputs-System'!$C$30*'Coincidence Factors'!$B$7*(1+'Inputs-System'!$C$18)*(1+'Inputs-System'!$C$41))*('Inputs-Proposals'!$J$29*'Inputs-Proposals'!$J$31*('Inputs-Proposals'!$J$32))*(VLOOKUP(V$3,DRIPE!$A$54:$I$82,5,FALSE)+VLOOKUP(V$3,DRIPE!$A$54:$I$82,12,FALSE))+ ('Inputs-System'!$C$26*'Coincidence Factors'!$B$7*(1+'Inputs-System'!$C$18)*(1+'Inputs-System'!$C$42))*'Inputs-Proposals'!$J$28*VLOOKUP(V$3,DRIPE!$A$54:$I$82,8,FALSE), $C49 = "0", 0), 0)</f>
        <v>0</v>
      </c>
      <c r="Y49" s="45">
        <f>IFERROR(_xlfn.IFS($C49="1",('Inputs-System'!$C$26*'Coincidence Factors'!$B$7*(1+'Inputs-System'!$C$18))*'Inputs-Proposals'!$J$16*(VLOOKUP(V$3,Capacity!$A$53:$E$85,4,FALSE)*(1+'Inputs-System'!$C$42)+VLOOKUP(V$3,Capacity!$A$53:$E$85,5,FALSE)*'Inputs-System'!$C$29*(1+'Inputs-System'!$C$43)), $C49 = "2", ('Inputs-System'!$C$26*'Coincidence Factors'!$B$7*(1+'Inputs-System'!$C$18))*'Inputs-Proposals'!$J$22*(VLOOKUP(V$3,Capacity!$A$53:$E$85,4,FALSE)*(1+'Inputs-System'!$C$42)+VLOOKUP(V$3,Capacity!$A$53:$E$85,5,FALSE)*'Inputs-System'!$C$29*(1+'Inputs-System'!$C$43)), $C49 = "3",('Inputs-System'!$C$26*'Coincidence Factors'!$B$7*(1+'Inputs-System'!$C$18))*'Inputs-Proposals'!$J$28*(VLOOKUP(V$3,Capacity!$A$53:$E$85,4,FALSE)*(1+'Inputs-System'!$C$42)+VLOOKUP(V$3,Capacity!$A$53:$E$85,5,FALSE)*'Inputs-System'!$C$29*(1+'Inputs-System'!$C$43)), $C49 = "0", 0), 0)</f>
        <v>0</v>
      </c>
      <c r="Z49" s="44">
        <v>0</v>
      </c>
      <c r="AA49" s="342">
        <f>IFERROR(_xlfn.IFS($C49="1", 'Inputs-System'!$C$30*'Coincidence Factors'!$B$7*'Inputs-Proposals'!$J$17*'Inputs-Proposals'!$J$19*(VLOOKUP(V$3,'Non-Embedded Emissions'!$A$56:$D$90,2,FALSE)+VLOOKUP(V$3,'Non-Embedded Emissions'!$A$143:$D$174,2,FALSE)+VLOOKUP(V$3,'Non-Embedded Emissions'!$A$230:$D$259,2,FALSE)), $C49 = "2", 'Inputs-System'!$C$30*'Coincidence Factors'!$B$7*'Inputs-Proposals'!$J$23*'Inputs-Proposals'!$J$25*(VLOOKUP(V$3,'Non-Embedded Emissions'!$A$56:$D$90,2,FALSE)+VLOOKUP(V$3,'Non-Embedded Emissions'!$A$143:$D$174,2,FALSE)+VLOOKUP(V$3,'Non-Embedded Emissions'!$A$230:$D$259,2,FALSE)), $C49 = "3", 'Inputs-System'!$C$30*'Coincidence Factors'!$B$7*'Inputs-Proposals'!$J$29*'Inputs-Proposals'!$J$31*(VLOOKUP(V$3,'Non-Embedded Emissions'!$A$56:$D$90,2,FALSE)+VLOOKUP(V$3,'Non-Embedded Emissions'!$A$143:$D$174,2,FALSE)+VLOOKUP(V$3,'Non-Embedded Emissions'!$A$230:$D$259,2,FALSE)), $C49 = "0", 0), 0)</f>
        <v>0</v>
      </c>
      <c r="AB49" s="347">
        <f>IFERROR(_xlfn.IFS($C49="1",('Inputs-System'!$C$30*'Coincidence Factors'!$B$7*(1+'Inputs-System'!$C$18)*(1+'Inputs-System'!$C$41)*('Inputs-Proposals'!$J$17*'Inputs-Proposals'!$J$19*('Inputs-Proposals'!$J$20))*(VLOOKUP(AB$3,Energy!$A$51:$K$83,5,FALSE))), $C49 = "2",('Inputs-System'!$C$30*'Coincidence Factors'!$B$7)*(1+'Inputs-System'!$C$18)*(1+'Inputs-System'!$C$41)*('Inputs-Proposals'!$J$23*'Inputs-Proposals'!$J$25*('Inputs-Proposals'!$J$26))*(VLOOKUP(AB$3,Energy!$A$51:$K$83,5,FALSE)), $C49= "3", ('Inputs-System'!$C$30*'Coincidence Factors'!$B$7*(1+'Inputs-System'!$C$18)*(1+'Inputs-System'!$C$41)*('Inputs-Proposals'!$J$29*'Inputs-Proposals'!$J$31*('Inputs-Proposals'!$J$32))*(VLOOKUP(AB$3,Energy!$A$51:$K$83,5,FALSE))), $C49= "0", 0), 0)</f>
        <v>0</v>
      </c>
      <c r="AC49" s="44">
        <f>IFERROR(_xlfn.IFS($C49="1",'Inputs-System'!$C$30*'Coincidence Factors'!$B$7*(1+'Inputs-System'!$C$18)*(1+'Inputs-System'!$C$41)*'Inputs-Proposals'!$J$17*'Inputs-Proposals'!$J$19*('Inputs-Proposals'!$J$20)*(VLOOKUP(AB$3,'Embedded Emissions'!$A$47:$B$78,2,FALSE)+VLOOKUP(AB$3,'Embedded Emissions'!$A$129:$B$158,2,FALSE)), $C49 = "2",'Inputs-System'!$C$30*'Coincidence Factors'!$B$7*(1+'Inputs-System'!$C$18)*(1+'Inputs-System'!$C$41)*'Inputs-Proposals'!$J$23*'Inputs-Proposals'!$J$25*('Inputs-Proposals'!$J$20)*(VLOOKUP(AB$3,'Embedded Emissions'!$A$47:$B$78,2,FALSE)+VLOOKUP(AB$3,'Embedded Emissions'!$A$129:$B$158,2,FALSE)), $C49 = "3", 'Inputs-System'!$C$30*'Coincidence Factors'!$B$7*(1+'Inputs-System'!$C$18)*(1+'Inputs-System'!$C$41)*'Inputs-Proposals'!$J$29*'Inputs-Proposals'!$J$31*('Inputs-Proposals'!$J$20)*(VLOOKUP(AB$3,'Embedded Emissions'!$A$47:$B$78,2,FALSE)+VLOOKUP(AB$3,'Embedded Emissions'!$A$129:$B$158,2,FALSE)), $C49 = "0", 0), 0)</f>
        <v>0</v>
      </c>
      <c r="AD49" s="44">
        <f>IFERROR(_xlfn.IFS($C49="1",( 'Inputs-System'!$C$30*'Coincidence Factors'!$B$7*(1+'Inputs-System'!$C$18)*(1+'Inputs-System'!$C$41))*('Inputs-Proposals'!$J$17*'Inputs-Proposals'!$J$19*('Inputs-Proposals'!$J$20))*(VLOOKUP(AB$3,DRIPE!$A$54:$I$82,5,FALSE)+VLOOKUP(AB$3,DRIPE!$A$54:$I$82,9,FALSE))+ ('Inputs-System'!$C$26*'Coincidence Factors'!$B$7*(1+'Inputs-System'!$C$18)*(1+'Inputs-System'!$C$42))*'Inputs-Proposals'!$J$16*VLOOKUP(AB$3,DRIPE!$A$54:$I$82,8,FALSE), $C49 = "2",( 'Inputs-System'!$C$30*'Coincidence Factors'!$B$7*(1+'Inputs-System'!$C$18)*(1+'Inputs-System'!$C$41))*('Inputs-Proposals'!$J$23*'Inputs-Proposals'!$J$25*('Inputs-Proposals'!$J$26))*(VLOOKUP(AB$3,DRIPE!$A$54:$I$82,5,FALSE)+VLOOKUP(AB$3,DRIPE!$A$54:$I$82,12,FALSE))+ ('Inputs-System'!$C$26*'Coincidence Factors'!$B$7*(1+'Inputs-System'!$C$18)*(1+'Inputs-System'!$C$42))*'Inputs-Proposals'!$J$22*VLOOKUP(AB$3,DRIPE!$A$54:$I$82,8,FALSE), $C49= "3", ( 'Inputs-System'!$C$30*'Coincidence Factors'!$B$7*(1+'Inputs-System'!$C$18)*(1+'Inputs-System'!$C$41))*('Inputs-Proposals'!$J$29*'Inputs-Proposals'!$J$31*('Inputs-Proposals'!$J$32))*(VLOOKUP(AB$3,DRIPE!$A$54:$I$82,5,FALSE)+VLOOKUP(AB$3,DRIPE!$A$54:$I$82,12,FALSE))+ ('Inputs-System'!$C$26*'Coincidence Factors'!$B$7*(1+'Inputs-System'!$C$18)*(1+'Inputs-System'!$C$42))*'Inputs-Proposals'!$J$28*VLOOKUP(AB$3,DRIPE!$A$54:$I$82,8,FALSE), $C49 = "0", 0), 0)</f>
        <v>0</v>
      </c>
      <c r="AE49" s="45">
        <f>IFERROR(_xlfn.IFS($C49="1",('Inputs-System'!$C$26*'Coincidence Factors'!$B$7*(1+'Inputs-System'!$C$18))*'Inputs-Proposals'!$J$16*(VLOOKUP(AB$3,Capacity!$A$53:$E$85,4,FALSE)*(1+'Inputs-System'!$C$42)+VLOOKUP(AB$3,Capacity!$A$53:$E$85,5,FALSE)*'Inputs-System'!$C$29*(1+'Inputs-System'!$C$43)), $C49 = "2", ('Inputs-System'!$C$26*'Coincidence Factors'!$B$7*(1+'Inputs-System'!$C$18))*'Inputs-Proposals'!$J$22*(VLOOKUP(AB$3,Capacity!$A$53:$E$85,4,FALSE)*(1+'Inputs-System'!$C$42)+VLOOKUP(AB$3,Capacity!$A$53:$E$85,5,FALSE)*'Inputs-System'!$C$29*(1+'Inputs-System'!$C$43)), $C49 = "3",('Inputs-System'!$C$26*'Coincidence Factors'!$B$7*(1+'Inputs-System'!$C$18))*'Inputs-Proposals'!$J$28*(VLOOKUP(AB$3,Capacity!$A$53:$E$85,4,FALSE)*(1+'Inputs-System'!$C$42)+VLOOKUP(AB$3,Capacity!$A$53:$E$85,5,FALSE)*'Inputs-System'!$C$29*(1+'Inputs-System'!$C$43)), $C49 = "0", 0), 0)</f>
        <v>0</v>
      </c>
      <c r="AF49" s="44">
        <v>0</v>
      </c>
      <c r="AG49" s="342">
        <f>IFERROR(_xlfn.IFS($C49="1", 'Inputs-System'!$C$30*'Coincidence Factors'!$B$7*'Inputs-Proposals'!$J$17*'Inputs-Proposals'!$J$19*(VLOOKUP(AB$3,'Non-Embedded Emissions'!$A$56:$D$90,2,FALSE)+VLOOKUP(AB$3,'Non-Embedded Emissions'!$A$143:$D$174,2,FALSE)+VLOOKUP(AB$3,'Non-Embedded Emissions'!$A$230:$D$259,2,FALSE)), $C49 = "2", 'Inputs-System'!$C$30*'Coincidence Factors'!$B$7*'Inputs-Proposals'!$J$23*'Inputs-Proposals'!$J$25*(VLOOKUP(AB$3,'Non-Embedded Emissions'!$A$56:$D$90,2,FALSE)+VLOOKUP(AB$3,'Non-Embedded Emissions'!$A$143:$D$174,2,FALSE)+VLOOKUP(AB$3,'Non-Embedded Emissions'!$A$230:$D$259,2,FALSE)), $C49 = "3", 'Inputs-System'!$C$30*'Coincidence Factors'!$B$7*'Inputs-Proposals'!$J$29*'Inputs-Proposals'!$J$31*(VLOOKUP(AB$3,'Non-Embedded Emissions'!$A$56:$D$90,2,FALSE)+VLOOKUP(AB$3,'Non-Embedded Emissions'!$A$143:$D$174,2,FALSE)+VLOOKUP(AB$3,'Non-Embedded Emissions'!$A$230:$D$259,2,FALSE)), $C49 = "0", 0), 0)</f>
        <v>0</v>
      </c>
      <c r="AH49" s="347">
        <f>IFERROR(_xlfn.IFS($C49="1",('Inputs-System'!$C$30*'Coincidence Factors'!$B$7*(1+'Inputs-System'!$C$18)*(1+'Inputs-System'!$C$41)*('Inputs-Proposals'!$J$17*'Inputs-Proposals'!$J$19*('Inputs-Proposals'!$J$20))*(VLOOKUP(AH$3,Energy!$A$51:$K$83,5,FALSE))), $C49 = "2",('Inputs-System'!$C$30*'Coincidence Factors'!$B$7)*(1+'Inputs-System'!$C$18)*(1+'Inputs-System'!$C$41)*('Inputs-Proposals'!$J$23*'Inputs-Proposals'!$J$25*('Inputs-Proposals'!$J$26))*(VLOOKUP(AH$3,Energy!$A$51:$K$83,5,FALSE)), $C49= "3", ('Inputs-System'!$C$30*'Coincidence Factors'!$B$7*(1+'Inputs-System'!$C$18)*(1+'Inputs-System'!$C$41)*('Inputs-Proposals'!$J$29*'Inputs-Proposals'!$J$31*('Inputs-Proposals'!$J$32))*(VLOOKUP(AH$3,Energy!$A$51:$K$83,5,FALSE))), $C49= "0", 0), 0)</f>
        <v>0</v>
      </c>
      <c r="AI49" s="44">
        <f>IFERROR(_xlfn.IFS($C49="1",'Inputs-System'!$C$30*'Coincidence Factors'!$B$7*(1+'Inputs-System'!$C$18)*(1+'Inputs-System'!$C$41)*'Inputs-Proposals'!$J$17*'Inputs-Proposals'!$J$19*('Inputs-Proposals'!$J$20)*(VLOOKUP(AH$3,'Embedded Emissions'!$A$47:$B$78,2,FALSE)+VLOOKUP(AH$3,'Embedded Emissions'!$A$129:$B$158,2,FALSE)), $C49 = "2",'Inputs-System'!$C$30*'Coincidence Factors'!$B$7*(1+'Inputs-System'!$C$18)*(1+'Inputs-System'!$C$41)*'Inputs-Proposals'!$J$23*'Inputs-Proposals'!$J$25*('Inputs-Proposals'!$J$20)*(VLOOKUP(AH$3,'Embedded Emissions'!$A$47:$B$78,2,FALSE)+VLOOKUP(AH$3,'Embedded Emissions'!$A$129:$B$158,2,FALSE)), $C49 = "3", 'Inputs-System'!$C$30*'Coincidence Factors'!$B$7*(1+'Inputs-System'!$C$18)*(1+'Inputs-System'!$C$41)*'Inputs-Proposals'!$J$29*'Inputs-Proposals'!$J$31*('Inputs-Proposals'!$J$20)*(VLOOKUP(AH$3,'Embedded Emissions'!$A$47:$B$78,2,FALSE)+VLOOKUP(AH$3,'Embedded Emissions'!$A$129:$B$158,2,FALSE)), $C49 = "0", 0), 0)</f>
        <v>0</v>
      </c>
      <c r="AJ49" s="44">
        <f>IFERROR(_xlfn.IFS($C49="1",( 'Inputs-System'!$C$30*'Coincidence Factors'!$B$7*(1+'Inputs-System'!$C$18)*(1+'Inputs-System'!$C$41))*('Inputs-Proposals'!$J$17*'Inputs-Proposals'!$J$19*('Inputs-Proposals'!$J$20))*(VLOOKUP(AH$3,DRIPE!$A$54:$I$82,5,FALSE)+VLOOKUP(AH$3,DRIPE!$A$54:$I$82,9,FALSE))+ ('Inputs-System'!$C$26*'Coincidence Factors'!$B$7*(1+'Inputs-System'!$C$18)*(1+'Inputs-System'!$C$42))*'Inputs-Proposals'!$J$16*VLOOKUP(AH$3,DRIPE!$A$54:$I$82,8,FALSE), $C49 = "2",( 'Inputs-System'!$C$30*'Coincidence Factors'!$B$7*(1+'Inputs-System'!$C$18)*(1+'Inputs-System'!$C$41))*('Inputs-Proposals'!$J$23*'Inputs-Proposals'!$J$25*('Inputs-Proposals'!$J$26))*(VLOOKUP(AH$3,DRIPE!$A$54:$I$82,5,FALSE)+VLOOKUP(AH$3,DRIPE!$A$54:$I$82,12,FALSE))+ ('Inputs-System'!$C$26*'Coincidence Factors'!$B$7*(1+'Inputs-System'!$C$18)*(1+'Inputs-System'!$C$42))*'Inputs-Proposals'!$J$22*VLOOKUP(AH$3,DRIPE!$A$54:$I$82,8,FALSE), $C49= "3", ( 'Inputs-System'!$C$30*'Coincidence Factors'!$B$7*(1+'Inputs-System'!$C$18)*(1+'Inputs-System'!$C$41))*('Inputs-Proposals'!$J$29*'Inputs-Proposals'!$J$31*('Inputs-Proposals'!$J$32))*(VLOOKUP(AH$3,DRIPE!$A$54:$I$82,5,FALSE)+VLOOKUP(AH$3,DRIPE!$A$54:$I$82,12,FALSE))+ ('Inputs-System'!$C$26*'Coincidence Factors'!$B$7*(1+'Inputs-System'!$C$18)*(1+'Inputs-System'!$C$42))*'Inputs-Proposals'!$J$28*VLOOKUP(AH$3,DRIPE!$A$54:$I$82,8,FALSE), $C49 = "0", 0), 0)</f>
        <v>0</v>
      </c>
      <c r="AK49" s="45">
        <f>IFERROR(_xlfn.IFS($C49="1",('Inputs-System'!$C$26*'Coincidence Factors'!$B$7*(1+'Inputs-System'!$C$18))*'Inputs-Proposals'!$J$16*(VLOOKUP(AH$3,Capacity!$A$53:$E$85,4,FALSE)*(1+'Inputs-System'!$C$42)+VLOOKUP(AH$3,Capacity!$A$53:$E$85,5,FALSE)*'Inputs-System'!$C$29*(1+'Inputs-System'!$C$43)), $C49 = "2", ('Inputs-System'!$C$26*'Coincidence Factors'!$B$7*(1+'Inputs-System'!$C$18))*'Inputs-Proposals'!$J$22*(VLOOKUP(AH$3,Capacity!$A$53:$E$85,4,FALSE)*(1+'Inputs-System'!$C$42)+VLOOKUP(AH$3,Capacity!$A$53:$E$85,5,FALSE)*'Inputs-System'!$C$29*(1+'Inputs-System'!$C$43)), $C49 = "3",('Inputs-System'!$C$26*'Coincidence Factors'!$B$7*(1+'Inputs-System'!$C$18))*'Inputs-Proposals'!$J$28*(VLOOKUP(AH$3,Capacity!$A$53:$E$85,4,FALSE)*(1+'Inputs-System'!$C$42)+VLOOKUP(AH$3,Capacity!$A$53:$E$85,5,FALSE)*'Inputs-System'!$C$29*(1+'Inputs-System'!$C$43)), $C49 = "0", 0), 0)</f>
        <v>0</v>
      </c>
      <c r="AL49" s="44">
        <v>0</v>
      </c>
      <c r="AM49" s="342">
        <f>IFERROR(_xlfn.IFS($C49="1", 'Inputs-System'!$C$30*'Coincidence Factors'!$B$7*'Inputs-Proposals'!$J$17*'Inputs-Proposals'!$J$19*(VLOOKUP(AH$3,'Non-Embedded Emissions'!$A$56:$D$90,2,FALSE)+VLOOKUP(AH$3,'Non-Embedded Emissions'!$A$143:$D$174,2,FALSE)+VLOOKUP(AH$3,'Non-Embedded Emissions'!$A$230:$D$259,2,FALSE)), $C49 = "2", 'Inputs-System'!$C$30*'Coincidence Factors'!$B$7*'Inputs-Proposals'!$J$23*'Inputs-Proposals'!$J$25*(VLOOKUP(AH$3,'Non-Embedded Emissions'!$A$56:$D$90,2,FALSE)+VLOOKUP(AH$3,'Non-Embedded Emissions'!$A$143:$D$174,2,FALSE)+VLOOKUP(AH$3,'Non-Embedded Emissions'!$A$230:$D$259,2,FALSE)), $C49 = "3", 'Inputs-System'!$C$30*'Coincidence Factors'!$B$7*'Inputs-Proposals'!$J$29*'Inputs-Proposals'!$J$31*(VLOOKUP(AH$3,'Non-Embedded Emissions'!$A$56:$D$90,2,FALSE)+VLOOKUP(AH$3,'Non-Embedded Emissions'!$A$143:$D$174,2,FALSE)+VLOOKUP(AH$3,'Non-Embedded Emissions'!$A$230:$D$259,2,FALSE)), $C49 = "0", 0), 0)</f>
        <v>0</v>
      </c>
      <c r="AN49" s="347">
        <f>IFERROR(_xlfn.IFS($C49="1",('Inputs-System'!$C$30*'Coincidence Factors'!$B$7*(1+'Inputs-System'!$C$18)*(1+'Inputs-System'!$C$41)*('Inputs-Proposals'!$J$17*'Inputs-Proposals'!$J$19*('Inputs-Proposals'!$J$20))*(VLOOKUP(AN$3,Energy!$A$51:$K$83,5,FALSE))), $C49 = "2",('Inputs-System'!$C$30*'Coincidence Factors'!$B$7)*(1+'Inputs-System'!$C$18)*(1+'Inputs-System'!$C$41)*('Inputs-Proposals'!$J$23*'Inputs-Proposals'!$J$25*('Inputs-Proposals'!$J$26))*(VLOOKUP(AN$3,Energy!$A$51:$K$83,5,FALSE)), $C49= "3", ('Inputs-System'!$C$30*'Coincidence Factors'!$B$7*(1+'Inputs-System'!$C$18)*(1+'Inputs-System'!$C$41)*('Inputs-Proposals'!$J$29*'Inputs-Proposals'!$J$31*('Inputs-Proposals'!$J$32))*(VLOOKUP(AN$3,Energy!$A$51:$K$83,5,FALSE))), $C49= "0", 0), 0)</f>
        <v>0</v>
      </c>
      <c r="AO49" s="44">
        <f>IFERROR(_xlfn.IFS($C49="1",'Inputs-System'!$C$30*'Coincidence Factors'!$B$7*(1+'Inputs-System'!$C$18)*(1+'Inputs-System'!$C$41)*'Inputs-Proposals'!$J$17*'Inputs-Proposals'!$J$19*('Inputs-Proposals'!$J$20)*(VLOOKUP(AN$3,'Embedded Emissions'!$A$47:$B$78,2,FALSE)+VLOOKUP(AN$3,'Embedded Emissions'!$A$129:$B$158,2,FALSE)), $C49 = "2",'Inputs-System'!$C$30*'Coincidence Factors'!$B$7*(1+'Inputs-System'!$C$18)*(1+'Inputs-System'!$C$41)*'Inputs-Proposals'!$J$23*'Inputs-Proposals'!$J$25*('Inputs-Proposals'!$J$20)*(VLOOKUP(AN$3,'Embedded Emissions'!$A$47:$B$78,2,FALSE)+VLOOKUP(AN$3,'Embedded Emissions'!$A$129:$B$158,2,FALSE)), $C49 = "3", 'Inputs-System'!$C$30*'Coincidence Factors'!$B$7*(1+'Inputs-System'!$C$18)*(1+'Inputs-System'!$C$41)*'Inputs-Proposals'!$J$29*'Inputs-Proposals'!$J$31*('Inputs-Proposals'!$J$20)*(VLOOKUP(AN$3,'Embedded Emissions'!$A$47:$B$78,2,FALSE)+VLOOKUP(AN$3,'Embedded Emissions'!$A$129:$B$158,2,FALSE)), $C49 = "0", 0), 0)</f>
        <v>0</v>
      </c>
      <c r="AP49" s="44">
        <f>IFERROR(_xlfn.IFS($C49="1",( 'Inputs-System'!$C$30*'Coincidence Factors'!$B$7*(1+'Inputs-System'!$C$18)*(1+'Inputs-System'!$C$41))*('Inputs-Proposals'!$J$17*'Inputs-Proposals'!$J$19*('Inputs-Proposals'!$J$20))*(VLOOKUP(AN$3,DRIPE!$A$54:$I$82,5,FALSE)+VLOOKUP(AN$3,DRIPE!$A$54:$I$82,9,FALSE))+ ('Inputs-System'!$C$26*'Coincidence Factors'!$B$7*(1+'Inputs-System'!$C$18)*(1+'Inputs-System'!$C$42))*'Inputs-Proposals'!$J$16*VLOOKUP(AN$3,DRIPE!$A$54:$I$82,8,FALSE), $C49 = "2",( 'Inputs-System'!$C$30*'Coincidence Factors'!$B$7*(1+'Inputs-System'!$C$18)*(1+'Inputs-System'!$C$41))*('Inputs-Proposals'!$J$23*'Inputs-Proposals'!$J$25*('Inputs-Proposals'!$J$26))*(VLOOKUP(AN$3,DRIPE!$A$54:$I$82,5,FALSE)+VLOOKUP(AN$3,DRIPE!$A$54:$I$82,12,FALSE))+ ('Inputs-System'!$C$26*'Coincidence Factors'!$B$7*(1+'Inputs-System'!$C$18)*(1+'Inputs-System'!$C$42))*'Inputs-Proposals'!$J$22*VLOOKUP(AN$3,DRIPE!$A$54:$I$82,8,FALSE), $C49= "3", ( 'Inputs-System'!$C$30*'Coincidence Factors'!$B$7*(1+'Inputs-System'!$C$18)*(1+'Inputs-System'!$C$41))*('Inputs-Proposals'!$J$29*'Inputs-Proposals'!$J$31*('Inputs-Proposals'!$J$32))*(VLOOKUP(AN$3,DRIPE!$A$54:$I$82,5,FALSE)+VLOOKUP(AN$3,DRIPE!$A$54:$I$82,12,FALSE))+ ('Inputs-System'!$C$26*'Coincidence Factors'!$B$7*(1+'Inputs-System'!$C$18)*(1+'Inputs-System'!$C$42))*'Inputs-Proposals'!$J$28*VLOOKUP(AN$3,DRIPE!$A$54:$I$82,8,FALSE), $C49 = "0", 0), 0)</f>
        <v>0</v>
      </c>
      <c r="AQ49" s="45">
        <f>IFERROR(_xlfn.IFS($C49="1",('Inputs-System'!$C$26*'Coincidence Factors'!$B$7*(1+'Inputs-System'!$C$18))*'Inputs-Proposals'!$J$16*(VLOOKUP(AN$3,Capacity!$A$53:$E$85,4,FALSE)*(1+'Inputs-System'!$C$42)+VLOOKUP(AN$3,Capacity!$A$53:$E$85,5,FALSE)*'Inputs-System'!$C$29*(1+'Inputs-System'!$C$43)), $C49 = "2", ('Inputs-System'!$C$26*'Coincidence Factors'!$B$7*(1+'Inputs-System'!$C$18))*'Inputs-Proposals'!$J$22*(VLOOKUP(AN$3,Capacity!$A$53:$E$85,4,FALSE)*(1+'Inputs-System'!$C$42)+VLOOKUP(AN$3,Capacity!$A$53:$E$85,5,FALSE)*'Inputs-System'!$C$29*(1+'Inputs-System'!$C$43)), $C49 = "3",('Inputs-System'!$C$26*'Coincidence Factors'!$B$7*(1+'Inputs-System'!$C$18))*'Inputs-Proposals'!$J$28*(VLOOKUP(AN$3,Capacity!$A$53:$E$85,4,FALSE)*(1+'Inputs-System'!$C$42)+VLOOKUP(AN$3,Capacity!$A$53:$E$85,5,FALSE)*'Inputs-System'!$C$29*(1+'Inputs-System'!$C$43)), $C49 = "0", 0), 0)</f>
        <v>0</v>
      </c>
      <c r="AR49" s="44">
        <v>0</v>
      </c>
      <c r="AS49" s="342">
        <f>IFERROR(_xlfn.IFS($C49="1", 'Inputs-System'!$C$30*'Coincidence Factors'!$B$7*'Inputs-Proposals'!$J$17*'Inputs-Proposals'!$J$19*(VLOOKUP(AN$3,'Non-Embedded Emissions'!$A$56:$D$90,2,FALSE)+VLOOKUP(AN$3,'Non-Embedded Emissions'!$A$143:$D$174,2,FALSE)+VLOOKUP(AN$3,'Non-Embedded Emissions'!$A$230:$D$259,2,FALSE)), $C49 = "2", 'Inputs-System'!$C$30*'Coincidence Factors'!$B$7*'Inputs-Proposals'!$J$23*'Inputs-Proposals'!$J$25*(VLOOKUP(AN$3,'Non-Embedded Emissions'!$A$56:$D$90,2,FALSE)+VLOOKUP(AN$3,'Non-Embedded Emissions'!$A$143:$D$174,2,FALSE)+VLOOKUP(AN$3,'Non-Embedded Emissions'!$A$230:$D$259,2,FALSE)), $C49 = "3", 'Inputs-System'!$C$30*'Coincidence Factors'!$B$7*'Inputs-Proposals'!$J$29*'Inputs-Proposals'!$J$31*(VLOOKUP(AN$3,'Non-Embedded Emissions'!$A$56:$D$90,2,FALSE)+VLOOKUP(AN$3,'Non-Embedded Emissions'!$A$143:$D$174,2,FALSE)+VLOOKUP(AN$3,'Non-Embedded Emissions'!$A$230:$D$259,2,FALSE)), $C49 = "0", 0), 0)</f>
        <v>0</v>
      </c>
      <c r="AT49" s="347">
        <f>IFERROR(_xlfn.IFS($C49="1",('Inputs-System'!$C$30*'Coincidence Factors'!$B$7*(1+'Inputs-System'!$C$18)*(1+'Inputs-System'!$C$41)*('Inputs-Proposals'!$J$17*'Inputs-Proposals'!$J$19*('Inputs-Proposals'!$J$20))*(VLOOKUP(AT$3,Energy!$A$51:$K$83,5,FALSE))), $C49 = "2",('Inputs-System'!$C$30*'Coincidence Factors'!$B$7)*(1+'Inputs-System'!$C$18)*(1+'Inputs-System'!$C$41)*('Inputs-Proposals'!$J$23*'Inputs-Proposals'!$J$25*('Inputs-Proposals'!$J$26))*(VLOOKUP(AT$3,Energy!$A$51:$K$83,5,FALSE)), $C49= "3", ('Inputs-System'!$C$30*'Coincidence Factors'!$B$7*(1+'Inputs-System'!$C$18)*(1+'Inputs-System'!$C$41)*('Inputs-Proposals'!$J$29*'Inputs-Proposals'!$J$31*('Inputs-Proposals'!$J$32))*(VLOOKUP(AT$3,Energy!$A$51:$K$83,5,FALSE))), $C49= "0", 0), 0)</f>
        <v>0</v>
      </c>
      <c r="AU49" s="44">
        <f>IFERROR(_xlfn.IFS($C49="1",'Inputs-System'!$C$30*'Coincidence Factors'!$B$7*(1+'Inputs-System'!$C$18)*(1+'Inputs-System'!$C$41)*'Inputs-Proposals'!$J$17*'Inputs-Proposals'!$J$19*('Inputs-Proposals'!$J$20)*(VLOOKUP(AT$3,'Embedded Emissions'!$A$47:$B$78,2,FALSE)+VLOOKUP(AT$3,'Embedded Emissions'!$A$129:$B$158,2,FALSE)), $C49 = "2",'Inputs-System'!$C$30*'Coincidence Factors'!$B$7*(1+'Inputs-System'!$C$18)*(1+'Inputs-System'!$C$41)*'Inputs-Proposals'!$J$23*'Inputs-Proposals'!$J$25*('Inputs-Proposals'!$J$20)*(VLOOKUP(AT$3,'Embedded Emissions'!$A$47:$B$78,2,FALSE)+VLOOKUP(AT$3,'Embedded Emissions'!$A$129:$B$158,2,FALSE)), $C49 = "3", 'Inputs-System'!$C$30*'Coincidence Factors'!$B$7*(1+'Inputs-System'!$C$18)*(1+'Inputs-System'!$C$41)*'Inputs-Proposals'!$J$29*'Inputs-Proposals'!$J$31*('Inputs-Proposals'!$J$20)*(VLOOKUP(AT$3,'Embedded Emissions'!$A$47:$B$78,2,FALSE)+VLOOKUP(AT$3,'Embedded Emissions'!$A$129:$B$158,2,FALSE)), $C49 = "0", 0), 0)</f>
        <v>0</v>
      </c>
      <c r="AV49" s="44">
        <f>IFERROR(_xlfn.IFS($C49="1",( 'Inputs-System'!$C$30*'Coincidence Factors'!$B$7*(1+'Inputs-System'!$C$18)*(1+'Inputs-System'!$C$41))*('Inputs-Proposals'!$J$17*'Inputs-Proposals'!$J$19*('Inputs-Proposals'!$J$20))*(VLOOKUP(AT$3,DRIPE!$A$54:$I$82,5,FALSE)+VLOOKUP(AT$3,DRIPE!$A$54:$I$82,9,FALSE))+ ('Inputs-System'!$C$26*'Coincidence Factors'!$B$7*(1+'Inputs-System'!$C$18)*(1+'Inputs-System'!$C$42))*'Inputs-Proposals'!$J$16*VLOOKUP(AT$3,DRIPE!$A$54:$I$82,8,FALSE), $C49 = "2",( 'Inputs-System'!$C$30*'Coincidence Factors'!$B$7*(1+'Inputs-System'!$C$18)*(1+'Inputs-System'!$C$41))*('Inputs-Proposals'!$J$23*'Inputs-Proposals'!$J$25*('Inputs-Proposals'!$J$26))*(VLOOKUP(AT$3,DRIPE!$A$54:$I$82,5,FALSE)+VLOOKUP(AT$3,DRIPE!$A$54:$I$82,12,FALSE))+ ('Inputs-System'!$C$26*'Coincidence Factors'!$B$7*(1+'Inputs-System'!$C$18)*(1+'Inputs-System'!$C$42))*'Inputs-Proposals'!$J$22*VLOOKUP(AT$3,DRIPE!$A$54:$I$82,8,FALSE), $C49= "3", ( 'Inputs-System'!$C$30*'Coincidence Factors'!$B$7*(1+'Inputs-System'!$C$18)*(1+'Inputs-System'!$C$41))*('Inputs-Proposals'!$J$29*'Inputs-Proposals'!$J$31*('Inputs-Proposals'!$J$32))*(VLOOKUP(AT$3,DRIPE!$A$54:$I$82,5,FALSE)+VLOOKUP(AT$3,DRIPE!$A$54:$I$82,12,FALSE))+ ('Inputs-System'!$C$26*'Coincidence Factors'!$B$7*(1+'Inputs-System'!$C$18)*(1+'Inputs-System'!$C$42))*'Inputs-Proposals'!$J$28*VLOOKUP(AT$3,DRIPE!$A$54:$I$82,8,FALSE), $C49 = "0", 0), 0)</f>
        <v>0</v>
      </c>
      <c r="AW49" s="45">
        <f>IFERROR(_xlfn.IFS($C49="1",('Inputs-System'!$C$26*'Coincidence Factors'!$B$7*(1+'Inputs-System'!$C$18))*'Inputs-Proposals'!$J$16*(VLOOKUP(AT$3,Capacity!$A$53:$E$85,4,FALSE)*(1+'Inputs-System'!$C$42)+VLOOKUP(AT$3,Capacity!$A$53:$E$85,5,FALSE)*'Inputs-System'!$C$29*(1+'Inputs-System'!$C$43)), $C49 = "2", ('Inputs-System'!$C$26*'Coincidence Factors'!$B$7*(1+'Inputs-System'!$C$18))*'Inputs-Proposals'!$J$22*(VLOOKUP(AT$3,Capacity!$A$53:$E$85,4,FALSE)*(1+'Inputs-System'!$C$42)+VLOOKUP(AT$3,Capacity!$A$53:$E$85,5,FALSE)*'Inputs-System'!$C$29*(1+'Inputs-System'!$C$43)), $C49 = "3",('Inputs-System'!$C$26*'Coincidence Factors'!$B$7*(1+'Inputs-System'!$C$18))*'Inputs-Proposals'!$J$28*(VLOOKUP(AT$3,Capacity!$A$53:$E$85,4,FALSE)*(1+'Inputs-System'!$C$42)+VLOOKUP(AT$3,Capacity!$A$53:$E$85,5,FALSE)*'Inputs-System'!$C$29*(1+'Inputs-System'!$C$43)), $C49 = "0", 0), 0)</f>
        <v>0</v>
      </c>
      <c r="AX49" s="44">
        <v>0</v>
      </c>
      <c r="AY49" s="342">
        <f>IFERROR(_xlfn.IFS($C49="1", 'Inputs-System'!$C$30*'Coincidence Factors'!$B$7*'Inputs-Proposals'!$J$17*'Inputs-Proposals'!$J$19*(VLOOKUP(AT$3,'Non-Embedded Emissions'!$A$56:$D$90,2,FALSE)+VLOOKUP(AT$3,'Non-Embedded Emissions'!$A$143:$D$174,2,FALSE)+VLOOKUP(AT$3,'Non-Embedded Emissions'!$A$230:$D$259,2,FALSE)), $C49 = "2", 'Inputs-System'!$C$30*'Coincidence Factors'!$B$7*'Inputs-Proposals'!$J$23*'Inputs-Proposals'!$J$25*(VLOOKUP(AT$3,'Non-Embedded Emissions'!$A$56:$D$90,2,FALSE)+VLOOKUP(AT$3,'Non-Embedded Emissions'!$A$143:$D$174,2,FALSE)+VLOOKUP(AT$3,'Non-Embedded Emissions'!$A$230:$D$259,2,FALSE)), $C49 = "3", 'Inputs-System'!$C$30*'Coincidence Factors'!$B$7*'Inputs-Proposals'!$J$29*'Inputs-Proposals'!$J$31*(VLOOKUP(AT$3,'Non-Embedded Emissions'!$A$56:$D$90,2,FALSE)+VLOOKUP(AT$3,'Non-Embedded Emissions'!$A$143:$D$174,2,FALSE)+VLOOKUP(AT$3,'Non-Embedded Emissions'!$A$230:$D$259,2,FALSE)), $C49 = "0", 0), 0)</f>
        <v>0</v>
      </c>
      <c r="AZ49" s="347">
        <f>IFERROR(_xlfn.IFS($C49="1",('Inputs-System'!$C$30*'Coincidence Factors'!$B$7*(1+'Inputs-System'!$C$18)*(1+'Inputs-System'!$C$41)*('Inputs-Proposals'!$J$17*'Inputs-Proposals'!$J$19*('Inputs-Proposals'!$J$20))*(VLOOKUP(AZ$3,Energy!$A$51:$K$83,5,FALSE))), $C49 = "2",('Inputs-System'!$C$30*'Coincidence Factors'!$B$7)*(1+'Inputs-System'!$C$18)*(1+'Inputs-System'!$C$41)*('Inputs-Proposals'!$J$23*'Inputs-Proposals'!$J$25*('Inputs-Proposals'!$J$26))*(VLOOKUP(AZ$3,Energy!$A$51:$K$83,5,FALSE)), $C49= "3", ('Inputs-System'!$C$30*'Coincidence Factors'!$B$7*(1+'Inputs-System'!$C$18)*(1+'Inputs-System'!$C$41)*('Inputs-Proposals'!$J$29*'Inputs-Proposals'!$J$31*('Inputs-Proposals'!$J$32))*(VLOOKUP(AZ$3,Energy!$A$51:$K$83,5,FALSE))), $C49= "0", 0), 0)</f>
        <v>0</v>
      </c>
      <c r="BA49" s="44">
        <f>IFERROR(_xlfn.IFS($C49="1",'Inputs-System'!$C$30*'Coincidence Factors'!$B$7*(1+'Inputs-System'!$C$18)*(1+'Inputs-System'!$C$41)*'Inputs-Proposals'!$J$17*'Inputs-Proposals'!$J$19*('Inputs-Proposals'!$J$20)*(VLOOKUP(AZ$3,'Embedded Emissions'!$A$47:$B$78,2,FALSE)+VLOOKUP(AZ$3,'Embedded Emissions'!$A$129:$B$158,2,FALSE)), $C49 = "2",'Inputs-System'!$C$30*'Coincidence Factors'!$B$7*(1+'Inputs-System'!$C$18)*(1+'Inputs-System'!$C$41)*'Inputs-Proposals'!$J$23*'Inputs-Proposals'!$J$25*('Inputs-Proposals'!$J$20)*(VLOOKUP(AZ$3,'Embedded Emissions'!$A$47:$B$78,2,FALSE)+VLOOKUP(AZ$3,'Embedded Emissions'!$A$129:$B$158,2,FALSE)), $C49 = "3", 'Inputs-System'!$C$30*'Coincidence Factors'!$B$7*(1+'Inputs-System'!$C$18)*(1+'Inputs-System'!$C$41)*'Inputs-Proposals'!$J$29*'Inputs-Proposals'!$J$31*('Inputs-Proposals'!$J$20)*(VLOOKUP(AZ$3,'Embedded Emissions'!$A$47:$B$78,2,FALSE)+VLOOKUP(AZ$3,'Embedded Emissions'!$A$129:$B$158,2,FALSE)), $C49 = "0", 0), 0)</f>
        <v>0</v>
      </c>
      <c r="BB49" s="44">
        <f>IFERROR(_xlfn.IFS($C49="1",( 'Inputs-System'!$C$30*'Coincidence Factors'!$B$7*(1+'Inputs-System'!$C$18)*(1+'Inputs-System'!$C$41))*('Inputs-Proposals'!$J$17*'Inputs-Proposals'!$J$19*('Inputs-Proposals'!$J$20))*(VLOOKUP(AZ$3,DRIPE!$A$54:$I$82,5,FALSE)+VLOOKUP(AZ$3,DRIPE!$A$54:$I$82,9,FALSE))+ ('Inputs-System'!$C$26*'Coincidence Factors'!$B$7*(1+'Inputs-System'!$C$18)*(1+'Inputs-System'!$C$42))*'Inputs-Proposals'!$J$16*VLOOKUP(AZ$3,DRIPE!$A$54:$I$82,8,FALSE), $C49 = "2",( 'Inputs-System'!$C$30*'Coincidence Factors'!$B$7*(1+'Inputs-System'!$C$18)*(1+'Inputs-System'!$C$41))*('Inputs-Proposals'!$J$23*'Inputs-Proposals'!$J$25*('Inputs-Proposals'!$J$26))*(VLOOKUP(AZ$3,DRIPE!$A$54:$I$82,5,FALSE)+VLOOKUP(AZ$3,DRIPE!$A$54:$I$82,12,FALSE))+ ('Inputs-System'!$C$26*'Coincidence Factors'!$B$7*(1+'Inputs-System'!$C$18)*(1+'Inputs-System'!$C$42))*'Inputs-Proposals'!$J$22*VLOOKUP(AZ$3,DRIPE!$A$54:$I$82,8,FALSE), $C49= "3", ( 'Inputs-System'!$C$30*'Coincidence Factors'!$B$7*(1+'Inputs-System'!$C$18)*(1+'Inputs-System'!$C$41))*('Inputs-Proposals'!$J$29*'Inputs-Proposals'!$J$31*('Inputs-Proposals'!$J$32))*(VLOOKUP(AZ$3,DRIPE!$A$54:$I$82,5,FALSE)+VLOOKUP(AZ$3,DRIPE!$A$54:$I$82,12,FALSE))+ ('Inputs-System'!$C$26*'Coincidence Factors'!$B$7*(1+'Inputs-System'!$C$18)*(1+'Inputs-System'!$C$42))*'Inputs-Proposals'!$J$28*VLOOKUP(AZ$3,DRIPE!$A$54:$I$82,8,FALSE), $C49 = "0", 0), 0)</f>
        <v>0</v>
      </c>
      <c r="BC49" s="45">
        <f>IFERROR(_xlfn.IFS($C49="1",('Inputs-System'!$C$26*'Coincidence Factors'!$B$7*(1+'Inputs-System'!$C$18))*'Inputs-Proposals'!$J$16*(VLOOKUP(AZ$3,Capacity!$A$53:$E$85,4,FALSE)*(1+'Inputs-System'!$C$42)+VLOOKUP(AZ$3,Capacity!$A$53:$E$85,5,FALSE)*'Inputs-System'!$C$29*(1+'Inputs-System'!$C$43)), $C49 = "2", ('Inputs-System'!$C$26*'Coincidence Factors'!$B$7*(1+'Inputs-System'!$C$18))*'Inputs-Proposals'!$J$22*(VLOOKUP(AZ$3,Capacity!$A$53:$E$85,4,FALSE)*(1+'Inputs-System'!$C$42)+VLOOKUP(AZ$3,Capacity!$A$53:$E$85,5,FALSE)*'Inputs-System'!$C$29*(1+'Inputs-System'!$C$43)), $C49 = "3",('Inputs-System'!$C$26*'Coincidence Factors'!$B$7*(1+'Inputs-System'!$C$18))*'Inputs-Proposals'!$J$28*(VLOOKUP(AZ$3,Capacity!$A$53:$E$85,4,FALSE)*(1+'Inputs-System'!$C$42)+VLOOKUP(AZ$3,Capacity!$A$53:$E$85,5,FALSE)*'Inputs-System'!$C$29*(1+'Inputs-System'!$C$43)), $C49 = "0", 0), 0)</f>
        <v>0</v>
      </c>
      <c r="BD49" s="44">
        <v>0</v>
      </c>
      <c r="BE49" s="342">
        <f>IFERROR(_xlfn.IFS($C49="1", 'Inputs-System'!$C$30*'Coincidence Factors'!$B$7*'Inputs-Proposals'!$J$17*'Inputs-Proposals'!$J$19*(VLOOKUP(AZ$3,'Non-Embedded Emissions'!$A$56:$D$90,2,FALSE)+VLOOKUP(AZ$3,'Non-Embedded Emissions'!$A$143:$D$174,2,FALSE)+VLOOKUP(AZ$3,'Non-Embedded Emissions'!$A$230:$D$259,2,FALSE)), $C49 = "2", 'Inputs-System'!$C$30*'Coincidence Factors'!$B$7*'Inputs-Proposals'!$J$23*'Inputs-Proposals'!$J$25*(VLOOKUP(AZ$3,'Non-Embedded Emissions'!$A$56:$D$90,2,FALSE)+VLOOKUP(AZ$3,'Non-Embedded Emissions'!$A$143:$D$174,2,FALSE)+VLOOKUP(AZ$3,'Non-Embedded Emissions'!$A$230:$D$259,2,FALSE)), $C49 = "3", 'Inputs-System'!$C$30*'Coincidence Factors'!$B$7*'Inputs-Proposals'!$J$29*'Inputs-Proposals'!$J$31*(VLOOKUP(AZ$3,'Non-Embedded Emissions'!$A$56:$D$90,2,FALSE)+VLOOKUP(AZ$3,'Non-Embedded Emissions'!$A$143:$D$174,2,FALSE)+VLOOKUP(AZ$3,'Non-Embedded Emissions'!$A$230:$D$259,2,FALSE)), $C49 = "0", 0), 0)</f>
        <v>0</v>
      </c>
      <c r="BF49" s="347">
        <f>IFERROR(_xlfn.IFS($C49="1",('Inputs-System'!$C$30*'Coincidence Factors'!$B$7*(1+'Inputs-System'!$C$18)*(1+'Inputs-System'!$C$41)*('Inputs-Proposals'!$J$17*'Inputs-Proposals'!$J$19*('Inputs-Proposals'!$J$20))*(VLOOKUP(BF$3,Energy!$A$51:$K$83,5,FALSE))), $C49 = "2",('Inputs-System'!$C$30*'Coincidence Factors'!$B$7)*(1+'Inputs-System'!$C$18)*(1+'Inputs-System'!$C$41)*('Inputs-Proposals'!$J$23*'Inputs-Proposals'!$J$25*('Inputs-Proposals'!$J$26))*(VLOOKUP(BF$3,Energy!$A$51:$K$83,5,FALSE)), $C49= "3", ('Inputs-System'!$C$30*'Coincidence Factors'!$B$7*(1+'Inputs-System'!$C$18)*(1+'Inputs-System'!$C$41)*('Inputs-Proposals'!$J$29*'Inputs-Proposals'!$J$31*('Inputs-Proposals'!$J$32))*(VLOOKUP(BF$3,Energy!$A$51:$K$83,5,FALSE))), $C49= "0", 0), 0)</f>
        <v>0</v>
      </c>
      <c r="BG49" s="44">
        <f>IFERROR(_xlfn.IFS($C49="1",'Inputs-System'!$C$30*'Coincidence Factors'!$B$7*(1+'Inputs-System'!$C$18)*(1+'Inputs-System'!$C$41)*'Inputs-Proposals'!$J$17*'Inputs-Proposals'!$J$19*('Inputs-Proposals'!$J$20)*(VLOOKUP(BF$3,'Embedded Emissions'!$A$47:$B$78,2,FALSE)+VLOOKUP(BF$3,'Embedded Emissions'!$A$129:$B$158,2,FALSE)), $C49 = "2",'Inputs-System'!$C$30*'Coincidence Factors'!$B$7*(1+'Inputs-System'!$C$18)*(1+'Inputs-System'!$C$41)*'Inputs-Proposals'!$J$23*'Inputs-Proposals'!$J$25*('Inputs-Proposals'!$J$20)*(VLOOKUP(BF$3,'Embedded Emissions'!$A$47:$B$78,2,FALSE)+VLOOKUP(BF$3,'Embedded Emissions'!$A$129:$B$158,2,FALSE)), $C49 = "3", 'Inputs-System'!$C$30*'Coincidence Factors'!$B$7*(1+'Inputs-System'!$C$18)*(1+'Inputs-System'!$C$41)*'Inputs-Proposals'!$J$29*'Inputs-Proposals'!$J$31*('Inputs-Proposals'!$J$20)*(VLOOKUP(BF$3,'Embedded Emissions'!$A$47:$B$78,2,FALSE)+VLOOKUP(BF$3,'Embedded Emissions'!$A$129:$B$158,2,FALSE)), $C49 = "0", 0), 0)</f>
        <v>0</v>
      </c>
      <c r="BH49" s="44">
        <f>IFERROR(_xlfn.IFS($C49="1",( 'Inputs-System'!$C$30*'Coincidence Factors'!$B$7*(1+'Inputs-System'!$C$18)*(1+'Inputs-System'!$C$41))*('Inputs-Proposals'!$J$17*'Inputs-Proposals'!$J$19*('Inputs-Proposals'!$J$20))*(VLOOKUP(BF$3,DRIPE!$A$54:$I$82,5,FALSE)+VLOOKUP(BF$3,DRIPE!$A$54:$I$82,9,FALSE))+ ('Inputs-System'!$C$26*'Coincidence Factors'!$B$7*(1+'Inputs-System'!$C$18)*(1+'Inputs-System'!$C$42))*'Inputs-Proposals'!$J$16*VLOOKUP(BF$3,DRIPE!$A$54:$I$82,8,FALSE), $C49 = "2",( 'Inputs-System'!$C$30*'Coincidence Factors'!$B$7*(1+'Inputs-System'!$C$18)*(1+'Inputs-System'!$C$41))*('Inputs-Proposals'!$J$23*'Inputs-Proposals'!$J$25*('Inputs-Proposals'!$J$26))*(VLOOKUP(BF$3,DRIPE!$A$54:$I$82,5,FALSE)+VLOOKUP(BF$3,DRIPE!$A$54:$I$82,12,FALSE))+ ('Inputs-System'!$C$26*'Coincidence Factors'!$B$7*(1+'Inputs-System'!$C$18)*(1+'Inputs-System'!$C$42))*'Inputs-Proposals'!$J$22*VLOOKUP(BF$3,DRIPE!$A$54:$I$82,8,FALSE), $C49= "3", ( 'Inputs-System'!$C$30*'Coincidence Factors'!$B$7*(1+'Inputs-System'!$C$18)*(1+'Inputs-System'!$C$41))*('Inputs-Proposals'!$J$29*'Inputs-Proposals'!$J$31*('Inputs-Proposals'!$J$32))*(VLOOKUP(BF$3,DRIPE!$A$54:$I$82,5,FALSE)+VLOOKUP(BF$3,DRIPE!$A$54:$I$82,12,FALSE))+ ('Inputs-System'!$C$26*'Coincidence Factors'!$B$7*(1+'Inputs-System'!$C$18)*(1+'Inputs-System'!$C$42))*'Inputs-Proposals'!$J$28*VLOOKUP(BF$3,DRIPE!$A$54:$I$82,8,FALSE), $C49 = "0", 0), 0)</f>
        <v>0</v>
      </c>
      <c r="BI49" s="45">
        <f>IFERROR(_xlfn.IFS($C49="1",('Inputs-System'!$C$26*'Coincidence Factors'!$B$7*(1+'Inputs-System'!$C$18))*'Inputs-Proposals'!$J$16*(VLOOKUP(BF$3,Capacity!$A$53:$E$85,4,FALSE)*(1+'Inputs-System'!$C$42)+VLOOKUP(BF$3,Capacity!$A$53:$E$85,5,FALSE)*'Inputs-System'!$C$29*(1+'Inputs-System'!$C$43)), $C49 = "2", ('Inputs-System'!$C$26*'Coincidence Factors'!$B$7*(1+'Inputs-System'!$C$18))*'Inputs-Proposals'!$J$22*(VLOOKUP(BF$3,Capacity!$A$53:$E$85,4,FALSE)*(1+'Inputs-System'!$C$42)+VLOOKUP(BF$3,Capacity!$A$53:$E$85,5,FALSE)*'Inputs-System'!$C$29*(1+'Inputs-System'!$C$43)), $C49 = "3",('Inputs-System'!$C$26*'Coincidence Factors'!$B$7*(1+'Inputs-System'!$C$18))*'Inputs-Proposals'!$J$28*(VLOOKUP(BF$3,Capacity!$A$53:$E$85,4,FALSE)*(1+'Inputs-System'!$C$42)+VLOOKUP(BF$3,Capacity!$A$53:$E$85,5,FALSE)*'Inputs-System'!$C$29*(1+'Inputs-System'!$C$43)), $C49 = "0", 0), 0)</f>
        <v>0</v>
      </c>
      <c r="BJ49" s="44">
        <v>0</v>
      </c>
      <c r="BK49" s="342">
        <f>IFERROR(_xlfn.IFS($C49="1", 'Inputs-System'!$C$30*'Coincidence Factors'!$B$7*'Inputs-Proposals'!$J$17*'Inputs-Proposals'!$J$19*(VLOOKUP(BF$3,'Non-Embedded Emissions'!$A$56:$D$90,2,FALSE)+VLOOKUP(BF$3,'Non-Embedded Emissions'!$A$143:$D$174,2,FALSE)+VLOOKUP(BF$3,'Non-Embedded Emissions'!$A$230:$D$259,2,FALSE)), $C49 = "2", 'Inputs-System'!$C$30*'Coincidence Factors'!$B$7*'Inputs-Proposals'!$J$23*'Inputs-Proposals'!$J$25*(VLOOKUP(BF$3,'Non-Embedded Emissions'!$A$56:$D$90,2,FALSE)+VLOOKUP(BF$3,'Non-Embedded Emissions'!$A$143:$D$174,2,FALSE)+VLOOKUP(BF$3,'Non-Embedded Emissions'!$A$230:$D$259,2,FALSE)), $C49 = "3", 'Inputs-System'!$C$30*'Coincidence Factors'!$B$7*'Inputs-Proposals'!$J$29*'Inputs-Proposals'!$J$31*(VLOOKUP(BF$3,'Non-Embedded Emissions'!$A$56:$D$90,2,FALSE)+VLOOKUP(BF$3,'Non-Embedded Emissions'!$A$143:$D$174,2,FALSE)+VLOOKUP(BF$3,'Non-Embedded Emissions'!$A$230:$D$259,2,FALSE)), $C49 = "0", 0), 0)</f>
        <v>0</v>
      </c>
      <c r="BL49" s="347">
        <f>IFERROR(_xlfn.IFS($C49="1",('Inputs-System'!$C$30*'Coincidence Factors'!$B$7*(1+'Inputs-System'!$C$18)*(1+'Inputs-System'!$C$41)*('Inputs-Proposals'!$J$17*'Inputs-Proposals'!$J$19*('Inputs-Proposals'!$J$20))*(VLOOKUP(BL$3,Energy!$A$51:$K$83,5,FALSE))), $C49 = "2",('Inputs-System'!$C$30*'Coincidence Factors'!$B$7)*(1+'Inputs-System'!$C$18)*(1+'Inputs-System'!$C$41)*('Inputs-Proposals'!$J$23*'Inputs-Proposals'!$J$25*('Inputs-Proposals'!$J$26))*(VLOOKUP(BL$3,Energy!$A$51:$K$83,5,FALSE)), $C49= "3", ('Inputs-System'!$C$30*'Coincidence Factors'!$B$7*(1+'Inputs-System'!$C$18)*(1+'Inputs-System'!$C$41)*('Inputs-Proposals'!$J$29*'Inputs-Proposals'!$J$31*('Inputs-Proposals'!$J$32))*(VLOOKUP(BL$3,Energy!$A$51:$K$83,5,FALSE))), $C49= "0", 0), 0)</f>
        <v>0</v>
      </c>
      <c r="BM49" s="44">
        <f>IFERROR(_xlfn.IFS($C49="1",'Inputs-System'!$C$30*'Coincidence Factors'!$B$7*(1+'Inputs-System'!$C$18)*(1+'Inputs-System'!$C$41)*'Inputs-Proposals'!$J$17*'Inputs-Proposals'!$J$19*('Inputs-Proposals'!$J$20)*(VLOOKUP(BL$3,'Embedded Emissions'!$A$47:$B$78,2,FALSE)+VLOOKUP(BL$3,'Embedded Emissions'!$A$129:$B$158,2,FALSE)), $C49 = "2",'Inputs-System'!$C$30*'Coincidence Factors'!$B$7*(1+'Inputs-System'!$C$18)*(1+'Inputs-System'!$C$41)*'Inputs-Proposals'!$J$23*'Inputs-Proposals'!$J$25*('Inputs-Proposals'!$J$20)*(VLOOKUP(BL$3,'Embedded Emissions'!$A$47:$B$78,2,FALSE)+VLOOKUP(BL$3,'Embedded Emissions'!$A$129:$B$158,2,FALSE)), $C49 = "3", 'Inputs-System'!$C$30*'Coincidence Factors'!$B$7*(1+'Inputs-System'!$C$18)*(1+'Inputs-System'!$C$41)*'Inputs-Proposals'!$J$29*'Inputs-Proposals'!$J$31*('Inputs-Proposals'!$J$20)*(VLOOKUP(BL$3,'Embedded Emissions'!$A$47:$B$78,2,FALSE)+VLOOKUP(BL$3,'Embedded Emissions'!$A$129:$B$158,2,FALSE)), $C49 = "0", 0), 0)</f>
        <v>0</v>
      </c>
      <c r="BN49" s="44">
        <f>IFERROR(_xlfn.IFS($C49="1",( 'Inputs-System'!$C$30*'Coincidence Factors'!$B$7*(1+'Inputs-System'!$C$18)*(1+'Inputs-System'!$C$41))*('Inputs-Proposals'!$J$17*'Inputs-Proposals'!$J$19*('Inputs-Proposals'!$J$20))*(VLOOKUP(BL$3,DRIPE!$A$54:$I$82,5,FALSE)+VLOOKUP(BL$3,DRIPE!$A$54:$I$82,9,FALSE))+ ('Inputs-System'!$C$26*'Coincidence Factors'!$B$7*(1+'Inputs-System'!$C$18)*(1+'Inputs-System'!$C$42))*'Inputs-Proposals'!$J$16*VLOOKUP(BL$3,DRIPE!$A$54:$I$82,8,FALSE), $C49 = "2",( 'Inputs-System'!$C$30*'Coincidence Factors'!$B$7*(1+'Inputs-System'!$C$18)*(1+'Inputs-System'!$C$41))*('Inputs-Proposals'!$J$23*'Inputs-Proposals'!$J$25*('Inputs-Proposals'!$J$26))*(VLOOKUP(BL$3,DRIPE!$A$54:$I$82,5,FALSE)+VLOOKUP(BL$3,DRIPE!$A$54:$I$82,12,FALSE))+ ('Inputs-System'!$C$26*'Coincidence Factors'!$B$7*(1+'Inputs-System'!$C$18)*(1+'Inputs-System'!$C$42))*'Inputs-Proposals'!$J$22*VLOOKUP(BL$3,DRIPE!$A$54:$I$82,8,FALSE), $C49= "3", ( 'Inputs-System'!$C$30*'Coincidence Factors'!$B$7*(1+'Inputs-System'!$C$18)*(1+'Inputs-System'!$C$41))*('Inputs-Proposals'!$J$29*'Inputs-Proposals'!$J$31*('Inputs-Proposals'!$J$32))*(VLOOKUP(BL$3,DRIPE!$A$54:$I$82,5,FALSE)+VLOOKUP(BL$3,DRIPE!$A$54:$I$82,12,FALSE))+ ('Inputs-System'!$C$26*'Coincidence Factors'!$B$7*(1+'Inputs-System'!$C$18)*(1+'Inputs-System'!$C$42))*'Inputs-Proposals'!$J$28*VLOOKUP(BL$3,DRIPE!$A$54:$I$82,8,FALSE), $C49 = "0", 0), 0)</f>
        <v>0</v>
      </c>
      <c r="BO49" s="45">
        <f>IFERROR(_xlfn.IFS($C49="1",('Inputs-System'!$C$26*'Coincidence Factors'!$B$7*(1+'Inputs-System'!$C$18))*'Inputs-Proposals'!$J$16*(VLOOKUP(BL$3,Capacity!$A$53:$E$85,4,FALSE)*(1+'Inputs-System'!$C$42)+VLOOKUP(BL$3,Capacity!$A$53:$E$85,5,FALSE)*'Inputs-System'!$C$29*(1+'Inputs-System'!$C$43)), $C49 = "2", ('Inputs-System'!$C$26*'Coincidence Factors'!$B$7*(1+'Inputs-System'!$C$18))*'Inputs-Proposals'!$J$22*(VLOOKUP(BL$3,Capacity!$A$53:$E$85,4,FALSE)*(1+'Inputs-System'!$C$42)+VLOOKUP(BL$3,Capacity!$A$53:$E$85,5,FALSE)*'Inputs-System'!$C$29*(1+'Inputs-System'!$C$43)), $C49 = "3",('Inputs-System'!$C$26*'Coincidence Factors'!$B$7*(1+'Inputs-System'!$C$18))*'Inputs-Proposals'!$J$28*(VLOOKUP(BL$3,Capacity!$A$53:$E$85,4,FALSE)*(1+'Inputs-System'!$C$42)+VLOOKUP(BL$3,Capacity!$A$53:$E$85,5,FALSE)*'Inputs-System'!$C$29*(1+'Inputs-System'!$C$43)), $C49 = "0", 0), 0)</f>
        <v>0</v>
      </c>
      <c r="BP49" s="44">
        <v>0</v>
      </c>
      <c r="BQ49" s="342">
        <f>IFERROR(_xlfn.IFS($C49="1", 'Inputs-System'!$C$30*'Coincidence Factors'!$B$7*'Inputs-Proposals'!$J$17*'Inputs-Proposals'!$J$19*(VLOOKUP(BL$3,'Non-Embedded Emissions'!$A$56:$D$90,2,FALSE)+VLOOKUP(BL$3,'Non-Embedded Emissions'!$A$143:$D$174,2,FALSE)+VLOOKUP(BL$3,'Non-Embedded Emissions'!$A$230:$D$259,2,FALSE)), $C49 = "2", 'Inputs-System'!$C$30*'Coincidence Factors'!$B$7*'Inputs-Proposals'!$J$23*'Inputs-Proposals'!$J$25*(VLOOKUP(BL$3,'Non-Embedded Emissions'!$A$56:$D$90,2,FALSE)+VLOOKUP(BL$3,'Non-Embedded Emissions'!$A$143:$D$174,2,FALSE)+VLOOKUP(BL$3,'Non-Embedded Emissions'!$A$230:$D$259,2,FALSE)), $C49 = "3", 'Inputs-System'!$C$30*'Coincidence Factors'!$B$7*'Inputs-Proposals'!$J$29*'Inputs-Proposals'!$J$31*(VLOOKUP(BL$3,'Non-Embedded Emissions'!$A$56:$D$90,2,FALSE)+VLOOKUP(BL$3,'Non-Embedded Emissions'!$A$143:$D$174,2,FALSE)+VLOOKUP(BL$3,'Non-Embedded Emissions'!$A$230:$D$259,2,FALSE)), $C49 = "0", 0), 0)</f>
        <v>0</v>
      </c>
      <c r="BR49" s="347">
        <f>IFERROR(_xlfn.IFS($C49="1",('Inputs-System'!$C$30*'Coincidence Factors'!$B$7*(1+'Inputs-System'!$C$18)*(1+'Inputs-System'!$C$41)*('Inputs-Proposals'!$J$17*'Inputs-Proposals'!$J$19*('Inputs-Proposals'!$J$20))*(VLOOKUP(BR$3,Energy!$A$51:$K$83,5,FALSE))), $C49 = "2",('Inputs-System'!$C$30*'Coincidence Factors'!$B$7)*(1+'Inputs-System'!$C$18)*(1+'Inputs-System'!$C$41)*('Inputs-Proposals'!$J$23*'Inputs-Proposals'!$J$25*('Inputs-Proposals'!$J$26))*(VLOOKUP(BR$3,Energy!$A$51:$K$83,5,FALSE)), $C49= "3", ('Inputs-System'!$C$30*'Coincidence Factors'!$B$7*(1+'Inputs-System'!$C$18)*(1+'Inputs-System'!$C$41)*('Inputs-Proposals'!$J$29*'Inputs-Proposals'!$J$31*('Inputs-Proposals'!$J$32))*(VLOOKUP(BR$3,Energy!$A$51:$K$83,5,FALSE))), $C49= "0", 0), 0)</f>
        <v>0</v>
      </c>
      <c r="BS49" s="44">
        <f>IFERROR(_xlfn.IFS($C49="1",'Inputs-System'!$C$30*'Coincidence Factors'!$B$7*(1+'Inputs-System'!$C$18)*(1+'Inputs-System'!$C$41)*'Inputs-Proposals'!$J$17*'Inputs-Proposals'!$J$19*('Inputs-Proposals'!$J$20)*(VLOOKUP(BR$3,'Embedded Emissions'!$A$47:$B$78,2,FALSE)+VLOOKUP(BR$3,'Embedded Emissions'!$A$129:$B$158,2,FALSE)), $C49 = "2",'Inputs-System'!$C$30*'Coincidence Factors'!$B$7*(1+'Inputs-System'!$C$18)*(1+'Inputs-System'!$C$41)*'Inputs-Proposals'!$J$23*'Inputs-Proposals'!$J$25*('Inputs-Proposals'!$J$20)*(VLOOKUP(BR$3,'Embedded Emissions'!$A$47:$B$78,2,FALSE)+VLOOKUP(BR$3,'Embedded Emissions'!$A$129:$B$158,2,FALSE)), $C49 = "3", 'Inputs-System'!$C$30*'Coincidence Factors'!$B$7*(1+'Inputs-System'!$C$18)*(1+'Inputs-System'!$C$41)*'Inputs-Proposals'!$J$29*'Inputs-Proposals'!$J$31*('Inputs-Proposals'!$J$20)*(VLOOKUP(BR$3,'Embedded Emissions'!$A$47:$B$78,2,FALSE)+VLOOKUP(BR$3,'Embedded Emissions'!$A$129:$B$158,2,FALSE)), $C49 = "0", 0), 0)</f>
        <v>0</v>
      </c>
      <c r="BT49" s="44">
        <f>IFERROR(_xlfn.IFS($C49="1",( 'Inputs-System'!$C$30*'Coincidence Factors'!$B$7*(1+'Inputs-System'!$C$18)*(1+'Inputs-System'!$C$41))*('Inputs-Proposals'!$J$17*'Inputs-Proposals'!$J$19*('Inputs-Proposals'!$J$20))*(VLOOKUP(BR$3,DRIPE!$A$54:$I$82,5,FALSE)+VLOOKUP(BR$3,DRIPE!$A$54:$I$82,9,FALSE))+ ('Inputs-System'!$C$26*'Coincidence Factors'!$B$7*(1+'Inputs-System'!$C$18)*(1+'Inputs-System'!$C$42))*'Inputs-Proposals'!$J$16*VLOOKUP(BR$3,DRIPE!$A$54:$I$82,8,FALSE), $C49 = "2",( 'Inputs-System'!$C$30*'Coincidence Factors'!$B$7*(1+'Inputs-System'!$C$18)*(1+'Inputs-System'!$C$41))*('Inputs-Proposals'!$J$23*'Inputs-Proposals'!$J$25*('Inputs-Proposals'!$J$26))*(VLOOKUP(BR$3,DRIPE!$A$54:$I$82,5,FALSE)+VLOOKUP(BR$3,DRIPE!$A$54:$I$82,12,FALSE))+ ('Inputs-System'!$C$26*'Coincidence Factors'!$B$7*(1+'Inputs-System'!$C$18)*(1+'Inputs-System'!$C$42))*'Inputs-Proposals'!$J$22*VLOOKUP(BR$3,DRIPE!$A$54:$I$82,8,FALSE), $C49= "3", ( 'Inputs-System'!$C$30*'Coincidence Factors'!$B$7*(1+'Inputs-System'!$C$18)*(1+'Inputs-System'!$C$41))*('Inputs-Proposals'!$J$29*'Inputs-Proposals'!$J$31*('Inputs-Proposals'!$J$32))*(VLOOKUP(BR$3,DRIPE!$A$54:$I$82,5,FALSE)+VLOOKUP(BR$3,DRIPE!$A$54:$I$82,12,FALSE))+ ('Inputs-System'!$C$26*'Coincidence Factors'!$B$7*(1+'Inputs-System'!$C$18)*(1+'Inputs-System'!$C$42))*'Inputs-Proposals'!$J$28*VLOOKUP(BR$3,DRIPE!$A$54:$I$82,8,FALSE), $C49 = "0", 0), 0)</f>
        <v>0</v>
      </c>
      <c r="BU49" s="45">
        <f>IFERROR(_xlfn.IFS($C49="1",('Inputs-System'!$C$26*'Coincidence Factors'!$B$7*(1+'Inputs-System'!$C$18))*'Inputs-Proposals'!$J$16*(VLOOKUP(BR$3,Capacity!$A$53:$E$85,4,FALSE)*(1+'Inputs-System'!$C$42)+VLOOKUP(BR$3,Capacity!$A$53:$E$85,5,FALSE)*'Inputs-System'!$C$29*(1+'Inputs-System'!$C$43)), $C49 = "2", ('Inputs-System'!$C$26*'Coincidence Factors'!$B$7*(1+'Inputs-System'!$C$18))*'Inputs-Proposals'!$J$22*(VLOOKUP(BR$3,Capacity!$A$53:$E$85,4,FALSE)*(1+'Inputs-System'!$C$42)+VLOOKUP(BR$3,Capacity!$A$53:$E$85,5,FALSE)*'Inputs-System'!$C$29*(1+'Inputs-System'!$C$43)), $C49 = "3",('Inputs-System'!$C$26*'Coincidence Factors'!$B$7*(1+'Inputs-System'!$C$18))*'Inputs-Proposals'!$J$28*(VLOOKUP(BR$3,Capacity!$A$53:$E$85,4,FALSE)*(1+'Inputs-System'!$C$42)+VLOOKUP(BR$3,Capacity!$A$53:$E$85,5,FALSE)*'Inputs-System'!$C$29*(1+'Inputs-System'!$C$43)), $C49 = "0", 0), 0)</f>
        <v>0</v>
      </c>
      <c r="BV49" s="44">
        <v>0</v>
      </c>
      <c r="BW49" s="342">
        <f>IFERROR(_xlfn.IFS($C49="1", 'Inputs-System'!$C$30*'Coincidence Factors'!$B$7*'Inputs-Proposals'!$J$17*'Inputs-Proposals'!$J$19*(VLOOKUP(BR$3,'Non-Embedded Emissions'!$A$56:$D$90,2,FALSE)+VLOOKUP(BR$3,'Non-Embedded Emissions'!$A$143:$D$174,2,FALSE)+VLOOKUP(BR$3,'Non-Embedded Emissions'!$A$230:$D$259,2,FALSE)), $C49 = "2", 'Inputs-System'!$C$30*'Coincidence Factors'!$B$7*'Inputs-Proposals'!$J$23*'Inputs-Proposals'!$J$25*(VLOOKUP(BR$3,'Non-Embedded Emissions'!$A$56:$D$90,2,FALSE)+VLOOKUP(BR$3,'Non-Embedded Emissions'!$A$143:$D$174,2,FALSE)+VLOOKUP(BR$3,'Non-Embedded Emissions'!$A$230:$D$259,2,FALSE)), $C49 = "3", 'Inputs-System'!$C$30*'Coincidence Factors'!$B$7*'Inputs-Proposals'!$J$29*'Inputs-Proposals'!$J$31*(VLOOKUP(BR$3,'Non-Embedded Emissions'!$A$56:$D$90,2,FALSE)+VLOOKUP(BR$3,'Non-Embedded Emissions'!$A$143:$D$174,2,FALSE)+VLOOKUP(BR$3,'Non-Embedded Emissions'!$A$230:$D$259,2,FALSE)), $C49 = "0", 0), 0)</f>
        <v>0</v>
      </c>
      <c r="BX49" s="347">
        <f>IFERROR(_xlfn.IFS($C49="1",('Inputs-System'!$C$30*'Coincidence Factors'!$B$7*(1+'Inputs-System'!$C$18)*(1+'Inputs-System'!$C$41)*('Inputs-Proposals'!$J$17*'Inputs-Proposals'!$J$19*('Inputs-Proposals'!$J$20))*(VLOOKUP(BX$3,Energy!$A$51:$K$83,5,FALSE))), $C49 = "2",('Inputs-System'!$C$30*'Coincidence Factors'!$B$7)*(1+'Inputs-System'!$C$18)*(1+'Inputs-System'!$C$41)*('Inputs-Proposals'!$J$23*'Inputs-Proposals'!$J$25*('Inputs-Proposals'!$J$26))*(VLOOKUP(BX$3,Energy!$A$51:$K$83,5,FALSE)), $C49= "3", ('Inputs-System'!$C$30*'Coincidence Factors'!$B$7*(1+'Inputs-System'!$C$18)*(1+'Inputs-System'!$C$41)*('Inputs-Proposals'!$J$29*'Inputs-Proposals'!$J$31*('Inputs-Proposals'!$J$32))*(VLOOKUP(BX$3,Energy!$A$51:$K$83,5,FALSE))), $C49= "0", 0), 0)</f>
        <v>0</v>
      </c>
      <c r="BY49" s="44">
        <f>IFERROR(_xlfn.IFS($C49="1",'Inputs-System'!$C$30*'Coincidence Factors'!$B$7*(1+'Inputs-System'!$C$18)*(1+'Inputs-System'!$C$41)*'Inputs-Proposals'!$J$17*'Inputs-Proposals'!$J$19*('Inputs-Proposals'!$J$20)*(VLOOKUP(BX$3,'Embedded Emissions'!$A$47:$B$78,2,FALSE)+VLOOKUP(BX$3,'Embedded Emissions'!$A$129:$B$158,2,FALSE)), $C49 = "2",'Inputs-System'!$C$30*'Coincidence Factors'!$B$7*(1+'Inputs-System'!$C$18)*(1+'Inputs-System'!$C$41)*'Inputs-Proposals'!$J$23*'Inputs-Proposals'!$J$25*('Inputs-Proposals'!$J$20)*(VLOOKUP(BX$3,'Embedded Emissions'!$A$47:$B$78,2,FALSE)+VLOOKUP(BX$3,'Embedded Emissions'!$A$129:$B$158,2,FALSE)), $C49 = "3", 'Inputs-System'!$C$30*'Coincidence Factors'!$B$7*(1+'Inputs-System'!$C$18)*(1+'Inputs-System'!$C$41)*'Inputs-Proposals'!$J$29*'Inputs-Proposals'!$J$31*('Inputs-Proposals'!$J$20)*(VLOOKUP(BX$3,'Embedded Emissions'!$A$47:$B$78,2,FALSE)+VLOOKUP(BX$3,'Embedded Emissions'!$A$129:$B$158,2,FALSE)), $C49 = "0", 0), 0)</f>
        <v>0</v>
      </c>
      <c r="BZ49" s="44">
        <f>IFERROR(_xlfn.IFS($C49="1",( 'Inputs-System'!$C$30*'Coincidence Factors'!$B$7*(1+'Inputs-System'!$C$18)*(1+'Inputs-System'!$C$41))*('Inputs-Proposals'!$J$17*'Inputs-Proposals'!$J$19*('Inputs-Proposals'!$J$20))*(VLOOKUP(BX$3,DRIPE!$A$54:$I$82,5,FALSE)+VLOOKUP(BX$3,DRIPE!$A$54:$I$82,9,FALSE))+ ('Inputs-System'!$C$26*'Coincidence Factors'!$B$7*(1+'Inputs-System'!$C$18)*(1+'Inputs-System'!$C$42))*'Inputs-Proposals'!$J$16*VLOOKUP(BX$3,DRIPE!$A$54:$I$82,8,FALSE), $C49 = "2",( 'Inputs-System'!$C$30*'Coincidence Factors'!$B$7*(1+'Inputs-System'!$C$18)*(1+'Inputs-System'!$C$41))*('Inputs-Proposals'!$J$23*'Inputs-Proposals'!$J$25*('Inputs-Proposals'!$J$26))*(VLOOKUP(BX$3,DRIPE!$A$54:$I$82,5,FALSE)+VLOOKUP(BX$3,DRIPE!$A$54:$I$82,12,FALSE))+ ('Inputs-System'!$C$26*'Coincidence Factors'!$B$7*(1+'Inputs-System'!$C$18)*(1+'Inputs-System'!$C$42))*'Inputs-Proposals'!$J$22*VLOOKUP(BX$3,DRIPE!$A$54:$I$82,8,FALSE), $C49= "3", ( 'Inputs-System'!$C$30*'Coincidence Factors'!$B$7*(1+'Inputs-System'!$C$18)*(1+'Inputs-System'!$C$41))*('Inputs-Proposals'!$J$29*'Inputs-Proposals'!$J$31*('Inputs-Proposals'!$J$32))*(VLOOKUP(BX$3,DRIPE!$A$54:$I$82,5,FALSE)+VLOOKUP(BX$3,DRIPE!$A$54:$I$82,12,FALSE))+ ('Inputs-System'!$C$26*'Coincidence Factors'!$B$7*(1+'Inputs-System'!$C$18)*(1+'Inputs-System'!$C$42))*'Inputs-Proposals'!$J$28*VLOOKUP(BX$3,DRIPE!$A$54:$I$82,8,FALSE), $C49 = "0", 0), 0)</f>
        <v>0</v>
      </c>
      <c r="CA49" s="45">
        <f>IFERROR(_xlfn.IFS($C49="1",('Inputs-System'!$C$26*'Coincidence Factors'!$B$7*(1+'Inputs-System'!$C$18))*'Inputs-Proposals'!$J$16*(VLOOKUP(BX$3,Capacity!$A$53:$E$85,4,FALSE)*(1+'Inputs-System'!$C$42)+VLOOKUP(BX$3,Capacity!$A$53:$E$85,5,FALSE)*'Inputs-System'!$C$29*(1+'Inputs-System'!$C$43)), $C49 = "2", ('Inputs-System'!$C$26*'Coincidence Factors'!$B$7*(1+'Inputs-System'!$C$18))*'Inputs-Proposals'!$J$22*(VLOOKUP(BX$3,Capacity!$A$53:$E$85,4,FALSE)*(1+'Inputs-System'!$C$42)+VLOOKUP(BX$3,Capacity!$A$53:$E$85,5,FALSE)*'Inputs-System'!$C$29*(1+'Inputs-System'!$C$43)), $C49 = "3",('Inputs-System'!$C$26*'Coincidence Factors'!$B$7*(1+'Inputs-System'!$C$18))*'Inputs-Proposals'!$J$28*(VLOOKUP(BX$3,Capacity!$A$53:$E$85,4,FALSE)*(1+'Inputs-System'!$C$42)+VLOOKUP(BX$3,Capacity!$A$53:$E$85,5,FALSE)*'Inputs-System'!$C$29*(1+'Inputs-System'!$C$43)), $C49 = "0", 0), 0)</f>
        <v>0</v>
      </c>
      <c r="CB49" s="44">
        <v>0</v>
      </c>
      <c r="CC49" s="342">
        <f>IFERROR(_xlfn.IFS($C49="1", 'Inputs-System'!$C$30*'Coincidence Factors'!$B$7*'Inputs-Proposals'!$J$17*'Inputs-Proposals'!$J$19*(VLOOKUP(BX$3,'Non-Embedded Emissions'!$A$56:$D$90,2,FALSE)+VLOOKUP(BX$3,'Non-Embedded Emissions'!$A$143:$D$174,2,FALSE)+VLOOKUP(BX$3,'Non-Embedded Emissions'!$A$230:$D$259,2,FALSE)), $C49 = "2", 'Inputs-System'!$C$30*'Coincidence Factors'!$B$7*'Inputs-Proposals'!$J$23*'Inputs-Proposals'!$J$25*(VLOOKUP(BX$3,'Non-Embedded Emissions'!$A$56:$D$90,2,FALSE)+VLOOKUP(BX$3,'Non-Embedded Emissions'!$A$143:$D$174,2,FALSE)+VLOOKUP(BX$3,'Non-Embedded Emissions'!$A$230:$D$259,2,FALSE)), $C49 = "3", 'Inputs-System'!$C$30*'Coincidence Factors'!$B$7*'Inputs-Proposals'!$J$29*'Inputs-Proposals'!$J$31*(VLOOKUP(BX$3,'Non-Embedded Emissions'!$A$56:$D$90,2,FALSE)+VLOOKUP(BX$3,'Non-Embedded Emissions'!$A$143:$D$174,2,FALSE)+VLOOKUP(BX$3,'Non-Embedded Emissions'!$A$230:$D$259,2,FALSE)), $C49 = "0", 0), 0)</f>
        <v>0</v>
      </c>
      <c r="CD49" s="347">
        <f>IFERROR(_xlfn.IFS($C49="1",('Inputs-System'!$C$30*'Coincidence Factors'!$B$7*(1+'Inputs-System'!$C$18)*(1+'Inputs-System'!$C$41)*('Inputs-Proposals'!$J$17*'Inputs-Proposals'!$J$19*('Inputs-Proposals'!$J$20))*(VLOOKUP(CD$3,Energy!$A$51:$K$83,5,FALSE))), $C49 = "2",('Inputs-System'!$C$30*'Coincidence Factors'!$B$7)*(1+'Inputs-System'!$C$18)*(1+'Inputs-System'!$C$41)*('Inputs-Proposals'!$J$23*'Inputs-Proposals'!$J$25*('Inputs-Proposals'!$J$26))*(VLOOKUP(CD$3,Energy!$A$51:$K$83,5,FALSE)), $C49= "3", ('Inputs-System'!$C$30*'Coincidence Factors'!$B$7*(1+'Inputs-System'!$C$18)*(1+'Inputs-System'!$C$41)*('Inputs-Proposals'!$J$29*'Inputs-Proposals'!$J$31*('Inputs-Proposals'!$J$32))*(VLOOKUP(CD$3,Energy!$A$51:$K$83,5,FALSE))), $C49= "0", 0), 0)</f>
        <v>0</v>
      </c>
      <c r="CE49" s="44">
        <f>IFERROR(_xlfn.IFS($C49="1",'Inputs-System'!$C$30*'Coincidence Factors'!$B$7*(1+'Inputs-System'!$C$18)*(1+'Inputs-System'!$C$41)*'Inputs-Proposals'!$J$17*'Inputs-Proposals'!$J$19*('Inputs-Proposals'!$J$20)*(VLOOKUP(CD$3,'Embedded Emissions'!$A$47:$B$78,2,FALSE)+VLOOKUP(CD$3,'Embedded Emissions'!$A$129:$B$158,2,FALSE)), $C49 = "2",'Inputs-System'!$C$30*'Coincidence Factors'!$B$7*(1+'Inputs-System'!$C$18)*(1+'Inputs-System'!$C$41)*'Inputs-Proposals'!$J$23*'Inputs-Proposals'!$J$25*('Inputs-Proposals'!$J$20)*(VLOOKUP(CD$3,'Embedded Emissions'!$A$47:$B$78,2,FALSE)+VLOOKUP(CD$3,'Embedded Emissions'!$A$129:$B$158,2,FALSE)), $C49 = "3", 'Inputs-System'!$C$30*'Coincidence Factors'!$B$7*(1+'Inputs-System'!$C$18)*(1+'Inputs-System'!$C$41)*'Inputs-Proposals'!$J$29*'Inputs-Proposals'!$J$31*('Inputs-Proposals'!$J$20)*(VLOOKUP(CD$3,'Embedded Emissions'!$A$47:$B$78,2,FALSE)+VLOOKUP(CD$3,'Embedded Emissions'!$A$129:$B$158,2,FALSE)), $C49 = "0", 0), 0)</f>
        <v>0</v>
      </c>
      <c r="CF49" s="44">
        <f>IFERROR(_xlfn.IFS($C49="1",( 'Inputs-System'!$C$30*'Coincidence Factors'!$B$7*(1+'Inputs-System'!$C$18)*(1+'Inputs-System'!$C$41))*('Inputs-Proposals'!$J$17*'Inputs-Proposals'!$J$19*('Inputs-Proposals'!$J$20))*(VLOOKUP(CD$3,DRIPE!$A$54:$I$82,5,FALSE)+VLOOKUP(CD$3,DRIPE!$A$54:$I$82,9,FALSE))+ ('Inputs-System'!$C$26*'Coincidence Factors'!$B$7*(1+'Inputs-System'!$C$18)*(1+'Inputs-System'!$C$42))*'Inputs-Proposals'!$J$16*VLOOKUP(CD$3,DRIPE!$A$54:$I$82,8,FALSE), $C49 = "2",( 'Inputs-System'!$C$30*'Coincidence Factors'!$B$7*(1+'Inputs-System'!$C$18)*(1+'Inputs-System'!$C$41))*('Inputs-Proposals'!$J$23*'Inputs-Proposals'!$J$25*('Inputs-Proposals'!$J$26))*(VLOOKUP(CD$3,DRIPE!$A$54:$I$82,5,FALSE)+VLOOKUP(CD$3,DRIPE!$A$54:$I$82,12,FALSE))+ ('Inputs-System'!$C$26*'Coincidence Factors'!$B$7*(1+'Inputs-System'!$C$18)*(1+'Inputs-System'!$C$42))*'Inputs-Proposals'!$J$22*VLOOKUP(CD$3,DRIPE!$A$54:$I$82,8,FALSE), $C49= "3", ( 'Inputs-System'!$C$30*'Coincidence Factors'!$B$7*(1+'Inputs-System'!$C$18)*(1+'Inputs-System'!$C$41))*('Inputs-Proposals'!$J$29*'Inputs-Proposals'!$J$31*('Inputs-Proposals'!$J$32))*(VLOOKUP(CD$3,DRIPE!$A$54:$I$82,5,FALSE)+VLOOKUP(CD$3,DRIPE!$A$54:$I$82,12,FALSE))+ ('Inputs-System'!$C$26*'Coincidence Factors'!$B$7*(1+'Inputs-System'!$C$18)*(1+'Inputs-System'!$C$42))*'Inputs-Proposals'!$J$28*VLOOKUP(CD$3,DRIPE!$A$54:$I$82,8,FALSE), $C49 = "0", 0), 0)</f>
        <v>0</v>
      </c>
      <c r="CG49" s="45">
        <f>IFERROR(_xlfn.IFS($C49="1",('Inputs-System'!$C$26*'Coincidence Factors'!$B$7*(1+'Inputs-System'!$C$18))*'Inputs-Proposals'!$J$16*(VLOOKUP(CD$3,Capacity!$A$53:$E$85,4,FALSE)*(1+'Inputs-System'!$C$42)+VLOOKUP(CD$3,Capacity!$A$53:$E$85,5,FALSE)*'Inputs-System'!$C$29*(1+'Inputs-System'!$C$43)), $C49 = "2", ('Inputs-System'!$C$26*'Coincidence Factors'!$B$7*(1+'Inputs-System'!$C$18))*'Inputs-Proposals'!$J$22*(VLOOKUP(CD$3,Capacity!$A$53:$E$85,4,FALSE)*(1+'Inputs-System'!$C$42)+VLOOKUP(CD$3,Capacity!$A$53:$E$85,5,FALSE)*'Inputs-System'!$C$29*(1+'Inputs-System'!$C$43)), $C49 = "3",('Inputs-System'!$C$26*'Coincidence Factors'!$B$7*(1+'Inputs-System'!$C$18))*'Inputs-Proposals'!$J$28*(VLOOKUP(CD$3,Capacity!$A$53:$E$85,4,FALSE)*(1+'Inputs-System'!$C$42)+VLOOKUP(CD$3,Capacity!$A$53:$E$85,5,FALSE)*'Inputs-System'!$C$29*(1+'Inputs-System'!$C$43)), $C49 = "0", 0), 0)</f>
        <v>0</v>
      </c>
      <c r="CH49" s="44">
        <v>0</v>
      </c>
      <c r="CI49" s="342">
        <f>IFERROR(_xlfn.IFS($C49="1", 'Inputs-System'!$C$30*'Coincidence Factors'!$B$7*'Inputs-Proposals'!$J$17*'Inputs-Proposals'!$J$19*(VLOOKUP(CD$3,'Non-Embedded Emissions'!$A$56:$D$90,2,FALSE)+VLOOKUP(CD$3,'Non-Embedded Emissions'!$A$143:$D$174,2,FALSE)+VLOOKUP(CD$3,'Non-Embedded Emissions'!$A$230:$D$259,2,FALSE)), $C49 = "2", 'Inputs-System'!$C$30*'Coincidence Factors'!$B$7*'Inputs-Proposals'!$J$23*'Inputs-Proposals'!$J$25*(VLOOKUP(CD$3,'Non-Embedded Emissions'!$A$56:$D$90,2,FALSE)+VLOOKUP(CD$3,'Non-Embedded Emissions'!$A$143:$D$174,2,FALSE)+VLOOKUP(CD$3,'Non-Embedded Emissions'!$A$230:$D$259,2,FALSE)), $C49 = "3", 'Inputs-System'!$C$30*'Coincidence Factors'!$B$7*'Inputs-Proposals'!$J$29*'Inputs-Proposals'!$J$31*(VLOOKUP(CD$3,'Non-Embedded Emissions'!$A$56:$D$90,2,FALSE)+VLOOKUP(CD$3,'Non-Embedded Emissions'!$A$143:$D$174,2,FALSE)+VLOOKUP(CD$3,'Non-Embedded Emissions'!$A$230:$D$259,2,FALSE)), $C49 = "0", 0), 0)</f>
        <v>0</v>
      </c>
      <c r="CJ49" s="347">
        <f>IFERROR(_xlfn.IFS($C49="1",('Inputs-System'!$C$30*'Coincidence Factors'!$B$7*(1+'Inputs-System'!$C$18)*(1+'Inputs-System'!$C$41)*('Inputs-Proposals'!$J$17*'Inputs-Proposals'!$J$19*('Inputs-Proposals'!$J$20))*(VLOOKUP(CJ$3,Energy!$A$51:$K$83,5,FALSE))), $C49 = "2",('Inputs-System'!$C$30*'Coincidence Factors'!$B$7)*(1+'Inputs-System'!$C$18)*(1+'Inputs-System'!$C$41)*('Inputs-Proposals'!$J$23*'Inputs-Proposals'!$J$25*('Inputs-Proposals'!$J$26))*(VLOOKUP(CJ$3,Energy!$A$51:$K$83,5,FALSE)), $C49= "3", ('Inputs-System'!$C$30*'Coincidence Factors'!$B$7*(1+'Inputs-System'!$C$18)*(1+'Inputs-System'!$C$41)*('Inputs-Proposals'!$J$29*'Inputs-Proposals'!$J$31*('Inputs-Proposals'!$J$32))*(VLOOKUP(CJ$3,Energy!$A$51:$K$83,5,FALSE))), $C49= "0", 0), 0)</f>
        <v>0</v>
      </c>
      <c r="CK49" s="44">
        <f>IFERROR(_xlfn.IFS($C49="1",'Inputs-System'!$C$30*'Coincidence Factors'!$B$7*(1+'Inputs-System'!$C$18)*(1+'Inputs-System'!$C$41)*'Inputs-Proposals'!$J$17*'Inputs-Proposals'!$J$19*('Inputs-Proposals'!$J$20)*(VLOOKUP(CJ$3,'Embedded Emissions'!$A$47:$B$78,2,FALSE)+VLOOKUP(CJ$3,'Embedded Emissions'!$A$129:$B$158,2,FALSE)), $C49 = "2",'Inputs-System'!$C$30*'Coincidence Factors'!$B$7*(1+'Inputs-System'!$C$18)*(1+'Inputs-System'!$C$41)*'Inputs-Proposals'!$J$23*'Inputs-Proposals'!$J$25*('Inputs-Proposals'!$J$20)*(VLOOKUP(CJ$3,'Embedded Emissions'!$A$47:$B$78,2,FALSE)+VLOOKUP(CJ$3,'Embedded Emissions'!$A$129:$B$158,2,FALSE)), $C49 = "3", 'Inputs-System'!$C$30*'Coincidence Factors'!$B$7*(1+'Inputs-System'!$C$18)*(1+'Inputs-System'!$C$41)*'Inputs-Proposals'!$J$29*'Inputs-Proposals'!$J$31*('Inputs-Proposals'!$J$20)*(VLOOKUP(CJ$3,'Embedded Emissions'!$A$47:$B$78,2,FALSE)+VLOOKUP(CJ$3,'Embedded Emissions'!$A$129:$B$158,2,FALSE)), $C49 = "0", 0), 0)</f>
        <v>0</v>
      </c>
      <c r="CL49" s="44">
        <f>IFERROR(_xlfn.IFS($C49="1",( 'Inputs-System'!$C$30*'Coincidence Factors'!$B$7*(1+'Inputs-System'!$C$18)*(1+'Inputs-System'!$C$41))*('Inputs-Proposals'!$J$17*'Inputs-Proposals'!$J$19*('Inputs-Proposals'!$J$20))*(VLOOKUP(CJ$3,DRIPE!$A$54:$I$82,5,FALSE)+VLOOKUP(CJ$3,DRIPE!$A$54:$I$82,9,FALSE))+ ('Inputs-System'!$C$26*'Coincidence Factors'!$B$7*(1+'Inputs-System'!$C$18)*(1+'Inputs-System'!$C$42))*'Inputs-Proposals'!$J$16*VLOOKUP(CJ$3,DRIPE!$A$54:$I$82,8,FALSE), $C49 = "2",( 'Inputs-System'!$C$30*'Coincidence Factors'!$B$7*(1+'Inputs-System'!$C$18)*(1+'Inputs-System'!$C$41))*('Inputs-Proposals'!$J$23*'Inputs-Proposals'!$J$25*('Inputs-Proposals'!$J$26))*(VLOOKUP(CJ$3,DRIPE!$A$54:$I$82,5,FALSE)+VLOOKUP(CJ$3,DRIPE!$A$54:$I$82,12,FALSE))+ ('Inputs-System'!$C$26*'Coincidence Factors'!$B$7*(1+'Inputs-System'!$C$18)*(1+'Inputs-System'!$C$42))*'Inputs-Proposals'!$J$22*VLOOKUP(CJ$3,DRIPE!$A$54:$I$82,8,FALSE), $C49= "3", ( 'Inputs-System'!$C$30*'Coincidence Factors'!$B$7*(1+'Inputs-System'!$C$18)*(1+'Inputs-System'!$C$41))*('Inputs-Proposals'!$J$29*'Inputs-Proposals'!$J$31*('Inputs-Proposals'!$J$32))*(VLOOKUP(CJ$3,DRIPE!$A$54:$I$82,5,FALSE)+VLOOKUP(CJ$3,DRIPE!$A$54:$I$82,12,FALSE))+ ('Inputs-System'!$C$26*'Coincidence Factors'!$B$7*(1+'Inputs-System'!$C$18)*(1+'Inputs-System'!$C$42))*'Inputs-Proposals'!$J$28*VLOOKUP(CJ$3,DRIPE!$A$54:$I$82,8,FALSE), $C49 = "0", 0), 0)</f>
        <v>0</v>
      </c>
      <c r="CM49" s="45">
        <f>IFERROR(_xlfn.IFS($C49="1",('Inputs-System'!$C$26*'Coincidence Factors'!$B$7*(1+'Inputs-System'!$C$18))*'Inputs-Proposals'!$J$16*(VLOOKUP(CJ$3,Capacity!$A$53:$E$85,4,FALSE)*(1+'Inputs-System'!$C$42)+VLOOKUP(CJ$3,Capacity!$A$53:$E$85,5,FALSE)*'Inputs-System'!$C$29*(1+'Inputs-System'!$C$43)), $C49 = "2", ('Inputs-System'!$C$26*'Coincidence Factors'!$B$7*(1+'Inputs-System'!$C$18))*'Inputs-Proposals'!$J$22*(VLOOKUP(CJ$3,Capacity!$A$53:$E$85,4,FALSE)*(1+'Inputs-System'!$C$42)+VLOOKUP(CJ$3,Capacity!$A$53:$E$85,5,FALSE)*'Inputs-System'!$C$29*(1+'Inputs-System'!$C$43)), $C49 = "3",('Inputs-System'!$C$26*'Coincidence Factors'!$B$7*(1+'Inputs-System'!$C$18))*'Inputs-Proposals'!$J$28*(VLOOKUP(CJ$3,Capacity!$A$53:$E$85,4,FALSE)*(1+'Inputs-System'!$C$42)+VLOOKUP(CJ$3,Capacity!$A$53:$E$85,5,FALSE)*'Inputs-System'!$C$29*(1+'Inputs-System'!$C$43)), $C49 = "0", 0), 0)</f>
        <v>0</v>
      </c>
      <c r="CN49" s="44">
        <v>0</v>
      </c>
      <c r="CO49" s="342">
        <f>IFERROR(_xlfn.IFS($C49="1", 'Inputs-System'!$C$30*'Coincidence Factors'!$B$7*'Inputs-Proposals'!$J$17*'Inputs-Proposals'!$J$19*(VLOOKUP(CJ$3,'Non-Embedded Emissions'!$A$56:$D$90,2,FALSE)+VLOOKUP(CJ$3,'Non-Embedded Emissions'!$A$143:$D$174,2,FALSE)+VLOOKUP(CJ$3,'Non-Embedded Emissions'!$A$230:$D$259,2,FALSE)), $C49 = "2", 'Inputs-System'!$C$30*'Coincidence Factors'!$B$7*'Inputs-Proposals'!$J$23*'Inputs-Proposals'!$J$25*(VLOOKUP(CJ$3,'Non-Embedded Emissions'!$A$56:$D$90,2,FALSE)+VLOOKUP(CJ$3,'Non-Embedded Emissions'!$A$143:$D$174,2,FALSE)+VLOOKUP(CJ$3,'Non-Embedded Emissions'!$A$230:$D$259,2,FALSE)), $C49 = "3", 'Inputs-System'!$C$30*'Coincidence Factors'!$B$7*'Inputs-Proposals'!$J$29*'Inputs-Proposals'!$J$31*(VLOOKUP(CJ$3,'Non-Embedded Emissions'!$A$56:$D$90,2,FALSE)+VLOOKUP(CJ$3,'Non-Embedded Emissions'!$A$143:$D$174,2,FALSE)+VLOOKUP(CJ$3,'Non-Embedded Emissions'!$A$230:$D$259,2,FALSE)), $C49 = "0", 0), 0)</f>
        <v>0</v>
      </c>
      <c r="CP49" s="347">
        <f>IFERROR(_xlfn.IFS($C49="1",('Inputs-System'!$C$30*'Coincidence Factors'!$B$7*(1+'Inputs-System'!$C$18)*(1+'Inputs-System'!$C$41)*('Inputs-Proposals'!$J$17*'Inputs-Proposals'!$J$19*('Inputs-Proposals'!$J$20))*(VLOOKUP(CP$3,Energy!$A$51:$K$83,5,FALSE))), $C49 = "2",('Inputs-System'!$C$30*'Coincidence Factors'!$B$7)*(1+'Inputs-System'!$C$18)*(1+'Inputs-System'!$C$41)*('Inputs-Proposals'!$J$23*'Inputs-Proposals'!$J$25*('Inputs-Proposals'!$J$26))*(VLOOKUP(CP$3,Energy!$A$51:$K$83,5,FALSE)), $C49= "3", ('Inputs-System'!$C$30*'Coincidence Factors'!$B$7*(1+'Inputs-System'!$C$18)*(1+'Inputs-System'!$C$41)*('Inputs-Proposals'!$J$29*'Inputs-Proposals'!$J$31*('Inputs-Proposals'!$J$32))*(VLOOKUP(CP$3,Energy!$A$51:$K$83,5,FALSE))), $C49= "0", 0), 0)</f>
        <v>0</v>
      </c>
      <c r="CQ49" s="44">
        <f>IFERROR(_xlfn.IFS($C49="1",'Inputs-System'!$C$30*'Coincidence Factors'!$B$7*(1+'Inputs-System'!$C$18)*(1+'Inputs-System'!$C$41)*'Inputs-Proposals'!$J$17*'Inputs-Proposals'!$J$19*('Inputs-Proposals'!$J$20)*(VLOOKUP(CP$3,'Embedded Emissions'!$A$47:$B$78,2,FALSE)+VLOOKUP(CP$3,'Embedded Emissions'!$A$129:$B$158,2,FALSE)), $C49 = "2",'Inputs-System'!$C$30*'Coincidence Factors'!$B$7*(1+'Inputs-System'!$C$18)*(1+'Inputs-System'!$C$41)*'Inputs-Proposals'!$J$23*'Inputs-Proposals'!$J$25*('Inputs-Proposals'!$J$20)*(VLOOKUP(CP$3,'Embedded Emissions'!$A$47:$B$78,2,FALSE)+VLOOKUP(CP$3,'Embedded Emissions'!$A$129:$B$158,2,FALSE)), $C49 = "3", 'Inputs-System'!$C$30*'Coincidence Factors'!$B$7*(1+'Inputs-System'!$C$18)*(1+'Inputs-System'!$C$41)*'Inputs-Proposals'!$J$29*'Inputs-Proposals'!$J$31*('Inputs-Proposals'!$J$20)*(VLOOKUP(CP$3,'Embedded Emissions'!$A$47:$B$78,2,FALSE)+VLOOKUP(CP$3,'Embedded Emissions'!$A$129:$B$158,2,FALSE)), $C49 = "0", 0), 0)</f>
        <v>0</v>
      </c>
      <c r="CR49" s="44">
        <f>IFERROR(_xlfn.IFS($C49="1",( 'Inputs-System'!$C$30*'Coincidence Factors'!$B$7*(1+'Inputs-System'!$C$18)*(1+'Inputs-System'!$C$41))*('Inputs-Proposals'!$J$17*'Inputs-Proposals'!$J$19*('Inputs-Proposals'!$J$20))*(VLOOKUP(CP$3,DRIPE!$A$54:$I$82,5,FALSE)+VLOOKUP(CP$3,DRIPE!$A$54:$I$82,9,FALSE))+ ('Inputs-System'!$C$26*'Coincidence Factors'!$B$7*(1+'Inputs-System'!$C$18)*(1+'Inputs-System'!$C$42))*'Inputs-Proposals'!$J$16*VLOOKUP(CP$3,DRIPE!$A$54:$I$82,8,FALSE), $C49 = "2",( 'Inputs-System'!$C$30*'Coincidence Factors'!$B$7*(1+'Inputs-System'!$C$18)*(1+'Inputs-System'!$C$41))*('Inputs-Proposals'!$J$23*'Inputs-Proposals'!$J$25*('Inputs-Proposals'!$J$26))*(VLOOKUP(CP$3,DRIPE!$A$54:$I$82,5,FALSE)+VLOOKUP(CP$3,DRIPE!$A$54:$I$82,12,FALSE))+ ('Inputs-System'!$C$26*'Coincidence Factors'!$B$7*(1+'Inputs-System'!$C$18)*(1+'Inputs-System'!$C$42))*'Inputs-Proposals'!$J$22*VLOOKUP(CP$3,DRIPE!$A$54:$I$82,8,FALSE), $C49= "3", ( 'Inputs-System'!$C$30*'Coincidence Factors'!$B$7*(1+'Inputs-System'!$C$18)*(1+'Inputs-System'!$C$41))*('Inputs-Proposals'!$J$29*'Inputs-Proposals'!$J$31*('Inputs-Proposals'!$J$32))*(VLOOKUP(CP$3,DRIPE!$A$54:$I$82,5,FALSE)+VLOOKUP(CP$3,DRIPE!$A$54:$I$82,12,FALSE))+ ('Inputs-System'!$C$26*'Coincidence Factors'!$B$7*(1+'Inputs-System'!$C$18)*(1+'Inputs-System'!$C$42))*'Inputs-Proposals'!$J$28*VLOOKUP(CP$3,DRIPE!$A$54:$I$82,8,FALSE), $C49 = "0", 0), 0)</f>
        <v>0</v>
      </c>
      <c r="CS49" s="45">
        <f>IFERROR(_xlfn.IFS($C49="1",('Inputs-System'!$C$26*'Coincidence Factors'!$B$7*(1+'Inputs-System'!$C$18))*'Inputs-Proposals'!$J$16*(VLOOKUP(CP$3,Capacity!$A$53:$E$85,4,FALSE)*(1+'Inputs-System'!$C$42)+VLOOKUP(CP$3,Capacity!$A$53:$E$85,5,FALSE)*'Inputs-System'!$C$29*(1+'Inputs-System'!$C$43)), $C49 = "2", ('Inputs-System'!$C$26*'Coincidence Factors'!$B$7*(1+'Inputs-System'!$C$18))*'Inputs-Proposals'!$J$22*(VLOOKUP(CP$3,Capacity!$A$53:$E$85,4,FALSE)*(1+'Inputs-System'!$C$42)+VLOOKUP(CP$3,Capacity!$A$53:$E$85,5,FALSE)*'Inputs-System'!$C$29*(1+'Inputs-System'!$C$43)), $C49 = "3",('Inputs-System'!$C$26*'Coincidence Factors'!$B$7*(1+'Inputs-System'!$C$18))*'Inputs-Proposals'!$J$28*(VLOOKUP(CP$3,Capacity!$A$53:$E$85,4,FALSE)*(1+'Inputs-System'!$C$42)+VLOOKUP(CP$3,Capacity!$A$53:$E$85,5,FALSE)*'Inputs-System'!$C$29*(1+'Inputs-System'!$C$43)), $C49 = "0", 0), 0)</f>
        <v>0</v>
      </c>
      <c r="CT49" s="44">
        <v>0</v>
      </c>
      <c r="CU49" s="342">
        <f>IFERROR(_xlfn.IFS($C49="1", 'Inputs-System'!$C$30*'Coincidence Factors'!$B$7*'Inputs-Proposals'!$J$17*'Inputs-Proposals'!$J$19*(VLOOKUP(CP$3,'Non-Embedded Emissions'!$A$56:$D$90,2,FALSE)+VLOOKUP(CP$3,'Non-Embedded Emissions'!$A$143:$D$174,2,FALSE)+VLOOKUP(CP$3,'Non-Embedded Emissions'!$A$230:$D$259,2,FALSE)), $C49 = "2", 'Inputs-System'!$C$30*'Coincidence Factors'!$B$7*'Inputs-Proposals'!$J$23*'Inputs-Proposals'!$J$25*(VLOOKUP(CP$3,'Non-Embedded Emissions'!$A$56:$D$90,2,FALSE)+VLOOKUP(CP$3,'Non-Embedded Emissions'!$A$143:$D$174,2,FALSE)+VLOOKUP(CP$3,'Non-Embedded Emissions'!$A$230:$D$259,2,FALSE)), $C49 = "3", 'Inputs-System'!$C$30*'Coincidence Factors'!$B$7*'Inputs-Proposals'!$J$29*'Inputs-Proposals'!$J$31*(VLOOKUP(CP$3,'Non-Embedded Emissions'!$A$56:$D$90,2,FALSE)+VLOOKUP(CP$3,'Non-Embedded Emissions'!$A$143:$D$174,2,FALSE)+VLOOKUP(CP$3,'Non-Embedded Emissions'!$A$230:$D$259,2,FALSE)), $C49 = "0", 0), 0)</f>
        <v>0</v>
      </c>
      <c r="CV49" s="347">
        <f>IFERROR(_xlfn.IFS($C49="1",('Inputs-System'!$C$30*'Coincidence Factors'!$B$7*(1+'Inputs-System'!$C$18)*(1+'Inputs-System'!$C$41)*('Inputs-Proposals'!$J$17*'Inputs-Proposals'!$J$19*('Inputs-Proposals'!$J$20))*(VLOOKUP(CV$3,Energy!$A$51:$K$83,5,FALSE))), $C49 = "2",('Inputs-System'!$C$30*'Coincidence Factors'!$B$7)*(1+'Inputs-System'!$C$18)*(1+'Inputs-System'!$C$41)*('Inputs-Proposals'!$J$23*'Inputs-Proposals'!$J$25*('Inputs-Proposals'!$J$26))*(VLOOKUP(CV$3,Energy!$A$51:$K$83,5,FALSE)), $C49= "3", ('Inputs-System'!$C$30*'Coincidence Factors'!$B$7*(1+'Inputs-System'!$C$18)*(1+'Inputs-System'!$C$41)*('Inputs-Proposals'!$J$29*'Inputs-Proposals'!$J$31*('Inputs-Proposals'!$J$32))*(VLOOKUP(CV$3,Energy!$A$51:$K$83,5,FALSE))), $C49= "0", 0), 0)</f>
        <v>0</v>
      </c>
      <c r="CW49" s="44">
        <f>IFERROR(_xlfn.IFS($C49="1",'Inputs-System'!$C$30*'Coincidence Factors'!$B$7*(1+'Inputs-System'!$C$18)*(1+'Inputs-System'!$C$41)*'Inputs-Proposals'!$J$17*'Inputs-Proposals'!$J$19*('Inputs-Proposals'!$J$20)*(VLOOKUP(CV$3,'Embedded Emissions'!$A$47:$B$78,2,FALSE)+VLOOKUP(CV$3,'Embedded Emissions'!$A$129:$B$158,2,FALSE)), $C49 = "2",'Inputs-System'!$C$30*'Coincidence Factors'!$B$7*(1+'Inputs-System'!$C$18)*(1+'Inputs-System'!$C$41)*'Inputs-Proposals'!$J$23*'Inputs-Proposals'!$J$25*('Inputs-Proposals'!$J$20)*(VLOOKUP(CV$3,'Embedded Emissions'!$A$47:$B$78,2,FALSE)+VLOOKUP(CV$3,'Embedded Emissions'!$A$129:$B$158,2,FALSE)), $C49 = "3", 'Inputs-System'!$C$30*'Coincidence Factors'!$B$7*(1+'Inputs-System'!$C$18)*(1+'Inputs-System'!$C$41)*'Inputs-Proposals'!$J$29*'Inputs-Proposals'!$J$31*('Inputs-Proposals'!$J$20)*(VLOOKUP(CV$3,'Embedded Emissions'!$A$47:$B$78,2,FALSE)+VLOOKUP(CV$3,'Embedded Emissions'!$A$129:$B$158,2,FALSE)), $C49 = "0", 0), 0)</f>
        <v>0</v>
      </c>
      <c r="CX49" s="44">
        <f>IFERROR(_xlfn.IFS($C49="1",( 'Inputs-System'!$C$30*'Coincidence Factors'!$B$7*(1+'Inputs-System'!$C$18)*(1+'Inputs-System'!$C$41))*('Inputs-Proposals'!$J$17*'Inputs-Proposals'!$J$19*('Inputs-Proposals'!$J$20))*(VLOOKUP(CV$3,DRIPE!$A$54:$I$82,5,FALSE)+VLOOKUP(CV$3,DRIPE!$A$54:$I$82,9,FALSE))+ ('Inputs-System'!$C$26*'Coincidence Factors'!$B$7*(1+'Inputs-System'!$C$18)*(1+'Inputs-System'!$C$42))*'Inputs-Proposals'!$J$16*VLOOKUP(CV$3,DRIPE!$A$54:$I$82,8,FALSE), $C49 = "2",( 'Inputs-System'!$C$30*'Coincidence Factors'!$B$7*(1+'Inputs-System'!$C$18)*(1+'Inputs-System'!$C$41))*('Inputs-Proposals'!$J$23*'Inputs-Proposals'!$J$25*('Inputs-Proposals'!$J$26))*(VLOOKUP(CV$3,DRIPE!$A$54:$I$82,5,FALSE)+VLOOKUP(CV$3,DRIPE!$A$54:$I$82,12,FALSE))+ ('Inputs-System'!$C$26*'Coincidence Factors'!$B$7*(1+'Inputs-System'!$C$18)*(1+'Inputs-System'!$C$42))*'Inputs-Proposals'!$J$22*VLOOKUP(CV$3,DRIPE!$A$54:$I$82,8,FALSE), $C49= "3", ( 'Inputs-System'!$C$30*'Coincidence Factors'!$B$7*(1+'Inputs-System'!$C$18)*(1+'Inputs-System'!$C$41))*('Inputs-Proposals'!$J$29*'Inputs-Proposals'!$J$31*('Inputs-Proposals'!$J$32))*(VLOOKUP(CV$3,DRIPE!$A$54:$I$82,5,FALSE)+VLOOKUP(CV$3,DRIPE!$A$54:$I$82,12,FALSE))+ ('Inputs-System'!$C$26*'Coincidence Factors'!$B$7*(1+'Inputs-System'!$C$18)*(1+'Inputs-System'!$C$42))*'Inputs-Proposals'!$J$28*VLOOKUP(CV$3,DRIPE!$A$54:$I$82,8,FALSE), $C49 = "0", 0), 0)</f>
        <v>0</v>
      </c>
      <c r="CY49" s="45">
        <f>IFERROR(_xlfn.IFS($C49="1",('Inputs-System'!$C$26*'Coincidence Factors'!$B$7*(1+'Inputs-System'!$C$18))*'Inputs-Proposals'!$J$16*(VLOOKUP(CV$3,Capacity!$A$53:$E$85,4,FALSE)*(1+'Inputs-System'!$C$42)+VLOOKUP(CV$3,Capacity!$A$53:$E$85,5,FALSE)*'Inputs-System'!$C$29*(1+'Inputs-System'!$C$43)), $C49 = "2", ('Inputs-System'!$C$26*'Coincidence Factors'!$B$7*(1+'Inputs-System'!$C$18))*'Inputs-Proposals'!$J$22*(VLOOKUP(CV$3,Capacity!$A$53:$E$85,4,FALSE)*(1+'Inputs-System'!$C$42)+VLOOKUP(CV$3,Capacity!$A$53:$E$85,5,FALSE)*'Inputs-System'!$C$29*(1+'Inputs-System'!$C$43)), $C49 = "3",('Inputs-System'!$C$26*'Coincidence Factors'!$B$7*(1+'Inputs-System'!$C$18))*'Inputs-Proposals'!$J$28*(VLOOKUP(CV$3,Capacity!$A$53:$E$85,4,FALSE)*(1+'Inputs-System'!$C$42)+VLOOKUP(CV$3,Capacity!$A$53:$E$85,5,FALSE)*'Inputs-System'!$C$29*(1+'Inputs-System'!$C$43)), $C49 = "0", 0), 0)</f>
        <v>0</v>
      </c>
      <c r="CZ49" s="44">
        <v>0</v>
      </c>
      <c r="DA49" s="342">
        <f>IFERROR(_xlfn.IFS($C49="1", 'Inputs-System'!$C$30*'Coincidence Factors'!$B$7*'Inputs-Proposals'!$J$17*'Inputs-Proposals'!$J$19*(VLOOKUP(CV$3,'Non-Embedded Emissions'!$A$56:$D$90,2,FALSE)+VLOOKUP(CV$3,'Non-Embedded Emissions'!$A$143:$D$174,2,FALSE)+VLOOKUP(CV$3,'Non-Embedded Emissions'!$A$230:$D$259,2,FALSE)), $C49 = "2", 'Inputs-System'!$C$30*'Coincidence Factors'!$B$7*'Inputs-Proposals'!$J$23*'Inputs-Proposals'!$J$25*(VLOOKUP(CV$3,'Non-Embedded Emissions'!$A$56:$D$90,2,FALSE)+VLOOKUP(CV$3,'Non-Embedded Emissions'!$A$143:$D$174,2,FALSE)+VLOOKUP(CV$3,'Non-Embedded Emissions'!$A$230:$D$259,2,FALSE)), $C49 = "3", 'Inputs-System'!$C$30*'Coincidence Factors'!$B$7*'Inputs-Proposals'!$J$29*'Inputs-Proposals'!$J$31*(VLOOKUP(CV$3,'Non-Embedded Emissions'!$A$56:$D$90,2,FALSE)+VLOOKUP(CV$3,'Non-Embedded Emissions'!$A$143:$D$174,2,FALSE)+VLOOKUP(CV$3,'Non-Embedded Emissions'!$A$230:$D$259,2,FALSE)), $C49 = "0", 0), 0)</f>
        <v>0</v>
      </c>
      <c r="DB49" s="347">
        <f>IFERROR(_xlfn.IFS($C49="1",('Inputs-System'!$C$30*'Coincidence Factors'!$B$7*(1+'Inputs-System'!$C$18)*(1+'Inputs-System'!$C$41)*('Inputs-Proposals'!$J$17*'Inputs-Proposals'!$J$19*('Inputs-Proposals'!$J$20))*(VLOOKUP(DB$3,Energy!$A$51:$K$83,5,FALSE))), $C49 = "2",('Inputs-System'!$C$30*'Coincidence Factors'!$B$7)*(1+'Inputs-System'!$C$18)*(1+'Inputs-System'!$C$41)*('Inputs-Proposals'!$J$23*'Inputs-Proposals'!$J$25*('Inputs-Proposals'!$J$26))*(VLOOKUP(DB$3,Energy!$A$51:$K$83,5,FALSE)), $C49= "3", ('Inputs-System'!$C$30*'Coincidence Factors'!$B$7*(1+'Inputs-System'!$C$18)*(1+'Inputs-System'!$C$41)*('Inputs-Proposals'!$J$29*'Inputs-Proposals'!$J$31*('Inputs-Proposals'!$J$32))*(VLOOKUP(DB$3,Energy!$A$51:$K$83,5,FALSE))), $C49= "0", 0), 0)</f>
        <v>0</v>
      </c>
      <c r="DC49" s="44">
        <f>IFERROR(_xlfn.IFS($C49="1",'Inputs-System'!$C$30*'Coincidence Factors'!$B$7*(1+'Inputs-System'!$C$18)*(1+'Inputs-System'!$C$41)*'Inputs-Proposals'!$J$17*'Inputs-Proposals'!$J$19*('Inputs-Proposals'!$J$20)*(VLOOKUP(DB$3,'Embedded Emissions'!$A$47:$B$78,2,FALSE)+VLOOKUP(DB$3,'Embedded Emissions'!$A$129:$B$158,2,FALSE)), $C49 = "2",'Inputs-System'!$C$30*'Coincidence Factors'!$B$7*(1+'Inputs-System'!$C$18)*(1+'Inputs-System'!$C$41)*'Inputs-Proposals'!$J$23*'Inputs-Proposals'!$J$25*('Inputs-Proposals'!$J$20)*(VLOOKUP(DB$3,'Embedded Emissions'!$A$47:$B$78,2,FALSE)+VLOOKUP(DB$3,'Embedded Emissions'!$A$129:$B$158,2,FALSE)), $C49 = "3", 'Inputs-System'!$C$30*'Coincidence Factors'!$B$7*(1+'Inputs-System'!$C$18)*(1+'Inputs-System'!$C$41)*'Inputs-Proposals'!$J$29*'Inputs-Proposals'!$J$31*('Inputs-Proposals'!$J$20)*(VLOOKUP(DB$3,'Embedded Emissions'!$A$47:$B$78,2,FALSE)+VLOOKUP(DB$3,'Embedded Emissions'!$A$129:$B$158,2,FALSE)), $C49 = "0", 0), 0)</f>
        <v>0</v>
      </c>
      <c r="DD49" s="44">
        <f>IFERROR(_xlfn.IFS($C49="1",( 'Inputs-System'!$C$30*'Coincidence Factors'!$B$7*(1+'Inputs-System'!$C$18)*(1+'Inputs-System'!$C$41))*('Inputs-Proposals'!$J$17*'Inputs-Proposals'!$J$19*('Inputs-Proposals'!$J$20))*(VLOOKUP(DB$3,DRIPE!$A$54:$I$82,5,FALSE)+VLOOKUP(DB$3,DRIPE!$A$54:$I$82,9,FALSE))+ ('Inputs-System'!$C$26*'Coincidence Factors'!$B$7*(1+'Inputs-System'!$C$18)*(1+'Inputs-System'!$C$42))*'Inputs-Proposals'!$J$16*VLOOKUP(DB$3,DRIPE!$A$54:$I$82,8,FALSE), $C49 = "2",( 'Inputs-System'!$C$30*'Coincidence Factors'!$B$7*(1+'Inputs-System'!$C$18)*(1+'Inputs-System'!$C$41))*('Inputs-Proposals'!$J$23*'Inputs-Proposals'!$J$25*('Inputs-Proposals'!$J$26))*(VLOOKUP(DB$3,DRIPE!$A$54:$I$82,5,FALSE)+VLOOKUP(DB$3,DRIPE!$A$54:$I$82,12,FALSE))+ ('Inputs-System'!$C$26*'Coincidence Factors'!$B$7*(1+'Inputs-System'!$C$18)*(1+'Inputs-System'!$C$42))*'Inputs-Proposals'!$J$22*VLOOKUP(DB$3,DRIPE!$A$54:$I$82,8,FALSE), $C49= "3", ( 'Inputs-System'!$C$30*'Coincidence Factors'!$B$7*(1+'Inputs-System'!$C$18)*(1+'Inputs-System'!$C$41))*('Inputs-Proposals'!$J$29*'Inputs-Proposals'!$J$31*('Inputs-Proposals'!$J$32))*(VLOOKUP(DB$3,DRIPE!$A$54:$I$82,5,FALSE)+VLOOKUP(DB$3,DRIPE!$A$54:$I$82,12,FALSE))+ ('Inputs-System'!$C$26*'Coincidence Factors'!$B$7*(1+'Inputs-System'!$C$18)*(1+'Inputs-System'!$C$42))*'Inputs-Proposals'!$J$28*VLOOKUP(DB$3,DRIPE!$A$54:$I$82,8,FALSE), $C49 = "0", 0), 0)</f>
        <v>0</v>
      </c>
      <c r="DE49" s="45">
        <f>IFERROR(_xlfn.IFS($C49="1",('Inputs-System'!$C$26*'Coincidence Factors'!$B$7*(1+'Inputs-System'!$C$18))*'Inputs-Proposals'!$J$16*(VLOOKUP(DB$3,Capacity!$A$53:$E$85,4,FALSE)*(1+'Inputs-System'!$C$42)+VLOOKUP(DB$3,Capacity!$A$53:$E$85,5,FALSE)*'Inputs-System'!$C$29*(1+'Inputs-System'!$C$43)), $C49 = "2", ('Inputs-System'!$C$26*'Coincidence Factors'!$B$7*(1+'Inputs-System'!$C$18))*'Inputs-Proposals'!$J$22*(VLOOKUP(DB$3,Capacity!$A$53:$E$85,4,FALSE)*(1+'Inputs-System'!$C$42)+VLOOKUP(DB$3,Capacity!$A$53:$E$85,5,FALSE)*'Inputs-System'!$C$29*(1+'Inputs-System'!$C$43)), $C49 = "3",('Inputs-System'!$C$26*'Coincidence Factors'!$B$7*(1+'Inputs-System'!$C$18))*'Inputs-Proposals'!$J$28*(VLOOKUP(DB$3,Capacity!$A$53:$E$85,4,FALSE)*(1+'Inputs-System'!$C$42)+VLOOKUP(DB$3,Capacity!$A$53:$E$85,5,FALSE)*'Inputs-System'!$C$29*(1+'Inputs-System'!$C$43)), $C49 = "0", 0), 0)</f>
        <v>0</v>
      </c>
      <c r="DF49" s="44">
        <v>0</v>
      </c>
      <c r="DG49" s="342">
        <f>IFERROR(_xlfn.IFS($C49="1", 'Inputs-System'!$C$30*'Coincidence Factors'!$B$7*'Inputs-Proposals'!$J$17*'Inputs-Proposals'!$J$19*(VLOOKUP(DB$3,'Non-Embedded Emissions'!$A$56:$D$90,2,FALSE)+VLOOKUP(DB$3,'Non-Embedded Emissions'!$A$143:$D$174,2,FALSE)+VLOOKUP(DB$3,'Non-Embedded Emissions'!$A$230:$D$259,2,FALSE)), $C49 = "2", 'Inputs-System'!$C$30*'Coincidence Factors'!$B$7*'Inputs-Proposals'!$J$23*'Inputs-Proposals'!$J$25*(VLOOKUP(DB$3,'Non-Embedded Emissions'!$A$56:$D$90,2,FALSE)+VLOOKUP(DB$3,'Non-Embedded Emissions'!$A$143:$D$174,2,FALSE)+VLOOKUP(DB$3,'Non-Embedded Emissions'!$A$230:$D$259,2,FALSE)), $C49 = "3", 'Inputs-System'!$C$30*'Coincidence Factors'!$B$7*'Inputs-Proposals'!$J$29*'Inputs-Proposals'!$J$31*(VLOOKUP(DB$3,'Non-Embedded Emissions'!$A$56:$D$90,2,FALSE)+VLOOKUP(DB$3,'Non-Embedded Emissions'!$A$143:$D$174,2,FALSE)+VLOOKUP(DB$3,'Non-Embedded Emissions'!$A$230:$D$259,2,FALSE)), $C49 = "0", 0), 0)</f>
        <v>0</v>
      </c>
      <c r="DH49" s="347">
        <f>IFERROR(_xlfn.IFS($C49="1",('Inputs-System'!$C$30*'Coincidence Factors'!$B$7*(1+'Inputs-System'!$C$18)*(1+'Inputs-System'!$C$41)*('Inputs-Proposals'!$J$17*'Inputs-Proposals'!$J$19*('Inputs-Proposals'!$J$20))*(VLOOKUP(DH$3,Energy!$A$51:$K$83,5,FALSE))), $C49 = "2",('Inputs-System'!$C$30*'Coincidence Factors'!$B$7)*(1+'Inputs-System'!$C$18)*(1+'Inputs-System'!$C$41)*('Inputs-Proposals'!$J$23*'Inputs-Proposals'!$J$25*('Inputs-Proposals'!$J$26))*(VLOOKUP(DH$3,Energy!$A$51:$K$83,5,FALSE)), $C49= "3", ('Inputs-System'!$C$30*'Coincidence Factors'!$B$7*(1+'Inputs-System'!$C$18)*(1+'Inputs-System'!$C$41)*('Inputs-Proposals'!$J$29*'Inputs-Proposals'!$J$31*('Inputs-Proposals'!$J$32))*(VLOOKUP(DH$3,Energy!$A$51:$K$83,5,FALSE))), $C49= "0", 0), 0)</f>
        <v>0</v>
      </c>
      <c r="DI49" s="44">
        <f>IFERROR(_xlfn.IFS($C49="1",'Inputs-System'!$C$30*'Coincidence Factors'!$B$7*(1+'Inputs-System'!$C$18)*(1+'Inputs-System'!$C$41)*'Inputs-Proposals'!$J$17*'Inputs-Proposals'!$J$19*('Inputs-Proposals'!$J$20)*(VLOOKUP(DH$3,'Embedded Emissions'!$A$47:$B$78,2,FALSE)+VLOOKUP(DH$3,'Embedded Emissions'!$A$129:$B$158,2,FALSE)), $C49 = "2",'Inputs-System'!$C$30*'Coincidence Factors'!$B$7*(1+'Inputs-System'!$C$18)*(1+'Inputs-System'!$C$41)*'Inputs-Proposals'!$J$23*'Inputs-Proposals'!$J$25*('Inputs-Proposals'!$J$20)*(VLOOKUP(DH$3,'Embedded Emissions'!$A$47:$B$78,2,FALSE)+VLOOKUP(DH$3,'Embedded Emissions'!$A$129:$B$158,2,FALSE)), $C49 = "3", 'Inputs-System'!$C$30*'Coincidence Factors'!$B$7*(1+'Inputs-System'!$C$18)*(1+'Inputs-System'!$C$41)*'Inputs-Proposals'!$J$29*'Inputs-Proposals'!$J$31*('Inputs-Proposals'!$J$20)*(VLOOKUP(DH$3,'Embedded Emissions'!$A$47:$B$78,2,FALSE)+VLOOKUP(DH$3,'Embedded Emissions'!$A$129:$B$158,2,FALSE)), $C49 = "0", 0), 0)</f>
        <v>0</v>
      </c>
      <c r="DJ49" s="44">
        <f>IFERROR(_xlfn.IFS($C49="1",( 'Inputs-System'!$C$30*'Coincidence Factors'!$B$7*(1+'Inputs-System'!$C$18)*(1+'Inputs-System'!$C$41))*('Inputs-Proposals'!$J$17*'Inputs-Proposals'!$J$19*('Inputs-Proposals'!$J$20))*(VLOOKUP(DH$3,DRIPE!$A$54:$I$82,5,FALSE)+VLOOKUP(DH$3,DRIPE!$A$54:$I$82,9,FALSE))+ ('Inputs-System'!$C$26*'Coincidence Factors'!$B$7*(1+'Inputs-System'!$C$18)*(1+'Inputs-System'!$C$42))*'Inputs-Proposals'!$J$16*VLOOKUP(DH$3,DRIPE!$A$54:$I$82,8,FALSE), $C49 = "2",( 'Inputs-System'!$C$30*'Coincidence Factors'!$B$7*(1+'Inputs-System'!$C$18)*(1+'Inputs-System'!$C$41))*('Inputs-Proposals'!$J$23*'Inputs-Proposals'!$J$25*('Inputs-Proposals'!$J$26))*(VLOOKUP(DH$3,DRIPE!$A$54:$I$82,5,FALSE)+VLOOKUP(DH$3,DRIPE!$A$54:$I$82,12,FALSE))+ ('Inputs-System'!$C$26*'Coincidence Factors'!$B$7*(1+'Inputs-System'!$C$18)*(1+'Inputs-System'!$C$42))*'Inputs-Proposals'!$J$22*VLOOKUP(DH$3,DRIPE!$A$54:$I$82,8,FALSE), $C49= "3", ( 'Inputs-System'!$C$30*'Coincidence Factors'!$B$7*(1+'Inputs-System'!$C$18)*(1+'Inputs-System'!$C$41))*('Inputs-Proposals'!$J$29*'Inputs-Proposals'!$J$31*('Inputs-Proposals'!$J$32))*(VLOOKUP(DH$3,DRIPE!$A$54:$I$82,5,FALSE)+VLOOKUP(DH$3,DRIPE!$A$54:$I$82,12,FALSE))+ ('Inputs-System'!$C$26*'Coincidence Factors'!$B$7*(1+'Inputs-System'!$C$18)*(1+'Inputs-System'!$C$42))*'Inputs-Proposals'!$J$28*VLOOKUP(DH$3,DRIPE!$A$54:$I$82,8,FALSE), $C49 = "0", 0), 0)</f>
        <v>0</v>
      </c>
      <c r="DK49" s="45">
        <f>IFERROR(_xlfn.IFS($C49="1",('Inputs-System'!$C$26*'Coincidence Factors'!$B$7*(1+'Inputs-System'!$C$18))*'Inputs-Proposals'!$J$16*(VLOOKUP(DH$3,Capacity!$A$53:$E$85,4,FALSE)*(1+'Inputs-System'!$C$42)+VLOOKUP(DH$3,Capacity!$A$53:$E$85,5,FALSE)*'Inputs-System'!$C$29*(1+'Inputs-System'!$C$43)), $C49 = "2", ('Inputs-System'!$C$26*'Coincidence Factors'!$B$7*(1+'Inputs-System'!$C$18))*'Inputs-Proposals'!$J$22*(VLOOKUP(DH$3,Capacity!$A$53:$E$85,4,FALSE)*(1+'Inputs-System'!$C$42)+VLOOKUP(DH$3,Capacity!$A$53:$E$85,5,FALSE)*'Inputs-System'!$C$29*(1+'Inputs-System'!$C$43)), $C49 = "3",('Inputs-System'!$C$26*'Coincidence Factors'!$B$7*(1+'Inputs-System'!$C$18))*'Inputs-Proposals'!$J$28*(VLOOKUP(DH$3,Capacity!$A$53:$E$85,4,FALSE)*(1+'Inputs-System'!$C$42)+VLOOKUP(DH$3,Capacity!$A$53:$E$85,5,FALSE)*'Inputs-System'!$C$29*(1+'Inputs-System'!$C$43)), $C49 = "0", 0), 0)</f>
        <v>0</v>
      </c>
      <c r="DL49" s="44">
        <v>0</v>
      </c>
      <c r="DM49" s="342">
        <f>IFERROR(_xlfn.IFS($C49="1", 'Inputs-System'!$C$30*'Coincidence Factors'!$B$7*'Inputs-Proposals'!$J$17*'Inputs-Proposals'!$J$19*(VLOOKUP(DH$3,'Non-Embedded Emissions'!$A$56:$D$90,2,FALSE)+VLOOKUP(DH$3,'Non-Embedded Emissions'!$A$143:$D$174,2,FALSE)+VLOOKUP(DH$3,'Non-Embedded Emissions'!$A$230:$D$259,2,FALSE)), $C49 = "2", 'Inputs-System'!$C$30*'Coincidence Factors'!$B$7*'Inputs-Proposals'!$J$23*'Inputs-Proposals'!$J$25*(VLOOKUP(DH$3,'Non-Embedded Emissions'!$A$56:$D$90,2,FALSE)+VLOOKUP(DH$3,'Non-Embedded Emissions'!$A$143:$D$174,2,FALSE)+VLOOKUP(DH$3,'Non-Embedded Emissions'!$A$230:$D$259,2,FALSE)), $C49 = "3", 'Inputs-System'!$C$30*'Coincidence Factors'!$B$7*'Inputs-Proposals'!$J$29*'Inputs-Proposals'!$J$31*(VLOOKUP(DH$3,'Non-Embedded Emissions'!$A$56:$D$90,2,FALSE)+VLOOKUP(DH$3,'Non-Embedded Emissions'!$A$143:$D$174,2,FALSE)+VLOOKUP(DH$3,'Non-Embedded Emissions'!$A$230:$D$259,2,FALSE)), $C49 = "0", 0), 0)</f>
        <v>0</v>
      </c>
      <c r="DN49" s="347">
        <f>IFERROR(_xlfn.IFS($C49="1",('Inputs-System'!$C$30*'Coincidence Factors'!$B$7*(1+'Inputs-System'!$C$18)*(1+'Inputs-System'!$C$41)*('Inputs-Proposals'!$J$17*'Inputs-Proposals'!$J$19*('Inputs-Proposals'!$J$20))*(VLOOKUP(DN$3,Energy!$A$51:$K$83,5,FALSE))), $C49 = "2",('Inputs-System'!$C$30*'Coincidence Factors'!$B$7)*(1+'Inputs-System'!$C$18)*(1+'Inputs-System'!$C$41)*('Inputs-Proposals'!$J$23*'Inputs-Proposals'!$J$25*('Inputs-Proposals'!$J$26))*(VLOOKUP(DN$3,Energy!$A$51:$K$83,5,FALSE)), $C49= "3", ('Inputs-System'!$C$30*'Coincidence Factors'!$B$7*(1+'Inputs-System'!$C$18)*(1+'Inputs-System'!$C$41)*('Inputs-Proposals'!$J$29*'Inputs-Proposals'!$J$31*('Inputs-Proposals'!$J$32))*(VLOOKUP(DN$3,Energy!$A$51:$K$83,5,FALSE))), $C49= "0", 0), 0)</f>
        <v>0</v>
      </c>
      <c r="DO49" s="44">
        <f>IFERROR(_xlfn.IFS($C49="1",'Inputs-System'!$C$30*'Coincidence Factors'!$B$7*(1+'Inputs-System'!$C$18)*(1+'Inputs-System'!$C$41)*'Inputs-Proposals'!$J$17*'Inputs-Proposals'!$J$19*('Inputs-Proposals'!$J$20)*(VLOOKUP(DN$3,'Embedded Emissions'!$A$47:$B$78,2,FALSE)+VLOOKUP(DN$3,'Embedded Emissions'!$A$129:$B$158,2,FALSE)), $C49 = "2",'Inputs-System'!$C$30*'Coincidence Factors'!$B$7*(1+'Inputs-System'!$C$18)*(1+'Inputs-System'!$C$41)*'Inputs-Proposals'!$J$23*'Inputs-Proposals'!$J$25*('Inputs-Proposals'!$J$20)*(VLOOKUP(DN$3,'Embedded Emissions'!$A$47:$B$78,2,FALSE)+VLOOKUP(DN$3,'Embedded Emissions'!$A$129:$B$158,2,FALSE)), $C49 = "3", 'Inputs-System'!$C$30*'Coincidence Factors'!$B$7*(1+'Inputs-System'!$C$18)*(1+'Inputs-System'!$C$41)*'Inputs-Proposals'!$J$29*'Inputs-Proposals'!$J$31*('Inputs-Proposals'!$J$20)*(VLOOKUP(DN$3,'Embedded Emissions'!$A$47:$B$78,2,FALSE)+VLOOKUP(DN$3,'Embedded Emissions'!$A$129:$B$158,2,FALSE)), $C49 = "0", 0), 0)</f>
        <v>0</v>
      </c>
      <c r="DP49" s="44">
        <f>IFERROR(_xlfn.IFS($C49="1",( 'Inputs-System'!$C$30*'Coincidence Factors'!$B$7*(1+'Inputs-System'!$C$18)*(1+'Inputs-System'!$C$41))*('Inputs-Proposals'!$J$17*'Inputs-Proposals'!$J$19*('Inputs-Proposals'!$J$20))*(VLOOKUP(DN$3,DRIPE!$A$54:$I$82,5,FALSE)+VLOOKUP(DN$3,DRIPE!$A$54:$I$82,9,FALSE))+ ('Inputs-System'!$C$26*'Coincidence Factors'!$B$7*(1+'Inputs-System'!$C$18)*(1+'Inputs-System'!$C$42))*'Inputs-Proposals'!$J$16*VLOOKUP(DN$3,DRIPE!$A$54:$I$82,8,FALSE), $C49 = "2",( 'Inputs-System'!$C$30*'Coincidence Factors'!$B$7*(1+'Inputs-System'!$C$18)*(1+'Inputs-System'!$C$41))*('Inputs-Proposals'!$J$23*'Inputs-Proposals'!$J$25*('Inputs-Proposals'!$J$26))*(VLOOKUP(DN$3,DRIPE!$A$54:$I$82,5,FALSE)+VLOOKUP(DN$3,DRIPE!$A$54:$I$82,12,FALSE))+ ('Inputs-System'!$C$26*'Coincidence Factors'!$B$7*(1+'Inputs-System'!$C$18)*(1+'Inputs-System'!$C$42))*'Inputs-Proposals'!$J$22*VLOOKUP(DN$3,DRIPE!$A$54:$I$82,8,FALSE), $C49= "3", ( 'Inputs-System'!$C$30*'Coincidence Factors'!$B$7*(1+'Inputs-System'!$C$18)*(1+'Inputs-System'!$C$41))*('Inputs-Proposals'!$J$29*'Inputs-Proposals'!$J$31*('Inputs-Proposals'!$J$32))*(VLOOKUP(DN$3,DRIPE!$A$54:$I$82,5,FALSE)+VLOOKUP(DN$3,DRIPE!$A$54:$I$82,12,FALSE))+ ('Inputs-System'!$C$26*'Coincidence Factors'!$B$7*(1+'Inputs-System'!$C$18)*(1+'Inputs-System'!$C$42))*'Inputs-Proposals'!$J$28*VLOOKUP(DN$3,DRIPE!$A$54:$I$82,8,FALSE), $C49 = "0", 0), 0)</f>
        <v>0</v>
      </c>
      <c r="DQ49" s="45">
        <f>IFERROR(_xlfn.IFS($C49="1",('Inputs-System'!$C$26*'Coincidence Factors'!$B$7*(1+'Inputs-System'!$C$18))*'Inputs-Proposals'!$J$16*(VLOOKUP(DN$3,Capacity!$A$53:$E$85,4,FALSE)*(1+'Inputs-System'!$C$42)+VLOOKUP(DN$3,Capacity!$A$53:$E$85,5,FALSE)*'Inputs-System'!$C$29*(1+'Inputs-System'!$C$43)), $C49 = "2", ('Inputs-System'!$C$26*'Coincidence Factors'!$B$7*(1+'Inputs-System'!$C$18))*'Inputs-Proposals'!$J$22*(VLOOKUP(DN$3,Capacity!$A$53:$E$85,4,FALSE)*(1+'Inputs-System'!$C$42)+VLOOKUP(DN$3,Capacity!$A$53:$E$85,5,FALSE)*'Inputs-System'!$C$29*(1+'Inputs-System'!$C$43)), $C49 = "3",('Inputs-System'!$C$26*'Coincidence Factors'!$B$7*(1+'Inputs-System'!$C$18))*'Inputs-Proposals'!$J$28*(VLOOKUP(DN$3,Capacity!$A$53:$E$85,4,FALSE)*(1+'Inputs-System'!$C$42)+VLOOKUP(DN$3,Capacity!$A$53:$E$85,5,FALSE)*'Inputs-System'!$C$29*(1+'Inputs-System'!$C$43)), $C49 = "0", 0), 0)</f>
        <v>0</v>
      </c>
      <c r="DR49" s="44">
        <v>0</v>
      </c>
      <c r="DS49" s="342">
        <f>IFERROR(_xlfn.IFS($C49="1", 'Inputs-System'!$C$30*'Coincidence Factors'!$B$7*'Inputs-Proposals'!$J$17*'Inputs-Proposals'!$J$19*(VLOOKUP(DN$3,'Non-Embedded Emissions'!$A$56:$D$90,2,FALSE)+VLOOKUP(DN$3,'Non-Embedded Emissions'!$A$143:$D$174,2,FALSE)+VLOOKUP(DN$3,'Non-Embedded Emissions'!$A$230:$D$259,2,FALSE)), $C49 = "2", 'Inputs-System'!$C$30*'Coincidence Factors'!$B$7*'Inputs-Proposals'!$J$23*'Inputs-Proposals'!$J$25*(VLOOKUP(DN$3,'Non-Embedded Emissions'!$A$56:$D$90,2,FALSE)+VLOOKUP(DN$3,'Non-Embedded Emissions'!$A$143:$D$174,2,FALSE)+VLOOKUP(DN$3,'Non-Embedded Emissions'!$A$230:$D$259,2,FALSE)), $C49 = "3", 'Inputs-System'!$C$30*'Coincidence Factors'!$B$7*'Inputs-Proposals'!$J$29*'Inputs-Proposals'!$J$31*(VLOOKUP(DN$3,'Non-Embedded Emissions'!$A$56:$D$90,2,FALSE)+VLOOKUP(DN$3,'Non-Embedded Emissions'!$A$143:$D$174,2,FALSE)+VLOOKUP(DN$3,'Non-Embedded Emissions'!$A$230:$D$259,2,FALSE)), $C49 = "0", 0), 0)</f>
        <v>0</v>
      </c>
      <c r="DT49" s="347">
        <f>IFERROR(_xlfn.IFS($C49="1",('Inputs-System'!$C$30*'Coincidence Factors'!$B$7*(1+'Inputs-System'!$C$18)*(1+'Inputs-System'!$C$41)*('Inputs-Proposals'!$J$17*'Inputs-Proposals'!$J$19*('Inputs-Proposals'!$J$20))*(VLOOKUP(DT$3,Energy!$A$51:$K$83,5,FALSE))), $C49 = "2",('Inputs-System'!$C$30*'Coincidence Factors'!$B$7)*(1+'Inputs-System'!$C$18)*(1+'Inputs-System'!$C$41)*('Inputs-Proposals'!$J$23*'Inputs-Proposals'!$J$25*('Inputs-Proposals'!$J$26))*(VLOOKUP(DT$3,Energy!$A$51:$K$83,5,FALSE)), $C49= "3", ('Inputs-System'!$C$30*'Coincidence Factors'!$B$7*(1+'Inputs-System'!$C$18)*(1+'Inputs-System'!$C$41)*('Inputs-Proposals'!$J$29*'Inputs-Proposals'!$J$31*('Inputs-Proposals'!$J$32))*(VLOOKUP(DT$3,Energy!$A$51:$K$83,5,FALSE))), $C49= "0", 0), 0)</f>
        <v>0</v>
      </c>
      <c r="DU49" s="44">
        <f>IFERROR(_xlfn.IFS($C49="1",'Inputs-System'!$C$30*'Coincidence Factors'!$B$7*(1+'Inputs-System'!$C$18)*(1+'Inputs-System'!$C$41)*'Inputs-Proposals'!$J$17*'Inputs-Proposals'!$J$19*('Inputs-Proposals'!$J$20)*(VLOOKUP(DT$3,'Embedded Emissions'!$A$47:$B$78,2,FALSE)+VLOOKUP(DT$3,'Embedded Emissions'!$A$129:$B$158,2,FALSE)), $C49 = "2",'Inputs-System'!$C$30*'Coincidence Factors'!$B$7*(1+'Inputs-System'!$C$18)*(1+'Inputs-System'!$C$41)*'Inputs-Proposals'!$J$23*'Inputs-Proposals'!$J$25*('Inputs-Proposals'!$J$20)*(VLOOKUP(DT$3,'Embedded Emissions'!$A$47:$B$78,2,FALSE)+VLOOKUP(DT$3,'Embedded Emissions'!$A$129:$B$158,2,FALSE)), $C49 = "3", 'Inputs-System'!$C$30*'Coincidence Factors'!$B$7*(1+'Inputs-System'!$C$18)*(1+'Inputs-System'!$C$41)*'Inputs-Proposals'!$J$29*'Inputs-Proposals'!$J$31*('Inputs-Proposals'!$J$20)*(VLOOKUP(DT$3,'Embedded Emissions'!$A$47:$B$78,2,FALSE)+VLOOKUP(DT$3,'Embedded Emissions'!$A$129:$B$158,2,FALSE)), $C49 = "0", 0), 0)</f>
        <v>0</v>
      </c>
      <c r="DV49" s="44">
        <f>IFERROR(_xlfn.IFS($C49="1",( 'Inputs-System'!$C$30*'Coincidence Factors'!$B$7*(1+'Inputs-System'!$C$18)*(1+'Inputs-System'!$C$41))*('Inputs-Proposals'!$J$17*'Inputs-Proposals'!$J$19*('Inputs-Proposals'!$J$20))*(VLOOKUP(DT$3,DRIPE!$A$54:$I$82,5,FALSE)+VLOOKUP(DT$3,DRIPE!$A$54:$I$82,9,FALSE))+ ('Inputs-System'!$C$26*'Coincidence Factors'!$B$7*(1+'Inputs-System'!$C$18)*(1+'Inputs-System'!$C$42))*'Inputs-Proposals'!$J$16*VLOOKUP(DT$3,DRIPE!$A$54:$I$82,8,FALSE), $C49 = "2",( 'Inputs-System'!$C$30*'Coincidence Factors'!$B$7*(1+'Inputs-System'!$C$18)*(1+'Inputs-System'!$C$41))*('Inputs-Proposals'!$J$23*'Inputs-Proposals'!$J$25*('Inputs-Proposals'!$J$26))*(VLOOKUP(DT$3,DRIPE!$A$54:$I$82,5,FALSE)+VLOOKUP(DT$3,DRIPE!$A$54:$I$82,12,FALSE))+ ('Inputs-System'!$C$26*'Coincidence Factors'!$B$7*(1+'Inputs-System'!$C$18)*(1+'Inputs-System'!$C$42))*'Inputs-Proposals'!$J$22*VLOOKUP(DT$3,DRIPE!$A$54:$I$82,8,FALSE), $C49= "3", ( 'Inputs-System'!$C$30*'Coincidence Factors'!$B$7*(1+'Inputs-System'!$C$18)*(1+'Inputs-System'!$C$41))*('Inputs-Proposals'!$J$29*'Inputs-Proposals'!$J$31*('Inputs-Proposals'!$J$32))*(VLOOKUP(DT$3,DRIPE!$A$54:$I$82,5,FALSE)+VLOOKUP(DT$3,DRIPE!$A$54:$I$82,12,FALSE))+ ('Inputs-System'!$C$26*'Coincidence Factors'!$B$7*(1+'Inputs-System'!$C$18)*(1+'Inputs-System'!$C$42))*'Inputs-Proposals'!$J$28*VLOOKUP(DT$3,DRIPE!$A$54:$I$82,8,FALSE), $C49 = "0", 0), 0)</f>
        <v>0</v>
      </c>
      <c r="DW49" s="45">
        <f>IFERROR(_xlfn.IFS($C49="1",('Inputs-System'!$C$26*'Coincidence Factors'!$B$7*(1+'Inputs-System'!$C$18))*'Inputs-Proposals'!$J$16*(VLOOKUP(DT$3,Capacity!$A$53:$E$85,4,FALSE)*(1+'Inputs-System'!$C$42)+VLOOKUP(DT$3,Capacity!$A$53:$E$85,5,FALSE)*'Inputs-System'!$C$29*(1+'Inputs-System'!$C$43)), $C49 = "2", ('Inputs-System'!$C$26*'Coincidence Factors'!$B$7*(1+'Inputs-System'!$C$18))*'Inputs-Proposals'!$J$22*(VLOOKUP(DT$3,Capacity!$A$53:$E$85,4,FALSE)*(1+'Inputs-System'!$C$42)+VLOOKUP(DT$3,Capacity!$A$53:$E$85,5,FALSE)*'Inputs-System'!$C$29*(1+'Inputs-System'!$C$43)), $C49 = "3",('Inputs-System'!$C$26*'Coincidence Factors'!$B$7*(1+'Inputs-System'!$C$18))*'Inputs-Proposals'!$J$28*(VLOOKUP(DT$3,Capacity!$A$53:$E$85,4,FALSE)*(1+'Inputs-System'!$C$42)+VLOOKUP(DT$3,Capacity!$A$53:$E$85,5,FALSE)*'Inputs-System'!$C$29*(1+'Inputs-System'!$C$43)), $C49 = "0", 0), 0)</f>
        <v>0</v>
      </c>
      <c r="DX49" s="44">
        <v>0</v>
      </c>
      <c r="DY49" s="342">
        <f>IFERROR(_xlfn.IFS($C49="1", 'Inputs-System'!$C$30*'Coincidence Factors'!$B$7*'Inputs-Proposals'!$J$17*'Inputs-Proposals'!$J$19*(VLOOKUP(DT$3,'Non-Embedded Emissions'!$A$56:$D$90,2,FALSE)+VLOOKUP(DT$3,'Non-Embedded Emissions'!$A$143:$D$174,2,FALSE)+VLOOKUP(DT$3,'Non-Embedded Emissions'!$A$230:$D$259,2,FALSE)), $C49 = "2", 'Inputs-System'!$C$30*'Coincidence Factors'!$B$7*'Inputs-Proposals'!$J$23*'Inputs-Proposals'!$J$25*(VLOOKUP(DT$3,'Non-Embedded Emissions'!$A$56:$D$90,2,FALSE)+VLOOKUP(DT$3,'Non-Embedded Emissions'!$A$143:$D$174,2,FALSE)+VLOOKUP(DT$3,'Non-Embedded Emissions'!$A$230:$D$259,2,FALSE)), $C49 = "3", 'Inputs-System'!$C$30*'Coincidence Factors'!$B$7*'Inputs-Proposals'!$J$29*'Inputs-Proposals'!$J$31*(VLOOKUP(DT$3,'Non-Embedded Emissions'!$A$56:$D$90,2,FALSE)+VLOOKUP(DT$3,'Non-Embedded Emissions'!$A$143:$D$174,2,FALSE)+VLOOKUP(DT$3,'Non-Embedded Emissions'!$A$230:$D$259,2,FALSE)), $C49 = "0", 0), 0)</f>
        <v>0</v>
      </c>
      <c r="DZ49" s="347">
        <f>IFERROR(_xlfn.IFS($C49="1",('Inputs-System'!$C$30*'Coincidence Factors'!$B$7*(1+'Inputs-System'!$C$18)*(1+'Inputs-System'!$C$41)*('Inputs-Proposals'!$J$17*'Inputs-Proposals'!$J$19*('Inputs-Proposals'!$J$20))*(VLOOKUP(DZ$3,Energy!$A$51:$K$83,5,FALSE))), $C49 = "2",('Inputs-System'!$C$30*'Coincidence Factors'!$B$7)*(1+'Inputs-System'!$C$18)*(1+'Inputs-System'!$C$41)*('Inputs-Proposals'!$J$23*'Inputs-Proposals'!$J$25*('Inputs-Proposals'!$J$26))*(VLOOKUP(DZ$3,Energy!$A$51:$K$83,5,FALSE)), $C49= "3", ('Inputs-System'!$C$30*'Coincidence Factors'!$B$7*(1+'Inputs-System'!$C$18)*(1+'Inputs-System'!$C$41)*('Inputs-Proposals'!$J$29*'Inputs-Proposals'!$J$31*('Inputs-Proposals'!$J$32))*(VLOOKUP(DZ$3,Energy!$A$51:$K$83,5,FALSE))), $C49= "0", 0), 0)</f>
        <v>0</v>
      </c>
      <c r="EA49" s="44">
        <f>IFERROR(_xlfn.IFS($C49="1",'Inputs-System'!$C$30*'Coincidence Factors'!$B$7*(1+'Inputs-System'!$C$18)*(1+'Inputs-System'!$C$41)*'Inputs-Proposals'!$J$17*'Inputs-Proposals'!$J$19*('Inputs-Proposals'!$J$20)*(VLOOKUP(DZ$3,'Embedded Emissions'!$A$47:$B$78,2,FALSE)+VLOOKUP(DZ$3,'Embedded Emissions'!$A$129:$B$158,2,FALSE)), $C49 = "2",'Inputs-System'!$C$30*'Coincidence Factors'!$B$7*(1+'Inputs-System'!$C$18)*(1+'Inputs-System'!$C$41)*'Inputs-Proposals'!$J$23*'Inputs-Proposals'!$J$25*('Inputs-Proposals'!$J$20)*(VLOOKUP(DZ$3,'Embedded Emissions'!$A$47:$B$78,2,FALSE)+VLOOKUP(DZ$3,'Embedded Emissions'!$A$129:$B$158,2,FALSE)), $C49 = "3", 'Inputs-System'!$C$30*'Coincidence Factors'!$B$7*(1+'Inputs-System'!$C$18)*(1+'Inputs-System'!$C$41)*'Inputs-Proposals'!$J$29*'Inputs-Proposals'!$J$31*('Inputs-Proposals'!$J$20)*(VLOOKUP(DZ$3,'Embedded Emissions'!$A$47:$B$78,2,FALSE)+VLOOKUP(DZ$3,'Embedded Emissions'!$A$129:$B$158,2,FALSE)), $C49 = "0", 0), 0)</f>
        <v>0</v>
      </c>
      <c r="EB49" s="44">
        <f>IFERROR(_xlfn.IFS($C49="1",( 'Inputs-System'!$C$30*'Coincidence Factors'!$B$7*(1+'Inputs-System'!$C$18)*(1+'Inputs-System'!$C$41))*('Inputs-Proposals'!$J$17*'Inputs-Proposals'!$J$19*('Inputs-Proposals'!$J$20))*(VLOOKUP(DZ$3,DRIPE!$A$54:$I$82,5,FALSE)+VLOOKUP(DZ$3,DRIPE!$A$54:$I$82,9,FALSE))+ ('Inputs-System'!$C$26*'Coincidence Factors'!$B$7*(1+'Inputs-System'!$C$18)*(1+'Inputs-System'!$C$42))*'Inputs-Proposals'!$J$16*VLOOKUP(DZ$3,DRIPE!$A$54:$I$82,8,FALSE), $C49 = "2",( 'Inputs-System'!$C$30*'Coincidence Factors'!$B$7*(1+'Inputs-System'!$C$18)*(1+'Inputs-System'!$C$41))*('Inputs-Proposals'!$J$23*'Inputs-Proposals'!$J$25*('Inputs-Proposals'!$J$26))*(VLOOKUP(DZ$3,DRIPE!$A$54:$I$82,5,FALSE)+VLOOKUP(DZ$3,DRIPE!$A$54:$I$82,12,FALSE))+ ('Inputs-System'!$C$26*'Coincidence Factors'!$B$7*(1+'Inputs-System'!$C$18)*(1+'Inputs-System'!$C$42))*'Inputs-Proposals'!$J$22*VLOOKUP(DZ$3,DRIPE!$A$54:$I$82,8,FALSE), $C49= "3", ( 'Inputs-System'!$C$30*'Coincidence Factors'!$B$7*(1+'Inputs-System'!$C$18)*(1+'Inputs-System'!$C$41))*('Inputs-Proposals'!$J$29*'Inputs-Proposals'!$J$31*('Inputs-Proposals'!$J$32))*(VLOOKUP(DZ$3,DRIPE!$A$54:$I$82,5,FALSE)+VLOOKUP(DZ$3,DRIPE!$A$54:$I$82,12,FALSE))+ ('Inputs-System'!$C$26*'Coincidence Factors'!$B$7*(1+'Inputs-System'!$C$18)*(1+'Inputs-System'!$C$42))*'Inputs-Proposals'!$J$28*VLOOKUP(DZ$3,DRIPE!$A$54:$I$82,8,FALSE), $C49 = "0", 0), 0)</f>
        <v>0</v>
      </c>
      <c r="EC49" s="45">
        <f>IFERROR(_xlfn.IFS($C49="1",('Inputs-System'!$C$26*'Coincidence Factors'!$B$7*(1+'Inputs-System'!$C$18))*'Inputs-Proposals'!$J$16*(VLOOKUP(DZ$3,Capacity!$A$53:$E$85,4,FALSE)*(1+'Inputs-System'!$C$42)+VLOOKUP(DZ$3,Capacity!$A$53:$E$85,5,FALSE)*'Inputs-System'!$C$29*(1+'Inputs-System'!$C$43)), $C49 = "2", ('Inputs-System'!$C$26*'Coincidence Factors'!$B$7*(1+'Inputs-System'!$C$18))*'Inputs-Proposals'!$J$22*(VLOOKUP(DZ$3,Capacity!$A$53:$E$85,4,FALSE)*(1+'Inputs-System'!$C$42)+VLOOKUP(DZ$3,Capacity!$A$53:$E$85,5,FALSE)*'Inputs-System'!$C$29*(1+'Inputs-System'!$C$43)), $C49 = "3",('Inputs-System'!$C$26*'Coincidence Factors'!$B$7*(1+'Inputs-System'!$C$18))*'Inputs-Proposals'!$J$28*(VLOOKUP(DZ$3,Capacity!$A$53:$E$85,4,FALSE)*(1+'Inputs-System'!$C$42)+VLOOKUP(DZ$3,Capacity!$A$53:$E$85,5,FALSE)*'Inputs-System'!$C$29*(1+'Inputs-System'!$C$43)), $C49 = "0", 0), 0)</f>
        <v>0</v>
      </c>
      <c r="ED49" s="44">
        <v>0</v>
      </c>
      <c r="EE49" s="342">
        <f>IFERROR(_xlfn.IFS($C49="1", 'Inputs-System'!$C$30*'Coincidence Factors'!$B$7*'Inputs-Proposals'!$J$17*'Inputs-Proposals'!$J$19*(VLOOKUP(DZ$3,'Non-Embedded Emissions'!$A$56:$D$90,2,FALSE)+VLOOKUP(DZ$3,'Non-Embedded Emissions'!$A$143:$D$174,2,FALSE)+VLOOKUP(DZ$3,'Non-Embedded Emissions'!$A$230:$D$259,2,FALSE)), $C49 = "2", 'Inputs-System'!$C$30*'Coincidence Factors'!$B$7*'Inputs-Proposals'!$J$23*'Inputs-Proposals'!$J$25*(VLOOKUP(DZ$3,'Non-Embedded Emissions'!$A$56:$D$90,2,FALSE)+VLOOKUP(DZ$3,'Non-Embedded Emissions'!$A$143:$D$174,2,FALSE)+VLOOKUP(DZ$3,'Non-Embedded Emissions'!$A$230:$D$259,2,FALSE)), $C49 = "3", 'Inputs-System'!$C$30*'Coincidence Factors'!$B$7*'Inputs-Proposals'!$J$29*'Inputs-Proposals'!$J$31*(VLOOKUP(DZ$3,'Non-Embedded Emissions'!$A$56:$D$90,2,FALSE)+VLOOKUP(DZ$3,'Non-Embedded Emissions'!$A$143:$D$174,2,FALSE)+VLOOKUP(DZ$3,'Non-Embedded Emissions'!$A$230:$D$259,2,FALSE)), $C49 = "0", 0), 0)</f>
        <v>0</v>
      </c>
    </row>
    <row r="50" spans="1:135" x14ac:dyDescent="0.35">
      <c r="A50" s="708"/>
      <c r="B50" s="3" t="s">
        <v>160</v>
      </c>
      <c r="C50" s="3" t="str">
        <f>IFERROR(_xlfn.IFS('Benefits Calc'!B50='Inputs-Proposals'!$J$15, "1", 'Benefits Calc'!B50='Inputs-Proposals'!$J$21, "2", 'Benefits Calc'!B50='Inputs-Proposals'!$J$27, "3"), "0")</f>
        <v>0</v>
      </c>
      <c r="D50" s="323">
        <f t="shared" si="0"/>
        <v>0</v>
      </c>
      <c r="E50" s="44">
        <f t="shared" si="1"/>
        <v>0</v>
      </c>
      <c r="F50" s="44">
        <f t="shared" si="2"/>
        <v>0</v>
      </c>
      <c r="G50" s="44">
        <f t="shared" si="3"/>
        <v>0</v>
      </c>
      <c r="H50" s="44">
        <f t="shared" si="4"/>
        <v>0</v>
      </c>
      <c r="I50" s="44">
        <f t="shared" si="5"/>
        <v>0</v>
      </c>
      <c r="J50" s="323">
        <f>NPV('Inputs-System'!$C$20,P50+V50+AB50+AH50+AN50+AT50+AZ50+BF50+BL50+BR50+BX50+CD50+CJ50+CP50+CV50+DB50+DH50+DN50+DT50+DZ50)</f>
        <v>0</v>
      </c>
      <c r="K50" s="44">
        <f>NPV('Inputs-System'!$C$20,Q50+W50+AC50+AI50+AO50+AU50+BA50+BG50+BM50+BS50+BY50+CE50+CK50+CQ50+CW50+DC50+DI50+DO50+DU50+EA50)</f>
        <v>0</v>
      </c>
      <c r="L50" s="44">
        <f>NPV('Inputs-System'!$C$20,R50+X50+AD50+AJ50+AP50+AV50+BB50+BH50+BN50+BT50+BZ50+CF50+CL50+CR50+CX50+DD50+DJ50+DP50+DV50+EB50)</f>
        <v>0</v>
      </c>
      <c r="M50" s="44">
        <f>NPV('Inputs-System'!$C$20,S50+Y50+AE50+AK50+AQ50+AW50+BC50+BI50+BO50+BU50+CA50+CG50+CM50+CS50+CY50+DE50+DK50+DQ50+DW50+EC50)</f>
        <v>0</v>
      </c>
      <c r="N50" s="44">
        <f>NPV('Inputs-System'!$C$20,T50+Z50+AF50+AL50+AR50+AX50+BD50+BJ50+BP50+BV50+CB50+CH50+CN50+CT50+CZ50+DF50+DL50+DR50+DX50+ED50)</f>
        <v>0</v>
      </c>
      <c r="O50" s="119">
        <f>NPV('Inputs-System'!$C$20,U50+AA50+AG50+AM50+AS50+AY50+BE50+BK50+BQ50+BW50+CC50+CI50+CO50+CU50+DA50+DG50+DM50+DS50+DY50+EE50)</f>
        <v>0</v>
      </c>
      <c r="P50" s="45">
        <f>IFERROR(_xlfn.IFS($C50="1",('Inputs-System'!$C$30*'Coincidence Factors'!$B$8*(1+'Inputs-System'!$C$18)*(1+'Inputs-System'!$C$41)*('Inputs-Proposals'!$J$17*'Inputs-Proposals'!$J$19*('Inputs-Proposals'!$J$20))*(VLOOKUP(P$3,Energy!$A$51:$K$83,5,FALSE))), $C50 = "2",('Inputs-System'!$C$30*'Coincidence Factors'!$B$8)*(1+'Inputs-System'!$C$18)*(1+'Inputs-System'!$C$41)*('Inputs-Proposals'!$J$23*'Inputs-Proposals'!$J$25*('Inputs-Proposals'!$J$26))*(VLOOKUP(P$3,Energy!$A$51:$K$83,5,FALSE)), $C50= "3", ('Inputs-System'!$C$30*'Coincidence Factors'!$B$8*(1+'Inputs-System'!$C$18)*(1+'Inputs-System'!$C$41)*('Inputs-Proposals'!$J$29*'Inputs-Proposals'!$J$31*('Inputs-Proposals'!$J$32))*(VLOOKUP(P$3,Energy!$A$51:$K$83,5,FALSE))), $C50= "0", 0), 0)</f>
        <v>0</v>
      </c>
      <c r="Q50" s="44">
        <f>IFERROR(_xlfn.IFS($C50="1",'Inputs-System'!$C$30*'Coincidence Factors'!$B$8*(1+'Inputs-System'!$C$18)*(1+'Inputs-System'!$C$41)*'Inputs-Proposals'!$J$17*'Inputs-Proposals'!$J$19*('Inputs-Proposals'!$J$20)*(VLOOKUP(P$3,'Embedded Emissions'!$A$47:$B$78,2,FALSE)+VLOOKUP(P$3,'Embedded Emissions'!$A$129:$B$158,2,FALSE)), $C50 = "2", 'Inputs-System'!$C$30*'Coincidence Factors'!$B$8*(1+'Inputs-System'!$C$18)*(1+'Inputs-System'!$C$41)*'Inputs-Proposals'!$J$23*'Inputs-Proposals'!$J$25*('Inputs-Proposals'!$J$20)*(VLOOKUP(P$3,'Embedded Emissions'!$A$47:$B$78,2,FALSE)+VLOOKUP(P$3,'Embedded Emissions'!$A$129:$B$158,2,FALSE)), $C50 = "3",'Inputs-System'!$C$30*'Coincidence Factors'!$B$8*(1+'Inputs-System'!$C$18)*(1+'Inputs-System'!$C$41)*'Inputs-Proposals'!$J$29*'Inputs-Proposals'!$J$31*('Inputs-Proposals'!$J$20)*(VLOOKUP(P$3,'Embedded Emissions'!$A$47:$B$78,2,FALSE)+VLOOKUP(P$3,'Embedded Emissions'!$A$129:$B$158,2,FALSE)), $C50 = "0", 0), 0)</f>
        <v>0</v>
      </c>
      <c r="R50" s="44">
        <f>IFERROR(_xlfn.IFS($C50="1",( 'Inputs-System'!$C$30*'Coincidence Factors'!$B$8*(1+'Inputs-System'!$C$18)*(1+'Inputs-System'!$C$41))*('Inputs-Proposals'!$J$17*'Inputs-Proposals'!$J$19*('Inputs-Proposals'!$J$20))*(VLOOKUP(P$3,DRIPE!$A$54:$I$82,5,FALSE)+VLOOKUP(P$3,DRIPE!$A$54:$I$82,9,FALSE))+ ('Inputs-System'!$C$26*'Coincidence Factors'!$B$8*(1+'Inputs-System'!$C$18)*(1+'Inputs-System'!$C$42))*'Inputs-Proposals'!$J$16*VLOOKUP(P$3,DRIPE!$A$54:$I$82,8,FALSE), $C50 = "2",( 'Inputs-System'!$C$30*'Coincidence Factors'!$B$8*(1+'Inputs-System'!$C$18)*(1+'Inputs-System'!$C$41))*('Inputs-Proposals'!$J$23*'Inputs-Proposals'!$J$25*('Inputs-Proposals'!$J$26))*(VLOOKUP(P$3,DRIPE!$A$54:$I$82,5,FALSE)+VLOOKUP(P$3,DRIPE!$A$54:$I$82,9,FALSE))+  ('Inputs-System'!$C$26*'Coincidence Factors'!$B$8*(1+'Inputs-System'!$C$18)*(1+'Inputs-System'!$C$42))*'Inputs-Proposals'!$J$22*VLOOKUP(P$3,DRIPE!$A$54:$I$82,8,FALSE), $C50= "3", ( 'Inputs-System'!$C$30*'Coincidence Factors'!$B$8*(1+'Inputs-System'!$C$18)*(1+'Inputs-System'!$C$41))*('Inputs-Proposals'!$J$29*'Inputs-Proposals'!$J$31*('Inputs-Proposals'!$J$32))*(VLOOKUP(P$3,DRIPE!$A$54:$I$82,5,FALSE)+VLOOKUP(P$3,DRIPE!$A$54:$I$82,9,FALSE))+  ('Inputs-System'!$C$26*'Coincidence Factors'!$B$8*(1+'Inputs-System'!$C$18)*(1+'Inputs-System'!$C$42))*'Inputs-Proposals'!$J$28*VLOOKUP(P$3,DRIPE!$A$54:$I$82,8,FALSE), $C50 = "0", 0), 0)</f>
        <v>0</v>
      </c>
      <c r="S50" s="45">
        <f>IFERROR(_xlfn.IFS($C50="1",('Inputs-System'!$C$30*'Coincidence Factors'!$B$8*(1+'Inputs-System'!$C$18))*'Inputs-Proposals'!$J$16*(VLOOKUP(P$3,Capacity!$A$53:$E$85,4,FALSE)*(1+'Inputs-System'!$C$42)+VLOOKUP(P$3,Capacity!$A$53:$E$85,5,FALSE)*'Inputs-System'!$C$29*(1+'Inputs-System'!$C$43)), $C50 = "2", ('Inputs-System'!$C$30*'Coincidence Factors'!$B$8*(1+'Inputs-System'!$C$18))*'Inputs-Proposals'!$J$22*(VLOOKUP(P$3,Capacity!$A$53:$E$85,4,FALSE)*(1+'Inputs-System'!$C$42)+VLOOKUP(P$3,Capacity!$A$53:$E$85,5,FALSE)*'Inputs-System'!$C$29*(1+'Inputs-System'!$C$43)), $C50 = "3",('Inputs-System'!$C$30*'Coincidence Factors'!$B$8*(1+'Inputs-System'!$C$18))*'Inputs-Proposals'!$J$28*(VLOOKUP(P$3,Capacity!$A$53:$E$85,4,FALSE)*(1+'Inputs-System'!$C$42)+VLOOKUP(P$3,Capacity!$A$53:$E$85,5,FALSE)*'Inputs-System'!$C$29*(1+'Inputs-System'!$C$43)), $C50 = "0", 0), 0)</f>
        <v>0</v>
      </c>
      <c r="T50" s="44">
        <v>0</v>
      </c>
      <c r="U50" s="44">
        <f>IFERROR(_xlfn.IFS($C50="1", 'Inputs-System'!$C$30*'Coincidence Factors'!$B$8*'Inputs-Proposals'!$J$17*'Inputs-Proposals'!$J$19*(VLOOKUP(P$3,'Non-Embedded Emissions'!$A$56:$D$90,2,FALSE)+VLOOKUP(P$3,'Non-Embedded Emissions'!$A$143:$D$174,2,FALSE)+VLOOKUP(P$3,'Non-Embedded Emissions'!$A$230:$D$259,2,FALSE)), $C50 = "2", 'Inputs-System'!$C$30*'Coincidence Factors'!$B$8*'Inputs-Proposals'!$J$23*'Inputs-Proposals'!$J$25*(VLOOKUP(P$3,'Non-Embedded Emissions'!$A$56:$D$90,2,FALSE)+VLOOKUP(P$3,'Non-Embedded Emissions'!$A$143:$D$174,2,FALSE)+VLOOKUP(P$3,'Non-Embedded Emissions'!$A$230:$D$259,2,FALSE)), $C50 = "3", 'Inputs-System'!$C$30*'Coincidence Factors'!$B$8*'Inputs-Proposals'!$J$29*'Inputs-Proposals'!$J$31*(VLOOKUP(P$3,'Non-Embedded Emissions'!$A$56:$D$90,2,FALSE)+VLOOKUP(P$3,'Non-Embedded Emissions'!$A$143:$D$174,2,FALSE)+VLOOKUP(P$3,'Non-Embedded Emissions'!$A$230:$D$259,2,FALSE)), $C50 = "0", 0), 0)</f>
        <v>0</v>
      </c>
      <c r="V50" s="347">
        <f>IFERROR(_xlfn.IFS($C50="1",('Inputs-System'!$C$30*'Coincidence Factors'!$B$8*(1+'Inputs-System'!$C$18)*(1+'Inputs-System'!$C$41)*('Inputs-Proposals'!$J$17*'Inputs-Proposals'!$J$19*('Inputs-Proposals'!$J$20))*(VLOOKUP(V$3,Energy!$A$51:$K$83,5,FALSE))), $C50 = "2",('Inputs-System'!$C$30*'Coincidence Factors'!$B$8)*(1+'Inputs-System'!$C$18)*(1+'Inputs-System'!$C$41)*('Inputs-Proposals'!$J$23*'Inputs-Proposals'!$J$25*('Inputs-Proposals'!$J$26))*(VLOOKUP(V$3,Energy!$A$51:$K$83,5,FALSE)), $C50= "3", ('Inputs-System'!$C$30*'Coincidence Factors'!$B$8*(1+'Inputs-System'!$C$18)*(1+'Inputs-System'!$C$41)*('Inputs-Proposals'!$J$29*'Inputs-Proposals'!$J$31*('Inputs-Proposals'!$J$32))*(VLOOKUP(V$3,Energy!$A$51:$K$83,5,FALSE))), $C50= "0", 0), 0)</f>
        <v>0</v>
      </c>
      <c r="W50" s="44">
        <f>IFERROR(_xlfn.IFS($C50="1",'Inputs-System'!$C$30*'Coincidence Factors'!$B$8*(1+'Inputs-System'!$C$18)*(1+'Inputs-System'!$C$41)*'Inputs-Proposals'!$J$17*'Inputs-Proposals'!$J$19*('Inputs-Proposals'!$J$20)*(VLOOKUP(V$3,'Embedded Emissions'!$A$47:$B$78,2,FALSE)+VLOOKUP(V$3,'Embedded Emissions'!$A$129:$B$158,2,FALSE)), $C50 = "2", 'Inputs-System'!$C$30*'Coincidence Factors'!$B$8*(1+'Inputs-System'!$C$18)*(1+'Inputs-System'!$C$41)*'Inputs-Proposals'!$J$23*'Inputs-Proposals'!$J$25*('Inputs-Proposals'!$J$20)*(VLOOKUP(V$3,'Embedded Emissions'!$A$47:$B$78,2,FALSE)+VLOOKUP(V$3,'Embedded Emissions'!$A$129:$B$158,2,FALSE)), $C50 = "3",'Inputs-System'!$C$30*'Coincidence Factors'!$B$8*(1+'Inputs-System'!$C$18)*(1+'Inputs-System'!$C$41)*'Inputs-Proposals'!$J$29*'Inputs-Proposals'!$J$31*('Inputs-Proposals'!$J$20)*(VLOOKUP(V$3,'Embedded Emissions'!$A$47:$B$78,2,FALSE)+VLOOKUP(V$3,'Embedded Emissions'!$A$129:$B$158,2,FALSE)), $C50 = "0", 0), 0)</f>
        <v>0</v>
      </c>
      <c r="X50" s="44">
        <f>IFERROR(_xlfn.IFS($C50="1",( 'Inputs-System'!$C$30*'Coincidence Factors'!$B$8*(1+'Inputs-System'!$C$18)*(1+'Inputs-System'!$C$41))*('Inputs-Proposals'!$J$17*'Inputs-Proposals'!$J$19*('Inputs-Proposals'!$J$20))*(VLOOKUP(V$3,DRIPE!$A$54:$I$82,5,FALSE)+VLOOKUP(V$3,DRIPE!$A$54:$I$82,9,FALSE))+ ('Inputs-System'!$C$26*'Coincidence Factors'!$B$8*(1+'Inputs-System'!$C$18)*(1+'Inputs-System'!$C$42))*'Inputs-Proposals'!$J$16*VLOOKUP(V$3,DRIPE!$A$54:$I$82,8,FALSE), $C50 = "2",( 'Inputs-System'!$C$30*'Coincidence Factors'!$B$8*(1+'Inputs-System'!$C$18)*(1+'Inputs-System'!$C$41))*('Inputs-Proposals'!$J$23*'Inputs-Proposals'!$J$25*('Inputs-Proposals'!$J$26))*(VLOOKUP(V$3,DRIPE!$A$54:$I$82,5,FALSE)+VLOOKUP(V$3,DRIPE!$A$54:$I$82,9,FALSE))+  ('Inputs-System'!$C$26*'Coincidence Factors'!$B$8*(1+'Inputs-System'!$C$18)*(1+'Inputs-System'!$C$42))*'Inputs-Proposals'!$J$22*VLOOKUP(V$3,DRIPE!$A$54:$I$82,8,FALSE), $C50= "3", ( 'Inputs-System'!$C$30*'Coincidence Factors'!$B$8*(1+'Inputs-System'!$C$18)*(1+'Inputs-System'!$C$41))*('Inputs-Proposals'!$J$29*'Inputs-Proposals'!$J$31*('Inputs-Proposals'!$J$32))*(VLOOKUP(V$3,DRIPE!$A$54:$I$82,5,FALSE)+VLOOKUP(V$3,DRIPE!$A$54:$I$82,9,FALSE))+  ('Inputs-System'!$C$26*'Coincidence Factors'!$B$8*(1+'Inputs-System'!$C$18)*(1+'Inputs-System'!$C$42))*'Inputs-Proposals'!$J$28*VLOOKUP(V$3,DRIPE!$A$54:$I$82,8,FALSE), $C50 = "0", 0), 0)</f>
        <v>0</v>
      </c>
      <c r="Y50" s="45">
        <f>IFERROR(_xlfn.IFS($C50="1",('Inputs-System'!$C$30*'Coincidence Factors'!$B$8*(1+'Inputs-System'!$C$18))*'Inputs-Proposals'!$J$16*(VLOOKUP(V$3,Capacity!$A$53:$E$85,4,FALSE)*(1+'Inputs-System'!$C$42)+VLOOKUP(V$3,Capacity!$A$53:$E$85,5,FALSE)*'Inputs-System'!$C$29*(1+'Inputs-System'!$C$43)), $C50 = "2", ('Inputs-System'!$C$30*'Coincidence Factors'!$B$8*(1+'Inputs-System'!$C$18))*'Inputs-Proposals'!$J$22*(VLOOKUP(V$3,Capacity!$A$53:$E$85,4,FALSE)*(1+'Inputs-System'!$C$42)+VLOOKUP(V$3,Capacity!$A$53:$E$85,5,FALSE)*'Inputs-System'!$C$29*(1+'Inputs-System'!$C$43)), $C50 = "3",('Inputs-System'!$C$30*'Coincidence Factors'!$B$8*(1+'Inputs-System'!$C$18))*'Inputs-Proposals'!$J$28*(VLOOKUP(V$3,Capacity!$A$53:$E$85,4,FALSE)*(1+'Inputs-System'!$C$42)+VLOOKUP(V$3,Capacity!$A$53:$E$85,5,FALSE)*'Inputs-System'!$C$29*(1+'Inputs-System'!$C$43)), $C50 = "0", 0), 0)</f>
        <v>0</v>
      </c>
      <c r="Z50" s="44">
        <v>0</v>
      </c>
      <c r="AA50" s="342">
        <f>IFERROR(_xlfn.IFS($C50="1", 'Inputs-System'!$C$30*'Coincidence Factors'!$B$8*'Inputs-Proposals'!$J$17*'Inputs-Proposals'!$J$19*(VLOOKUP(V$3,'Non-Embedded Emissions'!$A$56:$D$90,2,FALSE)+VLOOKUP(V$3,'Non-Embedded Emissions'!$A$143:$D$174,2,FALSE)+VLOOKUP(V$3,'Non-Embedded Emissions'!$A$230:$D$259,2,FALSE)), $C50 = "2", 'Inputs-System'!$C$30*'Coincidence Factors'!$B$8*'Inputs-Proposals'!$J$23*'Inputs-Proposals'!$J$25*(VLOOKUP(V$3,'Non-Embedded Emissions'!$A$56:$D$90,2,FALSE)+VLOOKUP(V$3,'Non-Embedded Emissions'!$A$143:$D$174,2,FALSE)+VLOOKUP(V$3,'Non-Embedded Emissions'!$A$230:$D$259,2,FALSE)), $C50 = "3", 'Inputs-System'!$C$30*'Coincidence Factors'!$B$8*'Inputs-Proposals'!$J$29*'Inputs-Proposals'!$J$31*(VLOOKUP(V$3,'Non-Embedded Emissions'!$A$56:$D$90,2,FALSE)+VLOOKUP(V$3,'Non-Embedded Emissions'!$A$143:$D$174,2,FALSE)+VLOOKUP(V$3,'Non-Embedded Emissions'!$A$230:$D$259,2,FALSE)), $C50 = "0", 0), 0)</f>
        <v>0</v>
      </c>
      <c r="AB50" s="347">
        <f>IFERROR(_xlfn.IFS($C50="1",('Inputs-System'!$C$30*'Coincidence Factors'!$B$8*(1+'Inputs-System'!$C$18)*(1+'Inputs-System'!$C$41)*('Inputs-Proposals'!$J$17*'Inputs-Proposals'!$J$19*('Inputs-Proposals'!$J$20))*(VLOOKUP(AB$3,Energy!$A$51:$K$83,5,FALSE))), $C50 = "2",('Inputs-System'!$C$30*'Coincidence Factors'!$B$8)*(1+'Inputs-System'!$C$18)*(1+'Inputs-System'!$C$41)*('Inputs-Proposals'!$J$23*'Inputs-Proposals'!$J$25*('Inputs-Proposals'!$J$26))*(VLOOKUP(AB$3,Energy!$A$51:$K$83,5,FALSE)), $C50= "3", ('Inputs-System'!$C$30*'Coincidence Factors'!$B$8*(1+'Inputs-System'!$C$18)*(1+'Inputs-System'!$C$41)*('Inputs-Proposals'!$J$29*'Inputs-Proposals'!$J$31*('Inputs-Proposals'!$J$32))*(VLOOKUP(AB$3,Energy!$A$51:$K$83,5,FALSE))), $C50= "0", 0), 0)</f>
        <v>0</v>
      </c>
      <c r="AC50" s="44">
        <f>IFERROR(_xlfn.IFS($C50="1",'Inputs-System'!$C$30*'Coincidence Factors'!$B$8*(1+'Inputs-System'!$C$18)*(1+'Inputs-System'!$C$41)*'Inputs-Proposals'!$J$17*'Inputs-Proposals'!$J$19*('Inputs-Proposals'!$J$20)*(VLOOKUP(AB$3,'Embedded Emissions'!$A$47:$B$78,2,FALSE)+VLOOKUP(AB$3,'Embedded Emissions'!$A$129:$B$158,2,FALSE)), $C50 = "2", 'Inputs-System'!$C$30*'Coincidence Factors'!$B$8*(1+'Inputs-System'!$C$18)*(1+'Inputs-System'!$C$41)*'Inputs-Proposals'!$J$23*'Inputs-Proposals'!$J$25*('Inputs-Proposals'!$J$20)*(VLOOKUP(AB$3,'Embedded Emissions'!$A$47:$B$78,2,FALSE)+VLOOKUP(AB$3,'Embedded Emissions'!$A$129:$B$158,2,FALSE)), $C50 = "3",'Inputs-System'!$C$30*'Coincidence Factors'!$B$8*(1+'Inputs-System'!$C$18)*(1+'Inputs-System'!$C$41)*'Inputs-Proposals'!$J$29*'Inputs-Proposals'!$J$31*('Inputs-Proposals'!$J$20)*(VLOOKUP(AB$3,'Embedded Emissions'!$A$47:$B$78,2,FALSE)+VLOOKUP(AB$3,'Embedded Emissions'!$A$129:$B$158,2,FALSE)), $C50 = "0", 0), 0)</f>
        <v>0</v>
      </c>
      <c r="AD50" s="44">
        <f>IFERROR(_xlfn.IFS($C50="1",( 'Inputs-System'!$C$30*'Coincidence Factors'!$B$8*(1+'Inputs-System'!$C$18)*(1+'Inputs-System'!$C$41))*('Inputs-Proposals'!$J$17*'Inputs-Proposals'!$J$19*('Inputs-Proposals'!$J$20))*(VLOOKUP(AB$3,DRIPE!$A$54:$I$82,5,FALSE)+VLOOKUP(AB$3,DRIPE!$A$54:$I$82,9,FALSE))+ ('Inputs-System'!$C$26*'Coincidence Factors'!$B$8*(1+'Inputs-System'!$C$18)*(1+'Inputs-System'!$C$42))*'Inputs-Proposals'!$J$16*VLOOKUP(AB$3,DRIPE!$A$54:$I$82,8,FALSE), $C50 = "2",( 'Inputs-System'!$C$30*'Coincidence Factors'!$B$8*(1+'Inputs-System'!$C$18)*(1+'Inputs-System'!$C$41))*('Inputs-Proposals'!$J$23*'Inputs-Proposals'!$J$25*('Inputs-Proposals'!$J$26))*(VLOOKUP(AB$3,DRIPE!$A$54:$I$82,5,FALSE)+VLOOKUP(AB$3,DRIPE!$A$54:$I$82,9,FALSE))+  ('Inputs-System'!$C$26*'Coincidence Factors'!$B$8*(1+'Inputs-System'!$C$18)*(1+'Inputs-System'!$C$42))*'Inputs-Proposals'!$J$22*VLOOKUP(AB$3,DRIPE!$A$54:$I$82,8,FALSE), $C50= "3", ( 'Inputs-System'!$C$30*'Coincidence Factors'!$B$8*(1+'Inputs-System'!$C$18)*(1+'Inputs-System'!$C$41))*('Inputs-Proposals'!$J$29*'Inputs-Proposals'!$J$31*('Inputs-Proposals'!$J$32))*(VLOOKUP(AB$3,DRIPE!$A$54:$I$82,5,FALSE)+VLOOKUP(AB$3,DRIPE!$A$54:$I$82,9,FALSE))+  ('Inputs-System'!$C$26*'Coincidence Factors'!$B$8*(1+'Inputs-System'!$C$18)*(1+'Inputs-System'!$C$42))*'Inputs-Proposals'!$J$28*VLOOKUP(AB$3,DRIPE!$A$54:$I$82,8,FALSE), $C50 = "0", 0), 0)</f>
        <v>0</v>
      </c>
      <c r="AE50" s="45">
        <f>IFERROR(_xlfn.IFS($C50="1",('Inputs-System'!$C$30*'Coincidence Factors'!$B$8*(1+'Inputs-System'!$C$18))*'Inputs-Proposals'!$J$16*(VLOOKUP(AB$3,Capacity!$A$53:$E$85,4,FALSE)*(1+'Inputs-System'!$C$42)+VLOOKUP(AB$3,Capacity!$A$53:$E$85,5,FALSE)*'Inputs-System'!$C$29*(1+'Inputs-System'!$C$43)), $C50 = "2", ('Inputs-System'!$C$30*'Coincidence Factors'!$B$8*(1+'Inputs-System'!$C$18))*'Inputs-Proposals'!$J$22*(VLOOKUP(AB$3,Capacity!$A$53:$E$85,4,FALSE)*(1+'Inputs-System'!$C$42)+VLOOKUP(AB$3,Capacity!$A$53:$E$85,5,FALSE)*'Inputs-System'!$C$29*(1+'Inputs-System'!$C$43)), $C50 = "3",('Inputs-System'!$C$30*'Coincidence Factors'!$B$8*(1+'Inputs-System'!$C$18))*'Inputs-Proposals'!$J$28*(VLOOKUP(AB$3,Capacity!$A$53:$E$85,4,FALSE)*(1+'Inputs-System'!$C$42)+VLOOKUP(AB$3,Capacity!$A$53:$E$85,5,FALSE)*'Inputs-System'!$C$29*(1+'Inputs-System'!$C$43)), $C50 = "0", 0), 0)</f>
        <v>0</v>
      </c>
      <c r="AF50" s="44">
        <v>0</v>
      </c>
      <c r="AG50" s="342">
        <f>IFERROR(_xlfn.IFS($C50="1", 'Inputs-System'!$C$30*'Coincidence Factors'!$B$8*'Inputs-Proposals'!$J$17*'Inputs-Proposals'!$J$19*(VLOOKUP(AB$3,'Non-Embedded Emissions'!$A$56:$D$90,2,FALSE)+VLOOKUP(AB$3,'Non-Embedded Emissions'!$A$143:$D$174,2,FALSE)+VLOOKUP(AB$3,'Non-Embedded Emissions'!$A$230:$D$259,2,FALSE)), $C50 = "2", 'Inputs-System'!$C$30*'Coincidence Factors'!$B$8*'Inputs-Proposals'!$J$23*'Inputs-Proposals'!$J$25*(VLOOKUP(AB$3,'Non-Embedded Emissions'!$A$56:$D$90,2,FALSE)+VLOOKUP(AB$3,'Non-Embedded Emissions'!$A$143:$D$174,2,FALSE)+VLOOKUP(AB$3,'Non-Embedded Emissions'!$A$230:$D$259,2,FALSE)), $C50 = "3", 'Inputs-System'!$C$30*'Coincidence Factors'!$B$8*'Inputs-Proposals'!$J$29*'Inputs-Proposals'!$J$31*(VLOOKUP(AB$3,'Non-Embedded Emissions'!$A$56:$D$90,2,FALSE)+VLOOKUP(AB$3,'Non-Embedded Emissions'!$A$143:$D$174,2,FALSE)+VLOOKUP(AB$3,'Non-Embedded Emissions'!$A$230:$D$259,2,FALSE)), $C50 = "0", 0), 0)</f>
        <v>0</v>
      </c>
      <c r="AH50" s="347">
        <f>IFERROR(_xlfn.IFS($C50="1",('Inputs-System'!$C$30*'Coincidence Factors'!$B$8*(1+'Inputs-System'!$C$18)*(1+'Inputs-System'!$C$41)*('Inputs-Proposals'!$J$17*'Inputs-Proposals'!$J$19*('Inputs-Proposals'!$J$20))*(VLOOKUP(AH$3,Energy!$A$51:$K$83,5,FALSE))), $C50 = "2",('Inputs-System'!$C$30*'Coincidence Factors'!$B$8)*(1+'Inputs-System'!$C$18)*(1+'Inputs-System'!$C$41)*('Inputs-Proposals'!$J$23*'Inputs-Proposals'!$J$25*('Inputs-Proposals'!$J$26))*(VLOOKUP(AH$3,Energy!$A$51:$K$83,5,FALSE)), $C50= "3", ('Inputs-System'!$C$30*'Coincidence Factors'!$B$8*(1+'Inputs-System'!$C$18)*(1+'Inputs-System'!$C$41)*('Inputs-Proposals'!$J$29*'Inputs-Proposals'!$J$31*('Inputs-Proposals'!$J$32))*(VLOOKUP(AH$3,Energy!$A$51:$K$83,5,FALSE))), $C50= "0", 0), 0)</f>
        <v>0</v>
      </c>
      <c r="AI50" s="44">
        <f>IFERROR(_xlfn.IFS($C50="1",'Inputs-System'!$C$30*'Coincidence Factors'!$B$8*(1+'Inputs-System'!$C$18)*(1+'Inputs-System'!$C$41)*'Inputs-Proposals'!$J$17*'Inputs-Proposals'!$J$19*('Inputs-Proposals'!$J$20)*(VLOOKUP(AH$3,'Embedded Emissions'!$A$47:$B$78,2,FALSE)+VLOOKUP(AH$3,'Embedded Emissions'!$A$129:$B$158,2,FALSE)), $C50 = "2", 'Inputs-System'!$C$30*'Coincidence Factors'!$B$8*(1+'Inputs-System'!$C$18)*(1+'Inputs-System'!$C$41)*'Inputs-Proposals'!$J$23*'Inputs-Proposals'!$J$25*('Inputs-Proposals'!$J$20)*(VLOOKUP(AH$3,'Embedded Emissions'!$A$47:$B$78,2,FALSE)+VLOOKUP(AH$3,'Embedded Emissions'!$A$129:$B$158,2,FALSE)), $C50 = "3",'Inputs-System'!$C$30*'Coincidence Factors'!$B$8*(1+'Inputs-System'!$C$18)*(1+'Inputs-System'!$C$41)*'Inputs-Proposals'!$J$29*'Inputs-Proposals'!$J$31*('Inputs-Proposals'!$J$20)*(VLOOKUP(AH$3,'Embedded Emissions'!$A$47:$B$78,2,FALSE)+VLOOKUP(AH$3,'Embedded Emissions'!$A$129:$B$158,2,FALSE)), $C50 = "0", 0), 0)</f>
        <v>0</v>
      </c>
      <c r="AJ50" s="44">
        <f>IFERROR(_xlfn.IFS($C50="1",( 'Inputs-System'!$C$30*'Coincidence Factors'!$B$8*(1+'Inputs-System'!$C$18)*(1+'Inputs-System'!$C$41))*('Inputs-Proposals'!$J$17*'Inputs-Proposals'!$J$19*('Inputs-Proposals'!$J$20))*(VLOOKUP(AH$3,DRIPE!$A$54:$I$82,5,FALSE)+VLOOKUP(AH$3,DRIPE!$A$54:$I$82,9,FALSE))+ ('Inputs-System'!$C$26*'Coincidence Factors'!$B$8*(1+'Inputs-System'!$C$18)*(1+'Inputs-System'!$C$42))*'Inputs-Proposals'!$J$16*VLOOKUP(AH$3,DRIPE!$A$54:$I$82,8,FALSE), $C50 = "2",( 'Inputs-System'!$C$30*'Coincidence Factors'!$B$8*(1+'Inputs-System'!$C$18)*(1+'Inputs-System'!$C$41))*('Inputs-Proposals'!$J$23*'Inputs-Proposals'!$J$25*('Inputs-Proposals'!$J$26))*(VLOOKUP(AH$3,DRIPE!$A$54:$I$82,5,FALSE)+VLOOKUP(AH$3,DRIPE!$A$54:$I$82,9,FALSE))+  ('Inputs-System'!$C$26*'Coincidence Factors'!$B$8*(1+'Inputs-System'!$C$18)*(1+'Inputs-System'!$C$42))*'Inputs-Proposals'!$J$22*VLOOKUP(AH$3,DRIPE!$A$54:$I$82,8,FALSE), $C50= "3", ( 'Inputs-System'!$C$30*'Coincidence Factors'!$B$8*(1+'Inputs-System'!$C$18)*(1+'Inputs-System'!$C$41))*('Inputs-Proposals'!$J$29*'Inputs-Proposals'!$J$31*('Inputs-Proposals'!$J$32))*(VLOOKUP(AH$3,DRIPE!$A$54:$I$82,5,FALSE)+VLOOKUP(AH$3,DRIPE!$A$54:$I$82,9,FALSE))+  ('Inputs-System'!$C$26*'Coincidence Factors'!$B$8*(1+'Inputs-System'!$C$18)*(1+'Inputs-System'!$C$42))*'Inputs-Proposals'!$J$28*VLOOKUP(AH$3,DRIPE!$A$54:$I$82,8,FALSE), $C50 = "0", 0), 0)</f>
        <v>0</v>
      </c>
      <c r="AK50" s="45">
        <f>IFERROR(_xlfn.IFS($C50="1",('Inputs-System'!$C$30*'Coincidence Factors'!$B$8*(1+'Inputs-System'!$C$18))*'Inputs-Proposals'!$J$16*(VLOOKUP(AH$3,Capacity!$A$53:$E$85,4,FALSE)*(1+'Inputs-System'!$C$42)+VLOOKUP(AH$3,Capacity!$A$53:$E$85,5,FALSE)*'Inputs-System'!$C$29*(1+'Inputs-System'!$C$43)), $C50 = "2", ('Inputs-System'!$C$30*'Coincidence Factors'!$B$8*(1+'Inputs-System'!$C$18))*'Inputs-Proposals'!$J$22*(VLOOKUP(AH$3,Capacity!$A$53:$E$85,4,FALSE)*(1+'Inputs-System'!$C$42)+VLOOKUP(AH$3,Capacity!$A$53:$E$85,5,FALSE)*'Inputs-System'!$C$29*(1+'Inputs-System'!$C$43)), $C50 = "3",('Inputs-System'!$C$30*'Coincidence Factors'!$B$8*(1+'Inputs-System'!$C$18))*'Inputs-Proposals'!$J$28*(VLOOKUP(AH$3,Capacity!$A$53:$E$85,4,FALSE)*(1+'Inputs-System'!$C$42)+VLOOKUP(AH$3,Capacity!$A$53:$E$85,5,FALSE)*'Inputs-System'!$C$29*(1+'Inputs-System'!$C$43)), $C50 = "0", 0), 0)</f>
        <v>0</v>
      </c>
      <c r="AL50" s="44">
        <v>0</v>
      </c>
      <c r="AM50" s="342">
        <f>IFERROR(_xlfn.IFS($C50="1", 'Inputs-System'!$C$30*'Coincidence Factors'!$B$8*'Inputs-Proposals'!$J$17*'Inputs-Proposals'!$J$19*(VLOOKUP(AH$3,'Non-Embedded Emissions'!$A$56:$D$90,2,FALSE)+VLOOKUP(AH$3,'Non-Embedded Emissions'!$A$143:$D$174,2,FALSE)+VLOOKUP(AH$3,'Non-Embedded Emissions'!$A$230:$D$259,2,FALSE)), $C50 = "2", 'Inputs-System'!$C$30*'Coincidence Factors'!$B$8*'Inputs-Proposals'!$J$23*'Inputs-Proposals'!$J$25*(VLOOKUP(AH$3,'Non-Embedded Emissions'!$A$56:$D$90,2,FALSE)+VLOOKUP(AH$3,'Non-Embedded Emissions'!$A$143:$D$174,2,FALSE)+VLOOKUP(AH$3,'Non-Embedded Emissions'!$A$230:$D$259,2,FALSE)), $C50 = "3", 'Inputs-System'!$C$30*'Coincidence Factors'!$B$8*'Inputs-Proposals'!$J$29*'Inputs-Proposals'!$J$31*(VLOOKUP(AH$3,'Non-Embedded Emissions'!$A$56:$D$90,2,FALSE)+VLOOKUP(AH$3,'Non-Embedded Emissions'!$A$143:$D$174,2,FALSE)+VLOOKUP(AH$3,'Non-Embedded Emissions'!$A$230:$D$259,2,FALSE)), $C50 = "0", 0), 0)</f>
        <v>0</v>
      </c>
      <c r="AN50" s="347">
        <f>IFERROR(_xlfn.IFS($C50="1",('Inputs-System'!$C$30*'Coincidence Factors'!$B$8*(1+'Inputs-System'!$C$18)*(1+'Inputs-System'!$C$41)*('Inputs-Proposals'!$J$17*'Inputs-Proposals'!$J$19*('Inputs-Proposals'!$J$20))*(VLOOKUP(AN$3,Energy!$A$51:$K$83,5,FALSE))), $C50 = "2",('Inputs-System'!$C$30*'Coincidence Factors'!$B$8)*(1+'Inputs-System'!$C$18)*(1+'Inputs-System'!$C$41)*('Inputs-Proposals'!$J$23*'Inputs-Proposals'!$J$25*('Inputs-Proposals'!$J$26))*(VLOOKUP(AN$3,Energy!$A$51:$K$83,5,FALSE)), $C50= "3", ('Inputs-System'!$C$30*'Coincidence Factors'!$B$8*(1+'Inputs-System'!$C$18)*(1+'Inputs-System'!$C$41)*('Inputs-Proposals'!$J$29*'Inputs-Proposals'!$J$31*('Inputs-Proposals'!$J$32))*(VLOOKUP(AN$3,Energy!$A$51:$K$83,5,FALSE))), $C50= "0", 0), 0)</f>
        <v>0</v>
      </c>
      <c r="AO50" s="44">
        <f>IFERROR(_xlfn.IFS($C50="1",'Inputs-System'!$C$30*'Coincidence Factors'!$B$8*(1+'Inputs-System'!$C$18)*(1+'Inputs-System'!$C$41)*'Inputs-Proposals'!$J$17*'Inputs-Proposals'!$J$19*('Inputs-Proposals'!$J$20)*(VLOOKUP(AN$3,'Embedded Emissions'!$A$47:$B$78,2,FALSE)+VLOOKUP(AN$3,'Embedded Emissions'!$A$129:$B$158,2,FALSE)), $C50 = "2", 'Inputs-System'!$C$30*'Coincidence Factors'!$B$8*(1+'Inputs-System'!$C$18)*(1+'Inputs-System'!$C$41)*'Inputs-Proposals'!$J$23*'Inputs-Proposals'!$J$25*('Inputs-Proposals'!$J$20)*(VLOOKUP(AN$3,'Embedded Emissions'!$A$47:$B$78,2,FALSE)+VLOOKUP(AN$3,'Embedded Emissions'!$A$129:$B$158,2,FALSE)), $C50 = "3",'Inputs-System'!$C$30*'Coincidence Factors'!$B$8*(1+'Inputs-System'!$C$18)*(1+'Inputs-System'!$C$41)*'Inputs-Proposals'!$J$29*'Inputs-Proposals'!$J$31*('Inputs-Proposals'!$J$20)*(VLOOKUP(AN$3,'Embedded Emissions'!$A$47:$B$78,2,FALSE)+VLOOKUP(AN$3,'Embedded Emissions'!$A$129:$B$158,2,FALSE)), $C50 = "0", 0), 0)</f>
        <v>0</v>
      </c>
      <c r="AP50" s="44">
        <f>IFERROR(_xlfn.IFS($C50="1",( 'Inputs-System'!$C$30*'Coincidence Factors'!$B$8*(1+'Inputs-System'!$C$18)*(1+'Inputs-System'!$C$41))*('Inputs-Proposals'!$J$17*'Inputs-Proposals'!$J$19*('Inputs-Proposals'!$J$20))*(VLOOKUP(AN$3,DRIPE!$A$54:$I$82,5,FALSE)+VLOOKUP(AN$3,DRIPE!$A$54:$I$82,9,FALSE))+ ('Inputs-System'!$C$26*'Coincidence Factors'!$B$8*(1+'Inputs-System'!$C$18)*(1+'Inputs-System'!$C$42))*'Inputs-Proposals'!$J$16*VLOOKUP(AN$3,DRIPE!$A$54:$I$82,8,FALSE), $C50 = "2",( 'Inputs-System'!$C$30*'Coincidence Factors'!$B$8*(1+'Inputs-System'!$C$18)*(1+'Inputs-System'!$C$41))*('Inputs-Proposals'!$J$23*'Inputs-Proposals'!$J$25*('Inputs-Proposals'!$J$26))*(VLOOKUP(AN$3,DRIPE!$A$54:$I$82,5,FALSE)+VLOOKUP(AN$3,DRIPE!$A$54:$I$82,9,FALSE))+  ('Inputs-System'!$C$26*'Coincidence Factors'!$B$8*(1+'Inputs-System'!$C$18)*(1+'Inputs-System'!$C$42))*'Inputs-Proposals'!$J$22*VLOOKUP(AN$3,DRIPE!$A$54:$I$82,8,FALSE), $C50= "3", ( 'Inputs-System'!$C$30*'Coincidence Factors'!$B$8*(1+'Inputs-System'!$C$18)*(1+'Inputs-System'!$C$41))*('Inputs-Proposals'!$J$29*'Inputs-Proposals'!$J$31*('Inputs-Proposals'!$J$32))*(VLOOKUP(AN$3,DRIPE!$A$54:$I$82,5,FALSE)+VLOOKUP(AN$3,DRIPE!$A$54:$I$82,9,FALSE))+  ('Inputs-System'!$C$26*'Coincidence Factors'!$B$8*(1+'Inputs-System'!$C$18)*(1+'Inputs-System'!$C$42))*'Inputs-Proposals'!$J$28*VLOOKUP(AN$3,DRIPE!$A$54:$I$82,8,FALSE), $C50 = "0", 0), 0)</f>
        <v>0</v>
      </c>
      <c r="AQ50" s="45">
        <f>IFERROR(_xlfn.IFS($C50="1",('Inputs-System'!$C$30*'Coincidence Factors'!$B$8*(1+'Inputs-System'!$C$18))*'Inputs-Proposals'!$J$16*(VLOOKUP(AN$3,Capacity!$A$53:$E$85,4,FALSE)*(1+'Inputs-System'!$C$42)+VLOOKUP(AN$3,Capacity!$A$53:$E$85,5,FALSE)*'Inputs-System'!$C$29*(1+'Inputs-System'!$C$43)), $C50 = "2", ('Inputs-System'!$C$30*'Coincidence Factors'!$B$8*(1+'Inputs-System'!$C$18))*'Inputs-Proposals'!$J$22*(VLOOKUP(AN$3,Capacity!$A$53:$E$85,4,FALSE)*(1+'Inputs-System'!$C$42)+VLOOKUP(AN$3,Capacity!$A$53:$E$85,5,FALSE)*'Inputs-System'!$C$29*(1+'Inputs-System'!$C$43)), $C50 = "3",('Inputs-System'!$C$30*'Coincidence Factors'!$B$8*(1+'Inputs-System'!$C$18))*'Inputs-Proposals'!$J$28*(VLOOKUP(AN$3,Capacity!$A$53:$E$85,4,FALSE)*(1+'Inputs-System'!$C$42)+VLOOKUP(AN$3,Capacity!$A$53:$E$85,5,FALSE)*'Inputs-System'!$C$29*(1+'Inputs-System'!$C$43)), $C50 = "0", 0), 0)</f>
        <v>0</v>
      </c>
      <c r="AR50" s="44">
        <v>0</v>
      </c>
      <c r="AS50" s="342">
        <f>IFERROR(_xlfn.IFS($C50="1", 'Inputs-System'!$C$30*'Coincidence Factors'!$B$8*'Inputs-Proposals'!$J$17*'Inputs-Proposals'!$J$19*(VLOOKUP(AN$3,'Non-Embedded Emissions'!$A$56:$D$90,2,FALSE)+VLOOKUP(AN$3,'Non-Embedded Emissions'!$A$143:$D$174,2,FALSE)+VLOOKUP(AN$3,'Non-Embedded Emissions'!$A$230:$D$259,2,FALSE)), $C50 = "2", 'Inputs-System'!$C$30*'Coincidence Factors'!$B$8*'Inputs-Proposals'!$J$23*'Inputs-Proposals'!$J$25*(VLOOKUP(AN$3,'Non-Embedded Emissions'!$A$56:$D$90,2,FALSE)+VLOOKUP(AN$3,'Non-Embedded Emissions'!$A$143:$D$174,2,FALSE)+VLOOKUP(AN$3,'Non-Embedded Emissions'!$A$230:$D$259,2,FALSE)), $C50 = "3", 'Inputs-System'!$C$30*'Coincidence Factors'!$B$8*'Inputs-Proposals'!$J$29*'Inputs-Proposals'!$J$31*(VLOOKUP(AN$3,'Non-Embedded Emissions'!$A$56:$D$90,2,FALSE)+VLOOKUP(AN$3,'Non-Embedded Emissions'!$A$143:$D$174,2,FALSE)+VLOOKUP(AN$3,'Non-Embedded Emissions'!$A$230:$D$259,2,FALSE)), $C50 = "0", 0), 0)</f>
        <v>0</v>
      </c>
      <c r="AT50" s="347">
        <f>IFERROR(_xlfn.IFS($C50="1",('Inputs-System'!$C$30*'Coincidence Factors'!$B$8*(1+'Inputs-System'!$C$18)*(1+'Inputs-System'!$C$41)*('Inputs-Proposals'!$J$17*'Inputs-Proposals'!$J$19*('Inputs-Proposals'!$J$20))*(VLOOKUP(AT$3,Energy!$A$51:$K$83,5,FALSE))), $C50 = "2",('Inputs-System'!$C$30*'Coincidence Factors'!$B$8)*(1+'Inputs-System'!$C$18)*(1+'Inputs-System'!$C$41)*('Inputs-Proposals'!$J$23*'Inputs-Proposals'!$J$25*('Inputs-Proposals'!$J$26))*(VLOOKUP(AT$3,Energy!$A$51:$K$83,5,FALSE)), $C50= "3", ('Inputs-System'!$C$30*'Coincidence Factors'!$B$8*(1+'Inputs-System'!$C$18)*(1+'Inputs-System'!$C$41)*('Inputs-Proposals'!$J$29*'Inputs-Proposals'!$J$31*('Inputs-Proposals'!$J$32))*(VLOOKUP(AT$3,Energy!$A$51:$K$83,5,FALSE))), $C50= "0", 0), 0)</f>
        <v>0</v>
      </c>
      <c r="AU50" s="44">
        <f>IFERROR(_xlfn.IFS($C50="1",'Inputs-System'!$C$30*'Coincidence Factors'!$B$8*(1+'Inputs-System'!$C$18)*(1+'Inputs-System'!$C$41)*'Inputs-Proposals'!$J$17*'Inputs-Proposals'!$J$19*('Inputs-Proposals'!$J$20)*(VLOOKUP(AT$3,'Embedded Emissions'!$A$47:$B$78,2,FALSE)+VLOOKUP(AT$3,'Embedded Emissions'!$A$129:$B$158,2,FALSE)), $C50 = "2", 'Inputs-System'!$C$30*'Coincidence Factors'!$B$8*(1+'Inputs-System'!$C$18)*(1+'Inputs-System'!$C$41)*'Inputs-Proposals'!$J$23*'Inputs-Proposals'!$J$25*('Inputs-Proposals'!$J$20)*(VLOOKUP(AT$3,'Embedded Emissions'!$A$47:$B$78,2,FALSE)+VLOOKUP(AT$3,'Embedded Emissions'!$A$129:$B$158,2,FALSE)), $C50 = "3",'Inputs-System'!$C$30*'Coincidence Factors'!$B$8*(1+'Inputs-System'!$C$18)*(1+'Inputs-System'!$C$41)*'Inputs-Proposals'!$J$29*'Inputs-Proposals'!$J$31*('Inputs-Proposals'!$J$20)*(VLOOKUP(AT$3,'Embedded Emissions'!$A$47:$B$78,2,FALSE)+VLOOKUP(AT$3,'Embedded Emissions'!$A$129:$B$158,2,FALSE)), $C50 = "0", 0), 0)</f>
        <v>0</v>
      </c>
      <c r="AV50" s="44">
        <f>IFERROR(_xlfn.IFS($C50="1",( 'Inputs-System'!$C$30*'Coincidence Factors'!$B$8*(1+'Inputs-System'!$C$18)*(1+'Inputs-System'!$C$41))*('Inputs-Proposals'!$J$17*'Inputs-Proposals'!$J$19*('Inputs-Proposals'!$J$20))*(VLOOKUP(AT$3,DRIPE!$A$54:$I$82,5,FALSE)+VLOOKUP(AT$3,DRIPE!$A$54:$I$82,9,FALSE))+ ('Inputs-System'!$C$26*'Coincidence Factors'!$B$8*(1+'Inputs-System'!$C$18)*(1+'Inputs-System'!$C$42))*'Inputs-Proposals'!$J$16*VLOOKUP(AT$3,DRIPE!$A$54:$I$82,8,FALSE), $C50 = "2",( 'Inputs-System'!$C$30*'Coincidence Factors'!$B$8*(1+'Inputs-System'!$C$18)*(1+'Inputs-System'!$C$41))*('Inputs-Proposals'!$J$23*'Inputs-Proposals'!$J$25*('Inputs-Proposals'!$J$26))*(VLOOKUP(AT$3,DRIPE!$A$54:$I$82,5,FALSE)+VLOOKUP(AT$3,DRIPE!$A$54:$I$82,9,FALSE))+  ('Inputs-System'!$C$26*'Coincidence Factors'!$B$8*(1+'Inputs-System'!$C$18)*(1+'Inputs-System'!$C$42))*'Inputs-Proposals'!$J$22*VLOOKUP(AT$3,DRIPE!$A$54:$I$82,8,FALSE), $C50= "3", ( 'Inputs-System'!$C$30*'Coincidence Factors'!$B$8*(1+'Inputs-System'!$C$18)*(1+'Inputs-System'!$C$41))*('Inputs-Proposals'!$J$29*'Inputs-Proposals'!$J$31*('Inputs-Proposals'!$J$32))*(VLOOKUP(AT$3,DRIPE!$A$54:$I$82,5,FALSE)+VLOOKUP(AT$3,DRIPE!$A$54:$I$82,9,FALSE))+  ('Inputs-System'!$C$26*'Coincidence Factors'!$B$8*(1+'Inputs-System'!$C$18)*(1+'Inputs-System'!$C$42))*'Inputs-Proposals'!$J$28*VLOOKUP(AT$3,DRIPE!$A$54:$I$82,8,FALSE), $C50 = "0", 0), 0)</f>
        <v>0</v>
      </c>
      <c r="AW50" s="45">
        <f>IFERROR(_xlfn.IFS($C50="1",('Inputs-System'!$C$30*'Coincidence Factors'!$B$8*(1+'Inputs-System'!$C$18))*'Inputs-Proposals'!$J$16*(VLOOKUP(AT$3,Capacity!$A$53:$E$85,4,FALSE)*(1+'Inputs-System'!$C$42)+VLOOKUP(AT$3,Capacity!$A$53:$E$85,5,FALSE)*'Inputs-System'!$C$29*(1+'Inputs-System'!$C$43)), $C50 = "2", ('Inputs-System'!$C$30*'Coincidence Factors'!$B$8*(1+'Inputs-System'!$C$18))*'Inputs-Proposals'!$J$22*(VLOOKUP(AT$3,Capacity!$A$53:$E$85,4,FALSE)*(1+'Inputs-System'!$C$42)+VLOOKUP(AT$3,Capacity!$A$53:$E$85,5,FALSE)*'Inputs-System'!$C$29*(1+'Inputs-System'!$C$43)), $C50 = "3",('Inputs-System'!$C$30*'Coincidence Factors'!$B$8*(1+'Inputs-System'!$C$18))*'Inputs-Proposals'!$J$28*(VLOOKUP(AT$3,Capacity!$A$53:$E$85,4,FALSE)*(1+'Inputs-System'!$C$42)+VLOOKUP(AT$3,Capacity!$A$53:$E$85,5,FALSE)*'Inputs-System'!$C$29*(1+'Inputs-System'!$C$43)), $C50 = "0", 0), 0)</f>
        <v>0</v>
      </c>
      <c r="AX50" s="44">
        <v>0</v>
      </c>
      <c r="AY50" s="342">
        <f>IFERROR(_xlfn.IFS($C50="1", 'Inputs-System'!$C$30*'Coincidence Factors'!$B$8*'Inputs-Proposals'!$J$17*'Inputs-Proposals'!$J$19*(VLOOKUP(AT$3,'Non-Embedded Emissions'!$A$56:$D$90,2,FALSE)+VLOOKUP(AT$3,'Non-Embedded Emissions'!$A$143:$D$174,2,FALSE)+VLOOKUP(AT$3,'Non-Embedded Emissions'!$A$230:$D$259,2,FALSE)), $C50 = "2", 'Inputs-System'!$C$30*'Coincidence Factors'!$B$8*'Inputs-Proposals'!$J$23*'Inputs-Proposals'!$J$25*(VLOOKUP(AT$3,'Non-Embedded Emissions'!$A$56:$D$90,2,FALSE)+VLOOKUP(AT$3,'Non-Embedded Emissions'!$A$143:$D$174,2,FALSE)+VLOOKUP(AT$3,'Non-Embedded Emissions'!$A$230:$D$259,2,FALSE)), $C50 = "3", 'Inputs-System'!$C$30*'Coincidence Factors'!$B$8*'Inputs-Proposals'!$J$29*'Inputs-Proposals'!$J$31*(VLOOKUP(AT$3,'Non-Embedded Emissions'!$A$56:$D$90,2,FALSE)+VLOOKUP(AT$3,'Non-Embedded Emissions'!$A$143:$D$174,2,FALSE)+VLOOKUP(AT$3,'Non-Embedded Emissions'!$A$230:$D$259,2,FALSE)), $C50 = "0", 0), 0)</f>
        <v>0</v>
      </c>
      <c r="AZ50" s="347">
        <f>IFERROR(_xlfn.IFS($C50="1",('Inputs-System'!$C$30*'Coincidence Factors'!$B$8*(1+'Inputs-System'!$C$18)*(1+'Inputs-System'!$C$41)*('Inputs-Proposals'!$J$17*'Inputs-Proposals'!$J$19*('Inputs-Proposals'!$J$20))*(VLOOKUP(AZ$3,Energy!$A$51:$K$83,5,FALSE))), $C50 = "2",('Inputs-System'!$C$30*'Coincidence Factors'!$B$8)*(1+'Inputs-System'!$C$18)*(1+'Inputs-System'!$C$41)*('Inputs-Proposals'!$J$23*'Inputs-Proposals'!$J$25*('Inputs-Proposals'!$J$26))*(VLOOKUP(AZ$3,Energy!$A$51:$K$83,5,FALSE)), $C50= "3", ('Inputs-System'!$C$30*'Coincidence Factors'!$B$8*(1+'Inputs-System'!$C$18)*(1+'Inputs-System'!$C$41)*('Inputs-Proposals'!$J$29*'Inputs-Proposals'!$J$31*('Inputs-Proposals'!$J$32))*(VLOOKUP(AZ$3,Energy!$A$51:$K$83,5,FALSE))), $C50= "0", 0), 0)</f>
        <v>0</v>
      </c>
      <c r="BA50" s="44">
        <f>IFERROR(_xlfn.IFS($C50="1",'Inputs-System'!$C$30*'Coincidence Factors'!$B$8*(1+'Inputs-System'!$C$18)*(1+'Inputs-System'!$C$41)*'Inputs-Proposals'!$J$17*'Inputs-Proposals'!$J$19*('Inputs-Proposals'!$J$20)*(VLOOKUP(AZ$3,'Embedded Emissions'!$A$47:$B$78,2,FALSE)+VLOOKUP(AZ$3,'Embedded Emissions'!$A$129:$B$158,2,FALSE)), $C50 = "2", 'Inputs-System'!$C$30*'Coincidence Factors'!$B$8*(1+'Inputs-System'!$C$18)*(1+'Inputs-System'!$C$41)*'Inputs-Proposals'!$J$23*'Inputs-Proposals'!$J$25*('Inputs-Proposals'!$J$20)*(VLOOKUP(AZ$3,'Embedded Emissions'!$A$47:$B$78,2,FALSE)+VLOOKUP(AZ$3,'Embedded Emissions'!$A$129:$B$158,2,FALSE)), $C50 = "3",'Inputs-System'!$C$30*'Coincidence Factors'!$B$8*(1+'Inputs-System'!$C$18)*(1+'Inputs-System'!$C$41)*'Inputs-Proposals'!$J$29*'Inputs-Proposals'!$J$31*('Inputs-Proposals'!$J$20)*(VLOOKUP(AZ$3,'Embedded Emissions'!$A$47:$B$78,2,FALSE)+VLOOKUP(AZ$3,'Embedded Emissions'!$A$129:$B$158,2,FALSE)), $C50 = "0", 0), 0)</f>
        <v>0</v>
      </c>
      <c r="BB50" s="44">
        <f>IFERROR(_xlfn.IFS($C50="1",( 'Inputs-System'!$C$30*'Coincidence Factors'!$B$8*(1+'Inputs-System'!$C$18)*(1+'Inputs-System'!$C$41))*('Inputs-Proposals'!$J$17*'Inputs-Proposals'!$J$19*('Inputs-Proposals'!$J$20))*(VLOOKUP(AZ$3,DRIPE!$A$54:$I$82,5,FALSE)+VLOOKUP(AZ$3,DRIPE!$A$54:$I$82,9,FALSE))+ ('Inputs-System'!$C$26*'Coincidence Factors'!$B$8*(1+'Inputs-System'!$C$18)*(1+'Inputs-System'!$C$42))*'Inputs-Proposals'!$J$16*VLOOKUP(AZ$3,DRIPE!$A$54:$I$82,8,FALSE), $C50 = "2",( 'Inputs-System'!$C$30*'Coincidence Factors'!$B$8*(1+'Inputs-System'!$C$18)*(1+'Inputs-System'!$C$41))*('Inputs-Proposals'!$J$23*'Inputs-Proposals'!$J$25*('Inputs-Proposals'!$J$26))*(VLOOKUP(AZ$3,DRIPE!$A$54:$I$82,5,FALSE)+VLOOKUP(AZ$3,DRIPE!$A$54:$I$82,9,FALSE))+  ('Inputs-System'!$C$26*'Coincidence Factors'!$B$8*(1+'Inputs-System'!$C$18)*(1+'Inputs-System'!$C$42))*'Inputs-Proposals'!$J$22*VLOOKUP(AZ$3,DRIPE!$A$54:$I$82,8,FALSE), $C50= "3", ( 'Inputs-System'!$C$30*'Coincidence Factors'!$B$8*(1+'Inputs-System'!$C$18)*(1+'Inputs-System'!$C$41))*('Inputs-Proposals'!$J$29*'Inputs-Proposals'!$J$31*('Inputs-Proposals'!$J$32))*(VLOOKUP(AZ$3,DRIPE!$A$54:$I$82,5,FALSE)+VLOOKUP(AZ$3,DRIPE!$A$54:$I$82,9,FALSE))+  ('Inputs-System'!$C$26*'Coincidence Factors'!$B$8*(1+'Inputs-System'!$C$18)*(1+'Inputs-System'!$C$42))*'Inputs-Proposals'!$J$28*VLOOKUP(AZ$3,DRIPE!$A$54:$I$82,8,FALSE), $C50 = "0", 0), 0)</f>
        <v>0</v>
      </c>
      <c r="BC50" s="45">
        <f>IFERROR(_xlfn.IFS($C50="1",('Inputs-System'!$C$30*'Coincidence Factors'!$B$8*(1+'Inputs-System'!$C$18))*'Inputs-Proposals'!$J$16*(VLOOKUP(AZ$3,Capacity!$A$53:$E$85,4,FALSE)*(1+'Inputs-System'!$C$42)+VLOOKUP(AZ$3,Capacity!$A$53:$E$85,5,FALSE)*'Inputs-System'!$C$29*(1+'Inputs-System'!$C$43)), $C50 = "2", ('Inputs-System'!$C$30*'Coincidence Factors'!$B$8*(1+'Inputs-System'!$C$18))*'Inputs-Proposals'!$J$22*(VLOOKUP(AZ$3,Capacity!$A$53:$E$85,4,FALSE)*(1+'Inputs-System'!$C$42)+VLOOKUP(AZ$3,Capacity!$A$53:$E$85,5,FALSE)*'Inputs-System'!$C$29*(1+'Inputs-System'!$C$43)), $C50 = "3",('Inputs-System'!$C$30*'Coincidence Factors'!$B$8*(1+'Inputs-System'!$C$18))*'Inputs-Proposals'!$J$28*(VLOOKUP(AZ$3,Capacity!$A$53:$E$85,4,FALSE)*(1+'Inputs-System'!$C$42)+VLOOKUP(AZ$3,Capacity!$A$53:$E$85,5,FALSE)*'Inputs-System'!$C$29*(1+'Inputs-System'!$C$43)), $C50 = "0", 0), 0)</f>
        <v>0</v>
      </c>
      <c r="BD50" s="44">
        <v>0</v>
      </c>
      <c r="BE50" s="342">
        <f>IFERROR(_xlfn.IFS($C50="1", 'Inputs-System'!$C$30*'Coincidence Factors'!$B$8*'Inputs-Proposals'!$J$17*'Inputs-Proposals'!$J$19*(VLOOKUP(AZ$3,'Non-Embedded Emissions'!$A$56:$D$90,2,FALSE)+VLOOKUP(AZ$3,'Non-Embedded Emissions'!$A$143:$D$174,2,FALSE)+VLOOKUP(AZ$3,'Non-Embedded Emissions'!$A$230:$D$259,2,FALSE)), $C50 = "2", 'Inputs-System'!$C$30*'Coincidence Factors'!$B$8*'Inputs-Proposals'!$J$23*'Inputs-Proposals'!$J$25*(VLOOKUP(AZ$3,'Non-Embedded Emissions'!$A$56:$D$90,2,FALSE)+VLOOKUP(AZ$3,'Non-Embedded Emissions'!$A$143:$D$174,2,FALSE)+VLOOKUP(AZ$3,'Non-Embedded Emissions'!$A$230:$D$259,2,FALSE)), $C50 = "3", 'Inputs-System'!$C$30*'Coincidence Factors'!$B$8*'Inputs-Proposals'!$J$29*'Inputs-Proposals'!$J$31*(VLOOKUP(AZ$3,'Non-Embedded Emissions'!$A$56:$D$90,2,FALSE)+VLOOKUP(AZ$3,'Non-Embedded Emissions'!$A$143:$D$174,2,FALSE)+VLOOKUP(AZ$3,'Non-Embedded Emissions'!$A$230:$D$259,2,FALSE)), $C50 = "0", 0), 0)</f>
        <v>0</v>
      </c>
      <c r="BF50" s="347">
        <f>IFERROR(_xlfn.IFS($C50="1",('Inputs-System'!$C$30*'Coincidence Factors'!$B$8*(1+'Inputs-System'!$C$18)*(1+'Inputs-System'!$C$41)*('Inputs-Proposals'!$J$17*'Inputs-Proposals'!$J$19*('Inputs-Proposals'!$J$20))*(VLOOKUP(BF$3,Energy!$A$51:$K$83,5,FALSE))), $C50 = "2",('Inputs-System'!$C$30*'Coincidence Factors'!$B$8)*(1+'Inputs-System'!$C$18)*(1+'Inputs-System'!$C$41)*('Inputs-Proposals'!$J$23*'Inputs-Proposals'!$J$25*('Inputs-Proposals'!$J$26))*(VLOOKUP(BF$3,Energy!$A$51:$K$83,5,FALSE)), $C50= "3", ('Inputs-System'!$C$30*'Coincidence Factors'!$B$8*(1+'Inputs-System'!$C$18)*(1+'Inputs-System'!$C$41)*('Inputs-Proposals'!$J$29*'Inputs-Proposals'!$J$31*('Inputs-Proposals'!$J$32))*(VLOOKUP(BF$3,Energy!$A$51:$K$83,5,FALSE))), $C50= "0", 0), 0)</f>
        <v>0</v>
      </c>
      <c r="BG50" s="44">
        <f>IFERROR(_xlfn.IFS($C50="1",'Inputs-System'!$C$30*'Coincidence Factors'!$B$8*(1+'Inputs-System'!$C$18)*(1+'Inputs-System'!$C$41)*'Inputs-Proposals'!$J$17*'Inputs-Proposals'!$J$19*('Inputs-Proposals'!$J$20)*(VLOOKUP(BF$3,'Embedded Emissions'!$A$47:$B$78,2,FALSE)+VLOOKUP(BF$3,'Embedded Emissions'!$A$129:$B$158,2,FALSE)), $C50 = "2", 'Inputs-System'!$C$30*'Coincidence Factors'!$B$8*(1+'Inputs-System'!$C$18)*(1+'Inputs-System'!$C$41)*'Inputs-Proposals'!$J$23*'Inputs-Proposals'!$J$25*('Inputs-Proposals'!$J$20)*(VLOOKUP(BF$3,'Embedded Emissions'!$A$47:$B$78,2,FALSE)+VLOOKUP(BF$3,'Embedded Emissions'!$A$129:$B$158,2,FALSE)), $C50 = "3",'Inputs-System'!$C$30*'Coincidence Factors'!$B$8*(1+'Inputs-System'!$C$18)*(1+'Inputs-System'!$C$41)*'Inputs-Proposals'!$J$29*'Inputs-Proposals'!$J$31*('Inputs-Proposals'!$J$20)*(VLOOKUP(BF$3,'Embedded Emissions'!$A$47:$B$78,2,FALSE)+VLOOKUP(BF$3,'Embedded Emissions'!$A$129:$B$158,2,FALSE)), $C50 = "0", 0), 0)</f>
        <v>0</v>
      </c>
      <c r="BH50" s="44">
        <f>IFERROR(_xlfn.IFS($C50="1",( 'Inputs-System'!$C$30*'Coincidence Factors'!$B$8*(1+'Inputs-System'!$C$18)*(1+'Inputs-System'!$C$41))*('Inputs-Proposals'!$J$17*'Inputs-Proposals'!$J$19*('Inputs-Proposals'!$J$20))*(VLOOKUP(BF$3,DRIPE!$A$54:$I$82,5,FALSE)+VLOOKUP(BF$3,DRIPE!$A$54:$I$82,9,FALSE))+ ('Inputs-System'!$C$26*'Coincidence Factors'!$B$8*(1+'Inputs-System'!$C$18)*(1+'Inputs-System'!$C$42))*'Inputs-Proposals'!$J$16*VLOOKUP(BF$3,DRIPE!$A$54:$I$82,8,FALSE), $C50 = "2",( 'Inputs-System'!$C$30*'Coincidence Factors'!$B$8*(1+'Inputs-System'!$C$18)*(1+'Inputs-System'!$C$41))*('Inputs-Proposals'!$J$23*'Inputs-Proposals'!$J$25*('Inputs-Proposals'!$J$26))*(VLOOKUP(BF$3,DRIPE!$A$54:$I$82,5,FALSE)+VLOOKUP(BF$3,DRIPE!$A$54:$I$82,9,FALSE))+  ('Inputs-System'!$C$26*'Coincidence Factors'!$B$8*(1+'Inputs-System'!$C$18)*(1+'Inputs-System'!$C$42))*'Inputs-Proposals'!$J$22*VLOOKUP(BF$3,DRIPE!$A$54:$I$82,8,FALSE), $C50= "3", ( 'Inputs-System'!$C$30*'Coincidence Factors'!$B$8*(1+'Inputs-System'!$C$18)*(1+'Inputs-System'!$C$41))*('Inputs-Proposals'!$J$29*'Inputs-Proposals'!$J$31*('Inputs-Proposals'!$J$32))*(VLOOKUP(BF$3,DRIPE!$A$54:$I$82,5,FALSE)+VLOOKUP(BF$3,DRIPE!$A$54:$I$82,9,FALSE))+  ('Inputs-System'!$C$26*'Coincidence Factors'!$B$8*(1+'Inputs-System'!$C$18)*(1+'Inputs-System'!$C$42))*'Inputs-Proposals'!$J$28*VLOOKUP(BF$3,DRIPE!$A$54:$I$82,8,FALSE), $C50 = "0", 0), 0)</f>
        <v>0</v>
      </c>
      <c r="BI50" s="45">
        <f>IFERROR(_xlfn.IFS($C50="1",('Inputs-System'!$C$30*'Coincidence Factors'!$B$8*(1+'Inputs-System'!$C$18))*'Inputs-Proposals'!$J$16*(VLOOKUP(BF$3,Capacity!$A$53:$E$85,4,FALSE)*(1+'Inputs-System'!$C$42)+VLOOKUP(BF$3,Capacity!$A$53:$E$85,5,FALSE)*'Inputs-System'!$C$29*(1+'Inputs-System'!$C$43)), $C50 = "2", ('Inputs-System'!$C$30*'Coincidence Factors'!$B$8*(1+'Inputs-System'!$C$18))*'Inputs-Proposals'!$J$22*(VLOOKUP(BF$3,Capacity!$A$53:$E$85,4,FALSE)*(1+'Inputs-System'!$C$42)+VLOOKUP(BF$3,Capacity!$A$53:$E$85,5,FALSE)*'Inputs-System'!$C$29*(1+'Inputs-System'!$C$43)), $C50 = "3",('Inputs-System'!$C$30*'Coincidence Factors'!$B$8*(1+'Inputs-System'!$C$18))*'Inputs-Proposals'!$J$28*(VLOOKUP(BF$3,Capacity!$A$53:$E$85,4,FALSE)*(1+'Inputs-System'!$C$42)+VLOOKUP(BF$3,Capacity!$A$53:$E$85,5,FALSE)*'Inputs-System'!$C$29*(1+'Inputs-System'!$C$43)), $C50 = "0", 0), 0)</f>
        <v>0</v>
      </c>
      <c r="BJ50" s="44">
        <v>0</v>
      </c>
      <c r="BK50" s="342">
        <f>IFERROR(_xlfn.IFS($C50="1", 'Inputs-System'!$C$30*'Coincidence Factors'!$B$8*'Inputs-Proposals'!$J$17*'Inputs-Proposals'!$J$19*(VLOOKUP(BF$3,'Non-Embedded Emissions'!$A$56:$D$90,2,FALSE)+VLOOKUP(BF$3,'Non-Embedded Emissions'!$A$143:$D$174,2,FALSE)+VLOOKUP(BF$3,'Non-Embedded Emissions'!$A$230:$D$259,2,FALSE)), $C50 = "2", 'Inputs-System'!$C$30*'Coincidence Factors'!$B$8*'Inputs-Proposals'!$J$23*'Inputs-Proposals'!$J$25*(VLOOKUP(BF$3,'Non-Embedded Emissions'!$A$56:$D$90,2,FALSE)+VLOOKUP(BF$3,'Non-Embedded Emissions'!$A$143:$D$174,2,FALSE)+VLOOKUP(BF$3,'Non-Embedded Emissions'!$A$230:$D$259,2,FALSE)), $C50 = "3", 'Inputs-System'!$C$30*'Coincidence Factors'!$B$8*'Inputs-Proposals'!$J$29*'Inputs-Proposals'!$J$31*(VLOOKUP(BF$3,'Non-Embedded Emissions'!$A$56:$D$90,2,FALSE)+VLOOKUP(BF$3,'Non-Embedded Emissions'!$A$143:$D$174,2,FALSE)+VLOOKUP(BF$3,'Non-Embedded Emissions'!$A$230:$D$259,2,FALSE)), $C50 = "0", 0), 0)</f>
        <v>0</v>
      </c>
      <c r="BL50" s="347">
        <f>IFERROR(_xlfn.IFS($C50="1",('Inputs-System'!$C$30*'Coincidence Factors'!$B$8*(1+'Inputs-System'!$C$18)*(1+'Inputs-System'!$C$41)*('Inputs-Proposals'!$J$17*'Inputs-Proposals'!$J$19*('Inputs-Proposals'!$J$20))*(VLOOKUP(BL$3,Energy!$A$51:$K$83,5,FALSE))), $C50 = "2",('Inputs-System'!$C$30*'Coincidence Factors'!$B$8)*(1+'Inputs-System'!$C$18)*(1+'Inputs-System'!$C$41)*('Inputs-Proposals'!$J$23*'Inputs-Proposals'!$J$25*('Inputs-Proposals'!$J$26))*(VLOOKUP(BL$3,Energy!$A$51:$K$83,5,FALSE)), $C50= "3", ('Inputs-System'!$C$30*'Coincidence Factors'!$B$8*(1+'Inputs-System'!$C$18)*(1+'Inputs-System'!$C$41)*('Inputs-Proposals'!$J$29*'Inputs-Proposals'!$J$31*('Inputs-Proposals'!$J$32))*(VLOOKUP(BL$3,Energy!$A$51:$K$83,5,FALSE))), $C50= "0", 0), 0)</f>
        <v>0</v>
      </c>
      <c r="BM50" s="44">
        <f>IFERROR(_xlfn.IFS($C50="1",'Inputs-System'!$C$30*'Coincidence Factors'!$B$8*(1+'Inputs-System'!$C$18)*(1+'Inputs-System'!$C$41)*'Inputs-Proposals'!$J$17*'Inputs-Proposals'!$J$19*('Inputs-Proposals'!$J$20)*(VLOOKUP(BL$3,'Embedded Emissions'!$A$47:$B$78,2,FALSE)+VLOOKUP(BL$3,'Embedded Emissions'!$A$129:$B$158,2,FALSE)), $C50 = "2", 'Inputs-System'!$C$30*'Coincidence Factors'!$B$8*(1+'Inputs-System'!$C$18)*(1+'Inputs-System'!$C$41)*'Inputs-Proposals'!$J$23*'Inputs-Proposals'!$J$25*('Inputs-Proposals'!$J$20)*(VLOOKUP(BL$3,'Embedded Emissions'!$A$47:$B$78,2,FALSE)+VLOOKUP(BL$3,'Embedded Emissions'!$A$129:$B$158,2,FALSE)), $C50 = "3",'Inputs-System'!$C$30*'Coincidence Factors'!$B$8*(1+'Inputs-System'!$C$18)*(1+'Inputs-System'!$C$41)*'Inputs-Proposals'!$J$29*'Inputs-Proposals'!$J$31*('Inputs-Proposals'!$J$20)*(VLOOKUP(BL$3,'Embedded Emissions'!$A$47:$B$78,2,FALSE)+VLOOKUP(BL$3,'Embedded Emissions'!$A$129:$B$158,2,FALSE)), $C50 = "0", 0), 0)</f>
        <v>0</v>
      </c>
      <c r="BN50" s="44">
        <f>IFERROR(_xlfn.IFS($C50="1",( 'Inputs-System'!$C$30*'Coincidence Factors'!$B$8*(1+'Inputs-System'!$C$18)*(1+'Inputs-System'!$C$41))*('Inputs-Proposals'!$J$17*'Inputs-Proposals'!$J$19*('Inputs-Proposals'!$J$20))*(VLOOKUP(BL$3,DRIPE!$A$54:$I$82,5,FALSE)+VLOOKUP(BL$3,DRIPE!$A$54:$I$82,9,FALSE))+ ('Inputs-System'!$C$26*'Coincidence Factors'!$B$8*(1+'Inputs-System'!$C$18)*(1+'Inputs-System'!$C$42))*'Inputs-Proposals'!$J$16*VLOOKUP(BL$3,DRIPE!$A$54:$I$82,8,FALSE), $C50 = "2",( 'Inputs-System'!$C$30*'Coincidence Factors'!$B$8*(1+'Inputs-System'!$C$18)*(1+'Inputs-System'!$C$41))*('Inputs-Proposals'!$J$23*'Inputs-Proposals'!$J$25*('Inputs-Proposals'!$J$26))*(VLOOKUP(BL$3,DRIPE!$A$54:$I$82,5,FALSE)+VLOOKUP(BL$3,DRIPE!$A$54:$I$82,9,FALSE))+  ('Inputs-System'!$C$26*'Coincidence Factors'!$B$8*(1+'Inputs-System'!$C$18)*(1+'Inputs-System'!$C$42))*'Inputs-Proposals'!$J$22*VLOOKUP(BL$3,DRIPE!$A$54:$I$82,8,FALSE), $C50= "3", ( 'Inputs-System'!$C$30*'Coincidence Factors'!$B$8*(1+'Inputs-System'!$C$18)*(1+'Inputs-System'!$C$41))*('Inputs-Proposals'!$J$29*'Inputs-Proposals'!$J$31*('Inputs-Proposals'!$J$32))*(VLOOKUP(BL$3,DRIPE!$A$54:$I$82,5,FALSE)+VLOOKUP(BL$3,DRIPE!$A$54:$I$82,9,FALSE))+  ('Inputs-System'!$C$26*'Coincidence Factors'!$B$8*(1+'Inputs-System'!$C$18)*(1+'Inputs-System'!$C$42))*'Inputs-Proposals'!$J$28*VLOOKUP(BL$3,DRIPE!$A$54:$I$82,8,FALSE), $C50 = "0", 0), 0)</f>
        <v>0</v>
      </c>
      <c r="BO50" s="45">
        <f>IFERROR(_xlfn.IFS($C50="1",('Inputs-System'!$C$30*'Coincidence Factors'!$B$8*(1+'Inputs-System'!$C$18))*'Inputs-Proposals'!$J$16*(VLOOKUP(BL$3,Capacity!$A$53:$E$85,4,FALSE)*(1+'Inputs-System'!$C$42)+VLOOKUP(BL$3,Capacity!$A$53:$E$85,5,FALSE)*'Inputs-System'!$C$29*(1+'Inputs-System'!$C$43)), $C50 = "2", ('Inputs-System'!$C$30*'Coincidence Factors'!$B$8*(1+'Inputs-System'!$C$18))*'Inputs-Proposals'!$J$22*(VLOOKUP(BL$3,Capacity!$A$53:$E$85,4,FALSE)*(1+'Inputs-System'!$C$42)+VLOOKUP(BL$3,Capacity!$A$53:$E$85,5,FALSE)*'Inputs-System'!$C$29*(1+'Inputs-System'!$C$43)), $C50 = "3",('Inputs-System'!$C$30*'Coincidence Factors'!$B$8*(1+'Inputs-System'!$C$18))*'Inputs-Proposals'!$J$28*(VLOOKUP(BL$3,Capacity!$A$53:$E$85,4,FALSE)*(1+'Inputs-System'!$C$42)+VLOOKUP(BL$3,Capacity!$A$53:$E$85,5,FALSE)*'Inputs-System'!$C$29*(1+'Inputs-System'!$C$43)), $C50 = "0", 0), 0)</f>
        <v>0</v>
      </c>
      <c r="BP50" s="44">
        <v>0</v>
      </c>
      <c r="BQ50" s="342">
        <f>IFERROR(_xlfn.IFS($C50="1", 'Inputs-System'!$C$30*'Coincidence Factors'!$B$8*'Inputs-Proposals'!$J$17*'Inputs-Proposals'!$J$19*(VLOOKUP(BL$3,'Non-Embedded Emissions'!$A$56:$D$90,2,FALSE)+VLOOKUP(BL$3,'Non-Embedded Emissions'!$A$143:$D$174,2,FALSE)+VLOOKUP(BL$3,'Non-Embedded Emissions'!$A$230:$D$259,2,FALSE)), $C50 = "2", 'Inputs-System'!$C$30*'Coincidence Factors'!$B$8*'Inputs-Proposals'!$J$23*'Inputs-Proposals'!$J$25*(VLOOKUP(BL$3,'Non-Embedded Emissions'!$A$56:$D$90,2,FALSE)+VLOOKUP(BL$3,'Non-Embedded Emissions'!$A$143:$D$174,2,FALSE)+VLOOKUP(BL$3,'Non-Embedded Emissions'!$A$230:$D$259,2,FALSE)), $C50 = "3", 'Inputs-System'!$C$30*'Coincidence Factors'!$B$8*'Inputs-Proposals'!$J$29*'Inputs-Proposals'!$J$31*(VLOOKUP(BL$3,'Non-Embedded Emissions'!$A$56:$D$90,2,FALSE)+VLOOKUP(BL$3,'Non-Embedded Emissions'!$A$143:$D$174,2,FALSE)+VLOOKUP(BL$3,'Non-Embedded Emissions'!$A$230:$D$259,2,FALSE)), $C50 = "0", 0), 0)</f>
        <v>0</v>
      </c>
      <c r="BR50" s="347">
        <f>IFERROR(_xlfn.IFS($C50="1",('Inputs-System'!$C$30*'Coincidence Factors'!$B$8*(1+'Inputs-System'!$C$18)*(1+'Inputs-System'!$C$41)*('Inputs-Proposals'!$J$17*'Inputs-Proposals'!$J$19*('Inputs-Proposals'!$J$20))*(VLOOKUP(BR$3,Energy!$A$51:$K$83,5,FALSE))), $C50 = "2",('Inputs-System'!$C$30*'Coincidence Factors'!$B$8)*(1+'Inputs-System'!$C$18)*(1+'Inputs-System'!$C$41)*('Inputs-Proposals'!$J$23*'Inputs-Proposals'!$J$25*('Inputs-Proposals'!$J$26))*(VLOOKUP(BR$3,Energy!$A$51:$K$83,5,FALSE)), $C50= "3", ('Inputs-System'!$C$30*'Coincidence Factors'!$B$8*(1+'Inputs-System'!$C$18)*(1+'Inputs-System'!$C$41)*('Inputs-Proposals'!$J$29*'Inputs-Proposals'!$J$31*('Inputs-Proposals'!$J$32))*(VLOOKUP(BR$3,Energy!$A$51:$K$83,5,FALSE))), $C50= "0", 0), 0)</f>
        <v>0</v>
      </c>
      <c r="BS50" s="44">
        <f>IFERROR(_xlfn.IFS($C50="1",'Inputs-System'!$C$30*'Coincidence Factors'!$B$8*(1+'Inputs-System'!$C$18)*(1+'Inputs-System'!$C$41)*'Inputs-Proposals'!$J$17*'Inputs-Proposals'!$J$19*('Inputs-Proposals'!$J$20)*(VLOOKUP(BR$3,'Embedded Emissions'!$A$47:$B$78,2,FALSE)+VLOOKUP(BR$3,'Embedded Emissions'!$A$129:$B$158,2,FALSE)), $C50 = "2", 'Inputs-System'!$C$30*'Coincidence Factors'!$B$8*(1+'Inputs-System'!$C$18)*(1+'Inputs-System'!$C$41)*'Inputs-Proposals'!$J$23*'Inputs-Proposals'!$J$25*('Inputs-Proposals'!$J$20)*(VLOOKUP(BR$3,'Embedded Emissions'!$A$47:$B$78,2,FALSE)+VLOOKUP(BR$3,'Embedded Emissions'!$A$129:$B$158,2,FALSE)), $C50 = "3",'Inputs-System'!$C$30*'Coincidence Factors'!$B$8*(1+'Inputs-System'!$C$18)*(1+'Inputs-System'!$C$41)*'Inputs-Proposals'!$J$29*'Inputs-Proposals'!$J$31*('Inputs-Proposals'!$J$20)*(VLOOKUP(BR$3,'Embedded Emissions'!$A$47:$B$78,2,FALSE)+VLOOKUP(BR$3,'Embedded Emissions'!$A$129:$B$158,2,FALSE)), $C50 = "0", 0), 0)</f>
        <v>0</v>
      </c>
      <c r="BT50" s="44">
        <f>IFERROR(_xlfn.IFS($C50="1",( 'Inputs-System'!$C$30*'Coincidence Factors'!$B$8*(1+'Inputs-System'!$C$18)*(1+'Inputs-System'!$C$41))*('Inputs-Proposals'!$J$17*'Inputs-Proposals'!$J$19*('Inputs-Proposals'!$J$20))*(VLOOKUP(BR$3,DRIPE!$A$54:$I$82,5,FALSE)+VLOOKUP(BR$3,DRIPE!$A$54:$I$82,9,FALSE))+ ('Inputs-System'!$C$26*'Coincidence Factors'!$B$8*(1+'Inputs-System'!$C$18)*(1+'Inputs-System'!$C$42))*'Inputs-Proposals'!$J$16*VLOOKUP(BR$3,DRIPE!$A$54:$I$82,8,FALSE), $C50 = "2",( 'Inputs-System'!$C$30*'Coincidence Factors'!$B$8*(1+'Inputs-System'!$C$18)*(1+'Inputs-System'!$C$41))*('Inputs-Proposals'!$J$23*'Inputs-Proposals'!$J$25*('Inputs-Proposals'!$J$26))*(VLOOKUP(BR$3,DRIPE!$A$54:$I$82,5,FALSE)+VLOOKUP(BR$3,DRIPE!$A$54:$I$82,9,FALSE))+  ('Inputs-System'!$C$26*'Coincidence Factors'!$B$8*(1+'Inputs-System'!$C$18)*(1+'Inputs-System'!$C$42))*'Inputs-Proposals'!$J$22*VLOOKUP(BR$3,DRIPE!$A$54:$I$82,8,FALSE), $C50= "3", ( 'Inputs-System'!$C$30*'Coincidence Factors'!$B$8*(1+'Inputs-System'!$C$18)*(1+'Inputs-System'!$C$41))*('Inputs-Proposals'!$J$29*'Inputs-Proposals'!$J$31*('Inputs-Proposals'!$J$32))*(VLOOKUP(BR$3,DRIPE!$A$54:$I$82,5,FALSE)+VLOOKUP(BR$3,DRIPE!$A$54:$I$82,9,FALSE))+  ('Inputs-System'!$C$26*'Coincidence Factors'!$B$8*(1+'Inputs-System'!$C$18)*(1+'Inputs-System'!$C$42))*'Inputs-Proposals'!$J$28*VLOOKUP(BR$3,DRIPE!$A$54:$I$82,8,FALSE), $C50 = "0", 0), 0)</f>
        <v>0</v>
      </c>
      <c r="BU50" s="45">
        <f>IFERROR(_xlfn.IFS($C50="1",('Inputs-System'!$C$30*'Coincidence Factors'!$B$8*(1+'Inputs-System'!$C$18))*'Inputs-Proposals'!$J$16*(VLOOKUP(BR$3,Capacity!$A$53:$E$85,4,FALSE)*(1+'Inputs-System'!$C$42)+VLOOKUP(BR$3,Capacity!$A$53:$E$85,5,FALSE)*'Inputs-System'!$C$29*(1+'Inputs-System'!$C$43)), $C50 = "2", ('Inputs-System'!$C$30*'Coincidence Factors'!$B$8*(1+'Inputs-System'!$C$18))*'Inputs-Proposals'!$J$22*(VLOOKUP(BR$3,Capacity!$A$53:$E$85,4,FALSE)*(1+'Inputs-System'!$C$42)+VLOOKUP(BR$3,Capacity!$A$53:$E$85,5,FALSE)*'Inputs-System'!$C$29*(1+'Inputs-System'!$C$43)), $C50 = "3",('Inputs-System'!$C$30*'Coincidence Factors'!$B$8*(1+'Inputs-System'!$C$18))*'Inputs-Proposals'!$J$28*(VLOOKUP(BR$3,Capacity!$A$53:$E$85,4,FALSE)*(1+'Inputs-System'!$C$42)+VLOOKUP(BR$3,Capacity!$A$53:$E$85,5,FALSE)*'Inputs-System'!$C$29*(1+'Inputs-System'!$C$43)), $C50 = "0", 0), 0)</f>
        <v>0</v>
      </c>
      <c r="BV50" s="44">
        <v>0</v>
      </c>
      <c r="BW50" s="342">
        <f>IFERROR(_xlfn.IFS($C50="1", 'Inputs-System'!$C$30*'Coincidence Factors'!$B$8*'Inputs-Proposals'!$J$17*'Inputs-Proposals'!$J$19*(VLOOKUP(BR$3,'Non-Embedded Emissions'!$A$56:$D$90,2,FALSE)+VLOOKUP(BR$3,'Non-Embedded Emissions'!$A$143:$D$174,2,FALSE)+VLOOKUP(BR$3,'Non-Embedded Emissions'!$A$230:$D$259,2,FALSE)), $C50 = "2", 'Inputs-System'!$C$30*'Coincidence Factors'!$B$8*'Inputs-Proposals'!$J$23*'Inputs-Proposals'!$J$25*(VLOOKUP(BR$3,'Non-Embedded Emissions'!$A$56:$D$90,2,FALSE)+VLOOKUP(BR$3,'Non-Embedded Emissions'!$A$143:$D$174,2,FALSE)+VLOOKUP(BR$3,'Non-Embedded Emissions'!$A$230:$D$259,2,FALSE)), $C50 = "3", 'Inputs-System'!$C$30*'Coincidence Factors'!$B$8*'Inputs-Proposals'!$J$29*'Inputs-Proposals'!$J$31*(VLOOKUP(BR$3,'Non-Embedded Emissions'!$A$56:$D$90,2,FALSE)+VLOOKUP(BR$3,'Non-Embedded Emissions'!$A$143:$D$174,2,FALSE)+VLOOKUP(BR$3,'Non-Embedded Emissions'!$A$230:$D$259,2,FALSE)), $C50 = "0", 0), 0)</f>
        <v>0</v>
      </c>
      <c r="BX50" s="347">
        <f>IFERROR(_xlfn.IFS($C50="1",('Inputs-System'!$C$30*'Coincidence Factors'!$B$8*(1+'Inputs-System'!$C$18)*(1+'Inputs-System'!$C$41)*('Inputs-Proposals'!$J$17*'Inputs-Proposals'!$J$19*('Inputs-Proposals'!$J$20))*(VLOOKUP(BX$3,Energy!$A$51:$K$83,5,FALSE))), $C50 = "2",('Inputs-System'!$C$30*'Coincidence Factors'!$B$8)*(1+'Inputs-System'!$C$18)*(1+'Inputs-System'!$C$41)*('Inputs-Proposals'!$J$23*'Inputs-Proposals'!$J$25*('Inputs-Proposals'!$J$26))*(VLOOKUP(BX$3,Energy!$A$51:$K$83,5,FALSE)), $C50= "3", ('Inputs-System'!$C$30*'Coincidence Factors'!$B$8*(1+'Inputs-System'!$C$18)*(1+'Inputs-System'!$C$41)*('Inputs-Proposals'!$J$29*'Inputs-Proposals'!$J$31*('Inputs-Proposals'!$J$32))*(VLOOKUP(BX$3,Energy!$A$51:$K$83,5,FALSE))), $C50= "0", 0), 0)</f>
        <v>0</v>
      </c>
      <c r="BY50" s="44">
        <f>IFERROR(_xlfn.IFS($C50="1",'Inputs-System'!$C$30*'Coincidence Factors'!$B$8*(1+'Inputs-System'!$C$18)*(1+'Inputs-System'!$C$41)*'Inputs-Proposals'!$J$17*'Inputs-Proposals'!$J$19*('Inputs-Proposals'!$J$20)*(VLOOKUP(BX$3,'Embedded Emissions'!$A$47:$B$78,2,FALSE)+VLOOKUP(BX$3,'Embedded Emissions'!$A$129:$B$158,2,FALSE)), $C50 = "2", 'Inputs-System'!$C$30*'Coincidence Factors'!$B$8*(1+'Inputs-System'!$C$18)*(1+'Inputs-System'!$C$41)*'Inputs-Proposals'!$J$23*'Inputs-Proposals'!$J$25*('Inputs-Proposals'!$J$20)*(VLOOKUP(BX$3,'Embedded Emissions'!$A$47:$B$78,2,FALSE)+VLOOKUP(BX$3,'Embedded Emissions'!$A$129:$B$158,2,FALSE)), $C50 = "3",'Inputs-System'!$C$30*'Coincidence Factors'!$B$8*(1+'Inputs-System'!$C$18)*(1+'Inputs-System'!$C$41)*'Inputs-Proposals'!$J$29*'Inputs-Proposals'!$J$31*('Inputs-Proposals'!$J$20)*(VLOOKUP(BX$3,'Embedded Emissions'!$A$47:$B$78,2,FALSE)+VLOOKUP(BX$3,'Embedded Emissions'!$A$129:$B$158,2,FALSE)), $C50 = "0", 0), 0)</f>
        <v>0</v>
      </c>
      <c r="BZ50" s="44">
        <f>IFERROR(_xlfn.IFS($C50="1",( 'Inputs-System'!$C$30*'Coincidence Factors'!$B$8*(1+'Inputs-System'!$C$18)*(1+'Inputs-System'!$C$41))*('Inputs-Proposals'!$J$17*'Inputs-Proposals'!$J$19*('Inputs-Proposals'!$J$20))*(VLOOKUP(BX$3,DRIPE!$A$54:$I$82,5,FALSE)+VLOOKUP(BX$3,DRIPE!$A$54:$I$82,9,FALSE))+ ('Inputs-System'!$C$26*'Coincidence Factors'!$B$8*(1+'Inputs-System'!$C$18)*(1+'Inputs-System'!$C$42))*'Inputs-Proposals'!$J$16*VLOOKUP(BX$3,DRIPE!$A$54:$I$82,8,FALSE), $C50 = "2",( 'Inputs-System'!$C$30*'Coincidence Factors'!$B$8*(1+'Inputs-System'!$C$18)*(1+'Inputs-System'!$C$41))*('Inputs-Proposals'!$J$23*'Inputs-Proposals'!$J$25*('Inputs-Proposals'!$J$26))*(VLOOKUP(BX$3,DRIPE!$A$54:$I$82,5,FALSE)+VLOOKUP(BX$3,DRIPE!$A$54:$I$82,9,FALSE))+  ('Inputs-System'!$C$26*'Coincidence Factors'!$B$8*(1+'Inputs-System'!$C$18)*(1+'Inputs-System'!$C$42))*'Inputs-Proposals'!$J$22*VLOOKUP(BX$3,DRIPE!$A$54:$I$82,8,FALSE), $C50= "3", ( 'Inputs-System'!$C$30*'Coincidence Factors'!$B$8*(1+'Inputs-System'!$C$18)*(1+'Inputs-System'!$C$41))*('Inputs-Proposals'!$J$29*'Inputs-Proposals'!$J$31*('Inputs-Proposals'!$J$32))*(VLOOKUP(BX$3,DRIPE!$A$54:$I$82,5,FALSE)+VLOOKUP(BX$3,DRIPE!$A$54:$I$82,9,FALSE))+  ('Inputs-System'!$C$26*'Coincidence Factors'!$B$8*(1+'Inputs-System'!$C$18)*(1+'Inputs-System'!$C$42))*'Inputs-Proposals'!$J$28*VLOOKUP(BX$3,DRIPE!$A$54:$I$82,8,FALSE), $C50 = "0", 0), 0)</f>
        <v>0</v>
      </c>
      <c r="CA50" s="45">
        <f>IFERROR(_xlfn.IFS($C50="1",('Inputs-System'!$C$30*'Coincidence Factors'!$B$8*(1+'Inputs-System'!$C$18))*'Inputs-Proposals'!$J$16*(VLOOKUP(BX$3,Capacity!$A$53:$E$85,4,FALSE)*(1+'Inputs-System'!$C$42)+VLOOKUP(BX$3,Capacity!$A$53:$E$85,5,FALSE)*'Inputs-System'!$C$29*(1+'Inputs-System'!$C$43)), $C50 = "2", ('Inputs-System'!$C$30*'Coincidence Factors'!$B$8*(1+'Inputs-System'!$C$18))*'Inputs-Proposals'!$J$22*(VLOOKUP(BX$3,Capacity!$A$53:$E$85,4,FALSE)*(1+'Inputs-System'!$C$42)+VLOOKUP(BX$3,Capacity!$A$53:$E$85,5,FALSE)*'Inputs-System'!$C$29*(1+'Inputs-System'!$C$43)), $C50 = "3",('Inputs-System'!$C$30*'Coincidence Factors'!$B$8*(1+'Inputs-System'!$C$18))*'Inputs-Proposals'!$J$28*(VLOOKUP(BX$3,Capacity!$A$53:$E$85,4,FALSE)*(1+'Inputs-System'!$C$42)+VLOOKUP(BX$3,Capacity!$A$53:$E$85,5,FALSE)*'Inputs-System'!$C$29*(1+'Inputs-System'!$C$43)), $C50 = "0", 0), 0)</f>
        <v>0</v>
      </c>
      <c r="CB50" s="44">
        <v>0</v>
      </c>
      <c r="CC50" s="342">
        <f>IFERROR(_xlfn.IFS($C50="1", 'Inputs-System'!$C$30*'Coincidence Factors'!$B$8*'Inputs-Proposals'!$J$17*'Inputs-Proposals'!$J$19*(VLOOKUP(BX$3,'Non-Embedded Emissions'!$A$56:$D$90,2,FALSE)+VLOOKUP(BX$3,'Non-Embedded Emissions'!$A$143:$D$174,2,FALSE)+VLOOKUP(BX$3,'Non-Embedded Emissions'!$A$230:$D$259,2,FALSE)), $C50 = "2", 'Inputs-System'!$C$30*'Coincidence Factors'!$B$8*'Inputs-Proposals'!$J$23*'Inputs-Proposals'!$J$25*(VLOOKUP(BX$3,'Non-Embedded Emissions'!$A$56:$D$90,2,FALSE)+VLOOKUP(BX$3,'Non-Embedded Emissions'!$A$143:$D$174,2,FALSE)+VLOOKUP(BX$3,'Non-Embedded Emissions'!$A$230:$D$259,2,FALSE)), $C50 = "3", 'Inputs-System'!$C$30*'Coincidence Factors'!$B$8*'Inputs-Proposals'!$J$29*'Inputs-Proposals'!$J$31*(VLOOKUP(BX$3,'Non-Embedded Emissions'!$A$56:$D$90,2,FALSE)+VLOOKUP(BX$3,'Non-Embedded Emissions'!$A$143:$D$174,2,FALSE)+VLOOKUP(BX$3,'Non-Embedded Emissions'!$A$230:$D$259,2,FALSE)), $C50 = "0", 0), 0)</f>
        <v>0</v>
      </c>
      <c r="CD50" s="347">
        <f>IFERROR(_xlfn.IFS($C50="1",('Inputs-System'!$C$30*'Coincidence Factors'!$B$8*(1+'Inputs-System'!$C$18)*(1+'Inputs-System'!$C$41)*('Inputs-Proposals'!$J$17*'Inputs-Proposals'!$J$19*('Inputs-Proposals'!$J$20))*(VLOOKUP(CD$3,Energy!$A$51:$K$83,5,FALSE))), $C50 = "2",('Inputs-System'!$C$30*'Coincidence Factors'!$B$8)*(1+'Inputs-System'!$C$18)*(1+'Inputs-System'!$C$41)*('Inputs-Proposals'!$J$23*'Inputs-Proposals'!$J$25*('Inputs-Proposals'!$J$26))*(VLOOKUP(CD$3,Energy!$A$51:$K$83,5,FALSE)), $C50= "3", ('Inputs-System'!$C$30*'Coincidence Factors'!$B$8*(1+'Inputs-System'!$C$18)*(1+'Inputs-System'!$C$41)*('Inputs-Proposals'!$J$29*'Inputs-Proposals'!$J$31*('Inputs-Proposals'!$J$32))*(VLOOKUP(CD$3,Energy!$A$51:$K$83,5,FALSE))), $C50= "0", 0), 0)</f>
        <v>0</v>
      </c>
      <c r="CE50" s="44">
        <f>IFERROR(_xlfn.IFS($C50="1",'Inputs-System'!$C$30*'Coincidence Factors'!$B$8*(1+'Inputs-System'!$C$18)*(1+'Inputs-System'!$C$41)*'Inputs-Proposals'!$J$17*'Inputs-Proposals'!$J$19*('Inputs-Proposals'!$J$20)*(VLOOKUP(CD$3,'Embedded Emissions'!$A$47:$B$78,2,FALSE)+VLOOKUP(CD$3,'Embedded Emissions'!$A$129:$B$158,2,FALSE)), $C50 = "2", 'Inputs-System'!$C$30*'Coincidence Factors'!$B$8*(1+'Inputs-System'!$C$18)*(1+'Inputs-System'!$C$41)*'Inputs-Proposals'!$J$23*'Inputs-Proposals'!$J$25*('Inputs-Proposals'!$J$20)*(VLOOKUP(CD$3,'Embedded Emissions'!$A$47:$B$78,2,FALSE)+VLOOKUP(CD$3,'Embedded Emissions'!$A$129:$B$158,2,FALSE)), $C50 = "3",'Inputs-System'!$C$30*'Coincidence Factors'!$B$8*(1+'Inputs-System'!$C$18)*(1+'Inputs-System'!$C$41)*'Inputs-Proposals'!$J$29*'Inputs-Proposals'!$J$31*('Inputs-Proposals'!$J$20)*(VLOOKUP(CD$3,'Embedded Emissions'!$A$47:$B$78,2,FALSE)+VLOOKUP(CD$3,'Embedded Emissions'!$A$129:$B$158,2,FALSE)), $C50 = "0", 0), 0)</f>
        <v>0</v>
      </c>
      <c r="CF50" s="44">
        <f>IFERROR(_xlfn.IFS($C50="1",( 'Inputs-System'!$C$30*'Coincidence Factors'!$B$8*(1+'Inputs-System'!$C$18)*(1+'Inputs-System'!$C$41))*('Inputs-Proposals'!$J$17*'Inputs-Proposals'!$J$19*('Inputs-Proposals'!$J$20))*(VLOOKUP(CD$3,DRIPE!$A$54:$I$82,5,FALSE)+VLOOKUP(CD$3,DRIPE!$A$54:$I$82,9,FALSE))+ ('Inputs-System'!$C$26*'Coincidence Factors'!$B$8*(1+'Inputs-System'!$C$18)*(1+'Inputs-System'!$C$42))*'Inputs-Proposals'!$J$16*VLOOKUP(CD$3,DRIPE!$A$54:$I$82,8,FALSE), $C50 = "2",( 'Inputs-System'!$C$30*'Coincidence Factors'!$B$8*(1+'Inputs-System'!$C$18)*(1+'Inputs-System'!$C$41))*('Inputs-Proposals'!$J$23*'Inputs-Proposals'!$J$25*('Inputs-Proposals'!$J$26))*(VLOOKUP(CD$3,DRIPE!$A$54:$I$82,5,FALSE)+VLOOKUP(CD$3,DRIPE!$A$54:$I$82,9,FALSE))+  ('Inputs-System'!$C$26*'Coincidence Factors'!$B$8*(1+'Inputs-System'!$C$18)*(1+'Inputs-System'!$C$42))*'Inputs-Proposals'!$J$22*VLOOKUP(CD$3,DRIPE!$A$54:$I$82,8,FALSE), $C50= "3", ( 'Inputs-System'!$C$30*'Coincidence Factors'!$B$8*(1+'Inputs-System'!$C$18)*(1+'Inputs-System'!$C$41))*('Inputs-Proposals'!$J$29*'Inputs-Proposals'!$J$31*('Inputs-Proposals'!$J$32))*(VLOOKUP(CD$3,DRIPE!$A$54:$I$82,5,FALSE)+VLOOKUP(CD$3,DRIPE!$A$54:$I$82,9,FALSE))+  ('Inputs-System'!$C$26*'Coincidence Factors'!$B$8*(1+'Inputs-System'!$C$18)*(1+'Inputs-System'!$C$42))*'Inputs-Proposals'!$J$28*VLOOKUP(CD$3,DRIPE!$A$54:$I$82,8,FALSE), $C50 = "0", 0), 0)</f>
        <v>0</v>
      </c>
      <c r="CG50" s="45">
        <f>IFERROR(_xlfn.IFS($C50="1",('Inputs-System'!$C$30*'Coincidence Factors'!$B$8*(1+'Inputs-System'!$C$18))*'Inputs-Proposals'!$J$16*(VLOOKUP(CD$3,Capacity!$A$53:$E$85,4,FALSE)*(1+'Inputs-System'!$C$42)+VLOOKUP(CD$3,Capacity!$A$53:$E$85,5,FALSE)*'Inputs-System'!$C$29*(1+'Inputs-System'!$C$43)), $C50 = "2", ('Inputs-System'!$C$30*'Coincidence Factors'!$B$8*(1+'Inputs-System'!$C$18))*'Inputs-Proposals'!$J$22*(VLOOKUP(CD$3,Capacity!$A$53:$E$85,4,FALSE)*(1+'Inputs-System'!$C$42)+VLOOKUP(CD$3,Capacity!$A$53:$E$85,5,FALSE)*'Inputs-System'!$C$29*(1+'Inputs-System'!$C$43)), $C50 = "3",('Inputs-System'!$C$30*'Coincidence Factors'!$B$8*(1+'Inputs-System'!$C$18))*'Inputs-Proposals'!$J$28*(VLOOKUP(CD$3,Capacity!$A$53:$E$85,4,FALSE)*(1+'Inputs-System'!$C$42)+VLOOKUP(CD$3,Capacity!$A$53:$E$85,5,FALSE)*'Inputs-System'!$C$29*(1+'Inputs-System'!$C$43)), $C50 = "0", 0), 0)</f>
        <v>0</v>
      </c>
      <c r="CH50" s="44">
        <v>0</v>
      </c>
      <c r="CI50" s="342">
        <f>IFERROR(_xlfn.IFS($C50="1", 'Inputs-System'!$C$30*'Coincidence Factors'!$B$8*'Inputs-Proposals'!$J$17*'Inputs-Proposals'!$J$19*(VLOOKUP(CD$3,'Non-Embedded Emissions'!$A$56:$D$90,2,FALSE)+VLOOKUP(CD$3,'Non-Embedded Emissions'!$A$143:$D$174,2,FALSE)+VLOOKUP(CD$3,'Non-Embedded Emissions'!$A$230:$D$259,2,FALSE)), $C50 = "2", 'Inputs-System'!$C$30*'Coincidence Factors'!$B$8*'Inputs-Proposals'!$J$23*'Inputs-Proposals'!$J$25*(VLOOKUP(CD$3,'Non-Embedded Emissions'!$A$56:$D$90,2,FALSE)+VLOOKUP(CD$3,'Non-Embedded Emissions'!$A$143:$D$174,2,FALSE)+VLOOKUP(CD$3,'Non-Embedded Emissions'!$A$230:$D$259,2,FALSE)), $C50 = "3", 'Inputs-System'!$C$30*'Coincidence Factors'!$B$8*'Inputs-Proposals'!$J$29*'Inputs-Proposals'!$J$31*(VLOOKUP(CD$3,'Non-Embedded Emissions'!$A$56:$D$90,2,FALSE)+VLOOKUP(CD$3,'Non-Embedded Emissions'!$A$143:$D$174,2,FALSE)+VLOOKUP(CD$3,'Non-Embedded Emissions'!$A$230:$D$259,2,FALSE)), $C50 = "0", 0), 0)</f>
        <v>0</v>
      </c>
      <c r="CJ50" s="347">
        <f>IFERROR(_xlfn.IFS($C50="1",('Inputs-System'!$C$30*'Coincidence Factors'!$B$8*(1+'Inputs-System'!$C$18)*(1+'Inputs-System'!$C$41)*('Inputs-Proposals'!$J$17*'Inputs-Proposals'!$J$19*('Inputs-Proposals'!$J$20))*(VLOOKUP(CJ$3,Energy!$A$51:$K$83,5,FALSE))), $C50 = "2",('Inputs-System'!$C$30*'Coincidence Factors'!$B$8)*(1+'Inputs-System'!$C$18)*(1+'Inputs-System'!$C$41)*('Inputs-Proposals'!$J$23*'Inputs-Proposals'!$J$25*('Inputs-Proposals'!$J$26))*(VLOOKUP(CJ$3,Energy!$A$51:$K$83,5,FALSE)), $C50= "3", ('Inputs-System'!$C$30*'Coincidence Factors'!$B$8*(1+'Inputs-System'!$C$18)*(1+'Inputs-System'!$C$41)*('Inputs-Proposals'!$J$29*'Inputs-Proposals'!$J$31*('Inputs-Proposals'!$J$32))*(VLOOKUP(CJ$3,Energy!$A$51:$K$83,5,FALSE))), $C50= "0", 0), 0)</f>
        <v>0</v>
      </c>
      <c r="CK50" s="44">
        <f>IFERROR(_xlfn.IFS($C50="1",'Inputs-System'!$C$30*'Coincidence Factors'!$B$8*(1+'Inputs-System'!$C$18)*(1+'Inputs-System'!$C$41)*'Inputs-Proposals'!$J$17*'Inputs-Proposals'!$J$19*('Inputs-Proposals'!$J$20)*(VLOOKUP(CJ$3,'Embedded Emissions'!$A$47:$B$78,2,FALSE)+VLOOKUP(CJ$3,'Embedded Emissions'!$A$129:$B$158,2,FALSE)), $C50 = "2", 'Inputs-System'!$C$30*'Coincidence Factors'!$B$8*(1+'Inputs-System'!$C$18)*(1+'Inputs-System'!$C$41)*'Inputs-Proposals'!$J$23*'Inputs-Proposals'!$J$25*('Inputs-Proposals'!$J$20)*(VLOOKUP(CJ$3,'Embedded Emissions'!$A$47:$B$78,2,FALSE)+VLOOKUP(CJ$3,'Embedded Emissions'!$A$129:$B$158,2,FALSE)), $C50 = "3",'Inputs-System'!$C$30*'Coincidence Factors'!$B$8*(1+'Inputs-System'!$C$18)*(1+'Inputs-System'!$C$41)*'Inputs-Proposals'!$J$29*'Inputs-Proposals'!$J$31*('Inputs-Proposals'!$J$20)*(VLOOKUP(CJ$3,'Embedded Emissions'!$A$47:$B$78,2,FALSE)+VLOOKUP(CJ$3,'Embedded Emissions'!$A$129:$B$158,2,FALSE)), $C50 = "0", 0), 0)</f>
        <v>0</v>
      </c>
      <c r="CL50" s="44">
        <f>IFERROR(_xlfn.IFS($C50="1",( 'Inputs-System'!$C$30*'Coincidence Factors'!$B$8*(1+'Inputs-System'!$C$18)*(1+'Inputs-System'!$C$41))*('Inputs-Proposals'!$J$17*'Inputs-Proposals'!$J$19*('Inputs-Proposals'!$J$20))*(VLOOKUP(CJ$3,DRIPE!$A$54:$I$82,5,FALSE)+VLOOKUP(CJ$3,DRIPE!$A$54:$I$82,9,FALSE))+ ('Inputs-System'!$C$26*'Coincidence Factors'!$B$8*(1+'Inputs-System'!$C$18)*(1+'Inputs-System'!$C$42))*'Inputs-Proposals'!$J$16*VLOOKUP(CJ$3,DRIPE!$A$54:$I$82,8,FALSE), $C50 = "2",( 'Inputs-System'!$C$30*'Coincidence Factors'!$B$8*(1+'Inputs-System'!$C$18)*(1+'Inputs-System'!$C$41))*('Inputs-Proposals'!$J$23*'Inputs-Proposals'!$J$25*('Inputs-Proposals'!$J$26))*(VLOOKUP(CJ$3,DRIPE!$A$54:$I$82,5,FALSE)+VLOOKUP(CJ$3,DRIPE!$A$54:$I$82,9,FALSE))+  ('Inputs-System'!$C$26*'Coincidence Factors'!$B$8*(1+'Inputs-System'!$C$18)*(1+'Inputs-System'!$C$42))*'Inputs-Proposals'!$J$22*VLOOKUP(CJ$3,DRIPE!$A$54:$I$82,8,FALSE), $C50= "3", ( 'Inputs-System'!$C$30*'Coincidence Factors'!$B$8*(1+'Inputs-System'!$C$18)*(1+'Inputs-System'!$C$41))*('Inputs-Proposals'!$J$29*'Inputs-Proposals'!$J$31*('Inputs-Proposals'!$J$32))*(VLOOKUP(CJ$3,DRIPE!$A$54:$I$82,5,FALSE)+VLOOKUP(CJ$3,DRIPE!$A$54:$I$82,9,FALSE))+  ('Inputs-System'!$C$26*'Coincidence Factors'!$B$8*(1+'Inputs-System'!$C$18)*(1+'Inputs-System'!$C$42))*'Inputs-Proposals'!$J$28*VLOOKUP(CJ$3,DRIPE!$A$54:$I$82,8,FALSE), $C50 = "0", 0), 0)</f>
        <v>0</v>
      </c>
      <c r="CM50" s="45">
        <f>IFERROR(_xlfn.IFS($C50="1",('Inputs-System'!$C$30*'Coincidence Factors'!$B$8*(1+'Inputs-System'!$C$18))*'Inputs-Proposals'!$J$16*(VLOOKUP(CJ$3,Capacity!$A$53:$E$85,4,FALSE)*(1+'Inputs-System'!$C$42)+VLOOKUP(CJ$3,Capacity!$A$53:$E$85,5,FALSE)*'Inputs-System'!$C$29*(1+'Inputs-System'!$C$43)), $C50 = "2", ('Inputs-System'!$C$30*'Coincidence Factors'!$B$8*(1+'Inputs-System'!$C$18))*'Inputs-Proposals'!$J$22*(VLOOKUP(CJ$3,Capacity!$A$53:$E$85,4,FALSE)*(1+'Inputs-System'!$C$42)+VLOOKUP(CJ$3,Capacity!$A$53:$E$85,5,FALSE)*'Inputs-System'!$C$29*(1+'Inputs-System'!$C$43)), $C50 = "3",('Inputs-System'!$C$30*'Coincidence Factors'!$B$8*(1+'Inputs-System'!$C$18))*'Inputs-Proposals'!$J$28*(VLOOKUP(CJ$3,Capacity!$A$53:$E$85,4,FALSE)*(1+'Inputs-System'!$C$42)+VLOOKUP(CJ$3,Capacity!$A$53:$E$85,5,FALSE)*'Inputs-System'!$C$29*(1+'Inputs-System'!$C$43)), $C50 = "0", 0), 0)</f>
        <v>0</v>
      </c>
      <c r="CN50" s="44">
        <v>0</v>
      </c>
      <c r="CO50" s="342">
        <f>IFERROR(_xlfn.IFS($C50="1", 'Inputs-System'!$C$30*'Coincidence Factors'!$B$8*'Inputs-Proposals'!$J$17*'Inputs-Proposals'!$J$19*(VLOOKUP(CJ$3,'Non-Embedded Emissions'!$A$56:$D$90,2,FALSE)+VLOOKUP(CJ$3,'Non-Embedded Emissions'!$A$143:$D$174,2,FALSE)+VLOOKUP(CJ$3,'Non-Embedded Emissions'!$A$230:$D$259,2,FALSE)), $C50 = "2", 'Inputs-System'!$C$30*'Coincidence Factors'!$B$8*'Inputs-Proposals'!$J$23*'Inputs-Proposals'!$J$25*(VLOOKUP(CJ$3,'Non-Embedded Emissions'!$A$56:$D$90,2,FALSE)+VLOOKUP(CJ$3,'Non-Embedded Emissions'!$A$143:$D$174,2,FALSE)+VLOOKUP(CJ$3,'Non-Embedded Emissions'!$A$230:$D$259,2,FALSE)), $C50 = "3", 'Inputs-System'!$C$30*'Coincidence Factors'!$B$8*'Inputs-Proposals'!$J$29*'Inputs-Proposals'!$J$31*(VLOOKUP(CJ$3,'Non-Embedded Emissions'!$A$56:$D$90,2,FALSE)+VLOOKUP(CJ$3,'Non-Embedded Emissions'!$A$143:$D$174,2,FALSE)+VLOOKUP(CJ$3,'Non-Embedded Emissions'!$A$230:$D$259,2,FALSE)), $C50 = "0", 0), 0)</f>
        <v>0</v>
      </c>
      <c r="CP50" s="347">
        <f>IFERROR(_xlfn.IFS($C50="1",('Inputs-System'!$C$30*'Coincidence Factors'!$B$8*(1+'Inputs-System'!$C$18)*(1+'Inputs-System'!$C$41)*('Inputs-Proposals'!$J$17*'Inputs-Proposals'!$J$19*('Inputs-Proposals'!$J$20))*(VLOOKUP(CP$3,Energy!$A$51:$K$83,5,FALSE))), $C50 = "2",('Inputs-System'!$C$30*'Coincidence Factors'!$B$8)*(1+'Inputs-System'!$C$18)*(1+'Inputs-System'!$C$41)*('Inputs-Proposals'!$J$23*'Inputs-Proposals'!$J$25*('Inputs-Proposals'!$J$26))*(VLOOKUP(CP$3,Energy!$A$51:$K$83,5,FALSE)), $C50= "3", ('Inputs-System'!$C$30*'Coincidence Factors'!$B$8*(1+'Inputs-System'!$C$18)*(1+'Inputs-System'!$C$41)*('Inputs-Proposals'!$J$29*'Inputs-Proposals'!$J$31*('Inputs-Proposals'!$J$32))*(VLOOKUP(CP$3,Energy!$A$51:$K$83,5,FALSE))), $C50= "0", 0), 0)</f>
        <v>0</v>
      </c>
      <c r="CQ50" s="44">
        <f>IFERROR(_xlfn.IFS($C50="1",'Inputs-System'!$C$30*'Coincidence Factors'!$B$8*(1+'Inputs-System'!$C$18)*(1+'Inputs-System'!$C$41)*'Inputs-Proposals'!$J$17*'Inputs-Proposals'!$J$19*('Inputs-Proposals'!$J$20)*(VLOOKUP(CP$3,'Embedded Emissions'!$A$47:$B$78,2,FALSE)+VLOOKUP(CP$3,'Embedded Emissions'!$A$129:$B$158,2,FALSE)), $C50 = "2", 'Inputs-System'!$C$30*'Coincidence Factors'!$B$8*(1+'Inputs-System'!$C$18)*(1+'Inputs-System'!$C$41)*'Inputs-Proposals'!$J$23*'Inputs-Proposals'!$J$25*('Inputs-Proposals'!$J$20)*(VLOOKUP(CP$3,'Embedded Emissions'!$A$47:$B$78,2,FALSE)+VLOOKUP(CP$3,'Embedded Emissions'!$A$129:$B$158,2,FALSE)), $C50 = "3",'Inputs-System'!$C$30*'Coincidence Factors'!$B$8*(1+'Inputs-System'!$C$18)*(1+'Inputs-System'!$C$41)*'Inputs-Proposals'!$J$29*'Inputs-Proposals'!$J$31*('Inputs-Proposals'!$J$20)*(VLOOKUP(CP$3,'Embedded Emissions'!$A$47:$B$78,2,FALSE)+VLOOKUP(CP$3,'Embedded Emissions'!$A$129:$B$158,2,FALSE)), $C50 = "0", 0), 0)</f>
        <v>0</v>
      </c>
      <c r="CR50" s="44">
        <f>IFERROR(_xlfn.IFS($C50="1",( 'Inputs-System'!$C$30*'Coincidence Factors'!$B$8*(1+'Inputs-System'!$C$18)*(1+'Inputs-System'!$C$41))*('Inputs-Proposals'!$J$17*'Inputs-Proposals'!$J$19*('Inputs-Proposals'!$J$20))*(VLOOKUP(CP$3,DRIPE!$A$54:$I$82,5,FALSE)+VLOOKUP(CP$3,DRIPE!$A$54:$I$82,9,FALSE))+ ('Inputs-System'!$C$26*'Coincidence Factors'!$B$8*(1+'Inputs-System'!$C$18)*(1+'Inputs-System'!$C$42))*'Inputs-Proposals'!$J$16*VLOOKUP(CP$3,DRIPE!$A$54:$I$82,8,FALSE), $C50 = "2",( 'Inputs-System'!$C$30*'Coincidence Factors'!$B$8*(1+'Inputs-System'!$C$18)*(1+'Inputs-System'!$C$41))*('Inputs-Proposals'!$J$23*'Inputs-Proposals'!$J$25*('Inputs-Proposals'!$J$26))*(VLOOKUP(CP$3,DRIPE!$A$54:$I$82,5,FALSE)+VLOOKUP(CP$3,DRIPE!$A$54:$I$82,9,FALSE))+  ('Inputs-System'!$C$26*'Coincidence Factors'!$B$8*(1+'Inputs-System'!$C$18)*(1+'Inputs-System'!$C$42))*'Inputs-Proposals'!$J$22*VLOOKUP(CP$3,DRIPE!$A$54:$I$82,8,FALSE), $C50= "3", ( 'Inputs-System'!$C$30*'Coincidence Factors'!$B$8*(1+'Inputs-System'!$C$18)*(1+'Inputs-System'!$C$41))*('Inputs-Proposals'!$J$29*'Inputs-Proposals'!$J$31*('Inputs-Proposals'!$J$32))*(VLOOKUP(CP$3,DRIPE!$A$54:$I$82,5,FALSE)+VLOOKUP(CP$3,DRIPE!$A$54:$I$82,9,FALSE))+  ('Inputs-System'!$C$26*'Coincidence Factors'!$B$8*(1+'Inputs-System'!$C$18)*(1+'Inputs-System'!$C$42))*'Inputs-Proposals'!$J$28*VLOOKUP(CP$3,DRIPE!$A$54:$I$82,8,FALSE), $C50 = "0", 0), 0)</f>
        <v>0</v>
      </c>
      <c r="CS50" s="45">
        <f>IFERROR(_xlfn.IFS($C50="1",('Inputs-System'!$C$30*'Coincidence Factors'!$B$8*(1+'Inputs-System'!$C$18))*'Inputs-Proposals'!$J$16*(VLOOKUP(CP$3,Capacity!$A$53:$E$85,4,FALSE)*(1+'Inputs-System'!$C$42)+VLOOKUP(CP$3,Capacity!$A$53:$E$85,5,FALSE)*'Inputs-System'!$C$29*(1+'Inputs-System'!$C$43)), $C50 = "2", ('Inputs-System'!$C$30*'Coincidence Factors'!$B$8*(1+'Inputs-System'!$C$18))*'Inputs-Proposals'!$J$22*(VLOOKUP(CP$3,Capacity!$A$53:$E$85,4,FALSE)*(1+'Inputs-System'!$C$42)+VLOOKUP(CP$3,Capacity!$A$53:$E$85,5,FALSE)*'Inputs-System'!$C$29*(1+'Inputs-System'!$C$43)), $C50 = "3",('Inputs-System'!$C$30*'Coincidence Factors'!$B$8*(1+'Inputs-System'!$C$18))*'Inputs-Proposals'!$J$28*(VLOOKUP(CP$3,Capacity!$A$53:$E$85,4,FALSE)*(1+'Inputs-System'!$C$42)+VLOOKUP(CP$3,Capacity!$A$53:$E$85,5,FALSE)*'Inputs-System'!$C$29*(1+'Inputs-System'!$C$43)), $C50 = "0", 0), 0)</f>
        <v>0</v>
      </c>
      <c r="CT50" s="44">
        <v>0</v>
      </c>
      <c r="CU50" s="342">
        <f>IFERROR(_xlfn.IFS($C50="1", 'Inputs-System'!$C$30*'Coincidence Factors'!$B$8*'Inputs-Proposals'!$J$17*'Inputs-Proposals'!$J$19*(VLOOKUP(CP$3,'Non-Embedded Emissions'!$A$56:$D$90,2,FALSE)+VLOOKUP(CP$3,'Non-Embedded Emissions'!$A$143:$D$174,2,FALSE)+VLOOKUP(CP$3,'Non-Embedded Emissions'!$A$230:$D$259,2,FALSE)), $C50 = "2", 'Inputs-System'!$C$30*'Coincidence Factors'!$B$8*'Inputs-Proposals'!$J$23*'Inputs-Proposals'!$J$25*(VLOOKUP(CP$3,'Non-Embedded Emissions'!$A$56:$D$90,2,FALSE)+VLOOKUP(CP$3,'Non-Embedded Emissions'!$A$143:$D$174,2,FALSE)+VLOOKUP(CP$3,'Non-Embedded Emissions'!$A$230:$D$259,2,FALSE)), $C50 = "3", 'Inputs-System'!$C$30*'Coincidence Factors'!$B$8*'Inputs-Proposals'!$J$29*'Inputs-Proposals'!$J$31*(VLOOKUP(CP$3,'Non-Embedded Emissions'!$A$56:$D$90,2,FALSE)+VLOOKUP(CP$3,'Non-Embedded Emissions'!$A$143:$D$174,2,FALSE)+VLOOKUP(CP$3,'Non-Embedded Emissions'!$A$230:$D$259,2,FALSE)), $C50 = "0", 0), 0)</f>
        <v>0</v>
      </c>
      <c r="CV50" s="347">
        <f>IFERROR(_xlfn.IFS($C50="1",('Inputs-System'!$C$30*'Coincidence Factors'!$B$8*(1+'Inputs-System'!$C$18)*(1+'Inputs-System'!$C$41)*('Inputs-Proposals'!$J$17*'Inputs-Proposals'!$J$19*('Inputs-Proposals'!$J$20))*(VLOOKUP(CV$3,Energy!$A$51:$K$83,5,FALSE))), $C50 = "2",('Inputs-System'!$C$30*'Coincidence Factors'!$B$8)*(1+'Inputs-System'!$C$18)*(1+'Inputs-System'!$C$41)*('Inputs-Proposals'!$J$23*'Inputs-Proposals'!$J$25*('Inputs-Proposals'!$J$26))*(VLOOKUP(CV$3,Energy!$A$51:$K$83,5,FALSE)), $C50= "3", ('Inputs-System'!$C$30*'Coincidence Factors'!$B$8*(1+'Inputs-System'!$C$18)*(1+'Inputs-System'!$C$41)*('Inputs-Proposals'!$J$29*'Inputs-Proposals'!$J$31*('Inputs-Proposals'!$J$32))*(VLOOKUP(CV$3,Energy!$A$51:$K$83,5,FALSE))), $C50= "0", 0), 0)</f>
        <v>0</v>
      </c>
      <c r="CW50" s="44">
        <f>IFERROR(_xlfn.IFS($C50="1",'Inputs-System'!$C$30*'Coincidence Factors'!$B$8*(1+'Inputs-System'!$C$18)*(1+'Inputs-System'!$C$41)*'Inputs-Proposals'!$J$17*'Inputs-Proposals'!$J$19*('Inputs-Proposals'!$J$20)*(VLOOKUP(CV$3,'Embedded Emissions'!$A$47:$B$78,2,FALSE)+VLOOKUP(CV$3,'Embedded Emissions'!$A$129:$B$158,2,FALSE)), $C50 = "2", 'Inputs-System'!$C$30*'Coincidence Factors'!$B$8*(1+'Inputs-System'!$C$18)*(1+'Inputs-System'!$C$41)*'Inputs-Proposals'!$J$23*'Inputs-Proposals'!$J$25*('Inputs-Proposals'!$J$20)*(VLOOKUP(CV$3,'Embedded Emissions'!$A$47:$B$78,2,FALSE)+VLOOKUP(CV$3,'Embedded Emissions'!$A$129:$B$158,2,FALSE)), $C50 = "3",'Inputs-System'!$C$30*'Coincidence Factors'!$B$8*(1+'Inputs-System'!$C$18)*(1+'Inputs-System'!$C$41)*'Inputs-Proposals'!$J$29*'Inputs-Proposals'!$J$31*('Inputs-Proposals'!$J$20)*(VLOOKUP(CV$3,'Embedded Emissions'!$A$47:$B$78,2,FALSE)+VLOOKUP(CV$3,'Embedded Emissions'!$A$129:$B$158,2,FALSE)), $C50 = "0", 0), 0)</f>
        <v>0</v>
      </c>
      <c r="CX50" s="44">
        <f>IFERROR(_xlfn.IFS($C50="1",( 'Inputs-System'!$C$30*'Coincidence Factors'!$B$8*(1+'Inputs-System'!$C$18)*(1+'Inputs-System'!$C$41))*('Inputs-Proposals'!$J$17*'Inputs-Proposals'!$J$19*('Inputs-Proposals'!$J$20))*(VLOOKUP(CV$3,DRIPE!$A$54:$I$82,5,FALSE)+VLOOKUP(CV$3,DRIPE!$A$54:$I$82,9,FALSE))+ ('Inputs-System'!$C$26*'Coincidence Factors'!$B$8*(1+'Inputs-System'!$C$18)*(1+'Inputs-System'!$C$42))*'Inputs-Proposals'!$J$16*VLOOKUP(CV$3,DRIPE!$A$54:$I$82,8,FALSE), $C50 = "2",( 'Inputs-System'!$C$30*'Coincidence Factors'!$B$8*(1+'Inputs-System'!$C$18)*(1+'Inputs-System'!$C$41))*('Inputs-Proposals'!$J$23*'Inputs-Proposals'!$J$25*('Inputs-Proposals'!$J$26))*(VLOOKUP(CV$3,DRIPE!$A$54:$I$82,5,FALSE)+VLOOKUP(CV$3,DRIPE!$A$54:$I$82,9,FALSE))+  ('Inputs-System'!$C$26*'Coincidence Factors'!$B$8*(1+'Inputs-System'!$C$18)*(1+'Inputs-System'!$C$42))*'Inputs-Proposals'!$J$22*VLOOKUP(CV$3,DRIPE!$A$54:$I$82,8,FALSE), $C50= "3", ( 'Inputs-System'!$C$30*'Coincidence Factors'!$B$8*(1+'Inputs-System'!$C$18)*(1+'Inputs-System'!$C$41))*('Inputs-Proposals'!$J$29*'Inputs-Proposals'!$J$31*('Inputs-Proposals'!$J$32))*(VLOOKUP(CV$3,DRIPE!$A$54:$I$82,5,FALSE)+VLOOKUP(CV$3,DRIPE!$A$54:$I$82,9,FALSE))+  ('Inputs-System'!$C$26*'Coincidence Factors'!$B$8*(1+'Inputs-System'!$C$18)*(1+'Inputs-System'!$C$42))*'Inputs-Proposals'!$J$28*VLOOKUP(CV$3,DRIPE!$A$54:$I$82,8,FALSE), $C50 = "0", 0), 0)</f>
        <v>0</v>
      </c>
      <c r="CY50" s="45">
        <f>IFERROR(_xlfn.IFS($C50="1",('Inputs-System'!$C$30*'Coincidence Factors'!$B$8*(1+'Inputs-System'!$C$18))*'Inputs-Proposals'!$J$16*(VLOOKUP(CV$3,Capacity!$A$53:$E$85,4,FALSE)*(1+'Inputs-System'!$C$42)+VLOOKUP(CV$3,Capacity!$A$53:$E$85,5,FALSE)*'Inputs-System'!$C$29*(1+'Inputs-System'!$C$43)), $C50 = "2", ('Inputs-System'!$C$30*'Coincidence Factors'!$B$8*(1+'Inputs-System'!$C$18))*'Inputs-Proposals'!$J$22*(VLOOKUP(CV$3,Capacity!$A$53:$E$85,4,FALSE)*(1+'Inputs-System'!$C$42)+VLOOKUP(CV$3,Capacity!$A$53:$E$85,5,FALSE)*'Inputs-System'!$C$29*(1+'Inputs-System'!$C$43)), $C50 = "3",('Inputs-System'!$C$30*'Coincidence Factors'!$B$8*(1+'Inputs-System'!$C$18))*'Inputs-Proposals'!$J$28*(VLOOKUP(CV$3,Capacity!$A$53:$E$85,4,FALSE)*(1+'Inputs-System'!$C$42)+VLOOKUP(CV$3,Capacity!$A$53:$E$85,5,FALSE)*'Inputs-System'!$C$29*(1+'Inputs-System'!$C$43)), $C50 = "0", 0), 0)</f>
        <v>0</v>
      </c>
      <c r="CZ50" s="44">
        <v>0</v>
      </c>
      <c r="DA50" s="342">
        <f>IFERROR(_xlfn.IFS($C50="1", 'Inputs-System'!$C$30*'Coincidence Factors'!$B$8*'Inputs-Proposals'!$J$17*'Inputs-Proposals'!$J$19*(VLOOKUP(CV$3,'Non-Embedded Emissions'!$A$56:$D$90,2,FALSE)+VLOOKUP(CV$3,'Non-Embedded Emissions'!$A$143:$D$174,2,FALSE)+VLOOKUP(CV$3,'Non-Embedded Emissions'!$A$230:$D$259,2,FALSE)), $C50 = "2", 'Inputs-System'!$C$30*'Coincidence Factors'!$B$8*'Inputs-Proposals'!$J$23*'Inputs-Proposals'!$J$25*(VLOOKUP(CV$3,'Non-Embedded Emissions'!$A$56:$D$90,2,FALSE)+VLOOKUP(CV$3,'Non-Embedded Emissions'!$A$143:$D$174,2,FALSE)+VLOOKUP(CV$3,'Non-Embedded Emissions'!$A$230:$D$259,2,FALSE)), $C50 = "3", 'Inputs-System'!$C$30*'Coincidence Factors'!$B$8*'Inputs-Proposals'!$J$29*'Inputs-Proposals'!$J$31*(VLOOKUP(CV$3,'Non-Embedded Emissions'!$A$56:$D$90,2,FALSE)+VLOOKUP(CV$3,'Non-Embedded Emissions'!$A$143:$D$174,2,FALSE)+VLOOKUP(CV$3,'Non-Embedded Emissions'!$A$230:$D$259,2,FALSE)), $C50 = "0", 0), 0)</f>
        <v>0</v>
      </c>
      <c r="DB50" s="347">
        <f>IFERROR(_xlfn.IFS($C50="1",('Inputs-System'!$C$30*'Coincidence Factors'!$B$8*(1+'Inputs-System'!$C$18)*(1+'Inputs-System'!$C$41)*('Inputs-Proposals'!$J$17*'Inputs-Proposals'!$J$19*('Inputs-Proposals'!$J$20))*(VLOOKUP(DB$3,Energy!$A$51:$K$83,5,FALSE))), $C50 = "2",('Inputs-System'!$C$30*'Coincidence Factors'!$B$8)*(1+'Inputs-System'!$C$18)*(1+'Inputs-System'!$C$41)*('Inputs-Proposals'!$J$23*'Inputs-Proposals'!$J$25*('Inputs-Proposals'!$J$26))*(VLOOKUP(DB$3,Energy!$A$51:$K$83,5,FALSE)), $C50= "3", ('Inputs-System'!$C$30*'Coincidence Factors'!$B$8*(1+'Inputs-System'!$C$18)*(1+'Inputs-System'!$C$41)*('Inputs-Proposals'!$J$29*'Inputs-Proposals'!$J$31*('Inputs-Proposals'!$J$32))*(VLOOKUP(DB$3,Energy!$A$51:$K$83,5,FALSE))), $C50= "0", 0), 0)</f>
        <v>0</v>
      </c>
      <c r="DC50" s="44">
        <f>IFERROR(_xlfn.IFS($C50="1",'Inputs-System'!$C$30*'Coincidence Factors'!$B$8*(1+'Inputs-System'!$C$18)*(1+'Inputs-System'!$C$41)*'Inputs-Proposals'!$J$17*'Inputs-Proposals'!$J$19*('Inputs-Proposals'!$J$20)*(VLOOKUP(DB$3,'Embedded Emissions'!$A$47:$B$78,2,FALSE)+VLOOKUP(DB$3,'Embedded Emissions'!$A$129:$B$158,2,FALSE)), $C50 = "2", 'Inputs-System'!$C$30*'Coincidence Factors'!$B$8*(1+'Inputs-System'!$C$18)*(1+'Inputs-System'!$C$41)*'Inputs-Proposals'!$J$23*'Inputs-Proposals'!$J$25*('Inputs-Proposals'!$J$20)*(VLOOKUP(DB$3,'Embedded Emissions'!$A$47:$B$78,2,FALSE)+VLOOKUP(DB$3,'Embedded Emissions'!$A$129:$B$158,2,FALSE)), $C50 = "3",'Inputs-System'!$C$30*'Coincidence Factors'!$B$8*(1+'Inputs-System'!$C$18)*(1+'Inputs-System'!$C$41)*'Inputs-Proposals'!$J$29*'Inputs-Proposals'!$J$31*('Inputs-Proposals'!$J$20)*(VLOOKUP(DB$3,'Embedded Emissions'!$A$47:$B$78,2,FALSE)+VLOOKUP(DB$3,'Embedded Emissions'!$A$129:$B$158,2,FALSE)), $C50 = "0", 0), 0)</f>
        <v>0</v>
      </c>
      <c r="DD50" s="44">
        <f>IFERROR(_xlfn.IFS($C50="1",( 'Inputs-System'!$C$30*'Coincidence Factors'!$B$8*(1+'Inputs-System'!$C$18)*(1+'Inputs-System'!$C$41))*('Inputs-Proposals'!$J$17*'Inputs-Proposals'!$J$19*('Inputs-Proposals'!$J$20))*(VLOOKUP(DB$3,DRIPE!$A$54:$I$82,5,FALSE)+VLOOKUP(DB$3,DRIPE!$A$54:$I$82,9,FALSE))+ ('Inputs-System'!$C$26*'Coincidence Factors'!$B$8*(1+'Inputs-System'!$C$18)*(1+'Inputs-System'!$C$42))*'Inputs-Proposals'!$J$16*VLOOKUP(DB$3,DRIPE!$A$54:$I$82,8,FALSE), $C50 = "2",( 'Inputs-System'!$C$30*'Coincidence Factors'!$B$8*(1+'Inputs-System'!$C$18)*(1+'Inputs-System'!$C$41))*('Inputs-Proposals'!$J$23*'Inputs-Proposals'!$J$25*('Inputs-Proposals'!$J$26))*(VLOOKUP(DB$3,DRIPE!$A$54:$I$82,5,FALSE)+VLOOKUP(DB$3,DRIPE!$A$54:$I$82,9,FALSE))+  ('Inputs-System'!$C$26*'Coincidence Factors'!$B$8*(1+'Inputs-System'!$C$18)*(1+'Inputs-System'!$C$42))*'Inputs-Proposals'!$J$22*VLOOKUP(DB$3,DRIPE!$A$54:$I$82,8,FALSE), $C50= "3", ( 'Inputs-System'!$C$30*'Coincidence Factors'!$B$8*(1+'Inputs-System'!$C$18)*(1+'Inputs-System'!$C$41))*('Inputs-Proposals'!$J$29*'Inputs-Proposals'!$J$31*('Inputs-Proposals'!$J$32))*(VLOOKUP(DB$3,DRIPE!$A$54:$I$82,5,FALSE)+VLOOKUP(DB$3,DRIPE!$A$54:$I$82,9,FALSE))+  ('Inputs-System'!$C$26*'Coincidence Factors'!$B$8*(1+'Inputs-System'!$C$18)*(1+'Inputs-System'!$C$42))*'Inputs-Proposals'!$J$28*VLOOKUP(DB$3,DRIPE!$A$54:$I$82,8,FALSE), $C50 = "0", 0), 0)</f>
        <v>0</v>
      </c>
      <c r="DE50" s="45">
        <f>IFERROR(_xlfn.IFS($C50="1",('Inputs-System'!$C$30*'Coincidence Factors'!$B$8*(1+'Inputs-System'!$C$18))*'Inputs-Proposals'!$J$16*(VLOOKUP(DB$3,Capacity!$A$53:$E$85,4,FALSE)*(1+'Inputs-System'!$C$42)+VLOOKUP(DB$3,Capacity!$A$53:$E$85,5,FALSE)*'Inputs-System'!$C$29*(1+'Inputs-System'!$C$43)), $C50 = "2", ('Inputs-System'!$C$30*'Coincidence Factors'!$B$8*(1+'Inputs-System'!$C$18))*'Inputs-Proposals'!$J$22*(VLOOKUP(DB$3,Capacity!$A$53:$E$85,4,FALSE)*(1+'Inputs-System'!$C$42)+VLOOKUP(DB$3,Capacity!$A$53:$E$85,5,FALSE)*'Inputs-System'!$C$29*(1+'Inputs-System'!$C$43)), $C50 = "3",('Inputs-System'!$C$30*'Coincidence Factors'!$B$8*(1+'Inputs-System'!$C$18))*'Inputs-Proposals'!$J$28*(VLOOKUP(DB$3,Capacity!$A$53:$E$85,4,FALSE)*(1+'Inputs-System'!$C$42)+VLOOKUP(DB$3,Capacity!$A$53:$E$85,5,FALSE)*'Inputs-System'!$C$29*(1+'Inputs-System'!$C$43)), $C50 = "0", 0), 0)</f>
        <v>0</v>
      </c>
      <c r="DF50" s="44">
        <v>0</v>
      </c>
      <c r="DG50" s="342">
        <f>IFERROR(_xlfn.IFS($C50="1", 'Inputs-System'!$C$30*'Coincidence Factors'!$B$8*'Inputs-Proposals'!$J$17*'Inputs-Proposals'!$J$19*(VLOOKUP(DB$3,'Non-Embedded Emissions'!$A$56:$D$90,2,FALSE)+VLOOKUP(DB$3,'Non-Embedded Emissions'!$A$143:$D$174,2,FALSE)+VLOOKUP(DB$3,'Non-Embedded Emissions'!$A$230:$D$259,2,FALSE)), $C50 = "2", 'Inputs-System'!$C$30*'Coincidence Factors'!$B$8*'Inputs-Proposals'!$J$23*'Inputs-Proposals'!$J$25*(VLOOKUP(DB$3,'Non-Embedded Emissions'!$A$56:$D$90,2,FALSE)+VLOOKUP(DB$3,'Non-Embedded Emissions'!$A$143:$D$174,2,FALSE)+VLOOKUP(DB$3,'Non-Embedded Emissions'!$A$230:$D$259,2,FALSE)), $C50 = "3", 'Inputs-System'!$C$30*'Coincidence Factors'!$B$8*'Inputs-Proposals'!$J$29*'Inputs-Proposals'!$J$31*(VLOOKUP(DB$3,'Non-Embedded Emissions'!$A$56:$D$90,2,FALSE)+VLOOKUP(DB$3,'Non-Embedded Emissions'!$A$143:$D$174,2,FALSE)+VLOOKUP(DB$3,'Non-Embedded Emissions'!$A$230:$D$259,2,FALSE)), $C50 = "0", 0), 0)</f>
        <v>0</v>
      </c>
      <c r="DH50" s="347">
        <f>IFERROR(_xlfn.IFS($C50="1",('Inputs-System'!$C$30*'Coincidence Factors'!$B$8*(1+'Inputs-System'!$C$18)*(1+'Inputs-System'!$C$41)*('Inputs-Proposals'!$J$17*'Inputs-Proposals'!$J$19*('Inputs-Proposals'!$J$20))*(VLOOKUP(DH$3,Energy!$A$51:$K$83,5,FALSE))), $C50 = "2",('Inputs-System'!$C$30*'Coincidence Factors'!$B$8)*(1+'Inputs-System'!$C$18)*(1+'Inputs-System'!$C$41)*('Inputs-Proposals'!$J$23*'Inputs-Proposals'!$J$25*('Inputs-Proposals'!$J$26))*(VLOOKUP(DH$3,Energy!$A$51:$K$83,5,FALSE)), $C50= "3", ('Inputs-System'!$C$30*'Coincidence Factors'!$B$8*(1+'Inputs-System'!$C$18)*(1+'Inputs-System'!$C$41)*('Inputs-Proposals'!$J$29*'Inputs-Proposals'!$J$31*('Inputs-Proposals'!$J$32))*(VLOOKUP(DH$3,Energy!$A$51:$K$83,5,FALSE))), $C50= "0", 0), 0)</f>
        <v>0</v>
      </c>
      <c r="DI50" s="44">
        <f>IFERROR(_xlfn.IFS($C50="1",'Inputs-System'!$C$30*'Coincidence Factors'!$B$8*(1+'Inputs-System'!$C$18)*(1+'Inputs-System'!$C$41)*'Inputs-Proposals'!$J$17*'Inputs-Proposals'!$J$19*('Inputs-Proposals'!$J$20)*(VLOOKUP(DH$3,'Embedded Emissions'!$A$47:$B$78,2,FALSE)+VLOOKUP(DH$3,'Embedded Emissions'!$A$129:$B$158,2,FALSE)), $C50 = "2", 'Inputs-System'!$C$30*'Coincidence Factors'!$B$8*(1+'Inputs-System'!$C$18)*(1+'Inputs-System'!$C$41)*'Inputs-Proposals'!$J$23*'Inputs-Proposals'!$J$25*('Inputs-Proposals'!$J$20)*(VLOOKUP(DH$3,'Embedded Emissions'!$A$47:$B$78,2,FALSE)+VLOOKUP(DH$3,'Embedded Emissions'!$A$129:$B$158,2,FALSE)), $C50 = "3",'Inputs-System'!$C$30*'Coincidence Factors'!$B$8*(1+'Inputs-System'!$C$18)*(1+'Inputs-System'!$C$41)*'Inputs-Proposals'!$J$29*'Inputs-Proposals'!$J$31*('Inputs-Proposals'!$J$20)*(VLOOKUP(DH$3,'Embedded Emissions'!$A$47:$B$78,2,FALSE)+VLOOKUP(DH$3,'Embedded Emissions'!$A$129:$B$158,2,FALSE)), $C50 = "0", 0), 0)</f>
        <v>0</v>
      </c>
      <c r="DJ50" s="44">
        <f>IFERROR(_xlfn.IFS($C50="1",( 'Inputs-System'!$C$30*'Coincidence Factors'!$B$8*(1+'Inputs-System'!$C$18)*(1+'Inputs-System'!$C$41))*('Inputs-Proposals'!$J$17*'Inputs-Proposals'!$J$19*('Inputs-Proposals'!$J$20))*(VLOOKUP(DH$3,DRIPE!$A$54:$I$82,5,FALSE)+VLOOKUP(DH$3,DRIPE!$A$54:$I$82,9,FALSE))+ ('Inputs-System'!$C$26*'Coincidence Factors'!$B$8*(1+'Inputs-System'!$C$18)*(1+'Inputs-System'!$C$42))*'Inputs-Proposals'!$J$16*VLOOKUP(DH$3,DRIPE!$A$54:$I$82,8,FALSE), $C50 = "2",( 'Inputs-System'!$C$30*'Coincidence Factors'!$B$8*(1+'Inputs-System'!$C$18)*(1+'Inputs-System'!$C$41))*('Inputs-Proposals'!$J$23*'Inputs-Proposals'!$J$25*('Inputs-Proposals'!$J$26))*(VLOOKUP(DH$3,DRIPE!$A$54:$I$82,5,FALSE)+VLOOKUP(DH$3,DRIPE!$A$54:$I$82,9,FALSE))+  ('Inputs-System'!$C$26*'Coincidence Factors'!$B$8*(1+'Inputs-System'!$C$18)*(1+'Inputs-System'!$C$42))*'Inputs-Proposals'!$J$22*VLOOKUP(DH$3,DRIPE!$A$54:$I$82,8,FALSE), $C50= "3", ( 'Inputs-System'!$C$30*'Coincidence Factors'!$B$8*(1+'Inputs-System'!$C$18)*(1+'Inputs-System'!$C$41))*('Inputs-Proposals'!$J$29*'Inputs-Proposals'!$J$31*('Inputs-Proposals'!$J$32))*(VLOOKUP(DH$3,DRIPE!$A$54:$I$82,5,FALSE)+VLOOKUP(DH$3,DRIPE!$A$54:$I$82,9,FALSE))+  ('Inputs-System'!$C$26*'Coincidence Factors'!$B$8*(1+'Inputs-System'!$C$18)*(1+'Inputs-System'!$C$42))*'Inputs-Proposals'!$J$28*VLOOKUP(DH$3,DRIPE!$A$54:$I$82,8,FALSE), $C50 = "0", 0), 0)</f>
        <v>0</v>
      </c>
      <c r="DK50" s="45">
        <f>IFERROR(_xlfn.IFS($C50="1",('Inputs-System'!$C$30*'Coincidence Factors'!$B$8*(1+'Inputs-System'!$C$18))*'Inputs-Proposals'!$J$16*(VLOOKUP(DH$3,Capacity!$A$53:$E$85,4,FALSE)*(1+'Inputs-System'!$C$42)+VLOOKUP(DH$3,Capacity!$A$53:$E$85,5,FALSE)*'Inputs-System'!$C$29*(1+'Inputs-System'!$C$43)), $C50 = "2", ('Inputs-System'!$C$30*'Coincidence Factors'!$B$8*(1+'Inputs-System'!$C$18))*'Inputs-Proposals'!$J$22*(VLOOKUP(DH$3,Capacity!$A$53:$E$85,4,FALSE)*(1+'Inputs-System'!$C$42)+VLOOKUP(DH$3,Capacity!$A$53:$E$85,5,FALSE)*'Inputs-System'!$C$29*(1+'Inputs-System'!$C$43)), $C50 = "3",('Inputs-System'!$C$30*'Coincidence Factors'!$B$8*(1+'Inputs-System'!$C$18))*'Inputs-Proposals'!$J$28*(VLOOKUP(DH$3,Capacity!$A$53:$E$85,4,FALSE)*(1+'Inputs-System'!$C$42)+VLOOKUP(DH$3,Capacity!$A$53:$E$85,5,FALSE)*'Inputs-System'!$C$29*(1+'Inputs-System'!$C$43)), $C50 = "0", 0), 0)</f>
        <v>0</v>
      </c>
      <c r="DL50" s="44">
        <v>0</v>
      </c>
      <c r="DM50" s="342">
        <f>IFERROR(_xlfn.IFS($C50="1", 'Inputs-System'!$C$30*'Coincidence Factors'!$B$8*'Inputs-Proposals'!$J$17*'Inputs-Proposals'!$J$19*(VLOOKUP(DH$3,'Non-Embedded Emissions'!$A$56:$D$90,2,FALSE)+VLOOKUP(DH$3,'Non-Embedded Emissions'!$A$143:$D$174,2,FALSE)+VLOOKUP(DH$3,'Non-Embedded Emissions'!$A$230:$D$259,2,FALSE)), $C50 = "2", 'Inputs-System'!$C$30*'Coincidence Factors'!$B$8*'Inputs-Proposals'!$J$23*'Inputs-Proposals'!$J$25*(VLOOKUP(DH$3,'Non-Embedded Emissions'!$A$56:$D$90,2,FALSE)+VLOOKUP(DH$3,'Non-Embedded Emissions'!$A$143:$D$174,2,FALSE)+VLOOKUP(DH$3,'Non-Embedded Emissions'!$A$230:$D$259,2,FALSE)), $C50 = "3", 'Inputs-System'!$C$30*'Coincidence Factors'!$B$8*'Inputs-Proposals'!$J$29*'Inputs-Proposals'!$J$31*(VLOOKUP(DH$3,'Non-Embedded Emissions'!$A$56:$D$90,2,FALSE)+VLOOKUP(DH$3,'Non-Embedded Emissions'!$A$143:$D$174,2,FALSE)+VLOOKUP(DH$3,'Non-Embedded Emissions'!$A$230:$D$259,2,FALSE)), $C50 = "0", 0), 0)</f>
        <v>0</v>
      </c>
      <c r="DN50" s="347">
        <f>IFERROR(_xlfn.IFS($C50="1",('Inputs-System'!$C$30*'Coincidence Factors'!$B$8*(1+'Inputs-System'!$C$18)*(1+'Inputs-System'!$C$41)*('Inputs-Proposals'!$J$17*'Inputs-Proposals'!$J$19*('Inputs-Proposals'!$J$20))*(VLOOKUP(DN$3,Energy!$A$51:$K$83,5,FALSE))), $C50 = "2",('Inputs-System'!$C$30*'Coincidence Factors'!$B$8)*(1+'Inputs-System'!$C$18)*(1+'Inputs-System'!$C$41)*('Inputs-Proposals'!$J$23*'Inputs-Proposals'!$J$25*('Inputs-Proposals'!$J$26))*(VLOOKUP(DN$3,Energy!$A$51:$K$83,5,FALSE)), $C50= "3", ('Inputs-System'!$C$30*'Coincidence Factors'!$B$8*(1+'Inputs-System'!$C$18)*(1+'Inputs-System'!$C$41)*('Inputs-Proposals'!$J$29*'Inputs-Proposals'!$J$31*('Inputs-Proposals'!$J$32))*(VLOOKUP(DN$3,Energy!$A$51:$K$83,5,FALSE))), $C50= "0", 0), 0)</f>
        <v>0</v>
      </c>
      <c r="DO50" s="44">
        <f>IFERROR(_xlfn.IFS($C50="1",'Inputs-System'!$C$30*'Coincidence Factors'!$B$8*(1+'Inputs-System'!$C$18)*(1+'Inputs-System'!$C$41)*'Inputs-Proposals'!$J$17*'Inputs-Proposals'!$J$19*('Inputs-Proposals'!$J$20)*(VLOOKUP(DN$3,'Embedded Emissions'!$A$47:$B$78,2,FALSE)+VLOOKUP(DN$3,'Embedded Emissions'!$A$129:$B$158,2,FALSE)), $C50 = "2", 'Inputs-System'!$C$30*'Coincidence Factors'!$B$8*(1+'Inputs-System'!$C$18)*(1+'Inputs-System'!$C$41)*'Inputs-Proposals'!$J$23*'Inputs-Proposals'!$J$25*('Inputs-Proposals'!$J$20)*(VLOOKUP(DN$3,'Embedded Emissions'!$A$47:$B$78,2,FALSE)+VLOOKUP(DN$3,'Embedded Emissions'!$A$129:$B$158,2,FALSE)), $C50 = "3",'Inputs-System'!$C$30*'Coincidence Factors'!$B$8*(1+'Inputs-System'!$C$18)*(1+'Inputs-System'!$C$41)*'Inputs-Proposals'!$J$29*'Inputs-Proposals'!$J$31*('Inputs-Proposals'!$J$20)*(VLOOKUP(DN$3,'Embedded Emissions'!$A$47:$B$78,2,FALSE)+VLOOKUP(DN$3,'Embedded Emissions'!$A$129:$B$158,2,FALSE)), $C50 = "0", 0), 0)</f>
        <v>0</v>
      </c>
      <c r="DP50" s="44">
        <f>IFERROR(_xlfn.IFS($C50="1",( 'Inputs-System'!$C$30*'Coincidence Factors'!$B$8*(1+'Inputs-System'!$C$18)*(1+'Inputs-System'!$C$41))*('Inputs-Proposals'!$J$17*'Inputs-Proposals'!$J$19*('Inputs-Proposals'!$J$20))*(VLOOKUP(DN$3,DRIPE!$A$54:$I$82,5,FALSE)+VLOOKUP(DN$3,DRIPE!$A$54:$I$82,9,FALSE))+ ('Inputs-System'!$C$26*'Coincidence Factors'!$B$8*(1+'Inputs-System'!$C$18)*(1+'Inputs-System'!$C$42))*'Inputs-Proposals'!$J$16*VLOOKUP(DN$3,DRIPE!$A$54:$I$82,8,FALSE), $C50 = "2",( 'Inputs-System'!$C$30*'Coincidence Factors'!$B$8*(1+'Inputs-System'!$C$18)*(1+'Inputs-System'!$C$41))*('Inputs-Proposals'!$J$23*'Inputs-Proposals'!$J$25*('Inputs-Proposals'!$J$26))*(VLOOKUP(DN$3,DRIPE!$A$54:$I$82,5,FALSE)+VLOOKUP(DN$3,DRIPE!$A$54:$I$82,9,FALSE))+  ('Inputs-System'!$C$26*'Coincidence Factors'!$B$8*(1+'Inputs-System'!$C$18)*(1+'Inputs-System'!$C$42))*'Inputs-Proposals'!$J$22*VLOOKUP(DN$3,DRIPE!$A$54:$I$82,8,FALSE), $C50= "3", ( 'Inputs-System'!$C$30*'Coincidence Factors'!$B$8*(1+'Inputs-System'!$C$18)*(1+'Inputs-System'!$C$41))*('Inputs-Proposals'!$J$29*'Inputs-Proposals'!$J$31*('Inputs-Proposals'!$J$32))*(VLOOKUP(DN$3,DRIPE!$A$54:$I$82,5,FALSE)+VLOOKUP(DN$3,DRIPE!$A$54:$I$82,9,FALSE))+  ('Inputs-System'!$C$26*'Coincidence Factors'!$B$8*(1+'Inputs-System'!$C$18)*(1+'Inputs-System'!$C$42))*'Inputs-Proposals'!$J$28*VLOOKUP(DN$3,DRIPE!$A$54:$I$82,8,FALSE), $C50 = "0", 0), 0)</f>
        <v>0</v>
      </c>
      <c r="DQ50" s="45">
        <f>IFERROR(_xlfn.IFS($C50="1",('Inputs-System'!$C$30*'Coincidence Factors'!$B$8*(1+'Inputs-System'!$C$18))*'Inputs-Proposals'!$J$16*(VLOOKUP(DN$3,Capacity!$A$53:$E$85,4,FALSE)*(1+'Inputs-System'!$C$42)+VLOOKUP(DN$3,Capacity!$A$53:$E$85,5,FALSE)*'Inputs-System'!$C$29*(1+'Inputs-System'!$C$43)), $C50 = "2", ('Inputs-System'!$C$30*'Coincidence Factors'!$B$8*(1+'Inputs-System'!$C$18))*'Inputs-Proposals'!$J$22*(VLOOKUP(DN$3,Capacity!$A$53:$E$85,4,FALSE)*(1+'Inputs-System'!$C$42)+VLOOKUP(DN$3,Capacity!$A$53:$E$85,5,FALSE)*'Inputs-System'!$C$29*(1+'Inputs-System'!$C$43)), $C50 = "3",('Inputs-System'!$C$30*'Coincidence Factors'!$B$8*(1+'Inputs-System'!$C$18))*'Inputs-Proposals'!$J$28*(VLOOKUP(DN$3,Capacity!$A$53:$E$85,4,FALSE)*(1+'Inputs-System'!$C$42)+VLOOKUP(DN$3,Capacity!$A$53:$E$85,5,FALSE)*'Inputs-System'!$C$29*(1+'Inputs-System'!$C$43)), $C50 = "0", 0), 0)</f>
        <v>0</v>
      </c>
      <c r="DR50" s="44">
        <v>0</v>
      </c>
      <c r="DS50" s="342">
        <f>IFERROR(_xlfn.IFS($C50="1", 'Inputs-System'!$C$30*'Coincidence Factors'!$B$8*'Inputs-Proposals'!$J$17*'Inputs-Proposals'!$J$19*(VLOOKUP(DN$3,'Non-Embedded Emissions'!$A$56:$D$90,2,FALSE)+VLOOKUP(DN$3,'Non-Embedded Emissions'!$A$143:$D$174,2,FALSE)+VLOOKUP(DN$3,'Non-Embedded Emissions'!$A$230:$D$259,2,FALSE)), $C50 = "2", 'Inputs-System'!$C$30*'Coincidence Factors'!$B$8*'Inputs-Proposals'!$J$23*'Inputs-Proposals'!$J$25*(VLOOKUP(DN$3,'Non-Embedded Emissions'!$A$56:$D$90,2,FALSE)+VLOOKUP(DN$3,'Non-Embedded Emissions'!$A$143:$D$174,2,FALSE)+VLOOKUP(DN$3,'Non-Embedded Emissions'!$A$230:$D$259,2,FALSE)), $C50 = "3", 'Inputs-System'!$C$30*'Coincidence Factors'!$B$8*'Inputs-Proposals'!$J$29*'Inputs-Proposals'!$J$31*(VLOOKUP(DN$3,'Non-Embedded Emissions'!$A$56:$D$90,2,FALSE)+VLOOKUP(DN$3,'Non-Embedded Emissions'!$A$143:$D$174,2,FALSE)+VLOOKUP(DN$3,'Non-Embedded Emissions'!$A$230:$D$259,2,FALSE)), $C50 = "0", 0), 0)</f>
        <v>0</v>
      </c>
      <c r="DT50" s="347">
        <f>IFERROR(_xlfn.IFS($C50="1",('Inputs-System'!$C$30*'Coincidence Factors'!$B$8*(1+'Inputs-System'!$C$18)*(1+'Inputs-System'!$C$41)*('Inputs-Proposals'!$J$17*'Inputs-Proposals'!$J$19*('Inputs-Proposals'!$J$20))*(VLOOKUP(DT$3,Energy!$A$51:$K$83,5,FALSE))), $C50 = "2",('Inputs-System'!$C$30*'Coincidence Factors'!$B$8)*(1+'Inputs-System'!$C$18)*(1+'Inputs-System'!$C$41)*('Inputs-Proposals'!$J$23*'Inputs-Proposals'!$J$25*('Inputs-Proposals'!$J$26))*(VLOOKUP(DT$3,Energy!$A$51:$K$83,5,FALSE)), $C50= "3", ('Inputs-System'!$C$30*'Coincidence Factors'!$B$8*(1+'Inputs-System'!$C$18)*(1+'Inputs-System'!$C$41)*('Inputs-Proposals'!$J$29*'Inputs-Proposals'!$J$31*('Inputs-Proposals'!$J$32))*(VLOOKUP(DT$3,Energy!$A$51:$K$83,5,FALSE))), $C50= "0", 0), 0)</f>
        <v>0</v>
      </c>
      <c r="DU50" s="44">
        <f>IFERROR(_xlfn.IFS($C50="1",'Inputs-System'!$C$30*'Coincidence Factors'!$B$8*(1+'Inputs-System'!$C$18)*(1+'Inputs-System'!$C$41)*'Inputs-Proposals'!$J$17*'Inputs-Proposals'!$J$19*('Inputs-Proposals'!$J$20)*(VLOOKUP(DT$3,'Embedded Emissions'!$A$47:$B$78,2,FALSE)+VLOOKUP(DT$3,'Embedded Emissions'!$A$129:$B$158,2,FALSE)), $C50 = "2", 'Inputs-System'!$C$30*'Coincidence Factors'!$B$8*(1+'Inputs-System'!$C$18)*(1+'Inputs-System'!$C$41)*'Inputs-Proposals'!$J$23*'Inputs-Proposals'!$J$25*('Inputs-Proposals'!$J$20)*(VLOOKUP(DT$3,'Embedded Emissions'!$A$47:$B$78,2,FALSE)+VLOOKUP(DT$3,'Embedded Emissions'!$A$129:$B$158,2,FALSE)), $C50 = "3",'Inputs-System'!$C$30*'Coincidence Factors'!$B$8*(1+'Inputs-System'!$C$18)*(1+'Inputs-System'!$C$41)*'Inputs-Proposals'!$J$29*'Inputs-Proposals'!$J$31*('Inputs-Proposals'!$J$20)*(VLOOKUP(DT$3,'Embedded Emissions'!$A$47:$B$78,2,FALSE)+VLOOKUP(DT$3,'Embedded Emissions'!$A$129:$B$158,2,FALSE)), $C50 = "0", 0), 0)</f>
        <v>0</v>
      </c>
      <c r="DV50" s="44">
        <f>IFERROR(_xlfn.IFS($C50="1",( 'Inputs-System'!$C$30*'Coincidence Factors'!$B$8*(1+'Inputs-System'!$C$18)*(1+'Inputs-System'!$C$41))*('Inputs-Proposals'!$J$17*'Inputs-Proposals'!$J$19*('Inputs-Proposals'!$J$20))*(VLOOKUP(DT$3,DRIPE!$A$54:$I$82,5,FALSE)+VLOOKUP(DT$3,DRIPE!$A$54:$I$82,9,FALSE))+ ('Inputs-System'!$C$26*'Coincidence Factors'!$B$8*(1+'Inputs-System'!$C$18)*(1+'Inputs-System'!$C$42))*'Inputs-Proposals'!$J$16*VLOOKUP(DT$3,DRIPE!$A$54:$I$82,8,FALSE), $C50 = "2",( 'Inputs-System'!$C$30*'Coincidence Factors'!$B$8*(1+'Inputs-System'!$C$18)*(1+'Inputs-System'!$C$41))*('Inputs-Proposals'!$J$23*'Inputs-Proposals'!$J$25*('Inputs-Proposals'!$J$26))*(VLOOKUP(DT$3,DRIPE!$A$54:$I$82,5,FALSE)+VLOOKUP(DT$3,DRIPE!$A$54:$I$82,9,FALSE))+  ('Inputs-System'!$C$26*'Coincidence Factors'!$B$8*(1+'Inputs-System'!$C$18)*(1+'Inputs-System'!$C$42))*'Inputs-Proposals'!$J$22*VLOOKUP(DT$3,DRIPE!$A$54:$I$82,8,FALSE), $C50= "3", ( 'Inputs-System'!$C$30*'Coincidence Factors'!$B$8*(1+'Inputs-System'!$C$18)*(1+'Inputs-System'!$C$41))*('Inputs-Proposals'!$J$29*'Inputs-Proposals'!$J$31*('Inputs-Proposals'!$J$32))*(VLOOKUP(DT$3,DRIPE!$A$54:$I$82,5,FALSE)+VLOOKUP(DT$3,DRIPE!$A$54:$I$82,9,FALSE))+  ('Inputs-System'!$C$26*'Coincidence Factors'!$B$8*(1+'Inputs-System'!$C$18)*(1+'Inputs-System'!$C$42))*'Inputs-Proposals'!$J$28*VLOOKUP(DT$3,DRIPE!$A$54:$I$82,8,FALSE), $C50 = "0", 0), 0)</f>
        <v>0</v>
      </c>
      <c r="DW50" s="45">
        <f>IFERROR(_xlfn.IFS($C50="1",('Inputs-System'!$C$30*'Coincidence Factors'!$B$8*(1+'Inputs-System'!$C$18))*'Inputs-Proposals'!$J$16*(VLOOKUP(DT$3,Capacity!$A$53:$E$85,4,FALSE)*(1+'Inputs-System'!$C$42)+VLOOKUP(DT$3,Capacity!$A$53:$E$85,5,FALSE)*'Inputs-System'!$C$29*(1+'Inputs-System'!$C$43)), $C50 = "2", ('Inputs-System'!$C$30*'Coincidence Factors'!$B$8*(1+'Inputs-System'!$C$18))*'Inputs-Proposals'!$J$22*(VLOOKUP(DT$3,Capacity!$A$53:$E$85,4,FALSE)*(1+'Inputs-System'!$C$42)+VLOOKUP(DT$3,Capacity!$A$53:$E$85,5,FALSE)*'Inputs-System'!$C$29*(1+'Inputs-System'!$C$43)), $C50 = "3",('Inputs-System'!$C$30*'Coincidence Factors'!$B$8*(1+'Inputs-System'!$C$18))*'Inputs-Proposals'!$J$28*(VLOOKUP(DT$3,Capacity!$A$53:$E$85,4,FALSE)*(1+'Inputs-System'!$C$42)+VLOOKUP(DT$3,Capacity!$A$53:$E$85,5,FALSE)*'Inputs-System'!$C$29*(1+'Inputs-System'!$C$43)), $C50 = "0", 0), 0)</f>
        <v>0</v>
      </c>
      <c r="DX50" s="44">
        <v>0</v>
      </c>
      <c r="DY50" s="342">
        <f>IFERROR(_xlfn.IFS($C50="1", 'Inputs-System'!$C$30*'Coincidence Factors'!$B$8*'Inputs-Proposals'!$J$17*'Inputs-Proposals'!$J$19*(VLOOKUP(DT$3,'Non-Embedded Emissions'!$A$56:$D$90,2,FALSE)+VLOOKUP(DT$3,'Non-Embedded Emissions'!$A$143:$D$174,2,FALSE)+VLOOKUP(DT$3,'Non-Embedded Emissions'!$A$230:$D$259,2,FALSE)), $C50 = "2", 'Inputs-System'!$C$30*'Coincidence Factors'!$B$8*'Inputs-Proposals'!$J$23*'Inputs-Proposals'!$J$25*(VLOOKUP(DT$3,'Non-Embedded Emissions'!$A$56:$D$90,2,FALSE)+VLOOKUP(DT$3,'Non-Embedded Emissions'!$A$143:$D$174,2,FALSE)+VLOOKUP(DT$3,'Non-Embedded Emissions'!$A$230:$D$259,2,FALSE)), $C50 = "3", 'Inputs-System'!$C$30*'Coincidence Factors'!$B$8*'Inputs-Proposals'!$J$29*'Inputs-Proposals'!$J$31*(VLOOKUP(DT$3,'Non-Embedded Emissions'!$A$56:$D$90,2,FALSE)+VLOOKUP(DT$3,'Non-Embedded Emissions'!$A$143:$D$174,2,FALSE)+VLOOKUP(DT$3,'Non-Embedded Emissions'!$A$230:$D$259,2,FALSE)), $C50 = "0", 0), 0)</f>
        <v>0</v>
      </c>
      <c r="DZ50" s="347">
        <f>IFERROR(_xlfn.IFS($C50="1",('Inputs-System'!$C$30*'Coincidence Factors'!$B$8*(1+'Inputs-System'!$C$18)*(1+'Inputs-System'!$C$41)*('Inputs-Proposals'!$J$17*'Inputs-Proposals'!$J$19*('Inputs-Proposals'!$J$20))*(VLOOKUP(DZ$3,Energy!$A$51:$K$83,5,FALSE))), $C50 = "2",('Inputs-System'!$C$30*'Coincidence Factors'!$B$8)*(1+'Inputs-System'!$C$18)*(1+'Inputs-System'!$C$41)*('Inputs-Proposals'!$J$23*'Inputs-Proposals'!$J$25*('Inputs-Proposals'!$J$26))*(VLOOKUP(DZ$3,Energy!$A$51:$K$83,5,FALSE)), $C50= "3", ('Inputs-System'!$C$30*'Coincidence Factors'!$B$8*(1+'Inputs-System'!$C$18)*(1+'Inputs-System'!$C$41)*('Inputs-Proposals'!$J$29*'Inputs-Proposals'!$J$31*('Inputs-Proposals'!$J$32))*(VLOOKUP(DZ$3,Energy!$A$51:$K$83,5,FALSE))), $C50= "0", 0), 0)</f>
        <v>0</v>
      </c>
      <c r="EA50" s="44">
        <f>IFERROR(_xlfn.IFS($C50="1",'Inputs-System'!$C$30*'Coincidence Factors'!$B$8*(1+'Inputs-System'!$C$18)*(1+'Inputs-System'!$C$41)*'Inputs-Proposals'!$J$17*'Inputs-Proposals'!$J$19*('Inputs-Proposals'!$J$20)*(VLOOKUP(DZ$3,'Embedded Emissions'!$A$47:$B$78,2,FALSE)+VLOOKUP(DZ$3,'Embedded Emissions'!$A$129:$B$158,2,FALSE)), $C50 = "2", 'Inputs-System'!$C$30*'Coincidence Factors'!$B$8*(1+'Inputs-System'!$C$18)*(1+'Inputs-System'!$C$41)*'Inputs-Proposals'!$J$23*'Inputs-Proposals'!$J$25*('Inputs-Proposals'!$J$20)*(VLOOKUP(DZ$3,'Embedded Emissions'!$A$47:$B$78,2,FALSE)+VLOOKUP(DZ$3,'Embedded Emissions'!$A$129:$B$158,2,FALSE)), $C50 = "3",'Inputs-System'!$C$30*'Coincidence Factors'!$B$8*(1+'Inputs-System'!$C$18)*(1+'Inputs-System'!$C$41)*'Inputs-Proposals'!$J$29*'Inputs-Proposals'!$J$31*('Inputs-Proposals'!$J$20)*(VLOOKUP(DZ$3,'Embedded Emissions'!$A$47:$B$78,2,FALSE)+VLOOKUP(DZ$3,'Embedded Emissions'!$A$129:$B$158,2,FALSE)), $C50 = "0", 0), 0)</f>
        <v>0</v>
      </c>
      <c r="EB50" s="44">
        <f>IFERROR(_xlfn.IFS($C50="1",( 'Inputs-System'!$C$30*'Coincidence Factors'!$B$8*(1+'Inputs-System'!$C$18)*(1+'Inputs-System'!$C$41))*('Inputs-Proposals'!$J$17*'Inputs-Proposals'!$J$19*('Inputs-Proposals'!$J$20))*(VLOOKUP(DZ$3,DRIPE!$A$54:$I$82,5,FALSE)+VLOOKUP(DZ$3,DRIPE!$A$54:$I$82,9,FALSE))+ ('Inputs-System'!$C$26*'Coincidence Factors'!$B$8*(1+'Inputs-System'!$C$18)*(1+'Inputs-System'!$C$42))*'Inputs-Proposals'!$J$16*VLOOKUP(DZ$3,DRIPE!$A$54:$I$82,8,FALSE), $C50 = "2",( 'Inputs-System'!$C$30*'Coincidence Factors'!$B$8*(1+'Inputs-System'!$C$18)*(1+'Inputs-System'!$C$41))*('Inputs-Proposals'!$J$23*'Inputs-Proposals'!$J$25*('Inputs-Proposals'!$J$26))*(VLOOKUP(DZ$3,DRIPE!$A$54:$I$82,5,FALSE)+VLOOKUP(DZ$3,DRIPE!$A$54:$I$82,9,FALSE))+  ('Inputs-System'!$C$26*'Coincidence Factors'!$B$8*(1+'Inputs-System'!$C$18)*(1+'Inputs-System'!$C$42))*'Inputs-Proposals'!$J$22*VLOOKUP(DZ$3,DRIPE!$A$54:$I$82,8,FALSE), $C50= "3", ( 'Inputs-System'!$C$30*'Coincidence Factors'!$B$8*(1+'Inputs-System'!$C$18)*(1+'Inputs-System'!$C$41))*('Inputs-Proposals'!$J$29*'Inputs-Proposals'!$J$31*('Inputs-Proposals'!$J$32))*(VLOOKUP(DZ$3,DRIPE!$A$54:$I$82,5,FALSE)+VLOOKUP(DZ$3,DRIPE!$A$54:$I$82,9,FALSE))+  ('Inputs-System'!$C$26*'Coincidence Factors'!$B$8*(1+'Inputs-System'!$C$18)*(1+'Inputs-System'!$C$42))*'Inputs-Proposals'!$J$28*VLOOKUP(DZ$3,DRIPE!$A$54:$I$82,8,FALSE), $C50 = "0", 0), 0)</f>
        <v>0</v>
      </c>
      <c r="EC50" s="45">
        <f>IFERROR(_xlfn.IFS($C50="1",('Inputs-System'!$C$30*'Coincidence Factors'!$B$8*(1+'Inputs-System'!$C$18))*'Inputs-Proposals'!$J$16*(VLOOKUP(DZ$3,Capacity!$A$53:$E$85,4,FALSE)*(1+'Inputs-System'!$C$42)+VLOOKUP(DZ$3,Capacity!$A$53:$E$85,5,FALSE)*'Inputs-System'!$C$29*(1+'Inputs-System'!$C$43)), $C50 = "2", ('Inputs-System'!$C$30*'Coincidence Factors'!$B$8*(1+'Inputs-System'!$C$18))*'Inputs-Proposals'!$J$22*(VLOOKUP(DZ$3,Capacity!$A$53:$E$85,4,FALSE)*(1+'Inputs-System'!$C$42)+VLOOKUP(DZ$3,Capacity!$A$53:$E$85,5,FALSE)*'Inputs-System'!$C$29*(1+'Inputs-System'!$C$43)), $C50 = "3",('Inputs-System'!$C$30*'Coincidence Factors'!$B$8*(1+'Inputs-System'!$C$18))*'Inputs-Proposals'!$J$28*(VLOOKUP(DZ$3,Capacity!$A$53:$E$85,4,FALSE)*(1+'Inputs-System'!$C$42)+VLOOKUP(DZ$3,Capacity!$A$53:$E$85,5,FALSE)*'Inputs-System'!$C$29*(1+'Inputs-System'!$C$43)), $C50 = "0", 0), 0)</f>
        <v>0</v>
      </c>
      <c r="ED50" s="44">
        <v>0</v>
      </c>
      <c r="EE50" s="342">
        <f>IFERROR(_xlfn.IFS($C50="1", 'Inputs-System'!$C$30*'Coincidence Factors'!$B$8*'Inputs-Proposals'!$J$17*'Inputs-Proposals'!$J$19*(VLOOKUP(DZ$3,'Non-Embedded Emissions'!$A$56:$D$90,2,FALSE)+VLOOKUP(DZ$3,'Non-Embedded Emissions'!$A$143:$D$174,2,FALSE)+VLOOKUP(DZ$3,'Non-Embedded Emissions'!$A$230:$D$259,2,FALSE)), $C50 = "2", 'Inputs-System'!$C$30*'Coincidence Factors'!$B$8*'Inputs-Proposals'!$J$23*'Inputs-Proposals'!$J$25*(VLOOKUP(DZ$3,'Non-Embedded Emissions'!$A$56:$D$90,2,FALSE)+VLOOKUP(DZ$3,'Non-Embedded Emissions'!$A$143:$D$174,2,FALSE)+VLOOKUP(DZ$3,'Non-Embedded Emissions'!$A$230:$D$259,2,FALSE)), $C50 = "3", 'Inputs-System'!$C$30*'Coincidence Factors'!$B$8*'Inputs-Proposals'!$J$29*'Inputs-Proposals'!$J$31*(VLOOKUP(DZ$3,'Non-Embedded Emissions'!$A$56:$D$90,2,FALSE)+VLOOKUP(DZ$3,'Non-Embedded Emissions'!$A$143:$D$174,2,FALSE)+VLOOKUP(DZ$3,'Non-Embedded Emissions'!$A$230:$D$259,2,FALSE)), $C50 = "0", 0), 0)</f>
        <v>0</v>
      </c>
    </row>
    <row r="51" spans="1:135" x14ac:dyDescent="0.35">
      <c r="A51" s="708"/>
      <c r="B51" s="3" t="str">
        <f>B45</f>
        <v>Diesel GenSet</v>
      </c>
      <c r="C51" s="3" t="str">
        <f>IFERROR(_xlfn.IFS('Benefits Calc'!B51='Inputs-Proposals'!$J$15, "1", 'Benefits Calc'!B51='Inputs-Proposals'!$J$21, "2", 'Benefits Calc'!B51='Inputs-Proposals'!$J$27, "3"), "0")</f>
        <v>0</v>
      </c>
      <c r="D51" s="323">
        <f t="shared" ref="D51:D52" si="48">P51+V51+AB51+AH51+AN51+AT51+AZ51+BF51+BL51+BR51+BX51+CD51+CJ51+CP51+CV51+DB51+DH51+DN51+DT51+DZ51</f>
        <v>0</v>
      </c>
      <c r="E51" s="44">
        <f t="shared" ref="E51:E52" si="49">Q51+W51+AC51+AI51+AO51+AU51+BA51+BG51+BM51+BS51+BY51+CE51+CK51+CQ51+CW51+DC51+DI51+DO51+DU51+EA51</f>
        <v>0</v>
      </c>
      <c r="F51" s="44">
        <f t="shared" ref="F51:F52" si="50">R51+X51+AD51+AJ51+AP51+AV51+BB51+BH51+BN51+BT51+BZ51+CF51+CL51+CR51+CX51+DD51+DJ51+DP51+DV51+EB51</f>
        <v>0</v>
      </c>
      <c r="G51" s="44">
        <f t="shared" ref="G51:G52" si="51">S51+Y51+AE51+AK51+AQ51+AW51+BC51+BI51+BO51+BU51+CA51+CG51+CM51+CS51+CY51+DE51+DK51+DQ51+DW51+EC51</f>
        <v>0</v>
      </c>
      <c r="H51" s="44">
        <f t="shared" ref="H51:H52" si="52">T51+Z51+AF51+AL51+AR51+AX51+BD51+BJ51+BP51+BV51+CB51+CH51+CN51+CT51+CZ51+DF51+DL51+DR51+DX51+ED51</f>
        <v>0</v>
      </c>
      <c r="I51" s="44">
        <f t="shared" ref="I51:I52" si="53">U51+AA51+AG51+AM51+AS51+AY51+BE51+BK51+BQ51+BW51+CC51+CI51+CO51+CU51+DA51+DG51+DM51+DS51+DY51+EE51</f>
        <v>0</v>
      </c>
      <c r="J51" s="323">
        <f>NPV('Inputs-System'!$C$20,P51+V51+AB51+AH51+AN51+AT51+AZ51+BF51+BL51+BR51+BX51+CD51+CJ51+CP51+CV51+DB51+DH51+DN51+DT51+DZ51)</f>
        <v>0</v>
      </c>
      <c r="K51" s="44">
        <f>NPV('Inputs-System'!$C$20,Q51+W51+AC51+AI51+AO51+AU51+BA51+BG51+BM51+BS51+BY51+CE51+CK51+CQ51+CW51+DC51+DI51+DO51+DU51+EA51)</f>
        <v>0</v>
      </c>
      <c r="L51" s="44">
        <f>NPV('Inputs-System'!$C$20,R51+X51+AD51+AJ51+AP51+AV51+BB51+BH51+BN51+BT51+BZ51+CF51+CL51+CR51+CX51+DD51+DJ51+DP51+DV51+EB51)</f>
        <v>0</v>
      </c>
      <c r="M51" s="44">
        <f>NPV('Inputs-System'!$C$20,S51+Y51+AE51+AK51+AQ51+AW51+BC51+BI51+BO51+BU51+CA51+CG51+CM51+CS51+CY51+DE51+DK51+DQ51+DW51+EC51)</f>
        <v>0</v>
      </c>
      <c r="N51" s="44">
        <f>NPV('Inputs-System'!$C$20,T51+Z51+AF51+AL51+AR51+AX51+BD51+BJ51+BP51+BV51+CB51+CH51+CN51+CT51+CZ51+DF51+DL51+DR51+DX51+ED51)</f>
        <v>0</v>
      </c>
      <c r="O51" s="119">
        <f>NPV('Inputs-System'!$C$20,U51+AA51+AG51+AM51+AS51+AY51+BE51+BK51+BQ51+BW51+CC51+CI51+CO51+CU51+DA51+DG51+DM51+DS51+DY51+EE51)</f>
        <v>0</v>
      </c>
      <c r="P51" s="366">
        <f>IFERROR(_xlfn.IFS($C51="1",('Inputs-System'!$C$30*'Coincidence Factors'!$B$9*(1+'Inputs-System'!$C$18)*(1+'Inputs-System'!$C$41)*('Inputs-Proposals'!$J$17*'Inputs-Proposals'!$J$19*(1-'Inputs-Proposals'!$J$20^(P$3-'Inputs-System'!$C$7+1)))*(VLOOKUP(P$3,Energy!$A$51:$K$83,5,FALSE))), $C51 = "2",('Inputs-System'!$C$30*'Coincidence Factors'!$B$9)*(1+'Inputs-System'!$C$18)*(1+'Inputs-System'!$C$41)*('Inputs-Proposals'!$J$23*'Inputs-Proposals'!$J$25*(1-'Inputs-Proposals'!$J$26^(P$3-'Inputs-System'!$C$7+1)))*(VLOOKUP(P$3,Energy!$A$51:$K$83,5,FALSE)), $C51= "3", ('Inputs-System'!$C$30*'Coincidence Factors'!$B$9*(1+'Inputs-System'!$C$18)*(1+'Inputs-System'!$C$41)*('Inputs-Proposals'!$J$29*'Inputs-Proposals'!$J$31*(1-'Inputs-Proposals'!$J$32^(P$3-'Inputs-System'!$C$7+1)))*(VLOOKUP(P$3,Energy!$A$51:$K$83,5,FALSE))), $C51= "0", 0), 0)</f>
        <v>0</v>
      </c>
      <c r="Q51" s="44">
        <f>IFERROR(_xlfn.IFS($C51="1",('Inputs-System'!$C$30*'Coincidence Factors'!$B$9*(1+'Inputs-System'!$C$18)*(1+'Inputs-System'!$C$41))*'Inputs-Proposals'!$J$17*'Inputs-Proposals'!$J$19*(1-'Inputs-Proposals'!$J$20^(P$3-'Inputs-System'!$C$7+1))*(VLOOKUP(P$3,'Embedded Emissions'!$A$47:$B$78,2,FALSE)+VLOOKUP(P$3,'Embedded Emissions'!$A$129:$B$158,2,FALSE)), $C51 = "2",('Inputs-System'!$C$30*'Coincidence Factors'!$B$9*(1+'Inputs-System'!$C$18)*(1+'Inputs-System'!$C$41))*'Inputs-Proposals'!$J$23*'Inputs-Proposals'!$J$25*(1-'Inputs-Proposals'!$J$20^(P$3-'Inputs-System'!$C$7+1))*(VLOOKUP(P$3,'Embedded Emissions'!$A$47:$B$78,2,FALSE)+VLOOKUP(P$3,'Embedded Emissions'!$A$129:$B$158,2,FALSE)), $C51 = "3", ('Inputs-System'!$C$30*'Coincidence Factors'!$B$9*(1+'Inputs-System'!$C$18)*(1+'Inputs-System'!$C$41))*'Inputs-Proposals'!$J$29*'Inputs-Proposals'!$J$31*(1-'Inputs-Proposals'!$J$20^(P$3-'Inputs-System'!$C$7+1))*(VLOOKUP(P$3,'Embedded Emissions'!$A$47:$B$78,2,FALSE)+VLOOKUP(P$3,'Embedded Emissions'!$A$129:$B$158,2,FALSE)), $C51 = "0", 0), 0)</f>
        <v>0</v>
      </c>
      <c r="R51" s="44">
        <f>IFERROR(_xlfn.IFS($C51="1",( 'Inputs-System'!$C$30*'Coincidence Factors'!$B$9*(1+'Inputs-System'!$C$18)*(1+'Inputs-System'!$C$41))*('Inputs-Proposals'!$J$17*'Inputs-Proposals'!$J$19*(1-'Inputs-Proposals'!$J$20)^(P$3-'Inputs-System'!$C$7))*(VLOOKUP(P$3,DRIPE!$A$54:$I$82,5,FALSE)+VLOOKUP(P$3,DRIPE!$A$54:$I$82,9,FALSE))+ ('Inputs-System'!$C$26*'Coincidence Factors'!$B$6*(1+'Inputs-System'!$C$18)*(1+'Inputs-System'!$C$42))*'Inputs-Proposals'!$J$16*VLOOKUP(P$3,DRIPE!$A$54:$I$82,8,FALSE), $C51 = "2",( 'Inputs-System'!$C$30*'Coincidence Factors'!$B$9*(1+'Inputs-System'!$C$18)*(1+'Inputs-System'!$C$41))*('Inputs-Proposals'!$J$23*'Inputs-Proposals'!$J$25*(1-'Inputs-Proposals'!$J$26)^(P$3-'Inputs-System'!$C$7))*(VLOOKUP(P$3,DRIPE!$A$54:$I$82,5,FALSE)+VLOOKUP(P$3,DRIPE!$A$54:$I$82,9,FALSE))+ ('Inputs-System'!$C$26*'Coincidence Factors'!$B$6*(1+'Inputs-System'!$C$18)*(1+'Inputs-System'!$C$42))*'Inputs-Proposals'!$J$22*VLOOKUP(P$3,DRIPE!$A$54:$I$82,8,FALSE), $C51= "3", ( 'Inputs-System'!$C$30*'Coincidence Factors'!$B$9*(1+'Inputs-System'!$C$18)*(1+'Inputs-System'!$C$41))*('Inputs-Proposals'!$J$29*'Inputs-Proposals'!$J$31*(1-'Inputs-Proposals'!$J$32)^(P$3-'Inputs-System'!$C$7))*(VLOOKUP(P$3,DRIPE!$A$54:$I$82,5,FALSE)+VLOOKUP(P$3,DRIPE!$A$54:$I$82,9,FALSE))+ ('Inputs-System'!$C$26*'Coincidence Factors'!$B$6*(1+'Inputs-System'!$C$18)*(1+'Inputs-System'!$C$42))*'Inputs-Proposals'!$J$28*VLOOKUP(P$3,DRIPE!$A$54:$I$82,8,FALSE), $C51 = "0", 0), 0)</f>
        <v>0</v>
      </c>
      <c r="S51" s="45">
        <f>IFERROR(_xlfn.IFS($C51="1",('Inputs-System'!$C$26*'Coincidence Factors'!$B$9*(1+'Inputs-System'!$C$18)*(1+'Inputs-System'!$C$42))*'Inputs-Proposals'!$D$16*(VLOOKUP(P$3,Capacity!$A$53:$E$85,4,FALSE)*(1+'Inputs-System'!$C$42)+VLOOKUP(P$3,Capacity!$A$53:$E$85,5,FALSE)*(1+'Inputs-System'!$C$43)*'Inputs-System'!$C$29), $C51 = "2", ('Inputs-System'!$C$26*'Coincidence Factors'!$B$9*(1+'Inputs-System'!$C$18))*'Inputs-Proposals'!$D$22*(VLOOKUP(P$3,Capacity!$A$53:$E$85,4,FALSE)*(1+'Inputs-System'!$C$42)+VLOOKUP(P$3,Capacity!$A$53:$E$85,5,FALSE)*'Inputs-System'!$C$29*(1+'Inputs-System'!$C$43)), $C51 = "3", ('Inputs-System'!$C$26*'Coincidence Factors'!$B$9*(1+'Inputs-System'!$C$18))*'Inputs-Proposals'!$D$28*(VLOOKUP(P$3,Capacity!$A$53:$E$85,4,FALSE)*(1+'Inputs-System'!$C$42)+VLOOKUP(P$3,Capacity!$A$53:$E$85,5,FALSE)*'Inputs-System'!$C$29*(1+'Inputs-System'!$C$43)), $C51 = "0", 0), 0)</f>
        <v>0</v>
      </c>
      <c r="T51" s="44">
        <v>0</v>
      </c>
      <c r="U51" s="342">
        <f>IFERROR(_xlfn.IFS($C51="1", 'Inputs-System'!$C$30*'Coincidence Factors'!$B$9*'Inputs-Proposals'!$J$17*'Inputs-Proposals'!$J$19*(VLOOKUP(P$3,'Non-Embedded Emissions'!$A$56:$D$90,2,FALSE)-VLOOKUP(P$3,'Non-Embedded Emissions'!$F$57:$H$88,2,FALSE)+VLOOKUP(P$3,'Non-Embedded Emissions'!$A$143:$D$174,2,FALSE)-VLOOKUP(P$3,'Non-Embedded Emissions'!$F$143:$H$174,2,FALSE)+VLOOKUP(P$3,'Non-Embedded Emissions'!$A$230:$D$259,2,FALSE)), $C51 = "2", 'Inputs-System'!$C$30*'Coincidence Factors'!$B$9*'Inputs-Proposals'!$J$23*'Inputs-Proposals'!$J$25*(VLOOKUP(P$3,'Non-Embedded Emissions'!$A$56:$D$90,2,FALSE)-VLOOKUP(P$3,'Non-Embedded Emissions'!$F$57:$H$88,2,FALSE)+VLOOKUP(P$3,'Non-Embedded Emissions'!$A$143:$D$174,2,FALSE)-VLOOKUP(P$3,'Non-Embedded Emissions'!$F$143:$H$174,2,FALSE)+VLOOKUP(P$3,'Non-Embedded Emissions'!$A$230:$D$259,2,FALSE)), $C51 = "3", 'Inputs-System'!$C$30*'Coincidence Factors'!$B$9*'Inputs-Proposals'!$J$29*'Inputs-Proposals'!$J$31*(VLOOKUP(P$3,'Non-Embedded Emissions'!$A$56:$D$90,2,FALSE)-VLOOKUP(P$3,'Non-Embedded Emissions'!$F$57:$H$88,2,FALSE)+VLOOKUP(P$3,'Non-Embedded Emissions'!$A$143:$D$174,2,FALSE)-VLOOKUP(P$3,'Non-Embedded Emissions'!$F$143:$H$174,2,FALSE)+VLOOKUP(P$3,'Non-Embedded Emissions'!$A$230:$D$259,2,FALSE)), $C51 = "0", 0), 0)</f>
        <v>0</v>
      </c>
      <c r="V51" s="45">
        <f>IFERROR(_xlfn.IFS($C51="1",('Inputs-System'!$C$30*'Coincidence Factors'!$B$9*(1+'Inputs-System'!$C$18)*(1+'Inputs-System'!$C$41)*('Inputs-Proposals'!$J$17*'Inputs-Proposals'!$J$19*(1-'Inputs-Proposals'!$J$20^(V$3-'Inputs-System'!$C$7)))*(VLOOKUP(V$3,Energy!$A$51:$K$83,5,FALSE))), $C51 = "2",('Inputs-System'!$C$30*'Coincidence Factors'!$B$9)*(1+'Inputs-System'!$C$18)*(1+'Inputs-System'!$C$41)*('Inputs-Proposals'!$J$23*'Inputs-Proposals'!$J$25*(1-'Inputs-Proposals'!$J$26^(V$3-'Inputs-System'!$C$7)))*(VLOOKUP(V$3,Energy!$A$51:$K$83,5,FALSE)), $C51= "3", ('Inputs-System'!$C$30*'Coincidence Factors'!$B$9*(1+'Inputs-System'!$C$18)*(1+'Inputs-System'!$C$41)*('Inputs-Proposals'!$J$29*'Inputs-Proposals'!$J$31*(1-'Inputs-Proposals'!$J$32^(V$3-'Inputs-System'!$C$7)))*(VLOOKUP(V$3,Energy!$A$51:$K$83,5,FALSE))), $C51= "0", 0), 0)</f>
        <v>0</v>
      </c>
      <c r="W51" s="44">
        <f>IFERROR(_xlfn.IFS($C51="1",('Inputs-System'!$C$30*'Coincidence Factors'!$B$9*(1+'Inputs-System'!$C$18)*(1+'Inputs-System'!$C$41))*'Inputs-Proposals'!$J$17*'Inputs-Proposals'!$J$19*(1-'Inputs-Proposals'!$J$20^(V$3-'Inputs-System'!$C$7))*(VLOOKUP(V$3,'Embedded Emissions'!$A$47:$B$78,2,FALSE)+VLOOKUP(V$3,'Embedded Emissions'!$A$129:$B$158,2,FALSE)), $C51 = "2",('Inputs-System'!$C$30*'Coincidence Factors'!$B$9*(1+'Inputs-System'!$C$18)*(1+'Inputs-System'!$C$41))*'Inputs-Proposals'!$J$23*'Inputs-Proposals'!$J$25*(1-'Inputs-Proposals'!$J$20^(V$3-'Inputs-System'!$C$7))*(VLOOKUP(V$3,'Embedded Emissions'!$A$47:$B$78,2,FALSE)+VLOOKUP(V$3,'Embedded Emissions'!$A$129:$B$158,2,FALSE)), $C51 = "3", ('Inputs-System'!$C$30*'Coincidence Factors'!$B$9*(1+'Inputs-System'!$C$18)*(1+'Inputs-System'!$C$41))*'Inputs-Proposals'!$J$29*'Inputs-Proposals'!$J$31*(1-'Inputs-Proposals'!$J$20^(V$3-'Inputs-System'!$C$7))*(VLOOKUP(V$3,'Embedded Emissions'!$A$47:$B$78,2,FALSE)+VLOOKUP(V$3,'Embedded Emissions'!$A$129:$B$158,2,FALSE)), $C51 = "0", 0), 0)</f>
        <v>0</v>
      </c>
      <c r="X51" s="44">
        <f>IFERROR(_xlfn.IFS($C51="1",( 'Inputs-System'!$C$30*'Coincidence Factors'!$B$9*(1+'Inputs-System'!$C$18)*(1+'Inputs-System'!$C$41))*('Inputs-Proposals'!$J$17*'Inputs-Proposals'!$J$19*(1-'Inputs-Proposals'!$J$20)^(V$3-'Inputs-System'!$C$7))*(VLOOKUP(V$3,DRIPE!$A$54:$I$82,5,FALSE)+VLOOKUP(V$3,DRIPE!$A$54:$I$82,9,FALSE))+ ('Inputs-System'!$C$26*'Coincidence Factors'!$B$6*(1+'Inputs-System'!$C$18)*(1+'Inputs-System'!$C$42))*'Inputs-Proposals'!$J$16*VLOOKUP(V$3,DRIPE!$A$54:$I$82,8,FALSE), $C51 = "2",( 'Inputs-System'!$C$30*'Coincidence Factors'!$B$9*(1+'Inputs-System'!$C$18)*(1+'Inputs-System'!$C$41))*('Inputs-Proposals'!$J$23*'Inputs-Proposals'!$J$25*(1-'Inputs-Proposals'!$J$26)^(V$3-'Inputs-System'!$C$7))*(VLOOKUP(V$3,DRIPE!$A$54:$I$82,5,FALSE)+VLOOKUP(V$3,DRIPE!$A$54:$I$82,9,FALSE))+ ('Inputs-System'!$C$26*'Coincidence Factors'!$B$6*(1+'Inputs-System'!$C$18)*(1+'Inputs-System'!$C$42))*'Inputs-Proposals'!$J$22*VLOOKUP(V$3,DRIPE!$A$54:$I$82,8,FALSE), $C51= "3", ( 'Inputs-System'!$C$30*'Coincidence Factors'!$B$9*(1+'Inputs-System'!$C$18)*(1+'Inputs-System'!$C$41))*('Inputs-Proposals'!$J$29*'Inputs-Proposals'!$J$31*(1-'Inputs-Proposals'!$J$32)^(V$3-'Inputs-System'!$C$7))*(VLOOKUP(V$3,DRIPE!$A$54:$I$82,5,FALSE)+VLOOKUP(V$3,DRIPE!$A$54:$I$82,9,FALSE))+ ('Inputs-System'!$C$26*'Coincidence Factors'!$B$6*(1+'Inputs-System'!$C$18)*(1+'Inputs-System'!$C$42))*'Inputs-Proposals'!$J$28*VLOOKUP(V$3,DRIPE!$A$54:$I$82,8,FALSE), $C51 = "0", 0), 0)</f>
        <v>0</v>
      </c>
      <c r="Y51" s="45">
        <f>IFERROR(_xlfn.IFS($C51="1",('Inputs-System'!$C$26*'Coincidence Factors'!$B$9*(1+'Inputs-System'!$C$18)*(1+'Inputs-System'!$C$42))*'Inputs-Proposals'!$D$16*(VLOOKUP(V$3,Capacity!$A$53:$E$85,4,FALSE)*(1+'Inputs-System'!$C$42)+VLOOKUP(V$3,Capacity!$A$53:$E$85,5,FALSE)*(1+'Inputs-System'!$C$43)*'Inputs-System'!$C$29), $C51 = "2", ('Inputs-System'!$C$26*'Coincidence Factors'!$B$9*(1+'Inputs-System'!$C$18))*'Inputs-Proposals'!$D$22*(VLOOKUP(V$3,Capacity!$A$53:$E$85,4,FALSE)*(1+'Inputs-System'!$C$42)+VLOOKUP(V$3,Capacity!$A$53:$E$85,5,FALSE)*'Inputs-System'!$C$29*(1+'Inputs-System'!$C$43)), $C51 = "3", ('Inputs-System'!$C$26*'Coincidence Factors'!$B$9*(1+'Inputs-System'!$C$18))*'Inputs-Proposals'!$D$28*(VLOOKUP(V$3,Capacity!$A$53:$E$85,4,FALSE)*(1+'Inputs-System'!$C$42)+VLOOKUP(V$3,Capacity!$A$53:$E$85,5,FALSE)*'Inputs-System'!$C$29*(1+'Inputs-System'!$C$43)), $C51 = "0", 0), 0)</f>
        <v>0</v>
      </c>
      <c r="Z51" s="44">
        <v>0</v>
      </c>
      <c r="AA51" s="342">
        <f>IFERROR(_xlfn.IFS($C51="1", 'Inputs-System'!$C$30*'Coincidence Factors'!$B$9*'Inputs-Proposals'!$J$17*'Inputs-Proposals'!$J$19*(VLOOKUP(V$3,'Non-Embedded Emissions'!$A$56:$D$90,2,FALSE)-VLOOKUP(V$3,'Non-Embedded Emissions'!$F$57:$H$88,2,FALSE)+VLOOKUP(V$3,'Non-Embedded Emissions'!$A$143:$D$174,2,FALSE)-VLOOKUP(V$3,'Non-Embedded Emissions'!$F$143:$H$174,2,FALSE)+VLOOKUP(V$3,'Non-Embedded Emissions'!$A$230:$D$259,2,FALSE)), $C51 = "2", 'Inputs-System'!$C$30*'Coincidence Factors'!$B$9*'Inputs-Proposals'!$J$23*'Inputs-Proposals'!$J$25*(VLOOKUP(V$3,'Non-Embedded Emissions'!$A$56:$D$90,2,FALSE)-VLOOKUP(V$3,'Non-Embedded Emissions'!$F$57:$H$88,2,FALSE)+VLOOKUP(V$3,'Non-Embedded Emissions'!$A$143:$D$174,2,FALSE)-VLOOKUP(V$3,'Non-Embedded Emissions'!$F$143:$H$174,2,FALSE)+VLOOKUP(V$3,'Non-Embedded Emissions'!$A$230:$D$259,2,FALSE)), $C51 = "3", 'Inputs-System'!$C$30*'Coincidence Factors'!$B$9*'Inputs-Proposals'!$J$29*'Inputs-Proposals'!$J$31*(VLOOKUP(V$3,'Non-Embedded Emissions'!$A$56:$D$90,2,FALSE)-VLOOKUP(V$3,'Non-Embedded Emissions'!$F$57:$H$88,2,FALSE)+VLOOKUP(V$3,'Non-Embedded Emissions'!$A$143:$D$174,2,FALSE)-VLOOKUP(V$3,'Non-Embedded Emissions'!$F$143:$H$174,2,FALSE)+VLOOKUP(V$3,'Non-Embedded Emissions'!$A$230:$D$259,2,FALSE)), $C51 = "0", 0), 0)</f>
        <v>0</v>
      </c>
      <c r="AB51" s="45">
        <f>IFERROR(_xlfn.IFS($C51="1",('Inputs-System'!$C$30*'Coincidence Factors'!$B$9*(1+'Inputs-System'!$C$18)*(1+'Inputs-System'!$C$41)*('Inputs-Proposals'!$J$17*'Inputs-Proposals'!$J$19*(1-'Inputs-Proposals'!$J$20^(AB$3-'Inputs-System'!$C$7)))*(VLOOKUP(AB$3,Energy!$A$51:$K$83,5,FALSE))), $C51 = "2",('Inputs-System'!$C$30*'Coincidence Factors'!$B$9)*(1+'Inputs-System'!$C$18)*(1+'Inputs-System'!$C$41)*('Inputs-Proposals'!$J$23*'Inputs-Proposals'!$J$25*(1-'Inputs-Proposals'!$J$26^(AB$3-'Inputs-System'!$C$7)))*(VLOOKUP(AB$3,Energy!$A$51:$K$83,5,FALSE)), $C51= "3", ('Inputs-System'!$C$30*'Coincidence Factors'!$B$9*(1+'Inputs-System'!$C$18)*(1+'Inputs-System'!$C$41)*('Inputs-Proposals'!$J$29*'Inputs-Proposals'!$J$31*(1-'Inputs-Proposals'!$J$32^(AB$3-'Inputs-System'!$C$7)))*(VLOOKUP(AB$3,Energy!$A$51:$K$83,5,FALSE))), $C51= "0", 0), 0)</f>
        <v>0</v>
      </c>
      <c r="AC51" s="44">
        <f>IFERROR(_xlfn.IFS($C51="1",('Inputs-System'!$C$30*'Coincidence Factors'!$B$9*(1+'Inputs-System'!$C$18)*(1+'Inputs-System'!$C$41))*'Inputs-Proposals'!$J$17*'Inputs-Proposals'!$J$19*(1-'Inputs-Proposals'!$J$20^(AB$3-'Inputs-System'!$C$7))*(VLOOKUP(AB$3,'Embedded Emissions'!$A$47:$B$78,2,FALSE)+VLOOKUP(AB$3,'Embedded Emissions'!$A$129:$B$158,2,FALSE)), $C51 = "2",('Inputs-System'!$C$30*'Coincidence Factors'!$B$9*(1+'Inputs-System'!$C$18)*(1+'Inputs-System'!$C$41))*'Inputs-Proposals'!$J$23*'Inputs-Proposals'!$J$25*(1-'Inputs-Proposals'!$J$20^(AB$3-'Inputs-System'!$C$7))*(VLOOKUP(AB$3,'Embedded Emissions'!$A$47:$B$78,2,FALSE)+VLOOKUP(AB$3,'Embedded Emissions'!$A$129:$B$158,2,FALSE)), $C51 = "3", ('Inputs-System'!$C$30*'Coincidence Factors'!$B$9*(1+'Inputs-System'!$C$18)*(1+'Inputs-System'!$C$41))*'Inputs-Proposals'!$J$29*'Inputs-Proposals'!$J$31*(1-'Inputs-Proposals'!$J$20^(AB$3-'Inputs-System'!$C$7))*(VLOOKUP(AB$3,'Embedded Emissions'!$A$47:$B$78,2,FALSE)+VLOOKUP(AB$3,'Embedded Emissions'!$A$129:$B$158,2,FALSE)), $C51 = "0", 0), 0)</f>
        <v>0</v>
      </c>
      <c r="AD51" s="44">
        <f>IFERROR(_xlfn.IFS($C51="1",( 'Inputs-System'!$C$30*'Coincidence Factors'!$B$9*(1+'Inputs-System'!$C$18)*(1+'Inputs-System'!$C$41))*('Inputs-Proposals'!$J$17*'Inputs-Proposals'!$J$19*(1-'Inputs-Proposals'!$J$20)^(AB$3-'Inputs-System'!$C$7))*(VLOOKUP(AB$3,DRIPE!$A$54:$I$82,5,FALSE)+VLOOKUP(AB$3,DRIPE!$A$54:$I$82,9,FALSE))+ ('Inputs-System'!$C$26*'Coincidence Factors'!$B$6*(1+'Inputs-System'!$C$18)*(1+'Inputs-System'!$C$42))*'Inputs-Proposals'!$J$16*VLOOKUP(AB$3,DRIPE!$A$54:$I$82,8,FALSE), $C51 = "2",( 'Inputs-System'!$C$30*'Coincidence Factors'!$B$9*(1+'Inputs-System'!$C$18)*(1+'Inputs-System'!$C$41))*('Inputs-Proposals'!$J$23*'Inputs-Proposals'!$J$25*(1-'Inputs-Proposals'!$J$26)^(AB$3-'Inputs-System'!$C$7))*(VLOOKUP(AB$3,DRIPE!$A$54:$I$82,5,FALSE)+VLOOKUP(AB$3,DRIPE!$A$54:$I$82,9,FALSE))+ ('Inputs-System'!$C$26*'Coincidence Factors'!$B$6*(1+'Inputs-System'!$C$18)*(1+'Inputs-System'!$C$42))*'Inputs-Proposals'!$J$22*VLOOKUP(AB$3,DRIPE!$A$54:$I$82,8,FALSE), $C51= "3", ( 'Inputs-System'!$C$30*'Coincidence Factors'!$B$9*(1+'Inputs-System'!$C$18)*(1+'Inputs-System'!$C$41))*('Inputs-Proposals'!$J$29*'Inputs-Proposals'!$J$31*(1-'Inputs-Proposals'!$J$32)^(AB$3-'Inputs-System'!$C$7))*(VLOOKUP(AB$3,DRIPE!$A$54:$I$82,5,FALSE)+VLOOKUP(AB$3,DRIPE!$A$54:$I$82,9,FALSE))+ ('Inputs-System'!$C$26*'Coincidence Factors'!$B$6*(1+'Inputs-System'!$C$18)*(1+'Inputs-System'!$C$42))*'Inputs-Proposals'!$J$28*VLOOKUP(AB$3,DRIPE!$A$54:$I$82,8,FALSE), $C51 = "0", 0), 0)</f>
        <v>0</v>
      </c>
      <c r="AE51" s="45">
        <f>IFERROR(_xlfn.IFS($C51="1",('Inputs-System'!$C$26*'Coincidence Factors'!$B$9*(1+'Inputs-System'!$C$18)*(1+'Inputs-System'!$C$42))*'Inputs-Proposals'!$D$16*(VLOOKUP(AB$3,Capacity!$A$53:$E$85,4,FALSE)*(1+'Inputs-System'!$C$42)+VLOOKUP(AB$3,Capacity!$A$53:$E$85,5,FALSE)*(1+'Inputs-System'!$C$43)*'Inputs-System'!$C$29), $C51 = "2", ('Inputs-System'!$C$26*'Coincidence Factors'!$B$9*(1+'Inputs-System'!$C$18))*'Inputs-Proposals'!$D$22*(VLOOKUP(AB$3,Capacity!$A$53:$E$85,4,FALSE)*(1+'Inputs-System'!$C$42)+VLOOKUP(AB$3,Capacity!$A$53:$E$85,5,FALSE)*'Inputs-System'!$C$29*(1+'Inputs-System'!$C$43)), $C51 = "3", ('Inputs-System'!$C$26*'Coincidence Factors'!$B$9*(1+'Inputs-System'!$C$18))*'Inputs-Proposals'!$D$28*(VLOOKUP(AB$3,Capacity!$A$53:$E$85,4,FALSE)*(1+'Inputs-System'!$C$42)+VLOOKUP(AB$3,Capacity!$A$53:$E$85,5,FALSE)*'Inputs-System'!$C$29*(1+'Inputs-System'!$C$43)), $C51 = "0", 0), 0)</f>
        <v>0</v>
      </c>
      <c r="AF51" s="44">
        <v>0</v>
      </c>
      <c r="AG51" s="342">
        <f>IFERROR(_xlfn.IFS($C51="1", 'Inputs-System'!$C$30*'Coincidence Factors'!$B$9*'Inputs-Proposals'!$J$17*'Inputs-Proposals'!$J$19*(VLOOKUP(AB$3,'Non-Embedded Emissions'!$A$56:$D$90,2,FALSE)-VLOOKUP(AB$3,'Non-Embedded Emissions'!$F$57:$H$88,2,FALSE)+VLOOKUP(AB$3,'Non-Embedded Emissions'!$A$143:$D$174,2,FALSE)-VLOOKUP(AB$3,'Non-Embedded Emissions'!$F$143:$H$174,2,FALSE)+VLOOKUP(AB$3,'Non-Embedded Emissions'!$A$230:$D$259,2,FALSE)), $C51 = "2", 'Inputs-System'!$C$30*'Coincidence Factors'!$B$9*'Inputs-Proposals'!$J$23*'Inputs-Proposals'!$J$25*(VLOOKUP(AB$3,'Non-Embedded Emissions'!$A$56:$D$90,2,FALSE)-VLOOKUP(AB$3,'Non-Embedded Emissions'!$F$57:$H$88,2,FALSE)+VLOOKUP(AB$3,'Non-Embedded Emissions'!$A$143:$D$174,2,FALSE)-VLOOKUP(AB$3,'Non-Embedded Emissions'!$F$143:$H$174,2,FALSE)+VLOOKUP(AB$3,'Non-Embedded Emissions'!$A$230:$D$259,2,FALSE)), $C51 = "3", 'Inputs-System'!$C$30*'Coincidence Factors'!$B$9*'Inputs-Proposals'!$J$29*'Inputs-Proposals'!$J$31*(VLOOKUP(AB$3,'Non-Embedded Emissions'!$A$56:$D$90,2,FALSE)-VLOOKUP(AB$3,'Non-Embedded Emissions'!$F$57:$H$88,2,FALSE)+VLOOKUP(AB$3,'Non-Embedded Emissions'!$A$143:$D$174,2,FALSE)-VLOOKUP(AB$3,'Non-Embedded Emissions'!$F$143:$H$174,2,FALSE)+VLOOKUP(AB$3,'Non-Embedded Emissions'!$A$230:$D$259,2,FALSE)), $C51 = "0", 0), 0)</f>
        <v>0</v>
      </c>
      <c r="AH51" s="45">
        <f>IFERROR(_xlfn.IFS($C51="1",('Inputs-System'!$C$30*'Coincidence Factors'!$B$9*(1+'Inputs-System'!$C$18)*(1+'Inputs-System'!$C$41)*('Inputs-Proposals'!$J$17*'Inputs-Proposals'!$J$19*(1-'Inputs-Proposals'!$J$20^(AH$3-'Inputs-System'!$C$7)))*(VLOOKUP(AH$3,Energy!$A$51:$K$83,5,FALSE))), $C51 = "2",('Inputs-System'!$C$30*'Coincidence Factors'!$B$9)*(1+'Inputs-System'!$C$18)*(1+'Inputs-System'!$C$41)*('Inputs-Proposals'!$J$23*'Inputs-Proposals'!$J$25*(1-'Inputs-Proposals'!$J$26^(AH$3-'Inputs-System'!$C$7)))*(VLOOKUP(AH$3,Energy!$A$51:$K$83,5,FALSE)), $C51= "3", ('Inputs-System'!$C$30*'Coincidence Factors'!$B$9*(1+'Inputs-System'!$C$18)*(1+'Inputs-System'!$C$41)*('Inputs-Proposals'!$J$29*'Inputs-Proposals'!$J$31*(1-'Inputs-Proposals'!$J$32^(AH$3-'Inputs-System'!$C$7)))*(VLOOKUP(AH$3,Energy!$A$51:$K$83,5,FALSE))), $C51= "0", 0), 0)</f>
        <v>0</v>
      </c>
      <c r="AI51" s="44">
        <f>IFERROR(_xlfn.IFS($C51="1",('Inputs-System'!$C$30*'Coincidence Factors'!$B$9*(1+'Inputs-System'!$C$18)*(1+'Inputs-System'!$C$41))*'Inputs-Proposals'!$J$17*'Inputs-Proposals'!$J$19*(1-'Inputs-Proposals'!$J$20^(AH$3-'Inputs-System'!$C$7))*(VLOOKUP(AH$3,'Embedded Emissions'!$A$47:$B$78,2,FALSE)+VLOOKUP(AH$3,'Embedded Emissions'!$A$129:$B$158,2,FALSE)), $C51 = "2",('Inputs-System'!$C$30*'Coincidence Factors'!$B$9*(1+'Inputs-System'!$C$18)*(1+'Inputs-System'!$C$41))*'Inputs-Proposals'!$J$23*'Inputs-Proposals'!$J$25*(1-'Inputs-Proposals'!$J$20^(AH$3-'Inputs-System'!$C$7))*(VLOOKUP(AH$3,'Embedded Emissions'!$A$47:$B$78,2,FALSE)+VLOOKUP(AH$3,'Embedded Emissions'!$A$129:$B$158,2,FALSE)), $C51 = "3", ('Inputs-System'!$C$30*'Coincidence Factors'!$B$9*(1+'Inputs-System'!$C$18)*(1+'Inputs-System'!$C$41))*'Inputs-Proposals'!$J$29*'Inputs-Proposals'!$J$31*(1-'Inputs-Proposals'!$J$20^(AH$3-'Inputs-System'!$C$7))*(VLOOKUP(AH$3,'Embedded Emissions'!$A$47:$B$78,2,FALSE)+VLOOKUP(AH$3,'Embedded Emissions'!$A$129:$B$158,2,FALSE)), $C51 = "0", 0), 0)</f>
        <v>0</v>
      </c>
      <c r="AJ51" s="44">
        <f>IFERROR(_xlfn.IFS($C51="1",( 'Inputs-System'!$C$30*'Coincidence Factors'!$B$9*(1+'Inputs-System'!$C$18)*(1+'Inputs-System'!$C$41))*('Inputs-Proposals'!$J$17*'Inputs-Proposals'!$J$19*(1-'Inputs-Proposals'!$J$20)^(AH$3-'Inputs-System'!$C$7))*(VLOOKUP(AH$3,DRIPE!$A$54:$I$82,5,FALSE)+VLOOKUP(AH$3,DRIPE!$A$54:$I$82,9,FALSE))+ ('Inputs-System'!$C$26*'Coincidence Factors'!$B$6*(1+'Inputs-System'!$C$18)*(1+'Inputs-System'!$C$42))*'Inputs-Proposals'!$J$16*VLOOKUP(AH$3,DRIPE!$A$54:$I$82,8,FALSE), $C51 = "2",( 'Inputs-System'!$C$30*'Coincidence Factors'!$B$9*(1+'Inputs-System'!$C$18)*(1+'Inputs-System'!$C$41))*('Inputs-Proposals'!$J$23*'Inputs-Proposals'!$J$25*(1-'Inputs-Proposals'!$J$26)^(AH$3-'Inputs-System'!$C$7))*(VLOOKUP(AH$3,DRIPE!$A$54:$I$82,5,FALSE)+VLOOKUP(AH$3,DRIPE!$A$54:$I$82,9,FALSE))+ ('Inputs-System'!$C$26*'Coincidence Factors'!$B$6*(1+'Inputs-System'!$C$18)*(1+'Inputs-System'!$C$42))*'Inputs-Proposals'!$J$22*VLOOKUP(AH$3,DRIPE!$A$54:$I$82,8,FALSE), $C51= "3", ( 'Inputs-System'!$C$30*'Coincidence Factors'!$B$9*(1+'Inputs-System'!$C$18)*(1+'Inputs-System'!$C$41))*('Inputs-Proposals'!$J$29*'Inputs-Proposals'!$J$31*(1-'Inputs-Proposals'!$J$32)^(AH$3-'Inputs-System'!$C$7))*(VLOOKUP(AH$3,DRIPE!$A$54:$I$82,5,FALSE)+VLOOKUP(AH$3,DRIPE!$A$54:$I$82,9,FALSE))+ ('Inputs-System'!$C$26*'Coincidence Factors'!$B$6*(1+'Inputs-System'!$C$18)*(1+'Inputs-System'!$C$42))*'Inputs-Proposals'!$J$28*VLOOKUP(AH$3,DRIPE!$A$54:$I$82,8,FALSE), $C51 = "0", 0), 0)</f>
        <v>0</v>
      </c>
      <c r="AK51" s="45">
        <f>IFERROR(_xlfn.IFS($C51="1",('Inputs-System'!$C$26*'Coincidence Factors'!$B$9*(1+'Inputs-System'!$C$18)*(1+'Inputs-System'!$C$42))*'Inputs-Proposals'!$D$16*(VLOOKUP(AH$3,Capacity!$A$53:$E$85,4,FALSE)*(1+'Inputs-System'!$C$42)+VLOOKUP(AH$3,Capacity!$A$53:$E$85,5,FALSE)*(1+'Inputs-System'!$C$43)*'Inputs-System'!$C$29), $C51 = "2", ('Inputs-System'!$C$26*'Coincidence Factors'!$B$9*(1+'Inputs-System'!$C$18))*'Inputs-Proposals'!$D$22*(VLOOKUP(AH$3,Capacity!$A$53:$E$85,4,FALSE)*(1+'Inputs-System'!$C$42)+VLOOKUP(AH$3,Capacity!$A$53:$E$85,5,FALSE)*'Inputs-System'!$C$29*(1+'Inputs-System'!$C$43)), $C51 = "3", ('Inputs-System'!$C$26*'Coincidence Factors'!$B$9*(1+'Inputs-System'!$C$18))*'Inputs-Proposals'!$D$28*(VLOOKUP(AH$3,Capacity!$A$53:$E$85,4,FALSE)*(1+'Inputs-System'!$C$42)+VLOOKUP(AH$3,Capacity!$A$53:$E$85,5,FALSE)*'Inputs-System'!$C$29*(1+'Inputs-System'!$C$43)), $C51 = "0", 0), 0)</f>
        <v>0</v>
      </c>
      <c r="AL51" s="44">
        <v>0</v>
      </c>
      <c r="AM51" s="342">
        <f>IFERROR(_xlfn.IFS($C51="1", 'Inputs-System'!$C$30*'Coincidence Factors'!$B$9*'Inputs-Proposals'!$J$17*'Inputs-Proposals'!$J$19*(VLOOKUP(AH$3,'Non-Embedded Emissions'!$A$56:$D$90,2,FALSE)-VLOOKUP(AH$3,'Non-Embedded Emissions'!$F$57:$H$88,2,FALSE)+VLOOKUP(AH$3,'Non-Embedded Emissions'!$A$143:$D$174,2,FALSE)-VLOOKUP(AH$3,'Non-Embedded Emissions'!$F$143:$H$174,2,FALSE)+VLOOKUP(AH$3,'Non-Embedded Emissions'!$A$230:$D$259,2,FALSE)), $C51 = "2", 'Inputs-System'!$C$30*'Coincidence Factors'!$B$9*'Inputs-Proposals'!$J$23*'Inputs-Proposals'!$J$25*(VLOOKUP(AH$3,'Non-Embedded Emissions'!$A$56:$D$90,2,FALSE)-VLOOKUP(AH$3,'Non-Embedded Emissions'!$F$57:$H$88,2,FALSE)+VLOOKUP(AH$3,'Non-Embedded Emissions'!$A$143:$D$174,2,FALSE)-VLOOKUP(AH$3,'Non-Embedded Emissions'!$F$143:$H$174,2,FALSE)+VLOOKUP(AH$3,'Non-Embedded Emissions'!$A$230:$D$259,2,FALSE)), $C51 = "3", 'Inputs-System'!$C$30*'Coincidence Factors'!$B$9*'Inputs-Proposals'!$J$29*'Inputs-Proposals'!$J$31*(VLOOKUP(AH$3,'Non-Embedded Emissions'!$A$56:$D$90,2,FALSE)-VLOOKUP(AH$3,'Non-Embedded Emissions'!$F$57:$H$88,2,FALSE)+VLOOKUP(AH$3,'Non-Embedded Emissions'!$A$143:$D$174,2,FALSE)-VLOOKUP(AH$3,'Non-Embedded Emissions'!$F$143:$H$174,2,FALSE)+VLOOKUP(AH$3,'Non-Embedded Emissions'!$A$230:$D$259,2,FALSE)), $C51 = "0", 0), 0)</f>
        <v>0</v>
      </c>
      <c r="AN51" s="45">
        <f>IFERROR(_xlfn.IFS($C51="1",('Inputs-System'!$C$30*'Coincidence Factors'!$B$9*(1+'Inputs-System'!$C$18)*(1+'Inputs-System'!$C$41)*('Inputs-Proposals'!$J$17*'Inputs-Proposals'!$J$19*(1-'Inputs-Proposals'!$J$20^(AN$3-'Inputs-System'!$C$7)))*(VLOOKUP(AN$3,Energy!$A$51:$K$83,5,FALSE))), $C51 = "2",('Inputs-System'!$C$30*'Coincidence Factors'!$B$9)*(1+'Inputs-System'!$C$18)*(1+'Inputs-System'!$C$41)*('Inputs-Proposals'!$J$23*'Inputs-Proposals'!$J$25*(1-'Inputs-Proposals'!$J$26^(AN$3-'Inputs-System'!$C$7)))*(VLOOKUP(AN$3,Energy!$A$51:$K$83,5,FALSE)), $C51= "3", ('Inputs-System'!$C$30*'Coincidence Factors'!$B$9*(1+'Inputs-System'!$C$18)*(1+'Inputs-System'!$C$41)*('Inputs-Proposals'!$J$29*'Inputs-Proposals'!$J$31*(1-'Inputs-Proposals'!$J$32^(AN$3-'Inputs-System'!$C$7)))*(VLOOKUP(AN$3,Energy!$A$51:$K$83,5,FALSE))), $C51= "0", 0), 0)</f>
        <v>0</v>
      </c>
      <c r="AO51" s="44">
        <f>IFERROR(_xlfn.IFS($C51="1",('Inputs-System'!$C$30*'Coincidence Factors'!$B$9*(1+'Inputs-System'!$C$18)*(1+'Inputs-System'!$C$41))*'Inputs-Proposals'!$J$17*'Inputs-Proposals'!$J$19*(1-'Inputs-Proposals'!$J$20^(AN$3-'Inputs-System'!$C$7))*(VLOOKUP(AN$3,'Embedded Emissions'!$A$47:$B$78,2,FALSE)+VLOOKUP(AN$3,'Embedded Emissions'!$A$129:$B$158,2,FALSE)), $C51 = "2",('Inputs-System'!$C$30*'Coincidence Factors'!$B$9*(1+'Inputs-System'!$C$18)*(1+'Inputs-System'!$C$41))*'Inputs-Proposals'!$J$23*'Inputs-Proposals'!$J$25*(1-'Inputs-Proposals'!$J$20^(AN$3-'Inputs-System'!$C$7))*(VLOOKUP(AN$3,'Embedded Emissions'!$A$47:$B$78,2,FALSE)+VLOOKUP(AN$3,'Embedded Emissions'!$A$129:$B$158,2,FALSE)), $C51 = "3", ('Inputs-System'!$C$30*'Coincidence Factors'!$B$9*(1+'Inputs-System'!$C$18)*(1+'Inputs-System'!$C$41))*'Inputs-Proposals'!$J$29*'Inputs-Proposals'!$J$31*(1-'Inputs-Proposals'!$J$20^(AN$3-'Inputs-System'!$C$7))*(VLOOKUP(AN$3,'Embedded Emissions'!$A$47:$B$78,2,FALSE)+VLOOKUP(AN$3,'Embedded Emissions'!$A$129:$B$158,2,FALSE)), $C51 = "0", 0), 0)</f>
        <v>0</v>
      </c>
      <c r="AP51" s="44">
        <f>IFERROR(_xlfn.IFS($C51="1",( 'Inputs-System'!$C$30*'Coincidence Factors'!$B$9*(1+'Inputs-System'!$C$18)*(1+'Inputs-System'!$C$41))*('Inputs-Proposals'!$J$17*'Inputs-Proposals'!$J$19*(1-'Inputs-Proposals'!$J$20)^(AN$3-'Inputs-System'!$C$7))*(VLOOKUP(AN$3,DRIPE!$A$54:$I$82,5,FALSE)+VLOOKUP(AN$3,DRIPE!$A$54:$I$82,9,FALSE))+ ('Inputs-System'!$C$26*'Coincidence Factors'!$B$6*(1+'Inputs-System'!$C$18)*(1+'Inputs-System'!$C$42))*'Inputs-Proposals'!$J$16*VLOOKUP(AN$3,DRIPE!$A$54:$I$82,8,FALSE), $C51 = "2",( 'Inputs-System'!$C$30*'Coincidence Factors'!$B$9*(1+'Inputs-System'!$C$18)*(1+'Inputs-System'!$C$41))*('Inputs-Proposals'!$J$23*'Inputs-Proposals'!$J$25*(1-'Inputs-Proposals'!$J$26)^(AN$3-'Inputs-System'!$C$7))*(VLOOKUP(AN$3,DRIPE!$A$54:$I$82,5,FALSE)+VLOOKUP(AN$3,DRIPE!$A$54:$I$82,9,FALSE))+ ('Inputs-System'!$C$26*'Coincidence Factors'!$B$6*(1+'Inputs-System'!$C$18)*(1+'Inputs-System'!$C$42))*'Inputs-Proposals'!$J$22*VLOOKUP(AN$3,DRIPE!$A$54:$I$82,8,FALSE), $C51= "3", ( 'Inputs-System'!$C$30*'Coincidence Factors'!$B$9*(1+'Inputs-System'!$C$18)*(1+'Inputs-System'!$C$41))*('Inputs-Proposals'!$J$29*'Inputs-Proposals'!$J$31*(1-'Inputs-Proposals'!$J$32)^(AN$3-'Inputs-System'!$C$7))*(VLOOKUP(AN$3,DRIPE!$A$54:$I$82,5,FALSE)+VLOOKUP(AN$3,DRIPE!$A$54:$I$82,9,FALSE))+ ('Inputs-System'!$C$26*'Coincidence Factors'!$B$6*(1+'Inputs-System'!$C$18)*(1+'Inputs-System'!$C$42))*'Inputs-Proposals'!$J$28*VLOOKUP(AN$3,DRIPE!$A$54:$I$82,8,FALSE), $C51 = "0", 0), 0)</f>
        <v>0</v>
      </c>
      <c r="AQ51" s="45">
        <f>IFERROR(_xlfn.IFS($C51="1",('Inputs-System'!$C$26*'Coincidence Factors'!$B$9*(1+'Inputs-System'!$C$18)*(1+'Inputs-System'!$C$42))*'Inputs-Proposals'!$D$16*(VLOOKUP(AN$3,Capacity!$A$53:$E$85,4,FALSE)*(1+'Inputs-System'!$C$42)+VLOOKUP(AN$3,Capacity!$A$53:$E$85,5,FALSE)*(1+'Inputs-System'!$C$43)*'Inputs-System'!$C$29), $C51 = "2", ('Inputs-System'!$C$26*'Coincidence Factors'!$B$9*(1+'Inputs-System'!$C$18))*'Inputs-Proposals'!$D$22*(VLOOKUP(AN$3,Capacity!$A$53:$E$85,4,FALSE)*(1+'Inputs-System'!$C$42)+VLOOKUP(AN$3,Capacity!$A$53:$E$85,5,FALSE)*'Inputs-System'!$C$29*(1+'Inputs-System'!$C$43)), $C51 = "3", ('Inputs-System'!$C$26*'Coincidence Factors'!$B$9*(1+'Inputs-System'!$C$18))*'Inputs-Proposals'!$D$28*(VLOOKUP(AN$3,Capacity!$A$53:$E$85,4,FALSE)*(1+'Inputs-System'!$C$42)+VLOOKUP(AN$3,Capacity!$A$53:$E$85,5,FALSE)*'Inputs-System'!$C$29*(1+'Inputs-System'!$C$43)), $C51 = "0", 0), 0)</f>
        <v>0</v>
      </c>
      <c r="AR51" s="44">
        <v>0</v>
      </c>
      <c r="AS51" s="342">
        <f>IFERROR(_xlfn.IFS($C51="1", 'Inputs-System'!$C$30*'Coincidence Factors'!$B$9*'Inputs-Proposals'!$J$17*'Inputs-Proposals'!$J$19*(VLOOKUP(AN$3,'Non-Embedded Emissions'!$A$56:$D$90,2,FALSE)-VLOOKUP(AN$3,'Non-Embedded Emissions'!$F$57:$H$88,2,FALSE)+VLOOKUP(AN$3,'Non-Embedded Emissions'!$A$143:$D$174,2,FALSE)-VLOOKUP(AN$3,'Non-Embedded Emissions'!$F$143:$H$174,2,FALSE)+VLOOKUP(AN$3,'Non-Embedded Emissions'!$A$230:$D$259,2,FALSE)), $C51 = "2", 'Inputs-System'!$C$30*'Coincidence Factors'!$B$9*'Inputs-Proposals'!$J$23*'Inputs-Proposals'!$J$25*(VLOOKUP(AN$3,'Non-Embedded Emissions'!$A$56:$D$90,2,FALSE)-VLOOKUP(AN$3,'Non-Embedded Emissions'!$F$57:$H$88,2,FALSE)+VLOOKUP(AN$3,'Non-Embedded Emissions'!$A$143:$D$174,2,FALSE)-VLOOKUP(AN$3,'Non-Embedded Emissions'!$F$143:$H$174,2,FALSE)+VLOOKUP(AN$3,'Non-Embedded Emissions'!$A$230:$D$259,2,FALSE)), $C51 = "3", 'Inputs-System'!$C$30*'Coincidence Factors'!$B$9*'Inputs-Proposals'!$J$29*'Inputs-Proposals'!$J$31*(VLOOKUP(AN$3,'Non-Embedded Emissions'!$A$56:$D$90,2,FALSE)-VLOOKUP(AN$3,'Non-Embedded Emissions'!$F$57:$H$88,2,FALSE)+VLOOKUP(AN$3,'Non-Embedded Emissions'!$A$143:$D$174,2,FALSE)-VLOOKUP(AN$3,'Non-Embedded Emissions'!$F$143:$H$174,2,FALSE)+VLOOKUP(AN$3,'Non-Embedded Emissions'!$A$230:$D$259,2,FALSE)), $C51 = "0", 0), 0)</f>
        <v>0</v>
      </c>
      <c r="AT51" s="45">
        <f>IFERROR(_xlfn.IFS($C51="1",('Inputs-System'!$C$30*'Coincidence Factors'!$B$9*(1+'Inputs-System'!$C$18)*(1+'Inputs-System'!$C$41)*('Inputs-Proposals'!$J$17*'Inputs-Proposals'!$J$19*(1-'Inputs-Proposals'!$J$20^(AT$3-'Inputs-System'!$C$7)))*(VLOOKUP(AT$3,Energy!$A$51:$K$83,5,FALSE))), $C51 = "2",('Inputs-System'!$C$30*'Coincidence Factors'!$B$9)*(1+'Inputs-System'!$C$18)*(1+'Inputs-System'!$C$41)*('Inputs-Proposals'!$J$23*'Inputs-Proposals'!$J$25*(1-'Inputs-Proposals'!$J$26^(AT$3-'Inputs-System'!$C$7)))*(VLOOKUP(AT$3,Energy!$A$51:$K$83,5,FALSE)), $C51= "3", ('Inputs-System'!$C$30*'Coincidence Factors'!$B$9*(1+'Inputs-System'!$C$18)*(1+'Inputs-System'!$C$41)*('Inputs-Proposals'!$J$29*'Inputs-Proposals'!$J$31*(1-'Inputs-Proposals'!$J$32^(AT$3-'Inputs-System'!$C$7)))*(VLOOKUP(AT$3,Energy!$A$51:$K$83,5,FALSE))), $C51= "0", 0), 0)</f>
        <v>0</v>
      </c>
      <c r="AU51" s="44">
        <f>IFERROR(_xlfn.IFS($C51="1",('Inputs-System'!$C$30*'Coincidence Factors'!$B$9*(1+'Inputs-System'!$C$18)*(1+'Inputs-System'!$C$41))*'Inputs-Proposals'!$J$17*'Inputs-Proposals'!$J$19*(1-'Inputs-Proposals'!$J$20^(AT$3-'Inputs-System'!$C$7))*(VLOOKUP(AT$3,'Embedded Emissions'!$A$47:$B$78,2,FALSE)+VLOOKUP(AT$3,'Embedded Emissions'!$A$129:$B$158,2,FALSE)), $C51 = "2",('Inputs-System'!$C$30*'Coincidence Factors'!$B$9*(1+'Inputs-System'!$C$18)*(1+'Inputs-System'!$C$41))*'Inputs-Proposals'!$J$23*'Inputs-Proposals'!$J$25*(1-'Inputs-Proposals'!$J$20^(AT$3-'Inputs-System'!$C$7))*(VLOOKUP(AT$3,'Embedded Emissions'!$A$47:$B$78,2,FALSE)+VLOOKUP(AT$3,'Embedded Emissions'!$A$129:$B$158,2,FALSE)), $C51 = "3", ('Inputs-System'!$C$30*'Coincidence Factors'!$B$9*(1+'Inputs-System'!$C$18)*(1+'Inputs-System'!$C$41))*'Inputs-Proposals'!$J$29*'Inputs-Proposals'!$J$31*(1-'Inputs-Proposals'!$J$20^(AT$3-'Inputs-System'!$C$7))*(VLOOKUP(AT$3,'Embedded Emissions'!$A$47:$B$78,2,FALSE)+VLOOKUP(AT$3,'Embedded Emissions'!$A$129:$B$158,2,FALSE)), $C51 = "0", 0), 0)</f>
        <v>0</v>
      </c>
      <c r="AV51" s="44">
        <f>IFERROR(_xlfn.IFS($C51="1",( 'Inputs-System'!$C$30*'Coincidence Factors'!$B$9*(1+'Inputs-System'!$C$18)*(1+'Inputs-System'!$C$41))*('Inputs-Proposals'!$J$17*'Inputs-Proposals'!$J$19*(1-'Inputs-Proposals'!$J$20)^(AT$3-'Inputs-System'!$C$7))*(VLOOKUP(AT$3,DRIPE!$A$54:$I$82,5,FALSE)+VLOOKUP(AT$3,DRIPE!$A$54:$I$82,9,FALSE))+ ('Inputs-System'!$C$26*'Coincidence Factors'!$B$6*(1+'Inputs-System'!$C$18)*(1+'Inputs-System'!$C$42))*'Inputs-Proposals'!$J$16*VLOOKUP(AT$3,DRIPE!$A$54:$I$82,8,FALSE), $C51 = "2",( 'Inputs-System'!$C$30*'Coincidence Factors'!$B$9*(1+'Inputs-System'!$C$18)*(1+'Inputs-System'!$C$41))*('Inputs-Proposals'!$J$23*'Inputs-Proposals'!$J$25*(1-'Inputs-Proposals'!$J$26)^(AT$3-'Inputs-System'!$C$7))*(VLOOKUP(AT$3,DRIPE!$A$54:$I$82,5,FALSE)+VLOOKUP(AT$3,DRIPE!$A$54:$I$82,9,FALSE))+ ('Inputs-System'!$C$26*'Coincidence Factors'!$B$6*(1+'Inputs-System'!$C$18)*(1+'Inputs-System'!$C$42))*'Inputs-Proposals'!$J$22*VLOOKUP(AT$3,DRIPE!$A$54:$I$82,8,FALSE), $C51= "3", ( 'Inputs-System'!$C$30*'Coincidence Factors'!$B$9*(1+'Inputs-System'!$C$18)*(1+'Inputs-System'!$C$41))*('Inputs-Proposals'!$J$29*'Inputs-Proposals'!$J$31*(1-'Inputs-Proposals'!$J$32)^(AT$3-'Inputs-System'!$C$7))*(VLOOKUP(AT$3,DRIPE!$A$54:$I$82,5,FALSE)+VLOOKUP(AT$3,DRIPE!$A$54:$I$82,9,FALSE))+ ('Inputs-System'!$C$26*'Coincidence Factors'!$B$6*(1+'Inputs-System'!$C$18)*(1+'Inputs-System'!$C$42))*'Inputs-Proposals'!$J$28*VLOOKUP(AT$3,DRIPE!$A$54:$I$82,8,FALSE), $C51 = "0", 0), 0)</f>
        <v>0</v>
      </c>
      <c r="AW51" s="45">
        <f>IFERROR(_xlfn.IFS($C51="1",('Inputs-System'!$C$26*'Coincidence Factors'!$B$9*(1+'Inputs-System'!$C$18)*(1+'Inputs-System'!$C$42))*'Inputs-Proposals'!$D$16*(VLOOKUP(AT$3,Capacity!$A$53:$E$85,4,FALSE)*(1+'Inputs-System'!$C$42)+VLOOKUP(AT$3,Capacity!$A$53:$E$85,5,FALSE)*(1+'Inputs-System'!$C$43)*'Inputs-System'!$C$29), $C51 = "2", ('Inputs-System'!$C$26*'Coincidence Factors'!$B$9*(1+'Inputs-System'!$C$18))*'Inputs-Proposals'!$D$22*(VLOOKUP(AT$3,Capacity!$A$53:$E$85,4,FALSE)*(1+'Inputs-System'!$C$42)+VLOOKUP(AT$3,Capacity!$A$53:$E$85,5,FALSE)*'Inputs-System'!$C$29*(1+'Inputs-System'!$C$43)), $C51 = "3", ('Inputs-System'!$C$26*'Coincidence Factors'!$B$9*(1+'Inputs-System'!$C$18))*'Inputs-Proposals'!$D$28*(VLOOKUP(AT$3,Capacity!$A$53:$E$85,4,FALSE)*(1+'Inputs-System'!$C$42)+VLOOKUP(AT$3,Capacity!$A$53:$E$85,5,FALSE)*'Inputs-System'!$C$29*(1+'Inputs-System'!$C$43)), $C51 = "0", 0), 0)</f>
        <v>0</v>
      </c>
      <c r="AX51" s="44">
        <v>0</v>
      </c>
      <c r="AY51" s="342">
        <f>IFERROR(_xlfn.IFS($C51="1", 'Inputs-System'!$C$30*'Coincidence Factors'!$B$9*'Inputs-Proposals'!$J$17*'Inputs-Proposals'!$J$19*(VLOOKUP(AT$3,'Non-Embedded Emissions'!$A$56:$D$90,2,FALSE)-VLOOKUP(AT$3,'Non-Embedded Emissions'!$F$57:$H$88,2,FALSE)+VLOOKUP(AT$3,'Non-Embedded Emissions'!$A$143:$D$174,2,FALSE)-VLOOKUP(AT$3,'Non-Embedded Emissions'!$F$143:$H$174,2,FALSE)+VLOOKUP(AT$3,'Non-Embedded Emissions'!$A$230:$D$259,2,FALSE)), $C51 = "2", 'Inputs-System'!$C$30*'Coincidence Factors'!$B$9*'Inputs-Proposals'!$J$23*'Inputs-Proposals'!$J$25*(VLOOKUP(AT$3,'Non-Embedded Emissions'!$A$56:$D$90,2,FALSE)-VLOOKUP(AT$3,'Non-Embedded Emissions'!$F$57:$H$88,2,FALSE)+VLOOKUP(AT$3,'Non-Embedded Emissions'!$A$143:$D$174,2,FALSE)-VLOOKUP(AT$3,'Non-Embedded Emissions'!$F$143:$H$174,2,FALSE)+VLOOKUP(AT$3,'Non-Embedded Emissions'!$A$230:$D$259,2,FALSE)), $C51 = "3", 'Inputs-System'!$C$30*'Coincidence Factors'!$B$9*'Inputs-Proposals'!$J$29*'Inputs-Proposals'!$J$31*(VLOOKUP(AT$3,'Non-Embedded Emissions'!$A$56:$D$90,2,FALSE)-VLOOKUP(AT$3,'Non-Embedded Emissions'!$F$57:$H$88,2,FALSE)+VLOOKUP(AT$3,'Non-Embedded Emissions'!$A$143:$D$174,2,FALSE)-VLOOKUP(AT$3,'Non-Embedded Emissions'!$F$143:$H$174,2,FALSE)+VLOOKUP(AT$3,'Non-Embedded Emissions'!$A$230:$D$259,2,FALSE)), $C51 = "0", 0), 0)</f>
        <v>0</v>
      </c>
      <c r="AZ51" s="45">
        <f>IFERROR(_xlfn.IFS($C51="1",('Inputs-System'!$C$30*'Coincidence Factors'!$B$9*(1+'Inputs-System'!$C$18)*(1+'Inputs-System'!$C$41)*('Inputs-Proposals'!$J$17*'Inputs-Proposals'!$J$19*(1-'Inputs-Proposals'!$J$20^(AZ$3-'Inputs-System'!$C$7)))*(VLOOKUP(AZ$3,Energy!$A$51:$K$83,5,FALSE))), $C51 = "2",('Inputs-System'!$C$30*'Coincidence Factors'!$B$9)*(1+'Inputs-System'!$C$18)*(1+'Inputs-System'!$C$41)*('Inputs-Proposals'!$J$23*'Inputs-Proposals'!$J$25*(1-'Inputs-Proposals'!$J$26^(AZ$3-'Inputs-System'!$C$7)))*(VLOOKUP(AZ$3,Energy!$A$51:$K$83,5,FALSE)), $C51= "3", ('Inputs-System'!$C$30*'Coincidence Factors'!$B$9*(1+'Inputs-System'!$C$18)*(1+'Inputs-System'!$C$41)*('Inputs-Proposals'!$J$29*'Inputs-Proposals'!$J$31*(1-'Inputs-Proposals'!$J$32^(AZ$3-'Inputs-System'!$C$7)))*(VLOOKUP(AZ$3,Energy!$A$51:$K$83,5,FALSE))), $C51= "0", 0), 0)</f>
        <v>0</v>
      </c>
      <c r="BA51" s="44">
        <f>IFERROR(_xlfn.IFS($C51="1",('Inputs-System'!$C$30*'Coincidence Factors'!$B$9*(1+'Inputs-System'!$C$18)*(1+'Inputs-System'!$C$41))*'Inputs-Proposals'!$J$17*'Inputs-Proposals'!$J$19*(1-'Inputs-Proposals'!$J$20^(AZ$3-'Inputs-System'!$C$7))*(VLOOKUP(AZ$3,'Embedded Emissions'!$A$47:$B$78,2,FALSE)+VLOOKUP(AZ$3,'Embedded Emissions'!$A$129:$B$158,2,FALSE)), $C51 = "2",('Inputs-System'!$C$30*'Coincidence Factors'!$B$9*(1+'Inputs-System'!$C$18)*(1+'Inputs-System'!$C$41))*'Inputs-Proposals'!$J$23*'Inputs-Proposals'!$J$25*(1-'Inputs-Proposals'!$J$20^(AZ$3-'Inputs-System'!$C$7))*(VLOOKUP(AZ$3,'Embedded Emissions'!$A$47:$B$78,2,FALSE)+VLOOKUP(AZ$3,'Embedded Emissions'!$A$129:$B$158,2,FALSE)), $C51 = "3", ('Inputs-System'!$C$30*'Coincidence Factors'!$B$9*(1+'Inputs-System'!$C$18)*(1+'Inputs-System'!$C$41))*'Inputs-Proposals'!$J$29*'Inputs-Proposals'!$J$31*(1-'Inputs-Proposals'!$J$20^(AZ$3-'Inputs-System'!$C$7))*(VLOOKUP(AZ$3,'Embedded Emissions'!$A$47:$B$78,2,FALSE)+VLOOKUP(AZ$3,'Embedded Emissions'!$A$129:$B$158,2,FALSE)), $C51 = "0", 0), 0)</f>
        <v>0</v>
      </c>
      <c r="BB51" s="44">
        <f>IFERROR(_xlfn.IFS($C51="1",( 'Inputs-System'!$C$30*'Coincidence Factors'!$B$9*(1+'Inputs-System'!$C$18)*(1+'Inputs-System'!$C$41))*('Inputs-Proposals'!$J$17*'Inputs-Proposals'!$J$19*(1-'Inputs-Proposals'!$J$20)^(AZ$3-'Inputs-System'!$C$7))*(VLOOKUP(AZ$3,DRIPE!$A$54:$I$82,5,FALSE)+VLOOKUP(AZ$3,DRIPE!$A$54:$I$82,9,FALSE))+ ('Inputs-System'!$C$26*'Coincidence Factors'!$B$6*(1+'Inputs-System'!$C$18)*(1+'Inputs-System'!$C$42))*'Inputs-Proposals'!$J$16*VLOOKUP(AZ$3,DRIPE!$A$54:$I$82,8,FALSE), $C51 = "2",( 'Inputs-System'!$C$30*'Coincidence Factors'!$B$9*(1+'Inputs-System'!$C$18)*(1+'Inputs-System'!$C$41))*('Inputs-Proposals'!$J$23*'Inputs-Proposals'!$J$25*(1-'Inputs-Proposals'!$J$26)^(AZ$3-'Inputs-System'!$C$7))*(VLOOKUP(AZ$3,DRIPE!$A$54:$I$82,5,FALSE)+VLOOKUP(AZ$3,DRIPE!$A$54:$I$82,9,FALSE))+ ('Inputs-System'!$C$26*'Coincidence Factors'!$B$6*(1+'Inputs-System'!$C$18)*(1+'Inputs-System'!$C$42))*'Inputs-Proposals'!$J$22*VLOOKUP(AZ$3,DRIPE!$A$54:$I$82,8,FALSE), $C51= "3", ( 'Inputs-System'!$C$30*'Coincidence Factors'!$B$9*(1+'Inputs-System'!$C$18)*(1+'Inputs-System'!$C$41))*('Inputs-Proposals'!$J$29*'Inputs-Proposals'!$J$31*(1-'Inputs-Proposals'!$J$32)^(AZ$3-'Inputs-System'!$C$7))*(VLOOKUP(AZ$3,DRIPE!$A$54:$I$82,5,FALSE)+VLOOKUP(AZ$3,DRIPE!$A$54:$I$82,9,FALSE))+ ('Inputs-System'!$C$26*'Coincidence Factors'!$B$6*(1+'Inputs-System'!$C$18)*(1+'Inputs-System'!$C$42))*'Inputs-Proposals'!$J$28*VLOOKUP(AZ$3,DRIPE!$A$54:$I$82,8,FALSE), $C51 = "0", 0), 0)</f>
        <v>0</v>
      </c>
      <c r="BC51" s="45">
        <f>IFERROR(_xlfn.IFS($C51="1",('Inputs-System'!$C$26*'Coincidence Factors'!$B$9*(1+'Inputs-System'!$C$18)*(1+'Inputs-System'!$C$42))*'Inputs-Proposals'!$D$16*(VLOOKUP(AZ$3,Capacity!$A$53:$E$85,4,FALSE)*(1+'Inputs-System'!$C$42)+VLOOKUP(AZ$3,Capacity!$A$53:$E$85,5,FALSE)*(1+'Inputs-System'!$C$43)*'Inputs-System'!$C$29), $C51 = "2", ('Inputs-System'!$C$26*'Coincidence Factors'!$B$9*(1+'Inputs-System'!$C$18))*'Inputs-Proposals'!$D$22*(VLOOKUP(AZ$3,Capacity!$A$53:$E$85,4,FALSE)*(1+'Inputs-System'!$C$42)+VLOOKUP(AZ$3,Capacity!$A$53:$E$85,5,FALSE)*'Inputs-System'!$C$29*(1+'Inputs-System'!$C$43)), $C51 = "3", ('Inputs-System'!$C$26*'Coincidence Factors'!$B$9*(1+'Inputs-System'!$C$18))*'Inputs-Proposals'!$D$28*(VLOOKUP(AZ$3,Capacity!$A$53:$E$85,4,FALSE)*(1+'Inputs-System'!$C$42)+VLOOKUP(AZ$3,Capacity!$A$53:$E$85,5,FALSE)*'Inputs-System'!$C$29*(1+'Inputs-System'!$C$43)), $C51 = "0", 0), 0)</f>
        <v>0</v>
      </c>
      <c r="BD51" s="44">
        <v>0</v>
      </c>
      <c r="BE51" s="342">
        <f>IFERROR(_xlfn.IFS($C51="1", 'Inputs-System'!$C$30*'Coincidence Factors'!$B$9*'Inputs-Proposals'!$J$17*'Inputs-Proposals'!$J$19*(VLOOKUP(AZ$3,'Non-Embedded Emissions'!$A$56:$D$90,2,FALSE)-VLOOKUP(AZ$3,'Non-Embedded Emissions'!$F$57:$H$88,2,FALSE)+VLOOKUP(AZ$3,'Non-Embedded Emissions'!$A$143:$D$174,2,FALSE)-VLOOKUP(AZ$3,'Non-Embedded Emissions'!$F$143:$H$174,2,FALSE)+VLOOKUP(AZ$3,'Non-Embedded Emissions'!$A$230:$D$259,2,FALSE)), $C51 = "2", 'Inputs-System'!$C$30*'Coincidence Factors'!$B$9*'Inputs-Proposals'!$J$23*'Inputs-Proposals'!$J$25*(VLOOKUP(AZ$3,'Non-Embedded Emissions'!$A$56:$D$90,2,FALSE)-VLOOKUP(AZ$3,'Non-Embedded Emissions'!$F$57:$H$88,2,FALSE)+VLOOKUP(AZ$3,'Non-Embedded Emissions'!$A$143:$D$174,2,FALSE)-VLOOKUP(AZ$3,'Non-Embedded Emissions'!$F$143:$H$174,2,FALSE)+VLOOKUP(AZ$3,'Non-Embedded Emissions'!$A$230:$D$259,2,FALSE)), $C51 = "3", 'Inputs-System'!$C$30*'Coincidence Factors'!$B$9*'Inputs-Proposals'!$J$29*'Inputs-Proposals'!$J$31*(VLOOKUP(AZ$3,'Non-Embedded Emissions'!$A$56:$D$90,2,FALSE)-VLOOKUP(AZ$3,'Non-Embedded Emissions'!$F$57:$H$88,2,FALSE)+VLOOKUP(AZ$3,'Non-Embedded Emissions'!$A$143:$D$174,2,FALSE)-VLOOKUP(AZ$3,'Non-Embedded Emissions'!$F$143:$H$174,2,FALSE)+VLOOKUP(AZ$3,'Non-Embedded Emissions'!$A$230:$D$259,2,FALSE)), $C51 = "0", 0), 0)</f>
        <v>0</v>
      </c>
      <c r="BF51" s="45">
        <f>IFERROR(_xlfn.IFS($C51="1",('Inputs-System'!$C$30*'Coincidence Factors'!$B$9*(1+'Inputs-System'!$C$18)*(1+'Inputs-System'!$C$41)*('Inputs-Proposals'!$J$17*'Inputs-Proposals'!$J$19*(1-'Inputs-Proposals'!$J$20^(BF$3-'Inputs-System'!$C$7)))*(VLOOKUP(BF$3,Energy!$A$51:$K$83,5,FALSE))), $C51 = "2",('Inputs-System'!$C$30*'Coincidence Factors'!$B$9)*(1+'Inputs-System'!$C$18)*(1+'Inputs-System'!$C$41)*('Inputs-Proposals'!$J$23*'Inputs-Proposals'!$J$25*(1-'Inputs-Proposals'!$J$26^(BF$3-'Inputs-System'!$C$7)))*(VLOOKUP(BF$3,Energy!$A$51:$K$83,5,FALSE)), $C51= "3", ('Inputs-System'!$C$30*'Coincidence Factors'!$B$9*(1+'Inputs-System'!$C$18)*(1+'Inputs-System'!$C$41)*('Inputs-Proposals'!$J$29*'Inputs-Proposals'!$J$31*(1-'Inputs-Proposals'!$J$32^(BF$3-'Inputs-System'!$C$7)))*(VLOOKUP(BF$3,Energy!$A$51:$K$83,5,FALSE))), $C51= "0", 0), 0)</f>
        <v>0</v>
      </c>
      <c r="BG51" s="44">
        <f>IFERROR(_xlfn.IFS($C51="1",('Inputs-System'!$C$30*'Coincidence Factors'!$B$9*(1+'Inputs-System'!$C$18)*(1+'Inputs-System'!$C$41))*'Inputs-Proposals'!$J$17*'Inputs-Proposals'!$J$19*(1-'Inputs-Proposals'!$J$20^(BF$3-'Inputs-System'!$C$7))*(VLOOKUP(BF$3,'Embedded Emissions'!$A$47:$B$78,2,FALSE)+VLOOKUP(BF$3,'Embedded Emissions'!$A$129:$B$158,2,FALSE)), $C51 = "2",('Inputs-System'!$C$30*'Coincidence Factors'!$B$9*(1+'Inputs-System'!$C$18)*(1+'Inputs-System'!$C$41))*'Inputs-Proposals'!$J$23*'Inputs-Proposals'!$J$25*(1-'Inputs-Proposals'!$J$20^(BF$3-'Inputs-System'!$C$7))*(VLOOKUP(BF$3,'Embedded Emissions'!$A$47:$B$78,2,FALSE)+VLOOKUP(BF$3,'Embedded Emissions'!$A$129:$B$158,2,FALSE)), $C51 = "3", ('Inputs-System'!$C$30*'Coincidence Factors'!$B$9*(1+'Inputs-System'!$C$18)*(1+'Inputs-System'!$C$41))*'Inputs-Proposals'!$J$29*'Inputs-Proposals'!$J$31*(1-'Inputs-Proposals'!$J$20^(BF$3-'Inputs-System'!$C$7))*(VLOOKUP(BF$3,'Embedded Emissions'!$A$47:$B$78,2,FALSE)+VLOOKUP(BF$3,'Embedded Emissions'!$A$129:$B$158,2,FALSE)), $C51 = "0", 0), 0)</f>
        <v>0</v>
      </c>
      <c r="BH51" s="44">
        <f>IFERROR(_xlfn.IFS($C51="1",( 'Inputs-System'!$C$30*'Coincidence Factors'!$B$9*(1+'Inputs-System'!$C$18)*(1+'Inputs-System'!$C$41))*('Inputs-Proposals'!$J$17*'Inputs-Proposals'!$J$19*(1-'Inputs-Proposals'!$J$20)^(BF$3-'Inputs-System'!$C$7))*(VLOOKUP(BF$3,DRIPE!$A$54:$I$82,5,FALSE)+VLOOKUP(BF$3,DRIPE!$A$54:$I$82,9,FALSE))+ ('Inputs-System'!$C$26*'Coincidence Factors'!$B$6*(1+'Inputs-System'!$C$18)*(1+'Inputs-System'!$C$42))*'Inputs-Proposals'!$J$16*VLOOKUP(BF$3,DRIPE!$A$54:$I$82,8,FALSE), $C51 = "2",( 'Inputs-System'!$C$30*'Coincidence Factors'!$B$9*(1+'Inputs-System'!$C$18)*(1+'Inputs-System'!$C$41))*('Inputs-Proposals'!$J$23*'Inputs-Proposals'!$J$25*(1-'Inputs-Proposals'!$J$26)^(BF$3-'Inputs-System'!$C$7))*(VLOOKUP(BF$3,DRIPE!$A$54:$I$82,5,FALSE)+VLOOKUP(BF$3,DRIPE!$A$54:$I$82,9,FALSE))+ ('Inputs-System'!$C$26*'Coincidence Factors'!$B$6*(1+'Inputs-System'!$C$18)*(1+'Inputs-System'!$C$42))*'Inputs-Proposals'!$J$22*VLOOKUP(BF$3,DRIPE!$A$54:$I$82,8,FALSE), $C51= "3", ( 'Inputs-System'!$C$30*'Coincidence Factors'!$B$9*(1+'Inputs-System'!$C$18)*(1+'Inputs-System'!$C$41))*('Inputs-Proposals'!$J$29*'Inputs-Proposals'!$J$31*(1-'Inputs-Proposals'!$J$32)^(BF$3-'Inputs-System'!$C$7))*(VLOOKUP(BF$3,DRIPE!$A$54:$I$82,5,FALSE)+VLOOKUP(BF$3,DRIPE!$A$54:$I$82,9,FALSE))+ ('Inputs-System'!$C$26*'Coincidence Factors'!$B$6*(1+'Inputs-System'!$C$18)*(1+'Inputs-System'!$C$42))*'Inputs-Proposals'!$J$28*VLOOKUP(BF$3,DRIPE!$A$54:$I$82,8,FALSE), $C51 = "0", 0), 0)</f>
        <v>0</v>
      </c>
      <c r="BI51" s="45">
        <f>IFERROR(_xlfn.IFS($C51="1",('Inputs-System'!$C$26*'Coincidence Factors'!$B$9*(1+'Inputs-System'!$C$18)*(1+'Inputs-System'!$C$42))*'Inputs-Proposals'!$D$16*(VLOOKUP(BF$3,Capacity!$A$53:$E$85,4,FALSE)*(1+'Inputs-System'!$C$42)+VLOOKUP(BF$3,Capacity!$A$53:$E$85,5,FALSE)*(1+'Inputs-System'!$C$43)*'Inputs-System'!$C$29), $C51 = "2", ('Inputs-System'!$C$26*'Coincidence Factors'!$B$9*(1+'Inputs-System'!$C$18))*'Inputs-Proposals'!$D$22*(VLOOKUP(BF$3,Capacity!$A$53:$E$85,4,FALSE)*(1+'Inputs-System'!$C$42)+VLOOKUP(BF$3,Capacity!$A$53:$E$85,5,FALSE)*'Inputs-System'!$C$29*(1+'Inputs-System'!$C$43)), $C51 = "3", ('Inputs-System'!$C$26*'Coincidence Factors'!$B$9*(1+'Inputs-System'!$C$18))*'Inputs-Proposals'!$D$28*(VLOOKUP(BF$3,Capacity!$A$53:$E$85,4,FALSE)*(1+'Inputs-System'!$C$42)+VLOOKUP(BF$3,Capacity!$A$53:$E$85,5,FALSE)*'Inputs-System'!$C$29*(1+'Inputs-System'!$C$43)), $C51 = "0", 0), 0)</f>
        <v>0</v>
      </c>
      <c r="BJ51" s="44">
        <v>0</v>
      </c>
      <c r="BK51" s="342">
        <f>IFERROR(_xlfn.IFS($C51="1", 'Inputs-System'!$C$30*'Coincidence Factors'!$B$9*'Inputs-Proposals'!$J$17*'Inputs-Proposals'!$J$19*(VLOOKUP(BF$3,'Non-Embedded Emissions'!$A$56:$D$90,2,FALSE)-VLOOKUP(BF$3,'Non-Embedded Emissions'!$F$57:$H$88,2,FALSE)+VLOOKUP(BF$3,'Non-Embedded Emissions'!$A$143:$D$174,2,FALSE)-VLOOKUP(BF$3,'Non-Embedded Emissions'!$F$143:$H$174,2,FALSE)+VLOOKUP(BF$3,'Non-Embedded Emissions'!$A$230:$D$259,2,FALSE)), $C51 = "2", 'Inputs-System'!$C$30*'Coincidence Factors'!$B$9*'Inputs-Proposals'!$J$23*'Inputs-Proposals'!$J$25*(VLOOKUP(BF$3,'Non-Embedded Emissions'!$A$56:$D$90,2,FALSE)-VLOOKUP(BF$3,'Non-Embedded Emissions'!$F$57:$H$88,2,FALSE)+VLOOKUP(BF$3,'Non-Embedded Emissions'!$A$143:$D$174,2,FALSE)-VLOOKUP(BF$3,'Non-Embedded Emissions'!$F$143:$H$174,2,FALSE)+VLOOKUP(BF$3,'Non-Embedded Emissions'!$A$230:$D$259,2,FALSE)), $C51 = "3", 'Inputs-System'!$C$30*'Coincidence Factors'!$B$9*'Inputs-Proposals'!$J$29*'Inputs-Proposals'!$J$31*(VLOOKUP(BF$3,'Non-Embedded Emissions'!$A$56:$D$90,2,FALSE)-VLOOKUP(BF$3,'Non-Embedded Emissions'!$F$57:$H$88,2,FALSE)+VLOOKUP(BF$3,'Non-Embedded Emissions'!$A$143:$D$174,2,FALSE)-VLOOKUP(BF$3,'Non-Embedded Emissions'!$F$143:$H$174,2,FALSE)+VLOOKUP(BF$3,'Non-Embedded Emissions'!$A$230:$D$259,2,FALSE)), $C51 = "0", 0), 0)</f>
        <v>0</v>
      </c>
      <c r="BL51" s="45">
        <f>IFERROR(_xlfn.IFS($C51="1",('Inputs-System'!$C$30*'Coincidence Factors'!$B$9*(1+'Inputs-System'!$C$18)*(1+'Inputs-System'!$C$41)*('Inputs-Proposals'!$J$17*'Inputs-Proposals'!$J$19*(1-'Inputs-Proposals'!$J$20^(BL$3-'Inputs-System'!$C$7)))*(VLOOKUP(BL$3,Energy!$A$51:$K$83,5,FALSE))), $C51 = "2",('Inputs-System'!$C$30*'Coincidence Factors'!$B$9)*(1+'Inputs-System'!$C$18)*(1+'Inputs-System'!$C$41)*('Inputs-Proposals'!$J$23*'Inputs-Proposals'!$J$25*(1-'Inputs-Proposals'!$J$26^(BL$3-'Inputs-System'!$C$7)))*(VLOOKUP(BL$3,Energy!$A$51:$K$83,5,FALSE)), $C51= "3", ('Inputs-System'!$C$30*'Coincidence Factors'!$B$9*(1+'Inputs-System'!$C$18)*(1+'Inputs-System'!$C$41)*('Inputs-Proposals'!$J$29*'Inputs-Proposals'!$J$31*(1-'Inputs-Proposals'!$J$32^(BL$3-'Inputs-System'!$C$7)))*(VLOOKUP(BL$3,Energy!$A$51:$K$83,5,FALSE))), $C51= "0", 0), 0)</f>
        <v>0</v>
      </c>
      <c r="BM51" s="44">
        <f>IFERROR(_xlfn.IFS($C51="1",('Inputs-System'!$C$30*'Coincidence Factors'!$B$9*(1+'Inputs-System'!$C$18)*(1+'Inputs-System'!$C$41))*'Inputs-Proposals'!$J$17*'Inputs-Proposals'!$J$19*(1-'Inputs-Proposals'!$J$20^(BL$3-'Inputs-System'!$C$7))*(VLOOKUP(BL$3,'Embedded Emissions'!$A$47:$B$78,2,FALSE)+VLOOKUP(BL$3,'Embedded Emissions'!$A$129:$B$158,2,FALSE)), $C51 = "2",('Inputs-System'!$C$30*'Coincidence Factors'!$B$9*(1+'Inputs-System'!$C$18)*(1+'Inputs-System'!$C$41))*'Inputs-Proposals'!$J$23*'Inputs-Proposals'!$J$25*(1-'Inputs-Proposals'!$J$20^(BL$3-'Inputs-System'!$C$7))*(VLOOKUP(BL$3,'Embedded Emissions'!$A$47:$B$78,2,FALSE)+VLOOKUP(BL$3,'Embedded Emissions'!$A$129:$B$158,2,FALSE)), $C51 = "3", ('Inputs-System'!$C$30*'Coincidence Factors'!$B$9*(1+'Inputs-System'!$C$18)*(1+'Inputs-System'!$C$41))*'Inputs-Proposals'!$J$29*'Inputs-Proposals'!$J$31*(1-'Inputs-Proposals'!$J$20^(BL$3-'Inputs-System'!$C$7))*(VLOOKUP(BL$3,'Embedded Emissions'!$A$47:$B$78,2,FALSE)+VLOOKUP(BL$3,'Embedded Emissions'!$A$129:$B$158,2,FALSE)), $C51 = "0", 0), 0)</f>
        <v>0</v>
      </c>
      <c r="BN51" s="44">
        <f>IFERROR(_xlfn.IFS($C51="1",( 'Inputs-System'!$C$30*'Coincidence Factors'!$B$9*(1+'Inputs-System'!$C$18)*(1+'Inputs-System'!$C$41))*('Inputs-Proposals'!$J$17*'Inputs-Proposals'!$J$19*(1-'Inputs-Proposals'!$J$20)^(BL$3-'Inputs-System'!$C$7))*(VLOOKUP(BL$3,DRIPE!$A$54:$I$82,5,FALSE)+VLOOKUP(BL$3,DRIPE!$A$54:$I$82,9,FALSE))+ ('Inputs-System'!$C$26*'Coincidence Factors'!$B$6*(1+'Inputs-System'!$C$18)*(1+'Inputs-System'!$C$42))*'Inputs-Proposals'!$J$16*VLOOKUP(BL$3,DRIPE!$A$54:$I$82,8,FALSE), $C51 = "2",( 'Inputs-System'!$C$30*'Coincidence Factors'!$B$9*(1+'Inputs-System'!$C$18)*(1+'Inputs-System'!$C$41))*('Inputs-Proposals'!$J$23*'Inputs-Proposals'!$J$25*(1-'Inputs-Proposals'!$J$26)^(BL$3-'Inputs-System'!$C$7))*(VLOOKUP(BL$3,DRIPE!$A$54:$I$82,5,FALSE)+VLOOKUP(BL$3,DRIPE!$A$54:$I$82,9,FALSE))+ ('Inputs-System'!$C$26*'Coincidence Factors'!$B$6*(1+'Inputs-System'!$C$18)*(1+'Inputs-System'!$C$42))*'Inputs-Proposals'!$J$22*VLOOKUP(BL$3,DRIPE!$A$54:$I$82,8,FALSE), $C51= "3", ( 'Inputs-System'!$C$30*'Coincidence Factors'!$B$9*(1+'Inputs-System'!$C$18)*(1+'Inputs-System'!$C$41))*('Inputs-Proposals'!$J$29*'Inputs-Proposals'!$J$31*(1-'Inputs-Proposals'!$J$32)^(BL$3-'Inputs-System'!$C$7))*(VLOOKUP(BL$3,DRIPE!$A$54:$I$82,5,FALSE)+VLOOKUP(BL$3,DRIPE!$A$54:$I$82,9,FALSE))+ ('Inputs-System'!$C$26*'Coincidence Factors'!$B$6*(1+'Inputs-System'!$C$18)*(1+'Inputs-System'!$C$42))*'Inputs-Proposals'!$J$28*VLOOKUP(BL$3,DRIPE!$A$54:$I$82,8,FALSE), $C51 = "0", 0), 0)</f>
        <v>0</v>
      </c>
      <c r="BO51" s="45">
        <f>IFERROR(_xlfn.IFS($C51="1",('Inputs-System'!$C$26*'Coincidence Factors'!$B$9*(1+'Inputs-System'!$C$18)*(1+'Inputs-System'!$C$42))*'Inputs-Proposals'!$D$16*(VLOOKUP(BL$3,Capacity!$A$53:$E$85,4,FALSE)*(1+'Inputs-System'!$C$42)+VLOOKUP(BL$3,Capacity!$A$53:$E$85,5,FALSE)*(1+'Inputs-System'!$C$43)*'Inputs-System'!$C$29), $C51 = "2", ('Inputs-System'!$C$26*'Coincidence Factors'!$B$9*(1+'Inputs-System'!$C$18))*'Inputs-Proposals'!$D$22*(VLOOKUP(BL$3,Capacity!$A$53:$E$85,4,FALSE)*(1+'Inputs-System'!$C$42)+VLOOKUP(BL$3,Capacity!$A$53:$E$85,5,FALSE)*'Inputs-System'!$C$29*(1+'Inputs-System'!$C$43)), $C51 = "3", ('Inputs-System'!$C$26*'Coincidence Factors'!$B$9*(1+'Inputs-System'!$C$18))*'Inputs-Proposals'!$D$28*(VLOOKUP(BL$3,Capacity!$A$53:$E$85,4,FALSE)*(1+'Inputs-System'!$C$42)+VLOOKUP(BL$3,Capacity!$A$53:$E$85,5,FALSE)*'Inputs-System'!$C$29*(1+'Inputs-System'!$C$43)), $C51 = "0", 0), 0)</f>
        <v>0</v>
      </c>
      <c r="BP51" s="44">
        <v>0</v>
      </c>
      <c r="BQ51" s="342">
        <f>IFERROR(_xlfn.IFS($C51="1", 'Inputs-System'!$C$30*'Coincidence Factors'!$B$9*'Inputs-Proposals'!$J$17*'Inputs-Proposals'!$J$19*(VLOOKUP(BL$3,'Non-Embedded Emissions'!$A$56:$D$90,2,FALSE)-VLOOKUP(BL$3,'Non-Embedded Emissions'!$F$57:$H$88,2,FALSE)+VLOOKUP(BL$3,'Non-Embedded Emissions'!$A$143:$D$174,2,FALSE)-VLOOKUP(BL$3,'Non-Embedded Emissions'!$F$143:$H$174,2,FALSE)+VLOOKUP(BL$3,'Non-Embedded Emissions'!$A$230:$D$259,2,FALSE)), $C51 = "2", 'Inputs-System'!$C$30*'Coincidence Factors'!$B$9*'Inputs-Proposals'!$J$23*'Inputs-Proposals'!$J$25*(VLOOKUP(BL$3,'Non-Embedded Emissions'!$A$56:$D$90,2,FALSE)-VLOOKUP(BL$3,'Non-Embedded Emissions'!$F$57:$H$88,2,FALSE)+VLOOKUP(BL$3,'Non-Embedded Emissions'!$A$143:$D$174,2,FALSE)-VLOOKUP(BL$3,'Non-Embedded Emissions'!$F$143:$H$174,2,FALSE)+VLOOKUP(BL$3,'Non-Embedded Emissions'!$A$230:$D$259,2,FALSE)), $C51 = "3", 'Inputs-System'!$C$30*'Coincidence Factors'!$B$9*'Inputs-Proposals'!$J$29*'Inputs-Proposals'!$J$31*(VLOOKUP(BL$3,'Non-Embedded Emissions'!$A$56:$D$90,2,FALSE)-VLOOKUP(BL$3,'Non-Embedded Emissions'!$F$57:$H$88,2,FALSE)+VLOOKUP(BL$3,'Non-Embedded Emissions'!$A$143:$D$174,2,FALSE)-VLOOKUP(BL$3,'Non-Embedded Emissions'!$F$143:$H$174,2,FALSE)+VLOOKUP(BL$3,'Non-Embedded Emissions'!$A$230:$D$259,2,FALSE)), $C51 = "0", 0), 0)</f>
        <v>0</v>
      </c>
      <c r="BR51" s="45">
        <f>IFERROR(_xlfn.IFS($C51="1",('Inputs-System'!$C$30*'Coincidence Factors'!$B$9*(1+'Inputs-System'!$C$18)*(1+'Inputs-System'!$C$41)*('Inputs-Proposals'!$J$17*'Inputs-Proposals'!$J$19*(1-'Inputs-Proposals'!$J$20^(BR$3-'Inputs-System'!$C$7)))*(VLOOKUP(BR$3,Energy!$A$51:$K$83,5,FALSE))), $C51 = "2",('Inputs-System'!$C$30*'Coincidence Factors'!$B$9)*(1+'Inputs-System'!$C$18)*(1+'Inputs-System'!$C$41)*('Inputs-Proposals'!$J$23*'Inputs-Proposals'!$J$25*(1-'Inputs-Proposals'!$J$26^(BR$3-'Inputs-System'!$C$7)))*(VLOOKUP(BR$3,Energy!$A$51:$K$83,5,FALSE)), $C51= "3", ('Inputs-System'!$C$30*'Coincidence Factors'!$B$9*(1+'Inputs-System'!$C$18)*(1+'Inputs-System'!$C$41)*('Inputs-Proposals'!$J$29*'Inputs-Proposals'!$J$31*(1-'Inputs-Proposals'!$J$32^(BR$3-'Inputs-System'!$C$7)))*(VLOOKUP(BR$3,Energy!$A$51:$K$83,5,FALSE))), $C51= "0", 0), 0)</f>
        <v>0</v>
      </c>
      <c r="BS51" s="44">
        <f>IFERROR(_xlfn.IFS($C51="1",('Inputs-System'!$C$30*'Coincidence Factors'!$B$9*(1+'Inputs-System'!$C$18)*(1+'Inputs-System'!$C$41))*'Inputs-Proposals'!$J$17*'Inputs-Proposals'!$J$19*(1-'Inputs-Proposals'!$J$20^(BR$3-'Inputs-System'!$C$7))*(VLOOKUP(BR$3,'Embedded Emissions'!$A$47:$B$78,2,FALSE)+VLOOKUP(BR$3,'Embedded Emissions'!$A$129:$B$158,2,FALSE)), $C51 = "2",('Inputs-System'!$C$30*'Coincidence Factors'!$B$9*(1+'Inputs-System'!$C$18)*(1+'Inputs-System'!$C$41))*'Inputs-Proposals'!$J$23*'Inputs-Proposals'!$J$25*(1-'Inputs-Proposals'!$J$20^(BR$3-'Inputs-System'!$C$7))*(VLOOKUP(BR$3,'Embedded Emissions'!$A$47:$B$78,2,FALSE)+VLOOKUP(BR$3,'Embedded Emissions'!$A$129:$B$158,2,FALSE)), $C51 = "3", ('Inputs-System'!$C$30*'Coincidence Factors'!$B$9*(1+'Inputs-System'!$C$18)*(1+'Inputs-System'!$C$41))*'Inputs-Proposals'!$J$29*'Inputs-Proposals'!$J$31*(1-'Inputs-Proposals'!$J$20^(BR$3-'Inputs-System'!$C$7))*(VLOOKUP(BR$3,'Embedded Emissions'!$A$47:$B$78,2,FALSE)+VLOOKUP(BR$3,'Embedded Emissions'!$A$129:$B$158,2,FALSE)), $C51 = "0", 0), 0)</f>
        <v>0</v>
      </c>
      <c r="BT51" s="44">
        <f>IFERROR(_xlfn.IFS($C51="1",( 'Inputs-System'!$C$30*'Coincidence Factors'!$B$9*(1+'Inputs-System'!$C$18)*(1+'Inputs-System'!$C$41))*('Inputs-Proposals'!$J$17*'Inputs-Proposals'!$J$19*(1-'Inputs-Proposals'!$J$20)^(BR$3-'Inputs-System'!$C$7))*(VLOOKUP(BR$3,DRIPE!$A$54:$I$82,5,FALSE)+VLOOKUP(BR$3,DRIPE!$A$54:$I$82,9,FALSE))+ ('Inputs-System'!$C$26*'Coincidence Factors'!$B$6*(1+'Inputs-System'!$C$18)*(1+'Inputs-System'!$C$42))*'Inputs-Proposals'!$J$16*VLOOKUP(BR$3,DRIPE!$A$54:$I$82,8,FALSE), $C51 = "2",( 'Inputs-System'!$C$30*'Coincidence Factors'!$B$9*(1+'Inputs-System'!$C$18)*(1+'Inputs-System'!$C$41))*('Inputs-Proposals'!$J$23*'Inputs-Proposals'!$J$25*(1-'Inputs-Proposals'!$J$26)^(BR$3-'Inputs-System'!$C$7))*(VLOOKUP(BR$3,DRIPE!$A$54:$I$82,5,FALSE)+VLOOKUP(BR$3,DRIPE!$A$54:$I$82,9,FALSE))+ ('Inputs-System'!$C$26*'Coincidence Factors'!$B$6*(1+'Inputs-System'!$C$18)*(1+'Inputs-System'!$C$42))*'Inputs-Proposals'!$J$22*VLOOKUP(BR$3,DRIPE!$A$54:$I$82,8,FALSE), $C51= "3", ( 'Inputs-System'!$C$30*'Coincidence Factors'!$B$9*(1+'Inputs-System'!$C$18)*(1+'Inputs-System'!$C$41))*('Inputs-Proposals'!$J$29*'Inputs-Proposals'!$J$31*(1-'Inputs-Proposals'!$J$32)^(BR$3-'Inputs-System'!$C$7))*(VLOOKUP(BR$3,DRIPE!$A$54:$I$82,5,FALSE)+VLOOKUP(BR$3,DRIPE!$A$54:$I$82,9,FALSE))+ ('Inputs-System'!$C$26*'Coincidence Factors'!$B$6*(1+'Inputs-System'!$C$18)*(1+'Inputs-System'!$C$42))*'Inputs-Proposals'!$J$28*VLOOKUP(BR$3,DRIPE!$A$54:$I$82,8,FALSE), $C51 = "0", 0), 0)</f>
        <v>0</v>
      </c>
      <c r="BU51" s="45">
        <f>IFERROR(_xlfn.IFS($C51="1",('Inputs-System'!$C$26*'Coincidence Factors'!$B$9*(1+'Inputs-System'!$C$18)*(1+'Inputs-System'!$C$42))*'Inputs-Proposals'!$D$16*(VLOOKUP(BR$3,Capacity!$A$53:$E$85,4,FALSE)*(1+'Inputs-System'!$C$42)+VLOOKUP(BR$3,Capacity!$A$53:$E$85,5,FALSE)*(1+'Inputs-System'!$C$43)*'Inputs-System'!$C$29), $C51 = "2", ('Inputs-System'!$C$26*'Coincidence Factors'!$B$9*(1+'Inputs-System'!$C$18))*'Inputs-Proposals'!$D$22*(VLOOKUP(BR$3,Capacity!$A$53:$E$85,4,FALSE)*(1+'Inputs-System'!$C$42)+VLOOKUP(BR$3,Capacity!$A$53:$E$85,5,FALSE)*'Inputs-System'!$C$29*(1+'Inputs-System'!$C$43)), $C51 = "3", ('Inputs-System'!$C$26*'Coincidence Factors'!$B$9*(1+'Inputs-System'!$C$18))*'Inputs-Proposals'!$D$28*(VLOOKUP(BR$3,Capacity!$A$53:$E$85,4,FALSE)*(1+'Inputs-System'!$C$42)+VLOOKUP(BR$3,Capacity!$A$53:$E$85,5,FALSE)*'Inputs-System'!$C$29*(1+'Inputs-System'!$C$43)), $C51 = "0", 0), 0)</f>
        <v>0</v>
      </c>
      <c r="BV51" s="44">
        <v>0</v>
      </c>
      <c r="BW51" s="342">
        <f>IFERROR(_xlfn.IFS($C51="1", 'Inputs-System'!$C$30*'Coincidence Factors'!$B$9*'Inputs-Proposals'!$J$17*'Inputs-Proposals'!$J$19*(VLOOKUP(BR$3,'Non-Embedded Emissions'!$A$56:$D$90,2,FALSE)-VLOOKUP(BR$3,'Non-Embedded Emissions'!$F$57:$H$88,2,FALSE)+VLOOKUP(BR$3,'Non-Embedded Emissions'!$A$143:$D$174,2,FALSE)-VLOOKUP(BR$3,'Non-Embedded Emissions'!$F$143:$H$174,2,FALSE)+VLOOKUP(BR$3,'Non-Embedded Emissions'!$A$230:$D$259,2,FALSE)), $C51 = "2", 'Inputs-System'!$C$30*'Coincidence Factors'!$B$9*'Inputs-Proposals'!$J$23*'Inputs-Proposals'!$J$25*(VLOOKUP(BR$3,'Non-Embedded Emissions'!$A$56:$D$90,2,FALSE)-VLOOKUP(BR$3,'Non-Embedded Emissions'!$F$57:$H$88,2,FALSE)+VLOOKUP(BR$3,'Non-Embedded Emissions'!$A$143:$D$174,2,FALSE)-VLOOKUP(BR$3,'Non-Embedded Emissions'!$F$143:$H$174,2,FALSE)+VLOOKUP(BR$3,'Non-Embedded Emissions'!$A$230:$D$259,2,FALSE)), $C51 = "3", 'Inputs-System'!$C$30*'Coincidence Factors'!$B$9*'Inputs-Proposals'!$J$29*'Inputs-Proposals'!$J$31*(VLOOKUP(BR$3,'Non-Embedded Emissions'!$A$56:$D$90,2,FALSE)-VLOOKUP(BR$3,'Non-Embedded Emissions'!$F$57:$H$88,2,FALSE)+VLOOKUP(BR$3,'Non-Embedded Emissions'!$A$143:$D$174,2,FALSE)-VLOOKUP(BR$3,'Non-Embedded Emissions'!$F$143:$H$174,2,FALSE)+VLOOKUP(BR$3,'Non-Embedded Emissions'!$A$230:$D$259,2,FALSE)), $C51 = "0", 0), 0)</f>
        <v>0</v>
      </c>
      <c r="BX51" s="45">
        <f>IFERROR(_xlfn.IFS($C51="1",('Inputs-System'!$C$30*'Coincidence Factors'!$B$9*(1+'Inputs-System'!$C$18)*(1+'Inputs-System'!$C$41)*('Inputs-Proposals'!$J$17*'Inputs-Proposals'!$J$19*(1-'Inputs-Proposals'!$J$20^(BX$3-'Inputs-System'!$C$7)))*(VLOOKUP(BX$3,Energy!$A$51:$K$83,5,FALSE))), $C51 = "2",('Inputs-System'!$C$30*'Coincidence Factors'!$B$9)*(1+'Inputs-System'!$C$18)*(1+'Inputs-System'!$C$41)*('Inputs-Proposals'!$J$23*'Inputs-Proposals'!$J$25*(1-'Inputs-Proposals'!$J$26^(BX$3-'Inputs-System'!$C$7)))*(VLOOKUP(BX$3,Energy!$A$51:$K$83,5,FALSE)), $C51= "3", ('Inputs-System'!$C$30*'Coincidence Factors'!$B$9*(1+'Inputs-System'!$C$18)*(1+'Inputs-System'!$C$41)*('Inputs-Proposals'!$J$29*'Inputs-Proposals'!$J$31*(1-'Inputs-Proposals'!$J$32^(BX$3-'Inputs-System'!$C$7)))*(VLOOKUP(BX$3,Energy!$A$51:$K$83,5,FALSE))), $C51= "0", 0), 0)</f>
        <v>0</v>
      </c>
      <c r="BY51" s="44">
        <f>IFERROR(_xlfn.IFS($C51="1",('Inputs-System'!$C$30*'Coincidence Factors'!$B$9*(1+'Inputs-System'!$C$18)*(1+'Inputs-System'!$C$41))*'Inputs-Proposals'!$J$17*'Inputs-Proposals'!$J$19*(1-'Inputs-Proposals'!$J$20^(BX$3-'Inputs-System'!$C$7))*(VLOOKUP(BX$3,'Embedded Emissions'!$A$47:$B$78,2,FALSE)+VLOOKUP(BX$3,'Embedded Emissions'!$A$129:$B$158,2,FALSE)), $C51 = "2",('Inputs-System'!$C$30*'Coincidence Factors'!$B$9*(1+'Inputs-System'!$C$18)*(1+'Inputs-System'!$C$41))*'Inputs-Proposals'!$J$23*'Inputs-Proposals'!$J$25*(1-'Inputs-Proposals'!$J$20^(BX$3-'Inputs-System'!$C$7))*(VLOOKUP(BX$3,'Embedded Emissions'!$A$47:$B$78,2,FALSE)+VLOOKUP(BX$3,'Embedded Emissions'!$A$129:$B$158,2,FALSE)), $C51 = "3", ('Inputs-System'!$C$30*'Coincidence Factors'!$B$9*(1+'Inputs-System'!$C$18)*(1+'Inputs-System'!$C$41))*'Inputs-Proposals'!$J$29*'Inputs-Proposals'!$J$31*(1-'Inputs-Proposals'!$J$20^(BX$3-'Inputs-System'!$C$7))*(VLOOKUP(BX$3,'Embedded Emissions'!$A$47:$B$78,2,FALSE)+VLOOKUP(BX$3,'Embedded Emissions'!$A$129:$B$158,2,FALSE)), $C51 = "0", 0), 0)</f>
        <v>0</v>
      </c>
      <c r="BZ51" s="44">
        <f>IFERROR(_xlfn.IFS($C51="1",( 'Inputs-System'!$C$30*'Coincidence Factors'!$B$9*(1+'Inputs-System'!$C$18)*(1+'Inputs-System'!$C$41))*('Inputs-Proposals'!$J$17*'Inputs-Proposals'!$J$19*(1-'Inputs-Proposals'!$J$20)^(BX$3-'Inputs-System'!$C$7))*(VLOOKUP(BX$3,DRIPE!$A$54:$I$82,5,FALSE)+VLOOKUP(BX$3,DRIPE!$A$54:$I$82,9,FALSE))+ ('Inputs-System'!$C$26*'Coincidence Factors'!$B$6*(1+'Inputs-System'!$C$18)*(1+'Inputs-System'!$C$42))*'Inputs-Proposals'!$J$16*VLOOKUP(BX$3,DRIPE!$A$54:$I$82,8,FALSE), $C51 = "2",( 'Inputs-System'!$C$30*'Coincidence Factors'!$B$9*(1+'Inputs-System'!$C$18)*(1+'Inputs-System'!$C$41))*('Inputs-Proposals'!$J$23*'Inputs-Proposals'!$J$25*(1-'Inputs-Proposals'!$J$26)^(BX$3-'Inputs-System'!$C$7))*(VLOOKUP(BX$3,DRIPE!$A$54:$I$82,5,FALSE)+VLOOKUP(BX$3,DRIPE!$A$54:$I$82,9,FALSE))+ ('Inputs-System'!$C$26*'Coincidence Factors'!$B$6*(1+'Inputs-System'!$C$18)*(1+'Inputs-System'!$C$42))*'Inputs-Proposals'!$J$22*VLOOKUP(BX$3,DRIPE!$A$54:$I$82,8,FALSE), $C51= "3", ( 'Inputs-System'!$C$30*'Coincidence Factors'!$B$9*(1+'Inputs-System'!$C$18)*(1+'Inputs-System'!$C$41))*('Inputs-Proposals'!$J$29*'Inputs-Proposals'!$J$31*(1-'Inputs-Proposals'!$J$32)^(BX$3-'Inputs-System'!$C$7))*(VLOOKUP(BX$3,DRIPE!$A$54:$I$82,5,FALSE)+VLOOKUP(BX$3,DRIPE!$A$54:$I$82,9,FALSE))+ ('Inputs-System'!$C$26*'Coincidence Factors'!$B$6*(1+'Inputs-System'!$C$18)*(1+'Inputs-System'!$C$42))*'Inputs-Proposals'!$J$28*VLOOKUP(BX$3,DRIPE!$A$54:$I$82,8,FALSE), $C51 = "0", 0), 0)</f>
        <v>0</v>
      </c>
      <c r="CA51" s="45">
        <f>IFERROR(_xlfn.IFS($C51="1",('Inputs-System'!$C$26*'Coincidence Factors'!$B$9*(1+'Inputs-System'!$C$18)*(1+'Inputs-System'!$C$42))*'Inputs-Proposals'!$D$16*(VLOOKUP(BX$3,Capacity!$A$53:$E$85,4,FALSE)*(1+'Inputs-System'!$C$42)+VLOOKUP(BX$3,Capacity!$A$53:$E$85,5,FALSE)*(1+'Inputs-System'!$C$43)*'Inputs-System'!$C$29), $C51 = "2", ('Inputs-System'!$C$26*'Coincidence Factors'!$B$9*(1+'Inputs-System'!$C$18))*'Inputs-Proposals'!$D$22*(VLOOKUP(BX$3,Capacity!$A$53:$E$85,4,FALSE)*(1+'Inputs-System'!$C$42)+VLOOKUP(BX$3,Capacity!$A$53:$E$85,5,FALSE)*'Inputs-System'!$C$29*(1+'Inputs-System'!$C$43)), $C51 = "3", ('Inputs-System'!$C$26*'Coincidence Factors'!$B$9*(1+'Inputs-System'!$C$18))*'Inputs-Proposals'!$D$28*(VLOOKUP(BX$3,Capacity!$A$53:$E$85,4,FALSE)*(1+'Inputs-System'!$C$42)+VLOOKUP(BX$3,Capacity!$A$53:$E$85,5,FALSE)*'Inputs-System'!$C$29*(1+'Inputs-System'!$C$43)), $C51 = "0", 0), 0)</f>
        <v>0</v>
      </c>
      <c r="CB51" s="44">
        <v>0</v>
      </c>
      <c r="CC51" s="342">
        <f>IFERROR(_xlfn.IFS($C51="1", 'Inputs-System'!$C$30*'Coincidence Factors'!$B$9*'Inputs-Proposals'!$J$17*'Inputs-Proposals'!$J$19*(VLOOKUP(BX$3,'Non-Embedded Emissions'!$A$56:$D$90,2,FALSE)-VLOOKUP(BX$3,'Non-Embedded Emissions'!$F$57:$H$88,2,FALSE)+VLOOKUP(BX$3,'Non-Embedded Emissions'!$A$143:$D$174,2,FALSE)-VLOOKUP(BX$3,'Non-Embedded Emissions'!$F$143:$H$174,2,FALSE)+VLOOKUP(BX$3,'Non-Embedded Emissions'!$A$230:$D$259,2,FALSE)), $C51 = "2", 'Inputs-System'!$C$30*'Coincidence Factors'!$B$9*'Inputs-Proposals'!$J$23*'Inputs-Proposals'!$J$25*(VLOOKUP(BX$3,'Non-Embedded Emissions'!$A$56:$D$90,2,FALSE)-VLOOKUP(BX$3,'Non-Embedded Emissions'!$F$57:$H$88,2,FALSE)+VLOOKUP(BX$3,'Non-Embedded Emissions'!$A$143:$D$174,2,FALSE)-VLOOKUP(BX$3,'Non-Embedded Emissions'!$F$143:$H$174,2,FALSE)+VLOOKUP(BX$3,'Non-Embedded Emissions'!$A$230:$D$259,2,FALSE)), $C51 = "3", 'Inputs-System'!$C$30*'Coincidence Factors'!$B$9*'Inputs-Proposals'!$J$29*'Inputs-Proposals'!$J$31*(VLOOKUP(BX$3,'Non-Embedded Emissions'!$A$56:$D$90,2,FALSE)-VLOOKUP(BX$3,'Non-Embedded Emissions'!$F$57:$H$88,2,FALSE)+VLOOKUP(BX$3,'Non-Embedded Emissions'!$A$143:$D$174,2,FALSE)-VLOOKUP(BX$3,'Non-Embedded Emissions'!$F$143:$H$174,2,FALSE)+VLOOKUP(BX$3,'Non-Embedded Emissions'!$A$230:$D$259,2,FALSE)), $C51 = "0", 0), 0)</f>
        <v>0</v>
      </c>
      <c r="CD51" s="45">
        <f>IFERROR(_xlfn.IFS($C51="1",('Inputs-System'!$C$30*'Coincidence Factors'!$B$9*(1+'Inputs-System'!$C$18)*(1+'Inputs-System'!$C$41)*('Inputs-Proposals'!$J$17*'Inputs-Proposals'!$J$19*(1-'Inputs-Proposals'!$J$20^(CD$3-'Inputs-System'!$C$7)))*(VLOOKUP(CD$3,Energy!$A$51:$K$83,5,FALSE))), $C51 = "2",('Inputs-System'!$C$30*'Coincidence Factors'!$B$9)*(1+'Inputs-System'!$C$18)*(1+'Inputs-System'!$C$41)*('Inputs-Proposals'!$J$23*'Inputs-Proposals'!$J$25*(1-'Inputs-Proposals'!$J$26^(CD$3-'Inputs-System'!$C$7)))*(VLOOKUP(CD$3,Energy!$A$51:$K$83,5,FALSE)), $C51= "3", ('Inputs-System'!$C$30*'Coincidence Factors'!$B$9*(1+'Inputs-System'!$C$18)*(1+'Inputs-System'!$C$41)*('Inputs-Proposals'!$J$29*'Inputs-Proposals'!$J$31*(1-'Inputs-Proposals'!$J$32^(CD$3-'Inputs-System'!$C$7)))*(VLOOKUP(CD$3,Energy!$A$51:$K$83,5,FALSE))), $C51= "0", 0), 0)</f>
        <v>0</v>
      </c>
      <c r="CE51" s="44">
        <f>IFERROR(_xlfn.IFS($C51="1",('Inputs-System'!$C$30*'Coincidence Factors'!$B$9*(1+'Inputs-System'!$C$18)*(1+'Inputs-System'!$C$41))*'Inputs-Proposals'!$J$17*'Inputs-Proposals'!$J$19*(1-'Inputs-Proposals'!$J$20^(CD$3-'Inputs-System'!$C$7))*(VLOOKUP(CD$3,'Embedded Emissions'!$A$47:$B$78,2,FALSE)+VLOOKUP(CD$3,'Embedded Emissions'!$A$129:$B$158,2,FALSE)), $C51 = "2",('Inputs-System'!$C$30*'Coincidence Factors'!$B$9*(1+'Inputs-System'!$C$18)*(1+'Inputs-System'!$C$41))*'Inputs-Proposals'!$J$23*'Inputs-Proposals'!$J$25*(1-'Inputs-Proposals'!$J$20^(CD$3-'Inputs-System'!$C$7))*(VLOOKUP(CD$3,'Embedded Emissions'!$A$47:$B$78,2,FALSE)+VLOOKUP(CD$3,'Embedded Emissions'!$A$129:$B$158,2,FALSE)), $C51 = "3", ('Inputs-System'!$C$30*'Coincidence Factors'!$B$9*(1+'Inputs-System'!$C$18)*(1+'Inputs-System'!$C$41))*'Inputs-Proposals'!$J$29*'Inputs-Proposals'!$J$31*(1-'Inputs-Proposals'!$J$20^(CD$3-'Inputs-System'!$C$7))*(VLOOKUP(CD$3,'Embedded Emissions'!$A$47:$B$78,2,FALSE)+VLOOKUP(CD$3,'Embedded Emissions'!$A$129:$B$158,2,FALSE)), $C51 = "0", 0), 0)</f>
        <v>0</v>
      </c>
      <c r="CF51" s="44">
        <f>IFERROR(_xlfn.IFS($C51="1",( 'Inputs-System'!$C$30*'Coincidence Factors'!$B$9*(1+'Inputs-System'!$C$18)*(1+'Inputs-System'!$C$41))*('Inputs-Proposals'!$J$17*'Inputs-Proposals'!$J$19*(1-'Inputs-Proposals'!$J$20)^(CD$3-'Inputs-System'!$C$7))*(VLOOKUP(CD$3,DRIPE!$A$54:$I$82,5,FALSE)+VLOOKUP(CD$3,DRIPE!$A$54:$I$82,9,FALSE))+ ('Inputs-System'!$C$26*'Coincidence Factors'!$B$6*(1+'Inputs-System'!$C$18)*(1+'Inputs-System'!$C$42))*'Inputs-Proposals'!$J$16*VLOOKUP(CD$3,DRIPE!$A$54:$I$82,8,FALSE), $C51 = "2",( 'Inputs-System'!$C$30*'Coincidence Factors'!$B$9*(1+'Inputs-System'!$C$18)*(1+'Inputs-System'!$C$41))*('Inputs-Proposals'!$J$23*'Inputs-Proposals'!$J$25*(1-'Inputs-Proposals'!$J$26)^(CD$3-'Inputs-System'!$C$7))*(VLOOKUP(CD$3,DRIPE!$A$54:$I$82,5,FALSE)+VLOOKUP(CD$3,DRIPE!$A$54:$I$82,9,FALSE))+ ('Inputs-System'!$C$26*'Coincidence Factors'!$B$6*(1+'Inputs-System'!$C$18)*(1+'Inputs-System'!$C$42))*'Inputs-Proposals'!$J$22*VLOOKUP(CD$3,DRIPE!$A$54:$I$82,8,FALSE), $C51= "3", ( 'Inputs-System'!$C$30*'Coincidence Factors'!$B$9*(1+'Inputs-System'!$C$18)*(1+'Inputs-System'!$C$41))*('Inputs-Proposals'!$J$29*'Inputs-Proposals'!$J$31*(1-'Inputs-Proposals'!$J$32)^(CD$3-'Inputs-System'!$C$7))*(VLOOKUP(CD$3,DRIPE!$A$54:$I$82,5,FALSE)+VLOOKUP(CD$3,DRIPE!$A$54:$I$82,9,FALSE))+ ('Inputs-System'!$C$26*'Coincidence Factors'!$B$6*(1+'Inputs-System'!$C$18)*(1+'Inputs-System'!$C$42))*'Inputs-Proposals'!$J$28*VLOOKUP(CD$3,DRIPE!$A$54:$I$82,8,FALSE), $C51 = "0", 0), 0)</f>
        <v>0</v>
      </c>
      <c r="CG51" s="45">
        <f>IFERROR(_xlfn.IFS($C51="1",('Inputs-System'!$C$26*'Coincidence Factors'!$B$9*(1+'Inputs-System'!$C$18)*(1+'Inputs-System'!$C$42))*'Inputs-Proposals'!$D$16*(VLOOKUP(CD$3,Capacity!$A$53:$E$85,4,FALSE)*(1+'Inputs-System'!$C$42)+VLOOKUP(CD$3,Capacity!$A$53:$E$85,5,FALSE)*(1+'Inputs-System'!$C$43)*'Inputs-System'!$C$29), $C51 = "2", ('Inputs-System'!$C$26*'Coincidence Factors'!$B$9*(1+'Inputs-System'!$C$18))*'Inputs-Proposals'!$D$22*(VLOOKUP(CD$3,Capacity!$A$53:$E$85,4,FALSE)*(1+'Inputs-System'!$C$42)+VLOOKUP(CD$3,Capacity!$A$53:$E$85,5,FALSE)*'Inputs-System'!$C$29*(1+'Inputs-System'!$C$43)), $C51 = "3", ('Inputs-System'!$C$26*'Coincidence Factors'!$B$9*(1+'Inputs-System'!$C$18))*'Inputs-Proposals'!$D$28*(VLOOKUP(CD$3,Capacity!$A$53:$E$85,4,FALSE)*(1+'Inputs-System'!$C$42)+VLOOKUP(CD$3,Capacity!$A$53:$E$85,5,FALSE)*'Inputs-System'!$C$29*(1+'Inputs-System'!$C$43)), $C51 = "0", 0), 0)</f>
        <v>0</v>
      </c>
      <c r="CH51" s="44">
        <v>0</v>
      </c>
      <c r="CI51" s="342">
        <f>IFERROR(_xlfn.IFS($C51="1", 'Inputs-System'!$C$30*'Coincidence Factors'!$B$9*'Inputs-Proposals'!$J$17*'Inputs-Proposals'!$J$19*(VLOOKUP(CD$3,'Non-Embedded Emissions'!$A$56:$D$90,2,FALSE)-VLOOKUP(CD$3,'Non-Embedded Emissions'!$F$57:$H$88,2,FALSE)+VLOOKUP(CD$3,'Non-Embedded Emissions'!$A$143:$D$174,2,FALSE)-VLOOKUP(CD$3,'Non-Embedded Emissions'!$F$143:$H$174,2,FALSE)+VLOOKUP(CD$3,'Non-Embedded Emissions'!$A$230:$D$259,2,FALSE)), $C51 = "2", 'Inputs-System'!$C$30*'Coincidence Factors'!$B$9*'Inputs-Proposals'!$J$23*'Inputs-Proposals'!$J$25*(VLOOKUP(CD$3,'Non-Embedded Emissions'!$A$56:$D$90,2,FALSE)-VLOOKUP(CD$3,'Non-Embedded Emissions'!$F$57:$H$88,2,FALSE)+VLOOKUP(CD$3,'Non-Embedded Emissions'!$A$143:$D$174,2,FALSE)-VLOOKUP(CD$3,'Non-Embedded Emissions'!$F$143:$H$174,2,FALSE)+VLOOKUP(CD$3,'Non-Embedded Emissions'!$A$230:$D$259,2,FALSE)), $C51 = "3", 'Inputs-System'!$C$30*'Coincidence Factors'!$B$9*'Inputs-Proposals'!$J$29*'Inputs-Proposals'!$J$31*(VLOOKUP(CD$3,'Non-Embedded Emissions'!$A$56:$D$90,2,FALSE)-VLOOKUP(CD$3,'Non-Embedded Emissions'!$F$57:$H$88,2,FALSE)+VLOOKUP(CD$3,'Non-Embedded Emissions'!$A$143:$D$174,2,FALSE)-VLOOKUP(CD$3,'Non-Embedded Emissions'!$F$143:$H$174,2,FALSE)+VLOOKUP(CD$3,'Non-Embedded Emissions'!$A$230:$D$259,2,FALSE)), $C51 = "0", 0), 0)</f>
        <v>0</v>
      </c>
      <c r="CJ51" s="45">
        <f>IFERROR(_xlfn.IFS($C51="1",('Inputs-System'!$C$30*'Coincidence Factors'!$B$9*(1+'Inputs-System'!$C$18)*(1+'Inputs-System'!$C$41)*('Inputs-Proposals'!$J$17*'Inputs-Proposals'!$J$19*(1-'Inputs-Proposals'!$J$20^(CJ$3-'Inputs-System'!$C$7)))*(VLOOKUP(CJ$3,Energy!$A$51:$K$83,5,FALSE))), $C51 = "2",('Inputs-System'!$C$30*'Coincidence Factors'!$B$9)*(1+'Inputs-System'!$C$18)*(1+'Inputs-System'!$C$41)*('Inputs-Proposals'!$J$23*'Inputs-Proposals'!$J$25*(1-'Inputs-Proposals'!$J$26^(CJ$3-'Inputs-System'!$C$7)))*(VLOOKUP(CJ$3,Energy!$A$51:$K$83,5,FALSE)), $C51= "3", ('Inputs-System'!$C$30*'Coincidence Factors'!$B$9*(1+'Inputs-System'!$C$18)*(1+'Inputs-System'!$C$41)*('Inputs-Proposals'!$J$29*'Inputs-Proposals'!$J$31*(1-'Inputs-Proposals'!$J$32^(CJ$3-'Inputs-System'!$C$7)))*(VLOOKUP(CJ$3,Energy!$A$51:$K$83,5,FALSE))), $C51= "0", 0), 0)</f>
        <v>0</v>
      </c>
      <c r="CK51" s="44">
        <f>IFERROR(_xlfn.IFS($C51="1",('Inputs-System'!$C$30*'Coincidence Factors'!$B$9*(1+'Inputs-System'!$C$18)*(1+'Inputs-System'!$C$41))*'Inputs-Proposals'!$J$17*'Inputs-Proposals'!$J$19*(1-'Inputs-Proposals'!$J$20^(CJ$3-'Inputs-System'!$C$7))*(VLOOKUP(CJ$3,'Embedded Emissions'!$A$47:$B$78,2,FALSE)+VLOOKUP(CJ$3,'Embedded Emissions'!$A$129:$B$158,2,FALSE)), $C51 = "2",('Inputs-System'!$C$30*'Coincidence Factors'!$B$9*(1+'Inputs-System'!$C$18)*(1+'Inputs-System'!$C$41))*'Inputs-Proposals'!$J$23*'Inputs-Proposals'!$J$25*(1-'Inputs-Proposals'!$J$20^(CJ$3-'Inputs-System'!$C$7))*(VLOOKUP(CJ$3,'Embedded Emissions'!$A$47:$B$78,2,FALSE)+VLOOKUP(CJ$3,'Embedded Emissions'!$A$129:$B$158,2,FALSE)), $C51 = "3", ('Inputs-System'!$C$30*'Coincidence Factors'!$B$9*(1+'Inputs-System'!$C$18)*(1+'Inputs-System'!$C$41))*'Inputs-Proposals'!$J$29*'Inputs-Proposals'!$J$31*(1-'Inputs-Proposals'!$J$20^(CJ$3-'Inputs-System'!$C$7))*(VLOOKUP(CJ$3,'Embedded Emissions'!$A$47:$B$78,2,FALSE)+VLOOKUP(CJ$3,'Embedded Emissions'!$A$129:$B$158,2,FALSE)), $C51 = "0", 0), 0)</f>
        <v>0</v>
      </c>
      <c r="CL51" s="44">
        <f>IFERROR(_xlfn.IFS($C51="1",( 'Inputs-System'!$C$30*'Coincidence Factors'!$B$9*(1+'Inputs-System'!$C$18)*(1+'Inputs-System'!$C$41))*('Inputs-Proposals'!$J$17*'Inputs-Proposals'!$J$19*(1-'Inputs-Proposals'!$J$20)^(CJ$3-'Inputs-System'!$C$7))*(VLOOKUP(CJ$3,DRIPE!$A$54:$I$82,5,FALSE)+VLOOKUP(CJ$3,DRIPE!$A$54:$I$82,9,FALSE))+ ('Inputs-System'!$C$26*'Coincidence Factors'!$B$6*(1+'Inputs-System'!$C$18)*(1+'Inputs-System'!$C$42))*'Inputs-Proposals'!$J$16*VLOOKUP(CJ$3,DRIPE!$A$54:$I$82,8,FALSE), $C51 = "2",( 'Inputs-System'!$C$30*'Coincidence Factors'!$B$9*(1+'Inputs-System'!$C$18)*(1+'Inputs-System'!$C$41))*('Inputs-Proposals'!$J$23*'Inputs-Proposals'!$J$25*(1-'Inputs-Proposals'!$J$26)^(CJ$3-'Inputs-System'!$C$7))*(VLOOKUP(CJ$3,DRIPE!$A$54:$I$82,5,FALSE)+VLOOKUP(CJ$3,DRIPE!$A$54:$I$82,9,FALSE))+ ('Inputs-System'!$C$26*'Coincidence Factors'!$B$6*(1+'Inputs-System'!$C$18)*(1+'Inputs-System'!$C$42))*'Inputs-Proposals'!$J$22*VLOOKUP(CJ$3,DRIPE!$A$54:$I$82,8,FALSE), $C51= "3", ( 'Inputs-System'!$C$30*'Coincidence Factors'!$B$9*(1+'Inputs-System'!$C$18)*(1+'Inputs-System'!$C$41))*('Inputs-Proposals'!$J$29*'Inputs-Proposals'!$J$31*(1-'Inputs-Proposals'!$J$32)^(CJ$3-'Inputs-System'!$C$7))*(VLOOKUP(CJ$3,DRIPE!$A$54:$I$82,5,FALSE)+VLOOKUP(CJ$3,DRIPE!$A$54:$I$82,9,FALSE))+ ('Inputs-System'!$C$26*'Coincidence Factors'!$B$6*(1+'Inputs-System'!$C$18)*(1+'Inputs-System'!$C$42))*'Inputs-Proposals'!$J$28*VLOOKUP(CJ$3,DRIPE!$A$54:$I$82,8,FALSE), $C51 = "0", 0), 0)</f>
        <v>0</v>
      </c>
      <c r="CM51" s="45">
        <f>IFERROR(_xlfn.IFS($C51="1",('Inputs-System'!$C$26*'Coincidence Factors'!$B$9*(1+'Inputs-System'!$C$18)*(1+'Inputs-System'!$C$42))*'Inputs-Proposals'!$D$16*(VLOOKUP(CJ$3,Capacity!$A$53:$E$85,4,FALSE)*(1+'Inputs-System'!$C$42)+VLOOKUP(CJ$3,Capacity!$A$53:$E$85,5,FALSE)*(1+'Inputs-System'!$C$43)*'Inputs-System'!$C$29), $C51 = "2", ('Inputs-System'!$C$26*'Coincidence Factors'!$B$9*(1+'Inputs-System'!$C$18))*'Inputs-Proposals'!$D$22*(VLOOKUP(CJ$3,Capacity!$A$53:$E$85,4,FALSE)*(1+'Inputs-System'!$C$42)+VLOOKUP(CJ$3,Capacity!$A$53:$E$85,5,FALSE)*'Inputs-System'!$C$29*(1+'Inputs-System'!$C$43)), $C51 = "3", ('Inputs-System'!$C$26*'Coincidence Factors'!$B$9*(1+'Inputs-System'!$C$18))*'Inputs-Proposals'!$D$28*(VLOOKUP(CJ$3,Capacity!$A$53:$E$85,4,FALSE)*(1+'Inputs-System'!$C$42)+VLOOKUP(CJ$3,Capacity!$A$53:$E$85,5,FALSE)*'Inputs-System'!$C$29*(1+'Inputs-System'!$C$43)), $C51 = "0", 0), 0)</f>
        <v>0</v>
      </c>
      <c r="CN51" s="44">
        <v>0</v>
      </c>
      <c r="CO51" s="342">
        <f>IFERROR(_xlfn.IFS($C51="1", 'Inputs-System'!$C$30*'Coincidence Factors'!$B$9*'Inputs-Proposals'!$J$17*'Inputs-Proposals'!$J$19*(VLOOKUP(CJ$3,'Non-Embedded Emissions'!$A$56:$D$90,2,FALSE)-VLOOKUP(CJ$3,'Non-Embedded Emissions'!$F$57:$H$88,2,FALSE)+VLOOKUP(CJ$3,'Non-Embedded Emissions'!$A$143:$D$174,2,FALSE)-VLOOKUP(CJ$3,'Non-Embedded Emissions'!$F$143:$H$174,2,FALSE)+VLOOKUP(CJ$3,'Non-Embedded Emissions'!$A$230:$D$259,2,FALSE)), $C51 = "2", 'Inputs-System'!$C$30*'Coincidence Factors'!$B$9*'Inputs-Proposals'!$J$23*'Inputs-Proposals'!$J$25*(VLOOKUP(CJ$3,'Non-Embedded Emissions'!$A$56:$D$90,2,FALSE)-VLOOKUP(CJ$3,'Non-Embedded Emissions'!$F$57:$H$88,2,FALSE)+VLOOKUP(CJ$3,'Non-Embedded Emissions'!$A$143:$D$174,2,FALSE)-VLOOKUP(CJ$3,'Non-Embedded Emissions'!$F$143:$H$174,2,FALSE)+VLOOKUP(CJ$3,'Non-Embedded Emissions'!$A$230:$D$259,2,FALSE)), $C51 = "3", 'Inputs-System'!$C$30*'Coincidence Factors'!$B$9*'Inputs-Proposals'!$J$29*'Inputs-Proposals'!$J$31*(VLOOKUP(CJ$3,'Non-Embedded Emissions'!$A$56:$D$90,2,FALSE)-VLOOKUP(CJ$3,'Non-Embedded Emissions'!$F$57:$H$88,2,FALSE)+VLOOKUP(CJ$3,'Non-Embedded Emissions'!$A$143:$D$174,2,FALSE)-VLOOKUP(CJ$3,'Non-Embedded Emissions'!$F$143:$H$174,2,FALSE)+VLOOKUP(CJ$3,'Non-Embedded Emissions'!$A$230:$D$259,2,FALSE)), $C51 = "0", 0), 0)</f>
        <v>0</v>
      </c>
      <c r="CP51" s="45">
        <f>IFERROR(_xlfn.IFS($C51="1",('Inputs-System'!$C$30*'Coincidence Factors'!$B$9*(1+'Inputs-System'!$C$18)*(1+'Inputs-System'!$C$41)*('Inputs-Proposals'!$J$17*'Inputs-Proposals'!$J$19*(1-'Inputs-Proposals'!$J$20^(CP$3-'Inputs-System'!$C$7)))*(VLOOKUP(CP$3,Energy!$A$51:$K$83,5,FALSE))), $C51 = "2",('Inputs-System'!$C$30*'Coincidence Factors'!$B$9)*(1+'Inputs-System'!$C$18)*(1+'Inputs-System'!$C$41)*('Inputs-Proposals'!$J$23*'Inputs-Proposals'!$J$25*(1-'Inputs-Proposals'!$J$26^(CP$3-'Inputs-System'!$C$7)))*(VLOOKUP(CP$3,Energy!$A$51:$K$83,5,FALSE)), $C51= "3", ('Inputs-System'!$C$30*'Coincidence Factors'!$B$9*(1+'Inputs-System'!$C$18)*(1+'Inputs-System'!$C$41)*('Inputs-Proposals'!$J$29*'Inputs-Proposals'!$J$31*(1-'Inputs-Proposals'!$J$32^(CP$3-'Inputs-System'!$C$7)))*(VLOOKUP(CP$3,Energy!$A$51:$K$83,5,FALSE))), $C51= "0", 0), 0)</f>
        <v>0</v>
      </c>
      <c r="CQ51" s="44">
        <f>IFERROR(_xlfn.IFS($C51="1",('Inputs-System'!$C$30*'Coincidence Factors'!$B$9*(1+'Inputs-System'!$C$18)*(1+'Inputs-System'!$C$41))*'Inputs-Proposals'!$J$17*'Inputs-Proposals'!$J$19*(1-'Inputs-Proposals'!$J$20^(CP$3-'Inputs-System'!$C$7))*(VLOOKUP(CP$3,'Embedded Emissions'!$A$47:$B$78,2,FALSE)+VLOOKUP(CP$3,'Embedded Emissions'!$A$129:$B$158,2,FALSE)), $C51 = "2",('Inputs-System'!$C$30*'Coincidence Factors'!$B$9*(1+'Inputs-System'!$C$18)*(1+'Inputs-System'!$C$41))*'Inputs-Proposals'!$J$23*'Inputs-Proposals'!$J$25*(1-'Inputs-Proposals'!$J$20^(CP$3-'Inputs-System'!$C$7))*(VLOOKUP(CP$3,'Embedded Emissions'!$A$47:$B$78,2,FALSE)+VLOOKUP(CP$3,'Embedded Emissions'!$A$129:$B$158,2,FALSE)), $C51 = "3", ('Inputs-System'!$C$30*'Coincidence Factors'!$B$9*(1+'Inputs-System'!$C$18)*(1+'Inputs-System'!$C$41))*'Inputs-Proposals'!$J$29*'Inputs-Proposals'!$J$31*(1-'Inputs-Proposals'!$J$20^(CP$3-'Inputs-System'!$C$7))*(VLOOKUP(CP$3,'Embedded Emissions'!$A$47:$B$78,2,FALSE)+VLOOKUP(CP$3,'Embedded Emissions'!$A$129:$B$158,2,FALSE)), $C51 = "0", 0), 0)</f>
        <v>0</v>
      </c>
      <c r="CR51" s="44">
        <f>IFERROR(_xlfn.IFS($C51="1",( 'Inputs-System'!$C$30*'Coincidence Factors'!$B$9*(1+'Inputs-System'!$C$18)*(1+'Inputs-System'!$C$41))*('Inputs-Proposals'!$J$17*'Inputs-Proposals'!$J$19*(1-'Inputs-Proposals'!$J$20)^(CP$3-'Inputs-System'!$C$7))*(VLOOKUP(CP$3,DRIPE!$A$54:$I$82,5,FALSE)+VLOOKUP(CP$3,DRIPE!$A$54:$I$82,9,FALSE))+ ('Inputs-System'!$C$26*'Coincidence Factors'!$B$6*(1+'Inputs-System'!$C$18)*(1+'Inputs-System'!$C$42))*'Inputs-Proposals'!$J$16*VLOOKUP(CP$3,DRIPE!$A$54:$I$82,8,FALSE), $C51 = "2",( 'Inputs-System'!$C$30*'Coincidence Factors'!$B$9*(1+'Inputs-System'!$C$18)*(1+'Inputs-System'!$C$41))*('Inputs-Proposals'!$J$23*'Inputs-Proposals'!$J$25*(1-'Inputs-Proposals'!$J$26)^(CP$3-'Inputs-System'!$C$7))*(VLOOKUP(CP$3,DRIPE!$A$54:$I$82,5,FALSE)+VLOOKUP(CP$3,DRIPE!$A$54:$I$82,9,FALSE))+ ('Inputs-System'!$C$26*'Coincidence Factors'!$B$6*(1+'Inputs-System'!$C$18)*(1+'Inputs-System'!$C$42))*'Inputs-Proposals'!$J$22*VLOOKUP(CP$3,DRIPE!$A$54:$I$82,8,FALSE), $C51= "3", ( 'Inputs-System'!$C$30*'Coincidence Factors'!$B$9*(1+'Inputs-System'!$C$18)*(1+'Inputs-System'!$C$41))*('Inputs-Proposals'!$J$29*'Inputs-Proposals'!$J$31*(1-'Inputs-Proposals'!$J$32)^(CP$3-'Inputs-System'!$C$7))*(VLOOKUP(CP$3,DRIPE!$A$54:$I$82,5,FALSE)+VLOOKUP(CP$3,DRIPE!$A$54:$I$82,9,FALSE))+ ('Inputs-System'!$C$26*'Coincidence Factors'!$B$6*(1+'Inputs-System'!$C$18)*(1+'Inputs-System'!$C$42))*'Inputs-Proposals'!$J$28*VLOOKUP(CP$3,DRIPE!$A$54:$I$82,8,FALSE), $C51 = "0", 0), 0)</f>
        <v>0</v>
      </c>
      <c r="CS51" s="45">
        <f>IFERROR(_xlfn.IFS($C51="1",('Inputs-System'!$C$26*'Coincidence Factors'!$B$9*(1+'Inputs-System'!$C$18)*(1+'Inputs-System'!$C$42))*'Inputs-Proposals'!$D$16*(VLOOKUP(CP$3,Capacity!$A$53:$E$85,4,FALSE)*(1+'Inputs-System'!$C$42)+VLOOKUP(CP$3,Capacity!$A$53:$E$85,5,FALSE)*(1+'Inputs-System'!$C$43)*'Inputs-System'!$C$29), $C51 = "2", ('Inputs-System'!$C$26*'Coincidence Factors'!$B$9*(1+'Inputs-System'!$C$18))*'Inputs-Proposals'!$D$22*(VLOOKUP(CP$3,Capacity!$A$53:$E$85,4,FALSE)*(1+'Inputs-System'!$C$42)+VLOOKUP(CP$3,Capacity!$A$53:$E$85,5,FALSE)*'Inputs-System'!$C$29*(1+'Inputs-System'!$C$43)), $C51 = "3", ('Inputs-System'!$C$26*'Coincidence Factors'!$B$9*(1+'Inputs-System'!$C$18))*'Inputs-Proposals'!$D$28*(VLOOKUP(CP$3,Capacity!$A$53:$E$85,4,FALSE)*(1+'Inputs-System'!$C$42)+VLOOKUP(CP$3,Capacity!$A$53:$E$85,5,FALSE)*'Inputs-System'!$C$29*(1+'Inputs-System'!$C$43)), $C51 = "0", 0), 0)</f>
        <v>0</v>
      </c>
      <c r="CT51" s="44">
        <v>0</v>
      </c>
      <c r="CU51" s="342">
        <f>IFERROR(_xlfn.IFS($C51="1", 'Inputs-System'!$C$30*'Coincidence Factors'!$B$9*'Inputs-Proposals'!$J$17*'Inputs-Proposals'!$J$19*(VLOOKUP(CP$3,'Non-Embedded Emissions'!$A$56:$D$90,2,FALSE)-VLOOKUP(CP$3,'Non-Embedded Emissions'!$F$57:$H$88,2,FALSE)+VLOOKUP(CP$3,'Non-Embedded Emissions'!$A$143:$D$174,2,FALSE)-VLOOKUP(CP$3,'Non-Embedded Emissions'!$F$143:$H$174,2,FALSE)+VLOOKUP(CP$3,'Non-Embedded Emissions'!$A$230:$D$259,2,FALSE)), $C51 = "2", 'Inputs-System'!$C$30*'Coincidence Factors'!$B$9*'Inputs-Proposals'!$J$23*'Inputs-Proposals'!$J$25*(VLOOKUP(CP$3,'Non-Embedded Emissions'!$A$56:$D$90,2,FALSE)-VLOOKUP(CP$3,'Non-Embedded Emissions'!$F$57:$H$88,2,FALSE)+VLOOKUP(CP$3,'Non-Embedded Emissions'!$A$143:$D$174,2,FALSE)-VLOOKUP(CP$3,'Non-Embedded Emissions'!$F$143:$H$174,2,FALSE)+VLOOKUP(CP$3,'Non-Embedded Emissions'!$A$230:$D$259,2,FALSE)), $C51 = "3", 'Inputs-System'!$C$30*'Coincidence Factors'!$B$9*'Inputs-Proposals'!$J$29*'Inputs-Proposals'!$J$31*(VLOOKUP(CP$3,'Non-Embedded Emissions'!$A$56:$D$90,2,FALSE)-VLOOKUP(CP$3,'Non-Embedded Emissions'!$F$57:$H$88,2,FALSE)+VLOOKUP(CP$3,'Non-Embedded Emissions'!$A$143:$D$174,2,FALSE)-VLOOKUP(CP$3,'Non-Embedded Emissions'!$F$143:$H$174,2,FALSE)+VLOOKUP(CP$3,'Non-Embedded Emissions'!$A$230:$D$259,2,FALSE)), $C51 = "0", 0), 0)</f>
        <v>0</v>
      </c>
      <c r="CV51" s="45">
        <f>IFERROR(_xlfn.IFS($C51="1",('Inputs-System'!$C$30*'Coincidence Factors'!$B$9*(1+'Inputs-System'!$C$18)*(1+'Inputs-System'!$C$41)*('Inputs-Proposals'!$J$17*'Inputs-Proposals'!$J$19*(1-'Inputs-Proposals'!$J$20^(CV$3-'Inputs-System'!$C$7)))*(VLOOKUP(CV$3,Energy!$A$51:$K$83,5,FALSE))), $C51 = "2",('Inputs-System'!$C$30*'Coincidence Factors'!$B$9)*(1+'Inputs-System'!$C$18)*(1+'Inputs-System'!$C$41)*('Inputs-Proposals'!$J$23*'Inputs-Proposals'!$J$25*(1-'Inputs-Proposals'!$J$26^(CV$3-'Inputs-System'!$C$7)))*(VLOOKUP(CV$3,Energy!$A$51:$K$83,5,FALSE)), $C51= "3", ('Inputs-System'!$C$30*'Coincidence Factors'!$B$9*(1+'Inputs-System'!$C$18)*(1+'Inputs-System'!$C$41)*('Inputs-Proposals'!$J$29*'Inputs-Proposals'!$J$31*(1-'Inputs-Proposals'!$J$32^(CV$3-'Inputs-System'!$C$7)))*(VLOOKUP(CV$3,Energy!$A$51:$K$83,5,FALSE))), $C51= "0", 0), 0)</f>
        <v>0</v>
      </c>
      <c r="CW51" s="44">
        <f>IFERROR(_xlfn.IFS($C51="1",('Inputs-System'!$C$30*'Coincidence Factors'!$B$9*(1+'Inputs-System'!$C$18)*(1+'Inputs-System'!$C$41))*'Inputs-Proposals'!$J$17*'Inputs-Proposals'!$J$19*(1-'Inputs-Proposals'!$J$20^(CV$3-'Inputs-System'!$C$7))*(VLOOKUP(CV$3,'Embedded Emissions'!$A$47:$B$78,2,FALSE)+VLOOKUP(CV$3,'Embedded Emissions'!$A$129:$B$158,2,FALSE)), $C51 = "2",('Inputs-System'!$C$30*'Coincidence Factors'!$B$9*(1+'Inputs-System'!$C$18)*(1+'Inputs-System'!$C$41))*'Inputs-Proposals'!$J$23*'Inputs-Proposals'!$J$25*(1-'Inputs-Proposals'!$J$20^(CV$3-'Inputs-System'!$C$7))*(VLOOKUP(CV$3,'Embedded Emissions'!$A$47:$B$78,2,FALSE)+VLOOKUP(CV$3,'Embedded Emissions'!$A$129:$B$158,2,FALSE)), $C51 = "3", ('Inputs-System'!$C$30*'Coincidence Factors'!$B$9*(1+'Inputs-System'!$C$18)*(1+'Inputs-System'!$C$41))*'Inputs-Proposals'!$J$29*'Inputs-Proposals'!$J$31*(1-'Inputs-Proposals'!$J$20^(CV$3-'Inputs-System'!$C$7))*(VLOOKUP(CV$3,'Embedded Emissions'!$A$47:$B$78,2,FALSE)+VLOOKUP(CV$3,'Embedded Emissions'!$A$129:$B$158,2,FALSE)), $C51 = "0", 0), 0)</f>
        <v>0</v>
      </c>
      <c r="CX51" s="44">
        <f>IFERROR(_xlfn.IFS($C51="1",( 'Inputs-System'!$C$30*'Coincidence Factors'!$B$9*(1+'Inputs-System'!$C$18)*(1+'Inputs-System'!$C$41))*('Inputs-Proposals'!$J$17*'Inputs-Proposals'!$J$19*(1-'Inputs-Proposals'!$J$20)^(CV$3-'Inputs-System'!$C$7))*(VLOOKUP(CV$3,DRIPE!$A$54:$I$82,5,FALSE)+VLOOKUP(CV$3,DRIPE!$A$54:$I$82,9,FALSE))+ ('Inputs-System'!$C$26*'Coincidence Factors'!$B$6*(1+'Inputs-System'!$C$18)*(1+'Inputs-System'!$C$42))*'Inputs-Proposals'!$J$16*VLOOKUP(CV$3,DRIPE!$A$54:$I$82,8,FALSE), $C51 = "2",( 'Inputs-System'!$C$30*'Coincidence Factors'!$B$9*(1+'Inputs-System'!$C$18)*(1+'Inputs-System'!$C$41))*('Inputs-Proposals'!$J$23*'Inputs-Proposals'!$J$25*(1-'Inputs-Proposals'!$J$26)^(CV$3-'Inputs-System'!$C$7))*(VLOOKUP(CV$3,DRIPE!$A$54:$I$82,5,FALSE)+VLOOKUP(CV$3,DRIPE!$A$54:$I$82,9,FALSE))+ ('Inputs-System'!$C$26*'Coincidence Factors'!$B$6*(1+'Inputs-System'!$C$18)*(1+'Inputs-System'!$C$42))*'Inputs-Proposals'!$J$22*VLOOKUP(CV$3,DRIPE!$A$54:$I$82,8,FALSE), $C51= "3", ( 'Inputs-System'!$C$30*'Coincidence Factors'!$B$9*(1+'Inputs-System'!$C$18)*(1+'Inputs-System'!$C$41))*('Inputs-Proposals'!$J$29*'Inputs-Proposals'!$J$31*(1-'Inputs-Proposals'!$J$32)^(CV$3-'Inputs-System'!$C$7))*(VLOOKUP(CV$3,DRIPE!$A$54:$I$82,5,FALSE)+VLOOKUP(CV$3,DRIPE!$A$54:$I$82,9,FALSE))+ ('Inputs-System'!$C$26*'Coincidence Factors'!$B$6*(1+'Inputs-System'!$C$18)*(1+'Inputs-System'!$C$42))*'Inputs-Proposals'!$J$28*VLOOKUP(CV$3,DRIPE!$A$54:$I$82,8,FALSE), $C51 = "0", 0), 0)</f>
        <v>0</v>
      </c>
      <c r="CY51" s="45">
        <f>IFERROR(_xlfn.IFS($C51="1",('Inputs-System'!$C$26*'Coincidence Factors'!$B$9*(1+'Inputs-System'!$C$18)*(1+'Inputs-System'!$C$42))*'Inputs-Proposals'!$D$16*(VLOOKUP(CV$3,Capacity!$A$53:$E$85,4,FALSE)*(1+'Inputs-System'!$C$42)+VLOOKUP(CV$3,Capacity!$A$53:$E$85,5,FALSE)*(1+'Inputs-System'!$C$43)*'Inputs-System'!$C$29), $C51 = "2", ('Inputs-System'!$C$26*'Coincidence Factors'!$B$9*(1+'Inputs-System'!$C$18))*'Inputs-Proposals'!$D$22*(VLOOKUP(CV$3,Capacity!$A$53:$E$85,4,FALSE)*(1+'Inputs-System'!$C$42)+VLOOKUP(CV$3,Capacity!$A$53:$E$85,5,FALSE)*'Inputs-System'!$C$29*(1+'Inputs-System'!$C$43)), $C51 = "3", ('Inputs-System'!$C$26*'Coincidence Factors'!$B$9*(1+'Inputs-System'!$C$18))*'Inputs-Proposals'!$D$28*(VLOOKUP(CV$3,Capacity!$A$53:$E$85,4,FALSE)*(1+'Inputs-System'!$C$42)+VLOOKUP(CV$3,Capacity!$A$53:$E$85,5,FALSE)*'Inputs-System'!$C$29*(1+'Inputs-System'!$C$43)), $C51 = "0", 0), 0)</f>
        <v>0</v>
      </c>
      <c r="CZ51" s="44">
        <v>0</v>
      </c>
      <c r="DA51" s="342">
        <f>IFERROR(_xlfn.IFS($C51="1", 'Inputs-System'!$C$30*'Coincidence Factors'!$B$9*'Inputs-Proposals'!$J$17*'Inputs-Proposals'!$J$19*(VLOOKUP(CV$3,'Non-Embedded Emissions'!$A$56:$D$90,2,FALSE)-VLOOKUP(CV$3,'Non-Embedded Emissions'!$F$57:$H$88,2,FALSE)+VLOOKUP(CV$3,'Non-Embedded Emissions'!$A$143:$D$174,2,FALSE)-VLOOKUP(CV$3,'Non-Embedded Emissions'!$F$143:$H$174,2,FALSE)+VLOOKUP(CV$3,'Non-Embedded Emissions'!$A$230:$D$259,2,FALSE)), $C51 = "2", 'Inputs-System'!$C$30*'Coincidence Factors'!$B$9*'Inputs-Proposals'!$J$23*'Inputs-Proposals'!$J$25*(VLOOKUP(CV$3,'Non-Embedded Emissions'!$A$56:$D$90,2,FALSE)-VLOOKUP(CV$3,'Non-Embedded Emissions'!$F$57:$H$88,2,FALSE)+VLOOKUP(CV$3,'Non-Embedded Emissions'!$A$143:$D$174,2,FALSE)-VLOOKUP(CV$3,'Non-Embedded Emissions'!$F$143:$H$174,2,FALSE)+VLOOKUP(CV$3,'Non-Embedded Emissions'!$A$230:$D$259,2,FALSE)), $C51 = "3", 'Inputs-System'!$C$30*'Coincidence Factors'!$B$9*'Inputs-Proposals'!$J$29*'Inputs-Proposals'!$J$31*(VLOOKUP(CV$3,'Non-Embedded Emissions'!$A$56:$D$90,2,FALSE)-VLOOKUP(CV$3,'Non-Embedded Emissions'!$F$57:$H$88,2,FALSE)+VLOOKUP(CV$3,'Non-Embedded Emissions'!$A$143:$D$174,2,FALSE)-VLOOKUP(CV$3,'Non-Embedded Emissions'!$F$143:$H$174,2,FALSE)+VLOOKUP(CV$3,'Non-Embedded Emissions'!$A$230:$D$259,2,FALSE)), $C51 = "0", 0), 0)</f>
        <v>0</v>
      </c>
      <c r="DB51" s="45">
        <f>IFERROR(_xlfn.IFS($C51="1",('Inputs-System'!$C$30*'Coincidence Factors'!$B$9*(1+'Inputs-System'!$C$18)*(1+'Inputs-System'!$C$41)*('Inputs-Proposals'!$J$17*'Inputs-Proposals'!$J$19*(1-'Inputs-Proposals'!$J$20^(DB$3-'Inputs-System'!$C$7)))*(VLOOKUP(DB$3,Energy!$A$51:$K$83,5,FALSE))), $C51 = "2",('Inputs-System'!$C$30*'Coincidence Factors'!$B$9)*(1+'Inputs-System'!$C$18)*(1+'Inputs-System'!$C$41)*('Inputs-Proposals'!$J$23*'Inputs-Proposals'!$J$25*(1-'Inputs-Proposals'!$J$26^(DB$3-'Inputs-System'!$C$7)))*(VLOOKUP(DB$3,Energy!$A$51:$K$83,5,FALSE)), $C51= "3", ('Inputs-System'!$C$30*'Coincidence Factors'!$B$9*(1+'Inputs-System'!$C$18)*(1+'Inputs-System'!$C$41)*('Inputs-Proposals'!$J$29*'Inputs-Proposals'!$J$31*(1-'Inputs-Proposals'!$J$32^(DB$3-'Inputs-System'!$C$7)))*(VLOOKUP(DB$3,Energy!$A$51:$K$83,5,FALSE))), $C51= "0", 0), 0)</f>
        <v>0</v>
      </c>
      <c r="DC51" s="44">
        <f>IFERROR(_xlfn.IFS($C51="1",('Inputs-System'!$C$30*'Coincidence Factors'!$B$9*(1+'Inputs-System'!$C$18)*(1+'Inputs-System'!$C$41))*'Inputs-Proposals'!$J$17*'Inputs-Proposals'!$J$19*(1-'Inputs-Proposals'!$J$20^(DB$3-'Inputs-System'!$C$7))*(VLOOKUP(DB$3,'Embedded Emissions'!$A$47:$B$78,2,FALSE)+VLOOKUP(DB$3,'Embedded Emissions'!$A$129:$B$158,2,FALSE)), $C51 = "2",('Inputs-System'!$C$30*'Coincidence Factors'!$B$9*(1+'Inputs-System'!$C$18)*(1+'Inputs-System'!$C$41))*'Inputs-Proposals'!$J$23*'Inputs-Proposals'!$J$25*(1-'Inputs-Proposals'!$J$20^(DB$3-'Inputs-System'!$C$7))*(VLOOKUP(DB$3,'Embedded Emissions'!$A$47:$B$78,2,FALSE)+VLOOKUP(DB$3,'Embedded Emissions'!$A$129:$B$158,2,FALSE)), $C51 = "3", ('Inputs-System'!$C$30*'Coincidence Factors'!$B$9*(1+'Inputs-System'!$C$18)*(1+'Inputs-System'!$C$41))*'Inputs-Proposals'!$J$29*'Inputs-Proposals'!$J$31*(1-'Inputs-Proposals'!$J$20^(DB$3-'Inputs-System'!$C$7))*(VLOOKUP(DB$3,'Embedded Emissions'!$A$47:$B$78,2,FALSE)+VLOOKUP(DB$3,'Embedded Emissions'!$A$129:$B$158,2,FALSE)), $C51 = "0", 0), 0)</f>
        <v>0</v>
      </c>
      <c r="DD51" s="44">
        <f>IFERROR(_xlfn.IFS($C51="1",( 'Inputs-System'!$C$30*'Coincidence Factors'!$B$9*(1+'Inputs-System'!$C$18)*(1+'Inputs-System'!$C$41))*('Inputs-Proposals'!$J$17*'Inputs-Proposals'!$J$19*(1-'Inputs-Proposals'!$J$20)^(DB$3-'Inputs-System'!$C$7))*(VLOOKUP(DB$3,DRIPE!$A$54:$I$82,5,FALSE)+VLOOKUP(DB$3,DRIPE!$A$54:$I$82,9,FALSE))+ ('Inputs-System'!$C$26*'Coincidence Factors'!$B$6*(1+'Inputs-System'!$C$18)*(1+'Inputs-System'!$C$42))*'Inputs-Proposals'!$J$16*VLOOKUP(DB$3,DRIPE!$A$54:$I$82,8,FALSE), $C51 = "2",( 'Inputs-System'!$C$30*'Coincidence Factors'!$B$9*(1+'Inputs-System'!$C$18)*(1+'Inputs-System'!$C$41))*('Inputs-Proposals'!$J$23*'Inputs-Proposals'!$J$25*(1-'Inputs-Proposals'!$J$26)^(DB$3-'Inputs-System'!$C$7))*(VLOOKUP(DB$3,DRIPE!$A$54:$I$82,5,FALSE)+VLOOKUP(DB$3,DRIPE!$A$54:$I$82,9,FALSE))+ ('Inputs-System'!$C$26*'Coincidence Factors'!$B$6*(1+'Inputs-System'!$C$18)*(1+'Inputs-System'!$C$42))*'Inputs-Proposals'!$J$22*VLOOKUP(DB$3,DRIPE!$A$54:$I$82,8,FALSE), $C51= "3", ( 'Inputs-System'!$C$30*'Coincidence Factors'!$B$9*(1+'Inputs-System'!$C$18)*(1+'Inputs-System'!$C$41))*('Inputs-Proposals'!$J$29*'Inputs-Proposals'!$J$31*(1-'Inputs-Proposals'!$J$32)^(DB$3-'Inputs-System'!$C$7))*(VLOOKUP(DB$3,DRIPE!$A$54:$I$82,5,FALSE)+VLOOKUP(DB$3,DRIPE!$A$54:$I$82,9,FALSE))+ ('Inputs-System'!$C$26*'Coincidence Factors'!$B$6*(1+'Inputs-System'!$C$18)*(1+'Inputs-System'!$C$42))*'Inputs-Proposals'!$J$28*VLOOKUP(DB$3,DRIPE!$A$54:$I$82,8,FALSE), $C51 = "0", 0), 0)</f>
        <v>0</v>
      </c>
      <c r="DE51" s="45">
        <f>IFERROR(_xlfn.IFS($C51="1",('Inputs-System'!$C$26*'Coincidence Factors'!$B$9*(1+'Inputs-System'!$C$18)*(1+'Inputs-System'!$C$42))*'Inputs-Proposals'!$D$16*(VLOOKUP(DB$3,Capacity!$A$53:$E$85,4,FALSE)*(1+'Inputs-System'!$C$42)+VLOOKUP(DB$3,Capacity!$A$53:$E$85,5,FALSE)*(1+'Inputs-System'!$C$43)*'Inputs-System'!$C$29), $C51 = "2", ('Inputs-System'!$C$26*'Coincidence Factors'!$B$9*(1+'Inputs-System'!$C$18))*'Inputs-Proposals'!$D$22*(VLOOKUP(DB$3,Capacity!$A$53:$E$85,4,FALSE)*(1+'Inputs-System'!$C$42)+VLOOKUP(DB$3,Capacity!$A$53:$E$85,5,FALSE)*'Inputs-System'!$C$29*(1+'Inputs-System'!$C$43)), $C51 = "3", ('Inputs-System'!$C$26*'Coincidence Factors'!$B$9*(1+'Inputs-System'!$C$18))*'Inputs-Proposals'!$D$28*(VLOOKUP(DB$3,Capacity!$A$53:$E$85,4,FALSE)*(1+'Inputs-System'!$C$42)+VLOOKUP(DB$3,Capacity!$A$53:$E$85,5,FALSE)*'Inputs-System'!$C$29*(1+'Inputs-System'!$C$43)), $C51 = "0", 0), 0)</f>
        <v>0</v>
      </c>
      <c r="DF51" s="44">
        <v>0</v>
      </c>
      <c r="DG51" s="342">
        <f>IFERROR(_xlfn.IFS($C51="1", 'Inputs-System'!$C$30*'Coincidence Factors'!$B$9*'Inputs-Proposals'!$J$17*'Inputs-Proposals'!$J$19*(VLOOKUP(DB$3,'Non-Embedded Emissions'!$A$56:$D$90,2,FALSE)-VLOOKUP(DB$3,'Non-Embedded Emissions'!$F$57:$H$88,2,FALSE)+VLOOKUP(DB$3,'Non-Embedded Emissions'!$A$143:$D$174,2,FALSE)-VLOOKUP(DB$3,'Non-Embedded Emissions'!$F$143:$H$174,2,FALSE)+VLOOKUP(DB$3,'Non-Embedded Emissions'!$A$230:$D$259,2,FALSE)), $C51 = "2", 'Inputs-System'!$C$30*'Coincidence Factors'!$B$9*'Inputs-Proposals'!$J$23*'Inputs-Proposals'!$J$25*(VLOOKUP(DB$3,'Non-Embedded Emissions'!$A$56:$D$90,2,FALSE)-VLOOKUP(DB$3,'Non-Embedded Emissions'!$F$57:$H$88,2,FALSE)+VLOOKUP(DB$3,'Non-Embedded Emissions'!$A$143:$D$174,2,FALSE)-VLOOKUP(DB$3,'Non-Embedded Emissions'!$F$143:$H$174,2,FALSE)+VLOOKUP(DB$3,'Non-Embedded Emissions'!$A$230:$D$259,2,FALSE)), $C51 = "3", 'Inputs-System'!$C$30*'Coincidence Factors'!$B$9*'Inputs-Proposals'!$J$29*'Inputs-Proposals'!$J$31*(VLOOKUP(DB$3,'Non-Embedded Emissions'!$A$56:$D$90,2,FALSE)-VLOOKUP(DB$3,'Non-Embedded Emissions'!$F$57:$H$88,2,FALSE)+VLOOKUP(DB$3,'Non-Embedded Emissions'!$A$143:$D$174,2,FALSE)-VLOOKUP(DB$3,'Non-Embedded Emissions'!$F$143:$H$174,2,FALSE)+VLOOKUP(DB$3,'Non-Embedded Emissions'!$A$230:$D$259,2,FALSE)), $C51 = "0", 0), 0)</f>
        <v>0</v>
      </c>
      <c r="DH51" s="45">
        <f>IFERROR(_xlfn.IFS($C51="1",('Inputs-System'!$C$30*'Coincidence Factors'!$B$9*(1+'Inputs-System'!$C$18)*(1+'Inputs-System'!$C$41)*('Inputs-Proposals'!$J$17*'Inputs-Proposals'!$J$19*(1-'Inputs-Proposals'!$J$20^(DH$3-'Inputs-System'!$C$7)))*(VLOOKUP(DH$3,Energy!$A$51:$K$83,5,FALSE))), $C51 = "2",('Inputs-System'!$C$30*'Coincidence Factors'!$B$9)*(1+'Inputs-System'!$C$18)*(1+'Inputs-System'!$C$41)*('Inputs-Proposals'!$J$23*'Inputs-Proposals'!$J$25*(1-'Inputs-Proposals'!$J$26^(DH$3-'Inputs-System'!$C$7)))*(VLOOKUP(DH$3,Energy!$A$51:$K$83,5,FALSE)), $C51= "3", ('Inputs-System'!$C$30*'Coincidence Factors'!$B$9*(1+'Inputs-System'!$C$18)*(1+'Inputs-System'!$C$41)*('Inputs-Proposals'!$J$29*'Inputs-Proposals'!$J$31*(1-'Inputs-Proposals'!$J$32^(DH$3-'Inputs-System'!$C$7)))*(VLOOKUP(DH$3,Energy!$A$51:$K$83,5,FALSE))), $C51= "0", 0), 0)</f>
        <v>0</v>
      </c>
      <c r="DI51" s="44">
        <f>IFERROR(_xlfn.IFS($C51="1",('Inputs-System'!$C$30*'Coincidence Factors'!$B$9*(1+'Inputs-System'!$C$18)*(1+'Inputs-System'!$C$41))*'Inputs-Proposals'!$J$17*'Inputs-Proposals'!$J$19*(1-'Inputs-Proposals'!$J$20^(DH$3-'Inputs-System'!$C$7))*(VLOOKUP(DH$3,'Embedded Emissions'!$A$47:$B$78,2,FALSE)+VLOOKUP(DH$3,'Embedded Emissions'!$A$129:$B$158,2,FALSE)), $C51 = "2",('Inputs-System'!$C$30*'Coincidence Factors'!$B$9*(1+'Inputs-System'!$C$18)*(1+'Inputs-System'!$C$41))*'Inputs-Proposals'!$J$23*'Inputs-Proposals'!$J$25*(1-'Inputs-Proposals'!$J$20^(DH$3-'Inputs-System'!$C$7))*(VLOOKUP(DH$3,'Embedded Emissions'!$A$47:$B$78,2,FALSE)+VLOOKUP(DH$3,'Embedded Emissions'!$A$129:$B$158,2,FALSE)), $C51 = "3", ('Inputs-System'!$C$30*'Coincidence Factors'!$B$9*(1+'Inputs-System'!$C$18)*(1+'Inputs-System'!$C$41))*'Inputs-Proposals'!$J$29*'Inputs-Proposals'!$J$31*(1-'Inputs-Proposals'!$J$20^(DH$3-'Inputs-System'!$C$7))*(VLOOKUP(DH$3,'Embedded Emissions'!$A$47:$B$78,2,FALSE)+VLOOKUP(DH$3,'Embedded Emissions'!$A$129:$B$158,2,FALSE)), $C51 = "0", 0), 0)</f>
        <v>0</v>
      </c>
      <c r="DJ51" s="44">
        <f>IFERROR(_xlfn.IFS($C51="1",( 'Inputs-System'!$C$30*'Coincidence Factors'!$B$9*(1+'Inputs-System'!$C$18)*(1+'Inputs-System'!$C$41))*('Inputs-Proposals'!$J$17*'Inputs-Proposals'!$J$19*(1-'Inputs-Proposals'!$J$20)^(DH$3-'Inputs-System'!$C$7))*(VLOOKUP(DH$3,DRIPE!$A$54:$I$82,5,FALSE)+VLOOKUP(DH$3,DRIPE!$A$54:$I$82,9,FALSE))+ ('Inputs-System'!$C$26*'Coincidence Factors'!$B$6*(1+'Inputs-System'!$C$18)*(1+'Inputs-System'!$C$42))*'Inputs-Proposals'!$J$16*VLOOKUP(DH$3,DRIPE!$A$54:$I$82,8,FALSE), $C51 = "2",( 'Inputs-System'!$C$30*'Coincidence Factors'!$B$9*(1+'Inputs-System'!$C$18)*(1+'Inputs-System'!$C$41))*('Inputs-Proposals'!$J$23*'Inputs-Proposals'!$J$25*(1-'Inputs-Proposals'!$J$26)^(DH$3-'Inputs-System'!$C$7))*(VLOOKUP(DH$3,DRIPE!$A$54:$I$82,5,FALSE)+VLOOKUP(DH$3,DRIPE!$A$54:$I$82,9,FALSE))+ ('Inputs-System'!$C$26*'Coincidence Factors'!$B$6*(1+'Inputs-System'!$C$18)*(1+'Inputs-System'!$C$42))*'Inputs-Proposals'!$J$22*VLOOKUP(DH$3,DRIPE!$A$54:$I$82,8,FALSE), $C51= "3", ( 'Inputs-System'!$C$30*'Coincidence Factors'!$B$9*(1+'Inputs-System'!$C$18)*(1+'Inputs-System'!$C$41))*('Inputs-Proposals'!$J$29*'Inputs-Proposals'!$J$31*(1-'Inputs-Proposals'!$J$32)^(DH$3-'Inputs-System'!$C$7))*(VLOOKUP(DH$3,DRIPE!$A$54:$I$82,5,FALSE)+VLOOKUP(DH$3,DRIPE!$A$54:$I$82,9,FALSE))+ ('Inputs-System'!$C$26*'Coincidence Factors'!$B$6*(1+'Inputs-System'!$C$18)*(1+'Inputs-System'!$C$42))*'Inputs-Proposals'!$J$28*VLOOKUP(DH$3,DRIPE!$A$54:$I$82,8,FALSE), $C51 = "0", 0), 0)</f>
        <v>0</v>
      </c>
      <c r="DK51" s="45">
        <f>IFERROR(_xlfn.IFS($C51="1",('Inputs-System'!$C$26*'Coincidence Factors'!$B$9*(1+'Inputs-System'!$C$18)*(1+'Inputs-System'!$C$42))*'Inputs-Proposals'!$D$16*(VLOOKUP(DH$3,Capacity!$A$53:$E$85,4,FALSE)*(1+'Inputs-System'!$C$42)+VLOOKUP(DH$3,Capacity!$A$53:$E$85,5,FALSE)*(1+'Inputs-System'!$C$43)*'Inputs-System'!$C$29), $C51 = "2", ('Inputs-System'!$C$26*'Coincidence Factors'!$B$9*(1+'Inputs-System'!$C$18))*'Inputs-Proposals'!$D$22*(VLOOKUP(DH$3,Capacity!$A$53:$E$85,4,FALSE)*(1+'Inputs-System'!$C$42)+VLOOKUP(DH$3,Capacity!$A$53:$E$85,5,FALSE)*'Inputs-System'!$C$29*(1+'Inputs-System'!$C$43)), $C51 = "3", ('Inputs-System'!$C$26*'Coincidence Factors'!$B$9*(1+'Inputs-System'!$C$18))*'Inputs-Proposals'!$D$28*(VLOOKUP(DH$3,Capacity!$A$53:$E$85,4,FALSE)*(1+'Inputs-System'!$C$42)+VLOOKUP(DH$3,Capacity!$A$53:$E$85,5,FALSE)*'Inputs-System'!$C$29*(1+'Inputs-System'!$C$43)), $C51 = "0", 0), 0)</f>
        <v>0</v>
      </c>
      <c r="DL51" s="44">
        <v>0</v>
      </c>
      <c r="DM51" s="342">
        <f>IFERROR(_xlfn.IFS($C51="1", 'Inputs-System'!$C$30*'Coincidence Factors'!$B$9*'Inputs-Proposals'!$J$17*'Inputs-Proposals'!$J$19*(VLOOKUP(DH$3,'Non-Embedded Emissions'!$A$56:$D$90,2,FALSE)-VLOOKUP(DH$3,'Non-Embedded Emissions'!$F$57:$H$88,2,FALSE)+VLOOKUP(DH$3,'Non-Embedded Emissions'!$A$143:$D$174,2,FALSE)-VLOOKUP(DH$3,'Non-Embedded Emissions'!$F$143:$H$174,2,FALSE)+VLOOKUP(DH$3,'Non-Embedded Emissions'!$A$230:$D$259,2,FALSE)), $C51 = "2", 'Inputs-System'!$C$30*'Coincidence Factors'!$B$9*'Inputs-Proposals'!$J$23*'Inputs-Proposals'!$J$25*(VLOOKUP(DH$3,'Non-Embedded Emissions'!$A$56:$D$90,2,FALSE)-VLOOKUP(DH$3,'Non-Embedded Emissions'!$F$57:$H$88,2,FALSE)+VLOOKUP(DH$3,'Non-Embedded Emissions'!$A$143:$D$174,2,FALSE)-VLOOKUP(DH$3,'Non-Embedded Emissions'!$F$143:$H$174,2,FALSE)+VLOOKUP(DH$3,'Non-Embedded Emissions'!$A$230:$D$259,2,FALSE)), $C51 = "3", 'Inputs-System'!$C$30*'Coincidence Factors'!$B$9*'Inputs-Proposals'!$J$29*'Inputs-Proposals'!$J$31*(VLOOKUP(DH$3,'Non-Embedded Emissions'!$A$56:$D$90,2,FALSE)-VLOOKUP(DH$3,'Non-Embedded Emissions'!$F$57:$H$88,2,FALSE)+VLOOKUP(DH$3,'Non-Embedded Emissions'!$A$143:$D$174,2,FALSE)-VLOOKUP(DH$3,'Non-Embedded Emissions'!$F$143:$H$174,2,FALSE)+VLOOKUP(DH$3,'Non-Embedded Emissions'!$A$230:$D$259,2,FALSE)), $C51 = "0", 0), 0)</f>
        <v>0</v>
      </c>
      <c r="DN51" s="45">
        <f>IFERROR(_xlfn.IFS($C51="1",('Inputs-System'!$C$30*'Coincidence Factors'!$B$9*(1+'Inputs-System'!$C$18)*(1+'Inputs-System'!$C$41)*('Inputs-Proposals'!$J$17*'Inputs-Proposals'!$J$19*(1-'Inputs-Proposals'!$J$20^(DN$3-'Inputs-System'!$C$7)))*(VLOOKUP(DN$3,Energy!$A$51:$K$83,5,FALSE))), $C51 = "2",('Inputs-System'!$C$30*'Coincidence Factors'!$B$9)*(1+'Inputs-System'!$C$18)*(1+'Inputs-System'!$C$41)*('Inputs-Proposals'!$J$23*'Inputs-Proposals'!$J$25*(1-'Inputs-Proposals'!$J$26^(DN$3-'Inputs-System'!$C$7)))*(VLOOKUP(DN$3,Energy!$A$51:$K$83,5,FALSE)), $C51= "3", ('Inputs-System'!$C$30*'Coincidence Factors'!$B$9*(1+'Inputs-System'!$C$18)*(1+'Inputs-System'!$C$41)*('Inputs-Proposals'!$J$29*'Inputs-Proposals'!$J$31*(1-'Inputs-Proposals'!$J$32^(DN$3-'Inputs-System'!$C$7)))*(VLOOKUP(DN$3,Energy!$A$51:$K$83,5,FALSE))), $C51= "0", 0), 0)</f>
        <v>0</v>
      </c>
      <c r="DO51" s="44">
        <f>IFERROR(_xlfn.IFS($C51="1",('Inputs-System'!$C$30*'Coincidence Factors'!$B$9*(1+'Inputs-System'!$C$18)*(1+'Inputs-System'!$C$41))*'Inputs-Proposals'!$J$17*'Inputs-Proposals'!$J$19*(1-'Inputs-Proposals'!$J$20^(DN$3-'Inputs-System'!$C$7))*(VLOOKUP(DN$3,'Embedded Emissions'!$A$47:$B$78,2,FALSE)+VLOOKUP(DN$3,'Embedded Emissions'!$A$129:$B$158,2,FALSE)), $C51 = "2",('Inputs-System'!$C$30*'Coincidence Factors'!$B$9*(1+'Inputs-System'!$C$18)*(1+'Inputs-System'!$C$41))*'Inputs-Proposals'!$J$23*'Inputs-Proposals'!$J$25*(1-'Inputs-Proposals'!$J$20^(DN$3-'Inputs-System'!$C$7))*(VLOOKUP(DN$3,'Embedded Emissions'!$A$47:$B$78,2,FALSE)+VLOOKUP(DN$3,'Embedded Emissions'!$A$129:$B$158,2,FALSE)), $C51 = "3", ('Inputs-System'!$C$30*'Coincidence Factors'!$B$9*(1+'Inputs-System'!$C$18)*(1+'Inputs-System'!$C$41))*'Inputs-Proposals'!$J$29*'Inputs-Proposals'!$J$31*(1-'Inputs-Proposals'!$J$20^(DN$3-'Inputs-System'!$C$7))*(VLOOKUP(DN$3,'Embedded Emissions'!$A$47:$B$78,2,FALSE)+VLOOKUP(DN$3,'Embedded Emissions'!$A$129:$B$158,2,FALSE)), $C51 = "0", 0), 0)</f>
        <v>0</v>
      </c>
      <c r="DP51" s="44">
        <f>IFERROR(_xlfn.IFS($C51="1",( 'Inputs-System'!$C$30*'Coincidence Factors'!$B$9*(1+'Inputs-System'!$C$18)*(1+'Inputs-System'!$C$41))*('Inputs-Proposals'!$J$17*'Inputs-Proposals'!$J$19*(1-'Inputs-Proposals'!$J$20)^(DN$3-'Inputs-System'!$C$7))*(VLOOKUP(DN$3,DRIPE!$A$54:$I$82,5,FALSE)+VLOOKUP(DN$3,DRIPE!$A$54:$I$82,9,FALSE))+ ('Inputs-System'!$C$26*'Coincidence Factors'!$B$6*(1+'Inputs-System'!$C$18)*(1+'Inputs-System'!$C$42))*'Inputs-Proposals'!$J$16*VLOOKUP(DN$3,DRIPE!$A$54:$I$82,8,FALSE), $C51 = "2",( 'Inputs-System'!$C$30*'Coincidence Factors'!$B$9*(1+'Inputs-System'!$C$18)*(1+'Inputs-System'!$C$41))*('Inputs-Proposals'!$J$23*'Inputs-Proposals'!$J$25*(1-'Inputs-Proposals'!$J$26)^(DN$3-'Inputs-System'!$C$7))*(VLOOKUP(DN$3,DRIPE!$A$54:$I$82,5,FALSE)+VLOOKUP(DN$3,DRIPE!$A$54:$I$82,9,FALSE))+ ('Inputs-System'!$C$26*'Coincidence Factors'!$B$6*(1+'Inputs-System'!$C$18)*(1+'Inputs-System'!$C$42))*'Inputs-Proposals'!$J$22*VLOOKUP(DN$3,DRIPE!$A$54:$I$82,8,FALSE), $C51= "3", ( 'Inputs-System'!$C$30*'Coincidence Factors'!$B$9*(1+'Inputs-System'!$C$18)*(1+'Inputs-System'!$C$41))*('Inputs-Proposals'!$J$29*'Inputs-Proposals'!$J$31*(1-'Inputs-Proposals'!$J$32)^(DN$3-'Inputs-System'!$C$7))*(VLOOKUP(DN$3,DRIPE!$A$54:$I$82,5,FALSE)+VLOOKUP(DN$3,DRIPE!$A$54:$I$82,9,FALSE))+ ('Inputs-System'!$C$26*'Coincidence Factors'!$B$6*(1+'Inputs-System'!$C$18)*(1+'Inputs-System'!$C$42))*'Inputs-Proposals'!$J$28*VLOOKUP(DN$3,DRIPE!$A$54:$I$82,8,FALSE), $C51 = "0", 0), 0)</f>
        <v>0</v>
      </c>
      <c r="DQ51" s="45">
        <f>IFERROR(_xlfn.IFS($C51="1",('Inputs-System'!$C$26*'Coincidence Factors'!$B$9*(1+'Inputs-System'!$C$18)*(1+'Inputs-System'!$C$42))*'Inputs-Proposals'!$D$16*(VLOOKUP(DN$3,Capacity!$A$53:$E$85,4,FALSE)*(1+'Inputs-System'!$C$42)+VLOOKUP(DN$3,Capacity!$A$53:$E$85,5,FALSE)*(1+'Inputs-System'!$C$43)*'Inputs-System'!$C$29), $C51 = "2", ('Inputs-System'!$C$26*'Coincidence Factors'!$B$9*(1+'Inputs-System'!$C$18))*'Inputs-Proposals'!$D$22*(VLOOKUP(DN$3,Capacity!$A$53:$E$85,4,FALSE)*(1+'Inputs-System'!$C$42)+VLOOKUP(DN$3,Capacity!$A$53:$E$85,5,FALSE)*'Inputs-System'!$C$29*(1+'Inputs-System'!$C$43)), $C51 = "3", ('Inputs-System'!$C$26*'Coincidence Factors'!$B$9*(1+'Inputs-System'!$C$18))*'Inputs-Proposals'!$D$28*(VLOOKUP(DN$3,Capacity!$A$53:$E$85,4,FALSE)*(1+'Inputs-System'!$C$42)+VLOOKUP(DN$3,Capacity!$A$53:$E$85,5,FALSE)*'Inputs-System'!$C$29*(1+'Inputs-System'!$C$43)), $C51 = "0", 0), 0)</f>
        <v>0</v>
      </c>
      <c r="DR51" s="44">
        <v>0</v>
      </c>
      <c r="DS51" s="342">
        <f>IFERROR(_xlfn.IFS($C51="1", 'Inputs-System'!$C$30*'Coincidence Factors'!$B$9*'Inputs-Proposals'!$J$17*'Inputs-Proposals'!$J$19*(VLOOKUP(DN$3,'Non-Embedded Emissions'!$A$56:$D$90,2,FALSE)-VLOOKUP(DN$3,'Non-Embedded Emissions'!$F$57:$H$88,2,FALSE)+VLOOKUP(DN$3,'Non-Embedded Emissions'!$A$143:$D$174,2,FALSE)-VLOOKUP(DN$3,'Non-Embedded Emissions'!$F$143:$H$174,2,FALSE)+VLOOKUP(DN$3,'Non-Embedded Emissions'!$A$230:$D$259,2,FALSE)), $C51 = "2", 'Inputs-System'!$C$30*'Coincidence Factors'!$B$9*'Inputs-Proposals'!$J$23*'Inputs-Proposals'!$J$25*(VLOOKUP(DN$3,'Non-Embedded Emissions'!$A$56:$D$90,2,FALSE)-VLOOKUP(DN$3,'Non-Embedded Emissions'!$F$57:$H$88,2,FALSE)+VLOOKUP(DN$3,'Non-Embedded Emissions'!$A$143:$D$174,2,FALSE)-VLOOKUP(DN$3,'Non-Embedded Emissions'!$F$143:$H$174,2,FALSE)+VLOOKUP(DN$3,'Non-Embedded Emissions'!$A$230:$D$259,2,FALSE)), $C51 = "3", 'Inputs-System'!$C$30*'Coincidence Factors'!$B$9*'Inputs-Proposals'!$J$29*'Inputs-Proposals'!$J$31*(VLOOKUP(DN$3,'Non-Embedded Emissions'!$A$56:$D$90,2,FALSE)-VLOOKUP(DN$3,'Non-Embedded Emissions'!$F$57:$H$88,2,FALSE)+VLOOKUP(DN$3,'Non-Embedded Emissions'!$A$143:$D$174,2,FALSE)-VLOOKUP(DN$3,'Non-Embedded Emissions'!$F$143:$H$174,2,FALSE)+VLOOKUP(DN$3,'Non-Embedded Emissions'!$A$230:$D$259,2,FALSE)), $C51 = "0", 0), 0)</f>
        <v>0</v>
      </c>
      <c r="DT51" s="45">
        <f>IFERROR(_xlfn.IFS($C51="1",('Inputs-System'!$C$30*'Coincidence Factors'!$B$9*(1+'Inputs-System'!$C$18)*(1+'Inputs-System'!$C$41)*('Inputs-Proposals'!$J$17*'Inputs-Proposals'!$J$19*(1-'Inputs-Proposals'!$J$20^(DT$3-'Inputs-System'!$C$7)))*(VLOOKUP(DT$3,Energy!$A$51:$K$83,5,FALSE))), $C51 = "2",('Inputs-System'!$C$30*'Coincidence Factors'!$B$9)*(1+'Inputs-System'!$C$18)*(1+'Inputs-System'!$C$41)*('Inputs-Proposals'!$J$23*'Inputs-Proposals'!$J$25*(1-'Inputs-Proposals'!$J$26^(DT$3-'Inputs-System'!$C$7)))*(VLOOKUP(DT$3,Energy!$A$51:$K$83,5,FALSE)), $C51= "3", ('Inputs-System'!$C$30*'Coincidence Factors'!$B$9*(1+'Inputs-System'!$C$18)*(1+'Inputs-System'!$C$41)*('Inputs-Proposals'!$J$29*'Inputs-Proposals'!$J$31*(1-'Inputs-Proposals'!$J$32^(DT$3-'Inputs-System'!$C$7)))*(VLOOKUP(DT$3,Energy!$A$51:$K$83,5,FALSE))), $C51= "0", 0), 0)</f>
        <v>0</v>
      </c>
      <c r="DU51" s="44">
        <f>IFERROR(_xlfn.IFS($C51="1",('Inputs-System'!$C$30*'Coincidence Factors'!$B$9*(1+'Inputs-System'!$C$18)*(1+'Inputs-System'!$C$41))*'Inputs-Proposals'!$J$17*'Inputs-Proposals'!$J$19*(1-'Inputs-Proposals'!$J$20^(DT$3-'Inputs-System'!$C$7))*(VLOOKUP(DT$3,'Embedded Emissions'!$A$47:$B$78,2,FALSE)+VLOOKUP(DT$3,'Embedded Emissions'!$A$129:$B$158,2,FALSE)), $C51 = "2",('Inputs-System'!$C$30*'Coincidence Factors'!$B$9*(1+'Inputs-System'!$C$18)*(1+'Inputs-System'!$C$41))*'Inputs-Proposals'!$J$23*'Inputs-Proposals'!$J$25*(1-'Inputs-Proposals'!$J$20^(DT$3-'Inputs-System'!$C$7))*(VLOOKUP(DT$3,'Embedded Emissions'!$A$47:$B$78,2,FALSE)+VLOOKUP(DT$3,'Embedded Emissions'!$A$129:$B$158,2,FALSE)), $C51 = "3", ('Inputs-System'!$C$30*'Coincidence Factors'!$B$9*(1+'Inputs-System'!$C$18)*(1+'Inputs-System'!$C$41))*'Inputs-Proposals'!$J$29*'Inputs-Proposals'!$J$31*(1-'Inputs-Proposals'!$J$20^(DT$3-'Inputs-System'!$C$7))*(VLOOKUP(DT$3,'Embedded Emissions'!$A$47:$B$78,2,FALSE)+VLOOKUP(DT$3,'Embedded Emissions'!$A$129:$B$158,2,FALSE)), $C51 = "0", 0), 0)</f>
        <v>0</v>
      </c>
      <c r="DV51" s="44">
        <f>IFERROR(_xlfn.IFS($C51="1",( 'Inputs-System'!$C$30*'Coincidence Factors'!$B$9*(1+'Inputs-System'!$C$18)*(1+'Inputs-System'!$C$41))*('Inputs-Proposals'!$J$17*'Inputs-Proposals'!$J$19*(1-'Inputs-Proposals'!$J$20)^(DT$3-'Inputs-System'!$C$7))*(VLOOKUP(DT$3,DRIPE!$A$54:$I$82,5,FALSE)+VLOOKUP(DT$3,DRIPE!$A$54:$I$82,9,FALSE))+ ('Inputs-System'!$C$26*'Coincidence Factors'!$B$6*(1+'Inputs-System'!$C$18)*(1+'Inputs-System'!$C$42))*'Inputs-Proposals'!$J$16*VLOOKUP(DT$3,DRIPE!$A$54:$I$82,8,FALSE), $C51 = "2",( 'Inputs-System'!$C$30*'Coincidence Factors'!$B$9*(1+'Inputs-System'!$C$18)*(1+'Inputs-System'!$C$41))*('Inputs-Proposals'!$J$23*'Inputs-Proposals'!$J$25*(1-'Inputs-Proposals'!$J$26)^(DT$3-'Inputs-System'!$C$7))*(VLOOKUP(DT$3,DRIPE!$A$54:$I$82,5,FALSE)+VLOOKUP(DT$3,DRIPE!$A$54:$I$82,9,FALSE))+ ('Inputs-System'!$C$26*'Coincidence Factors'!$B$6*(1+'Inputs-System'!$C$18)*(1+'Inputs-System'!$C$42))*'Inputs-Proposals'!$J$22*VLOOKUP(DT$3,DRIPE!$A$54:$I$82,8,FALSE), $C51= "3", ( 'Inputs-System'!$C$30*'Coincidence Factors'!$B$9*(1+'Inputs-System'!$C$18)*(1+'Inputs-System'!$C$41))*('Inputs-Proposals'!$J$29*'Inputs-Proposals'!$J$31*(1-'Inputs-Proposals'!$J$32)^(DT$3-'Inputs-System'!$C$7))*(VLOOKUP(DT$3,DRIPE!$A$54:$I$82,5,FALSE)+VLOOKUP(DT$3,DRIPE!$A$54:$I$82,9,FALSE))+ ('Inputs-System'!$C$26*'Coincidence Factors'!$B$6*(1+'Inputs-System'!$C$18)*(1+'Inputs-System'!$C$42))*'Inputs-Proposals'!$J$28*VLOOKUP(DT$3,DRIPE!$A$54:$I$82,8,FALSE), $C51 = "0", 0), 0)</f>
        <v>0</v>
      </c>
      <c r="DW51" s="45">
        <f>IFERROR(_xlfn.IFS($C51="1",('Inputs-System'!$C$26*'Coincidence Factors'!$B$9*(1+'Inputs-System'!$C$18)*(1+'Inputs-System'!$C$42))*'Inputs-Proposals'!$D$16*(VLOOKUP(DT$3,Capacity!$A$53:$E$85,4,FALSE)*(1+'Inputs-System'!$C$42)+VLOOKUP(DT$3,Capacity!$A$53:$E$85,5,FALSE)*(1+'Inputs-System'!$C$43)*'Inputs-System'!$C$29), $C51 = "2", ('Inputs-System'!$C$26*'Coincidence Factors'!$B$9*(1+'Inputs-System'!$C$18))*'Inputs-Proposals'!$D$22*(VLOOKUP(DT$3,Capacity!$A$53:$E$85,4,FALSE)*(1+'Inputs-System'!$C$42)+VLOOKUP(DT$3,Capacity!$A$53:$E$85,5,FALSE)*'Inputs-System'!$C$29*(1+'Inputs-System'!$C$43)), $C51 = "3", ('Inputs-System'!$C$26*'Coincidence Factors'!$B$9*(1+'Inputs-System'!$C$18))*'Inputs-Proposals'!$D$28*(VLOOKUP(DT$3,Capacity!$A$53:$E$85,4,FALSE)*(1+'Inputs-System'!$C$42)+VLOOKUP(DT$3,Capacity!$A$53:$E$85,5,FALSE)*'Inputs-System'!$C$29*(1+'Inputs-System'!$C$43)), $C51 = "0", 0), 0)</f>
        <v>0</v>
      </c>
      <c r="DX51" s="44">
        <v>0</v>
      </c>
      <c r="DY51" s="342">
        <f>IFERROR(_xlfn.IFS($C51="1", 'Inputs-System'!$C$30*'Coincidence Factors'!$B$9*'Inputs-Proposals'!$J$17*'Inputs-Proposals'!$J$19*(VLOOKUP(DT$3,'Non-Embedded Emissions'!$A$56:$D$90,2,FALSE)-VLOOKUP(DT$3,'Non-Embedded Emissions'!$F$57:$H$88,2,FALSE)+VLOOKUP(DT$3,'Non-Embedded Emissions'!$A$143:$D$174,2,FALSE)-VLOOKUP(DT$3,'Non-Embedded Emissions'!$F$143:$H$174,2,FALSE)+VLOOKUP(DT$3,'Non-Embedded Emissions'!$A$230:$D$259,2,FALSE)), $C51 = "2", 'Inputs-System'!$C$30*'Coincidence Factors'!$B$9*'Inputs-Proposals'!$J$23*'Inputs-Proposals'!$J$25*(VLOOKUP(DT$3,'Non-Embedded Emissions'!$A$56:$D$90,2,FALSE)-VLOOKUP(DT$3,'Non-Embedded Emissions'!$F$57:$H$88,2,FALSE)+VLOOKUP(DT$3,'Non-Embedded Emissions'!$A$143:$D$174,2,FALSE)-VLOOKUP(DT$3,'Non-Embedded Emissions'!$F$143:$H$174,2,FALSE)+VLOOKUP(DT$3,'Non-Embedded Emissions'!$A$230:$D$259,2,FALSE)), $C51 = "3", 'Inputs-System'!$C$30*'Coincidence Factors'!$B$9*'Inputs-Proposals'!$J$29*'Inputs-Proposals'!$J$31*(VLOOKUP(DT$3,'Non-Embedded Emissions'!$A$56:$D$90,2,FALSE)-VLOOKUP(DT$3,'Non-Embedded Emissions'!$F$57:$H$88,2,FALSE)+VLOOKUP(DT$3,'Non-Embedded Emissions'!$A$143:$D$174,2,FALSE)-VLOOKUP(DT$3,'Non-Embedded Emissions'!$F$143:$H$174,2,FALSE)+VLOOKUP(DT$3,'Non-Embedded Emissions'!$A$230:$D$259,2,FALSE)), $C51 = "0", 0), 0)</f>
        <v>0</v>
      </c>
      <c r="DZ51" s="45">
        <f>IFERROR(_xlfn.IFS($C51="1",('Inputs-System'!$C$30*'Coincidence Factors'!$B$9*(1+'Inputs-System'!$C$18)*(1+'Inputs-System'!$C$41)*('Inputs-Proposals'!$J$17*'Inputs-Proposals'!$J$19*(1-'Inputs-Proposals'!$J$20^(DZ$3-'Inputs-System'!$C$7)))*(VLOOKUP(DZ$3,Energy!$A$51:$K$83,5,FALSE))), $C51 = "2",('Inputs-System'!$C$30*'Coincidence Factors'!$B$9)*(1+'Inputs-System'!$C$18)*(1+'Inputs-System'!$C$41)*('Inputs-Proposals'!$J$23*'Inputs-Proposals'!$J$25*(1-'Inputs-Proposals'!$J$26^(DZ$3-'Inputs-System'!$C$7)))*(VLOOKUP(DZ$3,Energy!$A$51:$K$83,5,FALSE)), $C51= "3", ('Inputs-System'!$C$30*'Coincidence Factors'!$B$9*(1+'Inputs-System'!$C$18)*(1+'Inputs-System'!$C$41)*('Inputs-Proposals'!$J$29*'Inputs-Proposals'!$J$31*(1-'Inputs-Proposals'!$J$32^(DZ$3-'Inputs-System'!$C$7)))*(VLOOKUP(DZ$3,Energy!$A$51:$K$83,5,FALSE))), $C51= "0", 0), 0)</f>
        <v>0</v>
      </c>
      <c r="EA51" s="44">
        <f>IFERROR(_xlfn.IFS($C51="1",('Inputs-System'!$C$30*'Coincidence Factors'!$B$9*(1+'Inputs-System'!$C$18)*(1+'Inputs-System'!$C$41))*'Inputs-Proposals'!$J$17*'Inputs-Proposals'!$J$19*(1-'Inputs-Proposals'!$J$20^(DZ$3-'Inputs-System'!$C$7))*(VLOOKUP(DZ$3,'Embedded Emissions'!$A$47:$B$78,2,FALSE)+VLOOKUP(DZ$3,'Embedded Emissions'!$A$129:$B$158,2,FALSE)), $C51 = "2",('Inputs-System'!$C$30*'Coincidence Factors'!$B$9*(1+'Inputs-System'!$C$18)*(1+'Inputs-System'!$C$41))*'Inputs-Proposals'!$J$23*'Inputs-Proposals'!$J$25*(1-'Inputs-Proposals'!$J$20^(DZ$3-'Inputs-System'!$C$7))*(VLOOKUP(DZ$3,'Embedded Emissions'!$A$47:$B$78,2,FALSE)+VLOOKUP(DZ$3,'Embedded Emissions'!$A$129:$B$158,2,FALSE)), $C51 = "3", ('Inputs-System'!$C$30*'Coincidence Factors'!$B$9*(1+'Inputs-System'!$C$18)*(1+'Inputs-System'!$C$41))*'Inputs-Proposals'!$J$29*'Inputs-Proposals'!$J$31*(1-'Inputs-Proposals'!$J$20^(DZ$3-'Inputs-System'!$C$7))*(VLOOKUP(DZ$3,'Embedded Emissions'!$A$47:$B$78,2,FALSE)+VLOOKUP(DZ$3,'Embedded Emissions'!$A$129:$B$158,2,FALSE)), $C51 = "0", 0), 0)</f>
        <v>0</v>
      </c>
      <c r="EB51" s="44">
        <f>IFERROR(_xlfn.IFS($C51="1",( 'Inputs-System'!$C$30*'Coincidence Factors'!$B$9*(1+'Inputs-System'!$C$18)*(1+'Inputs-System'!$C$41))*('Inputs-Proposals'!$J$17*'Inputs-Proposals'!$J$19*(1-'Inputs-Proposals'!$J$20)^(DZ$3-'Inputs-System'!$C$7))*(VLOOKUP(DZ$3,DRIPE!$A$54:$I$82,5,FALSE)+VLOOKUP(DZ$3,DRIPE!$A$54:$I$82,9,FALSE))+ ('Inputs-System'!$C$26*'Coincidence Factors'!$B$6*(1+'Inputs-System'!$C$18)*(1+'Inputs-System'!$C$42))*'Inputs-Proposals'!$J$16*VLOOKUP(DZ$3,DRIPE!$A$54:$I$82,8,FALSE), $C51 = "2",( 'Inputs-System'!$C$30*'Coincidence Factors'!$B$9*(1+'Inputs-System'!$C$18)*(1+'Inputs-System'!$C$41))*('Inputs-Proposals'!$J$23*'Inputs-Proposals'!$J$25*(1-'Inputs-Proposals'!$J$26)^(DZ$3-'Inputs-System'!$C$7))*(VLOOKUP(DZ$3,DRIPE!$A$54:$I$82,5,FALSE)+VLOOKUP(DZ$3,DRIPE!$A$54:$I$82,9,FALSE))+ ('Inputs-System'!$C$26*'Coincidence Factors'!$B$6*(1+'Inputs-System'!$C$18)*(1+'Inputs-System'!$C$42))*'Inputs-Proposals'!$J$22*VLOOKUP(DZ$3,DRIPE!$A$54:$I$82,8,FALSE), $C51= "3", ( 'Inputs-System'!$C$30*'Coincidence Factors'!$B$9*(1+'Inputs-System'!$C$18)*(1+'Inputs-System'!$C$41))*('Inputs-Proposals'!$J$29*'Inputs-Proposals'!$J$31*(1-'Inputs-Proposals'!$J$32)^(DZ$3-'Inputs-System'!$C$7))*(VLOOKUP(DZ$3,DRIPE!$A$54:$I$82,5,FALSE)+VLOOKUP(DZ$3,DRIPE!$A$54:$I$82,9,FALSE))+ ('Inputs-System'!$C$26*'Coincidence Factors'!$B$6*(1+'Inputs-System'!$C$18)*(1+'Inputs-System'!$C$42))*'Inputs-Proposals'!$J$28*VLOOKUP(DZ$3,DRIPE!$A$54:$I$82,8,FALSE), $C51 = "0", 0), 0)</f>
        <v>0</v>
      </c>
      <c r="EC51" s="45">
        <f>IFERROR(_xlfn.IFS($C51="1",('Inputs-System'!$C$26*'Coincidence Factors'!$B$9*(1+'Inputs-System'!$C$18)*(1+'Inputs-System'!$C$42))*'Inputs-Proposals'!$D$16*(VLOOKUP(DZ$3,Capacity!$A$53:$E$85,4,FALSE)*(1+'Inputs-System'!$C$42)+VLOOKUP(DZ$3,Capacity!$A$53:$E$85,5,FALSE)*(1+'Inputs-System'!$C$43)*'Inputs-System'!$C$29), $C51 = "2", ('Inputs-System'!$C$26*'Coincidence Factors'!$B$9*(1+'Inputs-System'!$C$18))*'Inputs-Proposals'!$D$22*(VLOOKUP(DZ$3,Capacity!$A$53:$E$85,4,FALSE)*(1+'Inputs-System'!$C$42)+VLOOKUP(DZ$3,Capacity!$A$53:$E$85,5,FALSE)*'Inputs-System'!$C$29*(1+'Inputs-System'!$C$43)), $C51 = "3", ('Inputs-System'!$C$26*'Coincidence Factors'!$B$9*(1+'Inputs-System'!$C$18))*'Inputs-Proposals'!$D$28*(VLOOKUP(DZ$3,Capacity!$A$53:$E$85,4,FALSE)*(1+'Inputs-System'!$C$42)+VLOOKUP(DZ$3,Capacity!$A$53:$E$85,5,FALSE)*'Inputs-System'!$C$29*(1+'Inputs-System'!$C$43)), $C51 = "0", 0), 0)</f>
        <v>0</v>
      </c>
      <c r="ED51" s="44">
        <v>0</v>
      </c>
      <c r="EE51" s="342">
        <f>IFERROR(_xlfn.IFS($C51="1", 'Inputs-System'!$C$30*'Coincidence Factors'!$B$9*'Inputs-Proposals'!$J$17*'Inputs-Proposals'!$J$19*(VLOOKUP(DZ$3,'Non-Embedded Emissions'!$A$56:$D$90,2,FALSE)-VLOOKUP(DZ$3,'Non-Embedded Emissions'!$F$57:$H$88,2,FALSE)+VLOOKUP(DZ$3,'Non-Embedded Emissions'!$A$143:$D$174,2,FALSE)-VLOOKUP(DZ$3,'Non-Embedded Emissions'!$F$143:$H$174,2,FALSE)+VLOOKUP(DZ$3,'Non-Embedded Emissions'!$A$230:$D$259,2,FALSE)), $C51 = "2", 'Inputs-System'!$C$30*'Coincidence Factors'!$B$9*'Inputs-Proposals'!$J$23*'Inputs-Proposals'!$J$25*(VLOOKUP(DZ$3,'Non-Embedded Emissions'!$A$56:$D$90,2,FALSE)-VLOOKUP(DZ$3,'Non-Embedded Emissions'!$F$57:$H$88,2,FALSE)+VLOOKUP(DZ$3,'Non-Embedded Emissions'!$A$143:$D$174,2,FALSE)-VLOOKUP(DZ$3,'Non-Embedded Emissions'!$F$143:$H$174,2,FALSE)+VLOOKUP(DZ$3,'Non-Embedded Emissions'!$A$230:$D$259,2,FALSE)), $C51 = "3", 'Inputs-System'!$C$30*'Coincidence Factors'!$B$9*'Inputs-Proposals'!$J$29*'Inputs-Proposals'!$J$31*(VLOOKUP(DZ$3,'Non-Embedded Emissions'!$A$56:$D$90,2,FALSE)-VLOOKUP(DZ$3,'Non-Embedded Emissions'!$F$57:$H$88,2,FALSE)+VLOOKUP(DZ$3,'Non-Embedded Emissions'!$A$143:$D$174,2,FALSE)-VLOOKUP(DZ$3,'Non-Embedded Emissions'!$F$143:$H$174,2,FALSE)+VLOOKUP(DZ$3,'Non-Embedded Emissions'!$A$230:$D$259,2,FALSE)), $C51 = "0", 0), 0)</f>
        <v>0</v>
      </c>
    </row>
    <row r="52" spans="1:135" x14ac:dyDescent="0.35">
      <c r="A52" s="708"/>
      <c r="B52" s="3" t="str">
        <f>B46</f>
        <v>LNG GenSet</v>
      </c>
      <c r="C52" s="3" t="str">
        <f>IFERROR(_xlfn.IFS('Benefits Calc'!B52='Inputs-Proposals'!$J$15, "1", 'Benefits Calc'!B52='Inputs-Proposals'!$J$21, "2", 'Benefits Calc'!B52='Inputs-Proposals'!$J$27, "3"), "0")</f>
        <v>0</v>
      </c>
      <c r="D52" s="324">
        <f t="shared" si="48"/>
        <v>0</v>
      </c>
      <c r="E52" s="320">
        <f t="shared" si="49"/>
        <v>0</v>
      </c>
      <c r="F52" s="320">
        <f t="shared" si="50"/>
        <v>0</v>
      </c>
      <c r="G52" s="320">
        <f t="shared" si="51"/>
        <v>0</v>
      </c>
      <c r="H52" s="320">
        <f t="shared" si="52"/>
        <v>0</v>
      </c>
      <c r="I52" s="320">
        <f t="shared" si="53"/>
        <v>0</v>
      </c>
      <c r="J52" s="323">
        <f>NPV('Inputs-System'!$C$20,P52+V52+AB52+AH52+AN52+AT52+AZ52+BF52+BL52+BR52+BX52+CD52+CJ52+CP52+CV52+DB52+DH52+DN52+DT52+DZ52)</f>
        <v>0</v>
      </c>
      <c r="K52" s="44">
        <f>NPV('Inputs-System'!$C$20,Q52+W52+AC52+AI52+AO52+AU52+BA52+BG52+BM52+BS52+BY52+CE52+CK52+CQ52+CW52+DC52+DI52+DO52+DU52+EA52)</f>
        <v>0</v>
      </c>
      <c r="L52" s="44">
        <f>NPV('Inputs-System'!$C$20,R52+X52+AD52+AJ52+AP52+AV52+BB52+BH52+BN52+BT52+BZ52+CF52+CL52+CR52+CX52+DD52+DJ52+DP52+DV52+EB52)</f>
        <v>0</v>
      </c>
      <c r="M52" s="44">
        <f>NPV('Inputs-System'!$C$20,S52+Y52+AE52+AK52+AQ52+AW52+BC52+BI52+BO52+BU52+CA52+CG52+CM52+CS52+CY52+DE52+DK52+DQ52+DW52+EC52)</f>
        <v>0</v>
      </c>
      <c r="N52" s="44">
        <f>NPV('Inputs-System'!$C$20,T52+Z52+AF52+AL52+AR52+AX52+BD52+BJ52+BP52+BV52+CB52+CH52+CN52+CT52+CZ52+DF52+DL52+DR52+DX52+ED52)</f>
        <v>0</v>
      </c>
      <c r="O52" s="119">
        <f>NPV('Inputs-System'!$C$20,U52+AA52+AG52+AM52+AS52+AY52+BE52+BK52+BQ52+BW52+CC52+CI52+CO52+CU52+DA52+DG52+DM52+DS52+DY52+EE52)</f>
        <v>0</v>
      </c>
      <c r="P52" s="366">
        <f>IFERROR(_xlfn.IFS($C52="1",('Inputs-System'!$C$30*'Coincidence Factors'!$B$10*(1+'Inputs-System'!$C$18)*(1+'Inputs-System'!$C$41)*('Inputs-Proposals'!$J$17*'Inputs-Proposals'!$J$19*(1-'Inputs-Proposals'!$J$20^(P$3-'Inputs-System'!$C$7+1)))*(VLOOKUP(P$3,Energy!$A$51:$K$83,5,FALSE))), $C52 = "2",('Inputs-System'!$C$30*'Coincidence Factors'!$B$10)*(1+'Inputs-System'!$C$18)*(1+'Inputs-System'!$C$41)*('Inputs-Proposals'!$J$23*'Inputs-Proposals'!$J$25*(1-'Inputs-Proposals'!$J$26^(P$3-'Inputs-System'!$C$7+1)))*(VLOOKUP(P$3,Energy!$A$51:$K$83,5,FALSE)), $C52= "3", ('Inputs-System'!$C$30*'Coincidence Factors'!$B$10*(1+'Inputs-System'!$C$18)*(1+'Inputs-System'!$C$41)*('Inputs-Proposals'!$J$29*'Inputs-Proposals'!$J$31*(1-'Inputs-Proposals'!$J$32^(P$3-'Inputs-System'!$C$7+1)))*(VLOOKUP(P$3,Energy!$A$51:$K$83,5,FALSE))), $C52= "0", 0), 0)</f>
        <v>0</v>
      </c>
      <c r="Q52" s="44">
        <f>IFERROR(_xlfn.IFS($C52="1",('Inputs-System'!$C$30*'Coincidence Factors'!$B$10*(1+'Inputs-System'!$C$18)*(1+'Inputs-System'!$C$41))*'Inputs-Proposals'!$J$17*'Inputs-Proposals'!$J$19*(1-'Inputs-Proposals'!$J$20^(P$3-'Inputs-System'!$C$7+1))*(VLOOKUP(P$3,'Embedded Emissions'!$A$47:$B$78,2,FALSE)+VLOOKUP(P$3,'Embedded Emissions'!$A$129:$B$158,2,FALSE)), $C52 = "2",('Inputs-System'!$C$30*'Coincidence Factors'!$B$10*(1+'Inputs-System'!$C$18)*(1+'Inputs-System'!$C$41))*'Inputs-Proposals'!$J$23*'Inputs-Proposals'!$J$25*(1-'Inputs-Proposals'!$J$20^(P$3-'Inputs-System'!$C$7+1))*(VLOOKUP(P$3,'Embedded Emissions'!$A$47:$B$78,2,FALSE)+VLOOKUP(P$3,'Embedded Emissions'!$A$129:$B$158,2,FALSE)), $C52 = "3", ('Inputs-System'!$C$30*'Coincidence Factors'!$B$10*(1+'Inputs-System'!$C$18)*(1+'Inputs-System'!$C$41))*'Inputs-Proposals'!$J$29*'Inputs-Proposals'!$J$31*(1-'Inputs-Proposals'!$J$20^(P$3-'Inputs-System'!$C$7+1))*(VLOOKUP(P$3,'Embedded Emissions'!$A$47:$B$78,2,FALSE)+VLOOKUP(P$3,'Embedded Emissions'!$A$129:$B$158,2,FALSE)), $C52 = "0", 0), 0)</f>
        <v>0</v>
      </c>
      <c r="R52" s="44">
        <f>IFERROR(_xlfn.IFS($C52="1",( 'Inputs-System'!$C$30*'Coincidence Factors'!$B$10*(1+'Inputs-System'!$C$18)*(1+'Inputs-System'!$C$41))*('Inputs-Proposals'!$J$17*'Inputs-Proposals'!$J$19*(1-'Inputs-Proposals'!$J$20)^(P$3-'Inputs-System'!$C$7))*(VLOOKUP(P$3,DRIPE!$A$54:$I$82,5,FALSE)+VLOOKUP(P$3,DRIPE!$A$54:$I$82,9,FALSE))+ ('Inputs-System'!$C$26*'Coincidence Factors'!$B$6*(1+'Inputs-System'!$C$18)*(1+'Inputs-System'!$C$42))*'Inputs-Proposals'!$J$16*VLOOKUP(P$3,DRIPE!$A$54:$I$82,8,FALSE), $C52 = "2",( 'Inputs-System'!$C$30*'Coincidence Factors'!$B$10*(1+'Inputs-System'!$C$18)*(1+'Inputs-System'!$C$41))*('Inputs-Proposals'!$J$23*'Inputs-Proposals'!$J$25*(1-'Inputs-Proposals'!$J$26)^(P$3-'Inputs-System'!$C$7))*(VLOOKUP(P$3,DRIPE!$A$54:$I$82,5,FALSE)+VLOOKUP(P$3,DRIPE!$A$54:$I$82,9,FALSE))+ ('Inputs-System'!$C$26*'Coincidence Factors'!$B$6*(1+'Inputs-System'!$C$18)*(1+'Inputs-System'!$C$42))*'Inputs-Proposals'!$J$22*VLOOKUP(P$3,DRIPE!$A$54:$I$82,8,FALSE), $C52= "3", ( 'Inputs-System'!$C$30*'Coincidence Factors'!$B$10*(1+'Inputs-System'!$C$18)*(1+'Inputs-System'!$C$41))*('Inputs-Proposals'!$J$29*'Inputs-Proposals'!$J$31*(1-'Inputs-Proposals'!$J$32)^(P$3-'Inputs-System'!$C$7))*(VLOOKUP(P$3,DRIPE!$A$54:$I$82,5,FALSE)+VLOOKUP(P$3,DRIPE!$A$54:$I$82,9,FALSE))+ ('Inputs-System'!$C$26*'Coincidence Factors'!$B$6*(1+'Inputs-System'!$C$18)*(1+'Inputs-System'!$C$42))*'Inputs-Proposals'!$J$28*VLOOKUP(P$3,DRIPE!$A$54:$I$82,8,FALSE), $C52 = "0", 0), 0)</f>
        <v>0</v>
      </c>
      <c r="S52" s="45">
        <f>IFERROR(_xlfn.IFS($C52="1",('Inputs-System'!$C$26*'Coincidence Factors'!$B$10*(1+'Inputs-System'!$C$18)*(1+'Inputs-System'!$C$42))*'Inputs-Proposals'!$D$16*(VLOOKUP(P$3,Capacity!$A$53:$E$85,4,FALSE)*(1+'Inputs-System'!$C$42)+VLOOKUP(P$3,Capacity!$A$53:$E$85,5,FALSE)*(1+'Inputs-System'!$C$43)*'Inputs-System'!$C$29), $C52 = "2", ('Inputs-System'!$C$26*'Coincidence Factors'!$B$10*(1+'Inputs-System'!$C$18))*'Inputs-Proposals'!$D$22*(VLOOKUP(P$3,Capacity!$A$53:$E$85,4,FALSE)*(1+'Inputs-System'!$C$42)+VLOOKUP(P$3,Capacity!$A$53:$E$85,5,FALSE)*'Inputs-System'!$C$29*(1+'Inputs-System'!$C$43)), $C52 = "3", ('Inputs-System'!$C$26*'Coincidence Factors'!$B$10*(1+'Inputs-System'!$C$18))*'Inputs-Proposals'!$D$28*(VLOOKUP(P$3,Capacity!$A$53:$E$85,4,FALSE)*(1+'Inputs-System'!$C$42)+VLOOKUP(P$3,Capacity!$A$53:$E$85,5,FALSE)*'Inputs-System'!$C$29*(1+'Inputs-System'!$C$43)), $C52 = "0", 0), 0)</f>
        <v>0</v>
      </c>
      <c r="T52" s="44">
        <v>0</v>
      </c>
      <c r="U52" s="342">
        <f>IFERROR(_xlfn.IFS($C52="1", 'Inputs-System'!$C$30*'Coincidence Factors'!$B$10*'Inputs-Proposals'!$J$17*'Inputs-Proposals'!$J$19*(VLOOKUP(P$3,'Non-Embedded Emissions'!$A$56:$D$90,2,FALSE)-VLOOKUP(P$3,'Non-Embedded Emissions'!$F$57:$H$88,3,FALSE)+VLOOKUP(P$3,'Non-Embedded Emissions'!$A$143:$D$174,2,FALSE)-VLOOKUP(P$3,'Non-Embedded Emissions'!$F$143:$H$174,3,FALSE)+VLOOKUP(P$3,'Non-Embedded Emissions'!$A$230:$D$259,2,FALSE)), $C52 = "2", 'Inputs-System'!$C$30*'Coincidence Factors'!$B$10*'Inputs-Proposals'!$J$23*'Inputs-Proposals'!$J$25*(VLOOKUP(P$3,'Non-Embedded Emissions'!$A$56:$D$90,2,FALSE)-VLOOKUP(P$3,'Non-Embedded Emissions'!$F$57:$H$88,3,FALSE)+VLOOKUP(P$3,'Non-Embedded Emissions'!$A$143:$D$174,2,FALSE)-VLOOKUP(P$3,'Non-Embedded Emissions'!$F$143:$H$174,3,FALSE)+VLOOKUP(P$3,'Non-Embedded Emissions'!$A$230:$D$259,2,FALSE)), $C52 = "3", 'Inputs-System'!$C$30*'Coincidence Factors'!$B$10*'Inputs-Proposals'!$J$29*'Inputs-Proposals'!$J$31*(VLOOKUP(P$3,'Non-Embedded Emissions'!$A$56:$D$90,2,FALSE)-VLOOKUP(P$3,'Non-Embedded Emissions'!$F$57:$H$88,3,FALSE)+VLOOKUP(P$3,'Non-Embedded Emissions'!$A$143:$D$174,2,FALSE)-VLOOKUP(P$3,'Non-Embedded Emissions'!$F$143:$H$174,3,FALSE)+VLOOKUP(P$3,'Non-Embedded Emissions'!$A$230:$D$259,2,FALSE)), $C52 = "0", 0), 0)</f>
        <v>0</v>
      </c>
      <c r="V52" s="45">
        <f>IFERROR(_xlfn.IFS($C52="1",('Inputs-System'!$C$30*'Coincidence Factors'!$B$10*(1+'Inputs-System'!$C$18)*(1+'Inputs-System'!$C$41)*('Inputs-Proposals'!$J$17*'Inputs-Proposals'!$J$19*(1-'Inputs-Proposals'!$J$20^(V$3-'Inputs-System'!$C$7)))*(VLOOKUP(V$3,Energy!$A$51:$K$83,5,FALSE))), $C52 = "2",('Inputs-System'!$C$30*'Coincidence Factors'!$B$10)*(1+'Inputs-System'!$C$18)*(1+'Inputs-System'!$C$41)*('Inputs-Proposals'!$J$23*'Inputs-Proposals'!$J$25*(1-'Inputs-Proposals'!$J$26^(V$3-'Inputs-System'!$C$7)))*(VLOOKUP(V$3,Energy!$A$51:$K$83,5,FALSE)), $C52= "3", ('Inputs-System'!$C$30*'Coincidence Factors'!$B$10*(1+'Inputs-System'!$C$18)*(1+'Inputs-System'!$C$41)*('Inputs-Proposals'!$J$29*'Inputs-Proposals'!$J$31*(1-'Inputs-Proposals'!$J$32^(V$3-'Inputs-System'!$C$7)))*(VLOOKUP(V$3,Energy!$A$51:$K$83,5,FALSE))), $C52= "0", 0), 0)</f>
        <v>0</v>
      </c>
      <c r="W52" s="44">
        <f>IFERROR(_xlfn.IFS($C52="1",('Inputs-System'!$C$30*'Coincidence Factors'!$B$10*(1+'Inputs-System'!$C$18)*(1+'Inputs-System'!$C$41))*'Inputs-Proposals'!$J$17*'Inputs-Proposals'!$J$19*(1-'Inputs-Proposals'!$J$20^(V$3-'Inputs-System'!$C$7))*(VLOOKUP(V$3,'Embedded Emissions'!$A$47:$B$78,2,FALSE)+VLOOKUP(V$3,'Embedded Emissions'!$A$129:$B$158,2,FALSE)), $C52 = "2",('Inputs-System'!$C$30*'Coincidence Factors'!$B$10*(1+'Inputs-System'!$C$18)*(1+'Inputs-System'!$C$41))*'Inputs-Proposals'!$J$23*'Inputs-Proposals'!$J$25*(1-'Inputs-Proposals'!$J$20^(V$3-'Inputs-System'!$C$7))*(VLOOKUP(V$3,'Embedded Emissions'!$A$47:$B$78,2,FALSE)+VLOOKUP(V$3,'Embedded Emissions'!$A$129:$B$158,2,FALSE)), $C52 = "3", ('Inputs-System'!$C$30*'Coincidence Factors'!$B$10*(1+'Inputs-System'!$C$18)*(1+'Inputs-System'!$C$41))*'Inputs-Proposals'!$J$29*'Inputs-Proposals'!$J$31*(1-'Inputs-Proposals'!$J$20^(V$3-'Inputs-System'!$C$7))*(VLOOKUP(V$3,'Embedded Emissions'!$A$47:$B$78,2,FALSE)+VLOOKUP(V$3,'Embedded Emissions'!$A$129:$B$158,2,FALSE)), $C52 = "0", 0), 0)</f>
        <v>0</v>
      </c>
      <c r="X52" s="44">
        <f>IFERROR(_xlfn.IFS($C52="1",( 'Inputs-System'!$C$30*'Coincidence Factors'!$B$10*(1+'Inputs-System'!$C$18)*(1+'Inputs-System'!$C$41))*('Inputs-Proposals'!$J$17*'Inputs-Proposals'!$J$19*(1-'Inputs-Proposals'!$J$20)^(V$3-'Inputs-System'!$C$7))*(VLOOKUP(V$3,DRIPE!$A$54:$I$82,5,FALSE)+VLOOKUP(V$3,DRIPE!$A$54:$I$82,9,FALSE))+ ('Inputs-System'!$C$26*'Coincidence Factors'!$B$6*(1+'Inputs-System'!$C$18)*(1+'Inputs-System'!$C$42))*'Inputs-Proposals'!$J$16*VLOOKUP(V$3,DRIPE!$A$54:$I$82,8,FALSE), $C52 = "2",( 'Inputs-System'!$C$30*'Coincidence Factors'!$B$10*(1+'Inputs-System'!$C$18)*(1+'Inputs-System'!$C$41))*('Inputs-Proposals'!$J$23*'Inputs-Proposals'!$J$25*(1-'Inputs-Proposals'!$J$26)^(V$3-'Inputs-System'!$C$7))*(VLOOKUP(V$3,DRIPE!$A$54:$I$82,5,FALSE)+VLOOKUP(V$3,DRIPE!$A$54:$I$82,9,FALSE))+ ('Inputs-System'!$C$26*'Coincidence Factors'!$B$6*(1+'Inputs-System'!$C$18)*(1+'Inputs-System'!$C$42))*'Inputs-Proposals'!$J$22*VLOOKUP(V$3,DRIPE!$A$54:$I$82,8,FALSE), $C52= "3", ( 'Inputs-System'!$C$30*'Coincidence Factors'!$B$10*(1+'Inputs-System'!$C$18)*(1+'Inputs-System'!$C$41))*('Inputs-Proposals'!$J$29*'Inputs-Proposals'!$J$31*(1-'Inputs-Proposals'!$J$32)^(V$3-'Inputs-System'!$C$7))*(VLOOKUP(V$3,DRIPE!$A$54:$I$82,5,FALSE)+VLOOKUP(V$3,DRIPE!$A$54:$I$82,9,FALSE))+ ('Inputs-System'!$C$26*'Coincidence Factors'!$B$6*(1+'Inputs-System'!$C$18)*(1+'Inputs-System'!$C$42))*'Inputs-Proposals'!$J$28*VLOOKUP(V$3,DRIPE!$A$54:$I$82,8,FALSE), $C52 = "0", 0), 0)</f>
        <v>0</v>
      </c>
      <c r="Y52" s="45">
        <f>IFERROR(_xlfn.IFS($C52="1",('Inputs-System'!$C$26*'Coincidence Factors'!$B$10*(1+'Inputs-System'!$C$18)*(1+'Inputs-System'!$C$42))*'Inputs-Proposals'!$D$16*(VLOOKUP(V$3,Capacity!$A$53:$E$85,4,FALSE)*(1+'Inputs-System'!$C$42)+VLOOKUP(V$3,Capacity!$A$53:$E$85,5,FALSE)*(1+'Inputs-System'!$C$43)*'Inputs-System'!$C$29), $C52 = "2", ('Inputs-System'!$C$26*'Coincidence Factors'!$B$10*(1+'Inputs-System'!$C$18))*'Inputs-Proposals'!$D$22*(VLOOKUP(V$3,Capacity!$A$53:$E$85,4,FALSE)*(1+'Inputs-System'!$C$42)+VLOOKUP(V$3,Capacity!$A$53:$E$85,5,FALSE)*'Inputs-System'!$C$29*(1+'Inputs-System'!$C$43)), $C52 = "3", ('Inputs-System'!$C$26*'Coincidence Factors'!$B$10*(1+'Inputs-System'!$C$18))*'Inputs-Proposals'!$D$28*(VLOOKUP(V$3,Capacity!$A$53:$E$85,4,FALSE)*(1+'Inputs-System'!$C$42)+VLOOKUP(V$3,Capacity!$A$53:$E$85,5,FALSE)*'Inputs-System'!$C$29*(1+'Inputs-System'!$C$43)), $C52 = "0", 0), 0)</f>
        <v>0</v>
      </c>
      <c r="Z52" s="44">
        <v>0</v>
      </c>
      <c r="AA52" s="342">
        <f>IFERROR(_xlfn.IFS($C52="1", 'Inputs-System'!$C$30*'Coincidence Factors'!$B$10*'Inputs-Proposals'!$J$17*'Inputs-Proposals'!$J$19*(VLOOKUP(V$3,'Non-Embedded Emissions'!$A$56:$D$90,2,FALSE)-VLOOKUP(V$3,'Non-Embedded Emissions'!$F$57:$H$88,3,FALSE)+VLOOKUP(V$3,'Non-Embedded Emissions'!$A$143:$D$174,2,FALSE)-VLOOKUP(V$3,'Non-Embedded Emissions'!$F$143:$H$174,3,FALSE)+VLOOKUP(V$3,'Non-Embedded Emissions'!$A$230:$D$259,2,FALSE)), $C52 = "2", 'Inputs-System'!$C$30*'Coincidence Factors'!$B$10*'Inputs-Proposals'!$J$23*'Inputs-Proposals'!$J$25*(VLOOKUP(V$3,'Non-Embedded Emissions'!$A$56:$D$90,2,FALSE)-VLOOKUP(V$3,'Non-Embedded Emissions'!$F$57:$H$88,3,FALSE)+VLOOKUP(V$3,'Non-Embedded Emissions'!$A$143:$D$174,2,FALSE)-VLOOKUP(V$3,'Non-Embedded Emissions'!$F$143:$H$174,3,FALSE)+VLOOKUP(V$3,'Non-Embedded Emissions'!$A$230:$D$259,2,FALSE)), $C52 = "3", 'Inputs-System'!$C$30*'Coincidence Factors'!$B$10*'Inputs-Proposals'!$J$29*'Inputs-Proposals'!$J$31*(VLOOKUP(V$3,'Non-Embedded Emissions'!$A$56:$D$90,2,FALSE)-VLOOKUP(V$3,'Non-Embedded Emissions'!$F$57:$H$88,3,FALSE)+VLOOKUP(V$3,'Non-Embedded Emissions'!$A$143:$D$174,2,FALSE)-VLOOKUP(V$3,'Non-Embedded Emissions'!$F$143:$H$174,3,FALSE)+VLOOKUP(V$3,'Non-Embedded Emissions'!$A$230:$D$259,2,FALSE)), $C52 = "0", 0), 0)</f>
        <v>0</v>
      </c>
      <c r="AB52" s="45">
        <f>IFERROR(_xlfn.IFS($C52="1",('Inputs-System'!$C$30*'Coincidence Factors'!$B$10*(1+'Inputs-System'!$C$18)*(1+'Inputs-System'!$C$41)*('Inputs-Proposals'!$J$17*'Inputs-Proposals'!$J$19*(1-'Inputs-Proposals'!$J$20^(AB$3-'Inputs-System'!$C$7)))*(VLOOKUP(AB$3,Energy!$A$51:$K$83,5,FALSE))), $C52 = "2",('Inputs-System'!$C$30*'Coincidence Factors'!$B$10)*(1+'Inputs-System'!$C$18)*(1+'Inputs-System'!$C$41)*('Inputs-Proposals'!$J$23*'Inputs-Proposals'!$J$25*(1-'Inputs-Proposals'!$J$26^(AB$3-'Inputs-System'!$C$7)))*(VLOOKUP(AB$3,Energy!$A$51:$K$83,5,FALSE)), $C52= "3", ('Inputs-System'!$C$30*'Coincidence Factors'!$B$10*(1+'Inputs-System'!$C$18)*(1+'Inputs-System'!$C$41)*('Inputs-Proposals'!$J$29*'Inputs-Proposals'!$J$31*(1-'Inputs-Proposals'!$J$32^(AB$3-'Inputs-System'!$C$7)))*(VLOOKUP(AB$3,Energy!$A$51:$K$83,5,FALSE))), $C52= "0", 0), 0)</f>
        <v>0</v>
      </c>
      <c r="AC52" s="44">
        <f>IFERROR(_xlfn.IFS($C52="1",('Inputs-System'!$C$30*'Coincidence Factors'!$B$10*(1+'Inputs-System'!$C$18)*(1+'Inputs-System'!$C$41))*'Inputs-Proposals'!$J$17*'Inputs-Proposals'!$J$19*(1-'Inputs-Proposals'!$J$20^(AB$3-'Inputs-System'!$C$7))*(VLOOKUP(AB$3,'Embedded Emissions'!$A$47:$B$78,2,FALSE)+VLOOKUP(AB$3,'Embedded Emissions'!$A$129:$B$158,2,FALSE)), $C52 = "2",('Inputs-System'!$C$30*'Coincidence Factors'!$B$10*(1+'Inputs-System'!$C$18)*(1+'Inputs-System'!$C$41))*'Inputs-Proposals'!$J$23*'Inputs-Proposals'!$J$25*(1-'Inputs-Proposals'!$J$20^(AB$3-'Inputs-System'!$C$7))*(VLOOKUP(AB$3,'Embedded Emissions'!$A$47:$B$78,2,FALSE)+VLOOKUP(AB$3,'Embedded Emissions'!$A$129:$B$158,2,FALSE)), $C52 = "3", ('Inputs-System'!$C$30*'Coincidence Factors'!$B$10*(1+'Inputs-System'!$C$18)*(1+'Inputs-System'!$C$41))*'Inputs-Proposals'!$J$29*'Inputs-Proposals'!$J$31*(1-'Inputs-Proposals'!$J$20^(AB$3-'Inputs-System'!$C$7))*(VLOOKUP(AB$3,'Embedded Emissions'!$A$47:$B$78,2,FALSE)+VLOOKUP(AB$3,'Embedded Emissions'!$A$129:$B$158,2,FALSE)), $C52 = "0", 0), 0)</f>
        <v>0</v>
      </c>
      <c r="AD52" s="44">
        <f>IFERROR(_xlfn.IFS($C52="1",( 'Inputs-System'!$C$30*'Coincidence Factors'!$B$10*(1+'Inputs-System'!$C$18)*(1+'Inputs-System'!$C$41))*('Inputs-Proposals'!$J$17*'Inputs-Proposals'!$J$19*(1-'Inputs-Proposals'!$J$20)^(AB$3-'Inputs-System'!$C$7))*(VLOOKUP(AB$3,DRIPE!$A$54:$I$82,5,FALSE)+VLOOKUP(AB$3,DRIPE!$A$54:$I$82,9,FALSE))+ ('Inputs-System'!$C$26*'Coincidence Factors'!$B$6*(1+'Inputs-System'!$C$18)*(1+'Inputs-System'!$C$42))*'Inputs-Proposals'!$J$16*VLOOKUP(AB$3,DRIPE!$A$54:$I$82,8,FALSE), $C52 = "2",( 'Inputs-System'!$C$30*'Coincidence Factors'!$B$10*(1+'Inputs-System'!$C$18)*(1+'Inputs-System'!$C$41))*('Inputs-Proposals'!$J$23*'Inputs-Proposals'!$J$25*(1-'Inputs-Proposals'!$J$26)^(AB$3-'Inputs-System'!$C$7))*(VLOOKUP(AB$3,DRIPE!$A$54:$I$82,5,FALSE)+VLOOKUP(AB$3,DRIPE!$A$54:$I$82,9,FALSE))+ ('Inputs-System'!$C$26*'Coincidence Factors'!$B$6*(1+'Inputs-System'!$C$18)*(1+'Inputs-System'!$C$42))*'Inputs-Proposals'!$J$22*VLOOKUP(AB$3,DRIPE!$A$54:$I$82,8,FALSE), $C52= "3", ( 'Inputs-System'!$C$30*'Coincidence Factors'!$B$10*(1+'Inputs-System'!$C$18)*(1+'Inputs-System'!$C$41))*('Inputs-Proposals'!$J$29*'Inputs-Proposals'!$J$31*(1-'Inputs-Proposals'!$J$32)^(AB$3-'Inputs-System'!$C$7))*(VLOOKUP(AB$3,DRIPE!$A$54:$I$82,5,FALSE)+VLOOKUP(AB$3,DRIPE!$A$54:$I$82,9,FALSE))+ ('Inputs-System'!$C$26*'Coincidence Factors'!$B$6*(1+'Inputs-System'!$C$18)*(1+'Inputs-System'!$C$42))*'Inputs-Proposals'!$J$28*VLOOKUP(AB$3,DRIPE!$A$54:$I$82,8,FALSE), $C52 = "0", 0), 0)</f>
        <v>0</v>
      </c>
      <c r="AE52" s="45">
        <f>IFERROR(_xlfn.IFS($C52="1",('Inputs-System'!$C$26*'Coincidence Factors'!$B$10*(1+'Inputs-System'!$C$18)*(1+'Inputs-System'!$C$42))*'Inputs-Proposals'!$D$16*(VLOOKUP(AB$3,Capacity!$A$53:$E$85,4,FALSE)*(1+'Inputs-System'!$C$42)+VLOOKUP(AB$3,Capacity!$A$53:$E$85,5,FALSE)*(1+'Inputs-System'!$C$43)*'Inputs-System'!$C$29), $C52 = "2", ('Inputs-System'!$C$26*'Coincidence Factors'!$B$10*(1+'Inputs-System'!$C$18))*'Inputs-Proposals'!$D$22*(VLOOKUP(AB$3,Capacity!$A$53:$E$85,4,FALSE)*(1+'Inputs-System'!$C$42)+VLOOKUP(AB$3,Capacity!$A$53:$E$85,5,FALSE)*'Inputs-System'!$C$29*(1+'Inputs-System'!$C$43)), $C52 = "3", ('Inputs-System'!$C$26*'Coincidence Factors'!$B$10*(1+'Inputs-System'!$C$18))*'Inputs-Proposals'!$D$28*(VLOOKUP(AB$3,Capacity!$A$53:$E$85,4,FALSE)*(1+'Inputs-System'!$C$42)+VLOOKUP(AB$3,Capacity!$A$53:$E$85,5,FALSE)*'Inputs-System'!$C$29*(1+'Inputs-System'!$C$43)), $C52 = "0", 0), 0)</f>
        <v>0</v>
      </c>
      <c r="AF52" s="44">
        <v>0</v>
      </c>
      <c r="AG52" s="342">
        <f>IFERROR(_xlfn.IFS($C52="1", 'Inputs-System'!$C$30*'Coincidence Factors'!$B$10*'Inputs-Proposals'!$J$17*'Inputs-Proposals'!$J$19*(VLOOKUP(AB$3,'Non-Embedded Emissions'!$A$56:$D$90,2,FALSE)-VLOOKUP(AB$3,'Non-Embedded Emissions'!$F$57:$H$88,3,FALSE)+VLOOKUP(AB$3,'Non-Embedded Emissions'!$A$143:$D$174,2,FALSE)-VLOOKUP(AB$3,'Non-Embedded Emissions'!$F$143:$H$174,3,FALSE)+VLOOKUP(AB$3,'Non-Embedded Emissions'!$A$230:$D$259,2,FALSE)), $C52 = "2", 'Inputs-System'!$C$30*'Coincidence Factors'!$B$10*'Inputs-Proposals'!$J$23*'Inputs-Proposals'!$J$25*(VLOOKUP(AB$3,'Non-Embedded Emissions'!$A$56:$D$90,2,FALSE)-VLOOKUP(AB$3,'Non-Embedded Emissions'!$F$57:$H$88,3,FALSE)+VLOOKUP(AB$3,'Non-Embedded Emissions'!$A$143:$D$174,2,FALSE)-VLOOKUP(AB$3,'Non-Embedded Emissions'!$F$143:$H$174,3,FALSE)+VLOOKUP(AB$3,'Non-Embedded Emissions'!$A$230:$D$259,2,FALSE)), $C52 = "3", 'Inputs-System'!$C$30*'Coincidence Factors'!$B$10*'Inputs-Proposals'!$J$29*'Inputs-Proposals'!$J$31*(VLOOKUP(AB$3,'Non-Embedded Emissions'!$A$56:$D$90,2,FALSE)-VLOOKUP(AB$3,'Non-Embedded Emissions'!$F$57:$H$88,3,FALSE)+VLOOKUP(AB$3,'Non-Embedded Emissions'!$A$143:$D$174,2,FALSE)-VLOOKUP(AB$3,'Non-Embedded Emissions'!$F$143:$H$174,3,FALSE)+VLOOKUP(AB$3,'Non-Embedded Emissions'!$A$230:$D$259,2,FALSE)), $C52 = "0", 0), 0)</f>
        <v>0</v>
      </c>
      <c r="AH52" s="45">
        <f>IFERROR(_xlfn.IFS($C52="1",('Inputs-System'!$C$30*'Coincidence Factors'!$B$10*(1+'Inputs-System'!$C$18)*(1+'Inputs-System'!$C$41)*('Inputs-Proposals'!$J$17*'Inputs-Proposals'!$J$19*(1-'Inputs-Proposals'!$J$20^(AH$3-'Inputs-System'!$C$7)))*(VLOOKUP(AH$3,Energy!$A$51:$K$83,5,FALSE))), $C52 = "2",('Inputs-System'!$C$30*'Coincidence Factors'!$B$10)*(1+'Inputs-System'!$C$18)*(1+'Inputs-System'!$C$41)*('Inputs-Proposals'!$J$23*'Inputs-Proposals'!$J$25*(1-'Inputs-Proposals'!$J$26^(AH$3-'Inputs-System'!$C$7)))*(VLOOKUP(AH$3,Energy!$A$51:$K$83,5,FALSE)), $C52= "3", ('Inputs-System'!$C$30*'Coincidence Factors'!$B$10*(1+'Inputs-System'!$C$18)*(1+'Inputs-System'!$C$41)*('Inputs-Proposals'!$J$29*'Inputs-Proposals'!$J$31*(1-'Inputs-Proposals'!$J$32^(AH$3-'Inputs-System'!$C$7)))*(VLOOKUP(AH$3,Energy!$A$51:$K$83,5,FALSE))), $C52= "0", 0), 0)</f>
        <v>0</v>
      </c>
      <c r="AI52" s="44">
        <f>IFERROR(_xlfn.IFS($C52="1",('Inputs-System'!$C$30*'Coincidence Factors'!$B$10*(1+'Inputs-System'!$C$18)*(1+'Inputs-System'!$C$41))*'Inputs-Proposals'!$J$17*'Inputs-Proposals'!$J$19*(1-'Inputs-Proposals'!$J$20^(AH$3-'Inputs-System'!$C$7))*(VLOOKUP(AH$3,'Embedded Emissions'!$A$47:$B$78,2,FALSE)+VLOOKUP(AH$3,'Embedded Emissions'!$A$129:$B$158,2,FALSE)), $C52 = "2",('Inputs-System'!$C$30*'Coincidence Factors'!$B$10*(1+'Inputs-System'!$C$18)*(1+'Inputs-System'!$C$41))*'Inputs-Proposals'!$J$23*'Inputs-Proposals'!$J$25*(1-'Inputs-Proposals'!$J$20^(AH$3-'Inputs-System'!$C$7))*(VLOOKUP(AH$3,'Embedded Emissions'!$A$47:$B$78,2,FALSE)+VLOOKUP(AH$3,'Embedded Emissions'!$A$129:$B$158,2,FALSE)), $C52 = "3", ('Inputs-System'!$C$30*'Coincidence Factors'!$B$10*(1+'Inputs-System'!$C$18)*(1+'Inputs-System'!$C$41))*'Inputs-Proposals'!$J$29*'Inputs-Proposals'!$J$31*(1-'Inputs-Proposals'!$J$20^(AH$3-'Inputs-System'!$C$7))*(VLOOKUP(AH$3,'Embedded Emissions'!$A$47:$B$78,2,FALSE)+VLOOKUP(AH$3,'Embedded Emissions'!$A$129:$B$158,2,FALSE)), $C52 = "0", 0), 0)</f>
        <v>0</v>
      </c>
      <c r="AJ52" s="44">
        <f>IFERROR(_xlfn.IFS($C52="1",( 'Inputs-System'!$C$30*'Coincidence Factors'!$B$10*(1+'Inputs-System'!$C$18)*(1+'Inputs-System'!$C$41))*('Inputs-Proposals'!$J$17*'Inputs-Proposals'!$J$19*(1-'Inputs-Proposals'!$J$20)^(AH$3-'Inputs-System'!$C$7))*(VLOOKUP(AH$3,DRIPE!$A$54:$I$82,5,FALSE)+VLOOKUP(AH$3,DRIPE!$A$54:$I$82,9,FALSE))+ ('Inputs-System'!$C$26*'Coincidence Factors'!$B$6*(1+'Inputs-System'!$C$18)*(1+'Inputs-System'!$C$42))*'Inputs-Proposals'!$J$16*VLOOKUP(AH$3,DRIPE!$A$54:$I$82,8,FALSE), $C52 = "2",( 'Inputs-System'!$C$30*'Coincidence Factors'!$B$10*(1+'Inputs-System'!$C$18)*(1+'Inputs-System'!$C$41))*('Inputs-Proposals'!$J$23*'Inputs-Proposals'!$J$25*(1-'Inputs-Proposals'!$J$26)^(AH$3-'Inputs-System'!$C$7))*(VLOOKUP(AH$3,DRIPE!$A$54:$I$82,5,FALSE)+VLOOKUP(AH$3,DRIPE!$A$54:$I$82,9,FALSE))+ ('Inputs-System'!$C$26*'Coincidence Factors'!$B$6*(1+'Inputs-System'!$C$18)*(1+'Inputs-System'!$C$42))*'Inputs-Proposals'!$J$22*VLOOKUP(AH$3,DRIPE!$A$54:$I$82,8,FALSE), $C52= "3", ( 'Inputs-System'!$C$30*'Coincidence Factors'!$B$10*(1+'Inputs-System'!$C$18)*(1+'Inputs-System'!$C$41))*('Inputs-Proposals'!$J$29*'Inputs-Proposals'!$J$31*(1-'Inputs-Proposals'!$J$32)^(AH$3-'Inputs-System'!$C$7))*(VLOOKUP(AH$3,DRIPE!$A$54:$I$82,5,FALSE)+VLOOKUP(AH$3,DRIPE!$A$54:$I$82,9,FALSE))+ ('Inputs-System'!$C$26*'Coincidence Factors'!$B$6*(1+'Inputs-System'!$C$18)*(1+'Inputs-System'!$C$42))*'Inputs-Proposals'!$J$28*VLOOKUP(AH$3,DRIPE!$A$54:$I$82,8,FALSE), $C52 = "0", 0), 0)</f>
        <v>0</v>
      </c>
      <c r="AK52" s="45">
        <f>IFERROR(_xlfn.IFS($C52="1",('Inputs-System'!$C$26*'Coincidence Factors'!$B$10*(1+'Inputs-System'!$C$18)*(1+'Inputs-System'!$C$42))*'Inputs-Proposals'!$D$16*(VLOOKUP(AH$3,Capacity!$A$53:$E$85,4,FALSE)*(1+'Inputs-System'!$C$42)+VLOOKUP(AH$3,Capacity!$A$53:$E$85,5,FALSE)*(1+'Inputs-System'!$C$43)*'Inputs-System'!$C$29), $C52 = "2", ('Inputs-System'!$C$26*'Coincidence Factors'!$B$10*(1+'Inputs-System'!$C$18))*'Inputs-Proposals'!$D$22*(VLOOKUP(AH$3,Capacity!$A$53:$E$85,4,FALSE)*(1+'Inputs-System'!$C$42)+VLOOKUP(AH$3,Capacity!$A$53:$E$85,5,FALSE)*'Inputs-System'!$C$29*(1+'Inputs-System'!$C$43)), $C52 = "3", ('Inputs-System'!$C$26*'Coincidence Factors'!$B$10*(1+'Inputs-System'!$C$18))*'Inputs-Proposals'!$D$28*(VLOOKUP(AH$3,Capacity!$A$53:$E$85,4,FALSE)*(1+'Inputs-System'!$C$42)+VLOOKUP(AH$3,Capacity!$A$53:$E$85,5,FALSE)*'Inputs-System'!$C$29*(1+'Inputs-System'!$C$43)), $C52 = "0", 0), 0)</f>
        <v>0</v>
      </c>
      <c r="AL52" s="44">
        <v>0</v>
      </c>
      <c r="AM52" s="342">
        <f>IFERROR(_xlfn.IFS($C52="1", 'Inputs-System'!$C$30*'Coincidence Factors'!$B$10*'Inputs-Proposals'!$J$17*'Inputs-Proposals'!$J$19*(VLOOKUP(AH$3,'Non-Embedded Emissions'!$A$56:$D$90,2,FALSE)-VLOOKUP(AH$3,'Non-Embedded Emissions'!$F$57:$H$88,3,FALSE)+VLOOKUP(AH$3,'Non-Embedded Emissions'!$A$143:$D$174,2,FALSE)-VLOOKUP(AH$3,'Non-Embedded Emissions'!$F$143:$H$174,3,FALSE)+VLOOKUP(AH$3,'Non-Embedded Emissions'!$A$230:$D$259,2,FALSE)), $C52 = "2", 'Inputs-System'!$C$30*'Coincidence Factors'!$B$10*'Inputs-Proposals'!$J$23*'Inputs-Proposals'!$J$25*(VLOOKUP(AH$3,'Non-Embedded Emissions'!$A$56:$D$90,2,FALSE)-VLOOKUP(AH$3,'Non-Embedded Emissions'!$F$57:$H$88,3,FALSE)+VLOOKUP(AH$3,'Non-Embedded Emissions'!$A$143:$D$174,2,FALSE)-VLOOKUP(AH$3,'Non-Embedded Emissions'!$F$143:$H$174,3,FALSE)+VLOOKUP(AH$3,'Non-Embedded Emissions'!$A$230:$D$259,2,FALSE)), $C52 = "3", 'Inputs-System'!$C$30*'Coincidence Factors'!$B$10*'Inputs-Proposals'!$J$29*'Inputs-Proposals'!$J$31*(VLOOKUP(AH$3,'Non-Embedded Emissions'!$A$56:$D$90,2,FALSE)-VLOOKUP(AH$3,'Non-Embedded Emissions'!$F$57:$H$88,3,FALSE)+VLOOKUP(AH$3,'Non-Embedded Emissions'!$A$143:$D$174,2,FALSE)-VLOOKUP(AH$3,'Non-Embedded Emissions'!$F$143:$H$174,3,FALSE)+VLOOKUP(AH$3,'Non-Embedded Emissions'!$A$230:$D$259,2,FALSE)), $C52 = "0", 0), 0)</f>
        <v>0</v>
      </c>
      <c r="AN52" s="45">
        <f>IFERROR(_xlfn.IFS($C52="1",('Inputs-System'!$C$30*'Coincidence Factors'!$B$10*(1+'Inputs-System'!$C$18)*(1+'Inputs-System'!$C$41)*('Inputs-Proposals'!$J$17*'Inputs-Proposals'!$J$19*(1-'Inputs-Proposals'!$J$20^(AN$3-'Inputs-System'!$C$7)))*(VLOOKUP(AN$3,Energy!$A$51:$K$83,5,FALSE))), $C52 = "2",('Inputs-System'!$C$30*'Coincidence Factors'!$B$10)*(1+'Inputs-System'!$C$18)*(1+'Inputs-System'!$C$41)*('Inputs-Proposals'!$J$23*'Inputs-Proposals'!$J$25*(1-'Inputs-Proposals'!$J$26^(AN$3-'Inputs-System'!$C$7)))*(VLOOKUP(AN$3,Energy!$A$51:$K$83,5,FALSE)), $C52= "3", ('Inputs-System'!$C$30*'Coincidence Factors'!$B$10*(1+'Inputs-System'!$C$18)*(1+'Inputs-System'!$C$41)*('Inputs-Proposals'!$J$29*'Inputs-Proposals'!$J$31*(1-'Inputs-Proposals'!$J$32^(AN$3-'Inputs-System'!$C$7)))*(VLOOKUP(AN$3,Energy!$A$51:$K$83,5,FALSE))), $C52= "0", 0), 0)</f>
        <v>0</v>
      </c>
      <c r="AO52" s="44">
        <f>IFERROR(_xlfn.IFS($C52="1",('Inputs-System'!$C$30*'Coincidence Factors'!$B$10*(1+'Inputs-System'!$C$18)*(1+'Inputs-System'!$C$41))*'Inputs-Proposals'!$J$17*'Inputs-Proposals'!$J$19*(1-'Inputs-Proposals'!$J$20^(AN$3-'Inputs-System'!$C$7))*(VLOOKUP(AN$3,'Embedded Emissions'!$A$47:$B$78,2,FALSE)+VLOOKUP(AN$3,'Embedded Emissions'!$A$129:$B$158,2,FALSE)), $C52 = "2",('Inputs-System'!$C$30*'Coincidence Factors'!$B$10*(1+'Inputs-System'!$C$18)*(1+'Inputs-System'!$C$41))*'Inputs-Proposals'!$J$23*'Inputs-Proposals'!$J$25*(1-'Inputs-Proposals'!$J$20^(AN$3-'Inputs-System'!$C$7))*(VLOOKUP(AN$3,'Embedded Emissions'!$A$47:$B$78,2,FALSE)+VLOOKUP(AN$3,'Embedded Emissions'!$A$129:$B$158,2,FALSE)), $C52 = "3", ('Inputs-System'!$C$30*'Coincidence Factors'!$B$10*(1+'Inputs-System'!$C$18)*(1+'Inputs-System'!$C$41))*'Inputs-Proposals'!$J$29*'Inputs-Proposals'!$J$31*(1-'Inputs-Proposals'!$J$20^(AN$3-'Inputs-System'!$C$7))*(VLOOKUP(AN$3,'Embedded Emissions'!$A$47:$B$78,2,FALSE)+VLOOKUP(AN$3,'Embedded Emissions'!$A$129:$B$158,2,FALSE)), $C52 = "0", 0), 0)</f>
        <v>0</v>
      </c>
      <c r="AP52" s="44">
        <f>IFERROR(_xlfn.IFS($C52="1",( 'Inputs-System'!$C$30*'Coincidence Factors'!$B$10*(1+'Inputs-System'!$C$18)*(1+'Inputs-System'!$C$41))*('Inputs-Proposals'!$J$17*'Inputs-Proposals'!$J$19*(1-'Inputs-Proposals'!$J$20)^(AN$3-'Inputs-System'!$C$7))*(VLOOKUP(AN$3,DRIPE!$A$54:$I$82,5,FALSE)+VLOOKUP(AN$3,DRIPE!$A$54:$I$82,9,FALSE))+ ('Inputs-System'!$C$26*'Coincidence Factors'!$B$6*(1+'Inputs-System'!$C$18)*(1+'Inputs-System'!$C$42))*'Inputs-Proposals'!$J$16*VLOOKUP(AN$3,DRIPE!$A$54:$I$82,8,FALSE), $C52 = "2",( 'Inputs-System'!$C$30*'Coincidence Factors'!$B$10*(1+'Inputs-System'!$C$18)*(1+'Inputs-System'!$C$41))*('Inputs-Proposals'!$J$23*'Inputs-Proposals'!$J$25*(1-'Inputs-Proposals'!$J$26)^(AN$3-'Inputs-System'!$C$7))*(VLOOKUP(AN$3,DRIPE!$A$54:$I$82,5,FALSE)+VLOOKUP(AN$3,DRIPE!$A$54:$I$82,9,FALSE))+ ('Inputs-System'!$C$26*'Coincidence Factors'!$B$6*(1+'Inputs-System'!$C$18)*(1+'Inputs-System'!$C$42))*'Inputs-Proposals'!$J$22*VLOOKUP(AN$3,DRIPE!$A$54:$I$82,8,FALSE), $C52= "3", ( 'Inputs-System'!$C$30*'Coincidence Factors'!$B$10*(1+'Inputs-System'!$C$18)*(1+'Inputs-System'!$C$41))*('Inputs-Proposals'!$J$29*'Inputs-Proposals'!$J$31*(1-'Inputs-Proposals'!$J$32)^(AN$3-'Inputs-System'!$C$7))*(VLOOKUP(AN$3,DRIPE!$A$54:$I$82,5,FALSE)+VLOOKUP(AN$3,DRIPE!$A$54:$I$82,9,FALSE))+ ('Inputs-System'!$C$26*'Coincidence Factors'!$B$6*(1+'Inputs-System'!$C$18)*(1+'Inputs-System'!$C$42))*'Inputs-Proposals'!$J$28*VLOOKUP(AN$3,DRIPE!$A$54:$I$82,8,FALSE), $C52 = "0", 0), 0)</f>
        <v>0</v>
      </c>
      <c r="AQ52" s="45">
        <f>IFERROR(_xlfn.IFS($C52="1",('Inputs-System'!$C$26*'Coincidence Factors'!$B$10*(1+'Inputs-System'!$C$18)*(1+'Inputs-System'!$C$42))*'Inputs-Proposals'!$D$16*(VLOOKUP(AN$3,Capacity!$A$53:$E$85,4,FALSE)*(1+'Inputs-System'!$C$42)+VLOOKUP(AN$3,Capacity!$A$53:$E$85,5,FALSE)*(1+'Inputs-System'!$C$43)*'Inputs-System'!$C$29), $C52 = "2", ('Inputs-System'!$C$26*'Coincidence Factors'!$B$10*(1+'Inputs-System'!$C$18))*'Inputs-Proposals'!$D$22*(VLOOKUP(AN$3,Capacity!$A$53:$E$85,4,FALSE)*(1+'Inputs-System'!$C$42)+VLOOKUP(AN$3,Capacity!$A$53:$E$85,5,FALSE)*'Inputs-System'!$C$29*(1+'Inputs-System'!$C$43)), $C52 = "3", ('Inputs-System'!$C$26*'Coincidence Factors'!$B$10*(1+'Inputs-System'!$C$18))*'Inputs-Proposals'!$D$28*(VLOOKUP(AN$3,Capacity!$A$53:$E$85,4,FALSE)*(1+'Inputs-System'!$C$42)+VLOOKUP(AN$3,Capacity!$A$53:$E$85,5,FALSE)*'Inputs-System'!$C$29*(1+'Inputs-System'!$C$43)), $C52 = "0", 0), 0)</f>
        <v>0</v>
      </c>
      <c r="AR52" s="44">
        <v>0</v>
      </c>
      <c r="AS52" s="342">
        <f>IFERROR(_xlfn.IFS($C52="1", 'Inputs-System'!$C$30*'Coincidence Factors'!$B$10*'Inputs-Proposals'!$J$17*'Inputs-Proposals'!$J$19*(VLOOKUP(AN$3,'Non-Embedded Emissions'!$A$56:$D$90,2,FALSE)-VLOOKUP(AN$3,'Non-Embedded Emissions'!$F$57:$H$88,3,FALSE)+VLOOKUP(AN$3,'Non-Embedded Emissions'!$A$143:$D$174,2,FALSE)-VLOOKUP(AN$3,'Non-Embedded Emissions'!$F$143:$H$174,3,FALSE)+VLOOKUP(AN$3,'Non-Embedded Emissions'!$A$230:$D$259,2,FALSE)), $C52 = "2", 'Inputs-System'!$C$30*'Coincidence Factors'!$B$10*'Inputs-Proposals'!$J$23*'Inputs-Proposals'!$J$25*(VLOOKUP(AN$3,'Non-Embedded Emissions'!$A$56:$D$90,2,FALSE)-VLOOKUP(AN$3,'Non-Embedded Emissions'!$F$57:$H$88,3,FALSE)+VLOOKUP(AN$3,'Non-Embedded Emissions'!$A$143:$D$174,2,FALSE)-VLOOKUP(AN$3,'Non-Embedded Emissions'!$F$143:$H$174,3,FALSE)+VLOOKUP(AN$3,'Non-Embedded Emissions'!$A$230:$D$259,2,FALSE)), $C52 = "3", 'Inputs-System'!$C$30*'Coincidence Factors'!$B$10*'Inputs-Proposals'!$J$29*'Inputs-Proposals'!$J$31*(VLOOKUP(AN$3,'Non-Embedded Emissions'!$A$56:$D$90,2,FALSE)-VLOOKUP(AN$3,'Non-Embedded Emissions'!$F$57:$H$88,3,FALSE)+VLOOKUP(AN$3,'Non-Embedded Emissions'!$A$143:$D$174,2,FALSE)-VLOOKUP(AN$3,'Non-Embedded Emissions'!$F$143:$H$174,3,FALSE)+VLOOKUP(AN$3,'Non-Embedded Emissions'!$A$230:$D$259,2,FALSE)), $C52 = "0", 0), 0)</f>
        <v>0</v>
      </c>
      <c r="AT52" s="45">
        <f>IFERROR(_xlfn.IFS($C52="1",('Inputs-System'!$C$30*'Coincidence Factors'!$B$10*(1+'Inputs-System'!$C$18)*(1+'Inputs-System'!$C$41)*('Inputs-Proposals'!$J$17*'Inputs-Proposals'!$J$19*(1-'Inputs-Proposals'!$J$20^(AT$3-'Inputs-System'!$C$7)))*(VLOOKUP(AT$3,Energy!$A$51:$K$83,5,FALSE))), $C52 = "2",('Inputs-System'!$C$30*'Coincidence Factors'!$B$10)*(1+'Inputs-System'!$C$18)*(1+'Inputs-System'!$C$41)*('Inputs-Proposals'!$J$23*'Inputs-Proposals'!$J$25*(1-'Inputs-Proposals'!$J$26^(AT$3-'Inputs-System'!$C$7)))*(VLOOKUP(AT$3,Energy!$A$51:$K$83,5,FALSE)), $C52= "3", ('Inputs-System'!$C$30*'Coincidence Factors'!$B$10*(1+'Inputs-System'!$C$18)*(1+'Inputs-System'!$C$41)*('Inputs-Proposals'!$J$29*'Inputs-Proposals'!$J$31*(1-'Inputs-Proposals'!$J$32^(AT$3-'Inputs-System'!$C$7)))*(VLOOKUP(AT$3,Energy!$A$51:$K$83,5,FALSE))), $C52= "0", 0), 0)</f>
        <v>0</v>
      </c>
      <c r="AU52" s="44">
        <f>IFERROR(_xlfn.IFS($C52="1",('Inputs-System'!$C$30*'Coincidence Factors'!$B$10*(1+'Inputs-System'!$C$18)*(1+'Inputs-System'!$C$41))*'Inputs-Proposals'!$J$17*'Inputs-Proposals'!$J$19*(1-'Inputs-Proposals'!$J$20^(AT$3-'Inputs-System'!$C$7))*(VLOOKUP(AT$3,'Embedded Emissions'!$A$47:$B$78,2,FALSE)+VLOOKUP(AT$3,'Embedded Emissions'!$A$129:$B$158,2,FALSE)), $C52 = "2",('Inputs-System'!$C$30*'Coincidence Factors'!$B$10*(1+'Inputs-System'!$C$18)*(1+'Inputs-System'!$C$41))*'Inputs-Proposals'!$J$23*'Inputs-Proposals'!$J$25*(1-'Inputs-Proposals'!$J$20^(AT$3-'Inputs-System'!$C$7))*(VLOOKUP(AT$3,'Embedded Emissions'!$A$47:$B$78,2,FALSE)+VLOOKUP(AT$3,'Embedded Emissions'!$A$129:$B$158,2,FALSE)), $C52 = "3", ('Inputs-System'!$C$30*'Coincidence Factors'!$B$10*(1+'Inputs-System'!$C$18)*(1+'Inputs-System'!$C$41))*'Inputs-Proposals'!$J$29*'Inputs-Proposals'!$J$31*(1-'Inputs-Proposals'!$J$20^(AT$3-'Inputs-System'!$C$7))*(VLOOKUP(AT$3,'Embedded Emissions'!$A$47:$B$78,2,FALSE)+VLOOKUP(AT$3,'Embedded Emissions'!$A$129:$B$158,2,FALSE)), $C52 = "0", 0), 0)</f>
        <v>0</v>
      </c>
      <c r="AV52" s="44">
        <f>IFERROR(_xlfn.IFS($C52="1",( 'Inputs-System'!$C$30*'Coincidence Factors'!$B$10*(1+'Inputs-System'!$C$18)*(1+'Inputs-System'!$C$41))*('Inputs-Proposals'!$J$17*'Inputs-Proposals'!$J$19*(1-'Inputs-Proposals'!$J$20)^(AT$3-'Inputs-System'!$C$7))*(VLOOKUP(AT$3,DRIPE!$A$54:$I$82,5,FALSE)+VLOOKUP(AT$3,DRIPE!$A$54:$I$82,9,FALSE))+ ('Inputs-System'!$C$26*'Coincidence Factors'!$B$6*(1+'Inputs-System'!$C$18)*(1+'Inputs-System'!$C$42))*'Inputs-Proposals'!$J$16*VLOOKUP(AT$3,DRIPE!$A$54:$I$82,8,FALSE), $C52 = "2",( 'Inputs-System'!$C$30*'Coincidence Factors'!$B$10*(1+'Inputs-System'!$C$18)*(1+'Inputs-System'!$C$41))*('Inputs-Proposals'!$J$23*'Inputs-Proposals'!$J$25*(1-'Inputs-Proposals'!$J$26)^(AT$3-'Inputs-System'!$C$7))*(VLOOKUP(AT$3,DRIPE!$A$54:$I$82,5,FALSE)+VLOOKUP(AT$3,DRIPE!$A$54:$I$82,9,FALSE))+ ('Inputs-System'!$C$26*'Coincidence Factors'!$B$6*(1+'Inputs-System'!$C$18)*(1+'Inputs-System'!$C$42))*'Inputs-Proposals'!$J$22*VLOOKUP(AT$3,DRIPE!$A$54:$I$82,8,FALSE), $C52= "3", ( 'Inputs-System'!$C$30*'Coincidence Factors'!$B$10*(1+'Inputs-System'!$C$18)*(1+'Inputs-System'!$C$41))*('Inputs-Proposals'!$J$29*'Inputs-Proposals'!$J$31*(1-'Inputs-Proposals'!$J$32)^(AT$3-'Inputs-System'!$C$7))*(VLOOKUP(AT$3,DRIPE!$A$54:$I$82,5,FALSE)+VLOOKUP(AT$3,DRIPE!$A$54:$I$82,9,FALSE))+ ('Inputs-System'!$C$26*'Coincidence Factors'!$B$6*(1+'Inputs-System'!$C$18)*(1+'Inputs-System'!$C$42))*'Inputs-Proposals'!$J$28*VLOOKUP(AT$3,DRIPE!$A$54:$I$82,8,FALSE), $C52 = "0", 0), 0)</f>
        <v>0</v>
      </c>
      <c r="AW52" s="45">
        <f>IFERROR(_xlfn.IFS($C52="1",('Inputs-System'!$C$26*'Coincidence Factors'!$B$10*(1+'Inputs-System'!$C$18)*(1+'Inputs-System'!$C$42))*'Inputs-Proposals'!$D$16*(VLOOKUP(AT$3,Capacity!$A$53:$E$85,4,FALSE)*(1+'Inputs-System'!$C$42)+VLOOKUP(AT$3,Capacity!$A$53:$E$85,5,FALSE)*(1+'Inputs-System'!$C$43)*'Inputs-System'!$C$29), $C52 = "2", ('Inputs-System'!$C$26*'Coincidence Factors'!$B$10*(1+'Inputs-System'!$C$18))*'Inputs-Proposals'!$D$22*(VLOOKUP(AT$3,Capacity!$A$53:$E$85,4,FALSE)*(1+'Inputs-System'!$C$42)+VLOOKUP(AT$3,Capacity!$A$53:$E$85,5,FALSE)*'Inputs-System'!$C$29*(1+'Inputs-System'!$C$43)), $C52 = "3", ('Inputs-System'!$C$26*'Coincidence Factors'!$B$10*(1+'Inputs-System'!$C$18))*'Inputs-Proposals'!$D$28*(VLOOKUP(AT$3,Capacity!$A$53:$E$85,4,FALSE)*(1+'Inputs-System'!$C$42)+VLOOKUP(AT$3,Capacity!$A$53:$E$85,5,FALSE)*'Inputs-System'!$C$29*(1+'Inputs-System'!$C$43)), $C52 = "0", 0), 0)</f>
        <v>0</v>
      </c>
      <c r="AX52" s="44">
        <v>0</v>
      </c>
      <c r="AY52" s="342">
        <f>IFERROR(_xlfn.IFS($C52="1", 'Inputs-System'!$C$30*'Coincidence Factors'!$B$10*'Inputs-Proposals'!$J$17*'Inputs-Proposals'!$J$19*(VLOOKUP(AT$3,'Non-Embedded Emissions'!$A$56:$D$90,2,FALSE)-VLOOKUP(AT$3,'Non-Embedded Emissions'!$F$57:$H$88,3,FALSE)+VLOOKUP(AT$3,'Non-Embedded Emissions'!$A$143:$D$174,2,FALSE)-VLOOKUP(AT$3,'Non-Embedded Emissions'!$F$143:$H$174,3,FALSE)+VLOOKUP(AT$3,'Non-Embedded Emissions'!$A$230:$D$259,2,FALSE)), $C52 = "2", 'Inputs-System'!$C$30*'Coincidence Factors'!$B$10*'Inputs-Proposals'!$J$23*'Inputs-Proposals'!$J$25*(VLOOKUP(AT$3,'Non-Embedded Emissions'!$A$56:$D$90,2,FALSE)-VLOOKUP(AT$3,'Non-Embedded Emissions'!$F$57:$H$88,3,FALSE)+VLOOKUP(AT$3,'Non-Embedded Emissions'!$A$143:$D$174,2,FALSE)-VLOOKUP(AT$3,'Non-Embedded Emissions'!$F$143:$H$174,3,FALSE)+VLOOKUP(AT$3,'Non-Embedded Emissions'!$A$230:$D$259,2,FALSE)), $C52 = "3", 'Inputs-System'!$C$30*'Coincidence Factors'!$B$10*'Inputs-Proposals'!$J$29*'Inputs-Proposals'!$J$31*(VLOOKUP(AT$3,'Non-Embedded Emissions'!$A$56:$D$90,2,FALSE)-VLOOKUP(AT$3,'Non-Embedded Emissions'!$F$57:$H$88,3,FALSE)+VLOOKUP(AT$3,'Non-Embedded Emissions'!$A$143:$D$174,2,FALSE)-VLOOKUP(AT$3,'Non-Embedded Emissions'!$F$143:$H$174,3,FALSE)+VLOOKUP(AT$3,'Non-Embedded Emissions'!$A$230:$D$259,2,FALSE)), $C52 = "0", 0), 0)</f>
        <v>0</v>
      </c>
      <c r="AZ52" s="45">
        <f>IFERROR(_xlfn.IFS($C52="1",('Inputs-System'!$C$30*'Coincidence Factors'!$B$10*(1+'Inputs-System'!$C$18)*(1+'Inputs-System'!$C$41)*('Inputs-Proposals'!$J$17*'Inputs-Proposals'!$J$19*(1-'Inputs-Proposals'!$J$20^(AZ$3-'Inputs-System'!$C$7)))*(VLOOKUP(AZ$3,Energy!$A$51:$K$83,5,FALSE))), $C52 = "2",('Inputs-System'!$C$30*'Coincidence Factors'!$B$10)*(1+'Inputs-System'!$C$18)*(1+'Inputs-System'!$C$41)*('Inputs-Proposals'!$J$23*'Inputs-Proposals'!$J$25*(1-'Inputs-Proposals'!$J$26^(AZ$3-'Inputs-System'!$C$7)))*(VLOOKUP(AZ$3,Energy!$A$51:$K$83,5,FALSE)), $C52= "3", ('Inputs-System'!$C$30*'Coincidence Factors'!$B$10*(1+'Inputs-System'!$C$18)*(1+'Inputs-System'!$C$41)*('Inputs-Proposals'!$J$29*'Inputs-Proposals'!$J$31*(1-'Inputs-Proposals'!$J$32^(AZ$3-'Inputs-System'!$C$7)))*(VLOOKUP(AZ$3,Energy!$A$51:$K$83,5,FALSE))), $C52= "0", 0), 0)</f>
        <v>0</v>
      </c>
      <c r="BA52" s="44">
        <f>IFERROR(_xlfn.IFS($C52="1",('Inputs-System'!$C$30*'Coincidence Factors'!$B$10*(1+'Inputs-System'!$C$18)*(1+'Inputs-System'!$C$41))*'Inputs-Proposals'!$J$17*'Inputs-Proposals'!$J$19*(1-'Inputs-Proposals'!$J$20^(AZ$3-'Inputs-System'!$C$7))*(VLOOKUP(AZ$3,'Embedded Emissions'!$A$47:$B$78,2,FALSE)+VLOOKUP(AZ$3,'Embedded Emissions'!$A$129:$B$158,2,FALSE)), $C52 = "2",('Inputs-System'!$C$30*'Coincidence Factors'!$B$10*(1+'Inputs-System'!$C$18)*(1+'Inputs-System'!$C$41))*'Inputs-Proposals'!$J$23*'Inputs-Proposals'!$J$25*(1-'Inputs-Proposals'!$J$20^(AZ$3-'Inputs-System'!$C$7))*(VLOOKUP(AZ$3,'Embedded Emissions'!$A$47:$B$78,2,FALSE)+VLOOKUP(AZ$3,'Embedded Emissions'!$A$129:$B$158,2,FALSE)), $C52 = "3", ('Inputs-System'!$C$30*'Coincidence Factors'!$B$10*(1+'Inputs-System'!$C$18)*(1+'Inputs-System'!$C$41))*'Inputs-Proposals'!$J$29*'Inputs-Proposals'!$J$31*(1-'Inputs-Proposals'!$J$20^(AZ$3-'Inputs-System'!$C$7))*(VLOOKUP(AZ$3,'Embedded Emissions'!$A$47:$B$78,2,FALSE)+VLOOKUP(AZ$3,'Embedded Emissions'!$A$129:$B$158,2,FALSE)), $C52 = "0", 0), 0)</f>
        <v>0</v>
      </c>
      <c r="BB52" s="44">
        <f>IFERROR(_xlfn.IFS($C52="1",( 'Inputs-System'!$C$30*'Coincidence Factors'!$B$10*(1+'Inputs-System'!$C$18)*(1+'Inputs-System'!$C$41))*('Inputs-Proposals'!$J$17*'Inputs-Proposals'!$J$19*(1-'Inputs-Proposals'!$J$20)^(AZ$3-'Inputs-System'!$C$7))*(VLOOKUP(AZ$3,DRIPE!$A$54:$I$82,5,FALSE)+VLOOKUP(AZ$3,DRIPE!$A$54:$I$82,9,FALSE))+ ('Inputs-System'!$C$26*'Coincidence Factors'!$B$6*(1+'Inputs-System'!$C$18)*(1+'Inputs-System'!$C$42))*'Inputs-Proposals'!$J$16*VLOOKUP(AZ$3,DRIPE!$A$54:$I$82,8,FALSE), $C52 = "2",( 'Inputs-System'!$C$30*'Coincidence Factors'!$B$10*(1+'Inputs-System'!$C$18)*(1+'Inputs-System'!$C$41))*('Inputs-Proposals'!$J$23*'Inputs-Proposals'!$J$25*(1-'Inputs-Proposals'!$J$26)^(AZ$3-'Inputs-System'!$C$7))*(VLOOKUP(AZ$3,DRIPE!$A$54:$I$82,5,FALSE)+VLOOKUP(AZ$3,DRIPE!$A$54:$I$82,9,FALSE))+ ('Inputs-System'!$C$26*'Coincidence Factors'!$B$6*(1+'Inputs-System'!$C$18)*(1+'Inputs-System'!$C$42))*'Inputs-Proposals'!$J$22*VLOOKUP(AZ$3,DRIPE!$A$54:$I$82,8,FALSE), $C52= "3", ( 'Inputs-System'!$C$30*'Coincidence Factors'!$B$10*(1+'Inputs-System'!$C$18)*(1+'Inputs-System'!$C$41))*('Inputs-Proposals'!$J$29*'Inputs-Proposals'!$J$31*(1-'Inputs-Proposals'!$J$32)^(AZ$3-'Inputs-System'!$C$7))*(VLOOKUP(AZ$3,DRIPE!$A$54:$I$82,5,FALSE)+VLOOKUP(AZ$3,DRIPE!$A$54:$I$82,9,FALSE))+ ('Inputs-System'!$C$26*'Coincidence Factors'!$B$6*(1+'Inputs-System'!$C$18)*(1+'Inputs-System'!$C$42))*'Inputs-Proposals'!$J$28*VLOOKUP(AZ$3,DRIPE!$A$54:$I$82,8,FALSE), $C52 = "0", 0), 0)</f>
        <v>0</v>
      </c>
      <c r="BC52" s="45">
        <f>IFERROR(_xlfn.IFS($C52="1",('Inputs-System'!$C$26*'Coincidence Factors'!$B$10*(1+'Inputs-System'!$C$18)*(1+'Inputs-System'!$C$42))*'Inputs-Proposals'!$D$16*(VLOOKUP(AZ$3,Capacity!$A$53:$E$85,4,FALSE)*(1+'Inputs-System'!$C$42)+VLOOKUP(AZ$3,Capacity!$A$53:$E$85,5,FALSE)*(1+'Inputs-System'!$C$43)*'Inputs-System'!$C$29), $C52 = "2", ('Inputs-System'!$C$26*'Coincidence Factors'!$B$10*(1+'Inputs-System'!$C$18))*'Inputs-Proposals'!$D$22*(VLOOKUP(AZ$3,Capacity!$A$53:$E$85,4,FALSE)*(1+'Inputs-System'!$C$42)+VLOOKUP(AZ$3,Capacity!$A$53:$E$85,5,FALSE)*'Inputs-System'!$C$29*(1+'Inputs-System'!$C$43)), $C52 = "3", ('Inputs-System'!$C$26*'Coincidence Factors'!$B$10*(1+'Inputs-System'!$C$18))*'Inputs-Proposals'!$D$28*(VLOOKUP(AZ$3,Capacity!$A$53:$E$85,4,FALSE)*(1+'Inputs-System'!$C$42)+VLOOKUP(AZ$3,Capacity!$A$53:$E$85,5,FALSE)*'Inputs-System'!$C$29*(1+'Inputs-System'!$C$43)), $C52 = "0", 0), 0)</f>
        <v>0</v>
      </c>
      <c r="BD52" s="44">
        <v>0</v>
      </c>
      <c r="BE52" s="342">
        <f>IFERROR(_xlfn.IFS($C52="1", 'Inputs-System'!$C$30*'Coincidence Factors'!$B$10*'Inputs-Proposals'!$J$17*'Inputs-Proposals'!$J$19*(VLOOKUP(AZ$3,'Non-Embedded Emissions'!$A$56:$D$90,2,FALSE)-VLOOKUP(AZ$3,'Non-Embedded Emissions'!$F$57:$H$88,3,FALSE)+VLOOKUP(AZ$3,'Non-Embedded Emissions'!$A$143:$D$174,2,FALSE)-VLOOKUP(AZ$3,'Non-Embedded Emissions'!$F$143:$H$174,3,FALSE)+VLOOKUP(AZ$3,'Non-Embedded Emissions'!$A$230:$D$259,2,FALSE)), $C52 = "2", 'Inputs-System'!$C$30*'Coincidence Factors'!$B$10*'Inputs-Proposals'!$J$23*'Inputs-Proposals'!$J$25*(VLOOKUP(AZ$3,'Non-Embedded Emissions'!$A$56:$D$90,2,FALSE)-VLOOKUP(AZ$3,'Non-Embedded Emissions'!$F$57:$H$88,3,FALSE)+VLOOKUP(AZ$3,'Non-Embedded Emissions'!$A$143:$D$174,2,FALSE)-VLOOKUP(AZ$3,'Non-Embedded Emissions'!$F$143:$H$174,3,FALSE)+VLOOKUP(AZ$3,'Non-Embedded Emissions'!$A$230:$D$259,2,FALSE)), $C52 = "3", 'Inputs-System'!$C$30*'Coincidence Factors'!$B$10*'Inputs-Proposals'!$J$29*'Inputs-Proposals'!$J$31*(VLOOKUP(AZ$3,'Non-Embedded Emissions'!$A$56:$D$90,2,FALSE)-VLOOKUP(AZ$3,'Non-Embedded Emissions'!$F$57:$H$88,3,FALSE)+VLOOKUP(AZ$3,'Non-Embedded Emissions'!$A$143:$D$174,2,FALSE)-VLOOKUP(AZ$3,'Non-Embedded Emissions'!$F$143:$H$174,3,FALSE)+VLOOKUP(AZ$3,'Non-Embedded Emissions'!$A$230:$D$259,2,FALSE)), $C52 = "0", 0), 0)</f>
        <v>0</v>
      </c>
      <c r="BF52" s="45">
        <f>IFERROR(_xlfn.IFS($C52="1",('Inputs-System'!$C$30*'Coincidence Factors'!$B$10*(1+'Inputs-System'!$C$18)*(1+'Inputs-System'!$C$41)*('Inputs-Proposals'!$J$17*'Inputs-Proposals'!$J$19*(1-'Inputs-Proposals'!$J$20^(BF$3-'Inputs-System'!$C$7)))*(VLOOKUP(BF$3,Energy!$A$51:$K$83,5,FALSE))), $C52 = "2",('Inputs-System'!$C$30*'Coincidence Factors'!$B$10)*(1+'Inputs-System'!$C$18)*(1+'Inputs-System'!$C$41)*('Inputs-Proposals'!$J$23*'Inputs-Proposals'!$J$25*(1-'Inputs-Proposals'!$J$26^(BF$3-'Inputs-System'!$C$7)))*(VLOOKUP(BF$3,Energy!$A$51:$K$83,5,FALSE)), $C52= "3", ('Inputs-System'!$C$30*'Coincidence Factors'!$B$10*(1+'Inputs-System'!$C$18)*(1+'Inputs-System'!$C$41)*('Inputs-Proposals'!$J$29*'Inputs-Proposals'!$J$31*(1-'Inputs-Proposals'!$J$32^(BF$3-'Inputs-System'!$C$7)))*(VLOOKUP(BF$3,Energy!$A$51:$K$83,5,FALSE))), $C52= "0", 0), 0)</f>
        <v>0</v>
      </c>
      <c r="BG52" s="44">
        <f>IFERROR(_xlfn.IFS($C52="1",('Inputs-System'!$C$30*'Coincidence Factors'!$B$10*(1+'Inputs-System'!$C$18)*(1+'Inputs-System'!$C$41))*'Inputs-Proposals'!$J$17*'Inputs-Proposals'!$J$19*(1-'Inputs-Proposals'!$J$20^(BF$3-'Inputs-System'!$C$7))*(VLOOKUP(BF$3,'Embedded Emissions'!$A$47:$B$78,2,FALSE)+VLOOKUP(BF$3,'Embedded Emissions'!$A$129:$B$158,2,FALSE)), $C52 = "2",('Inputs-System'!$C$30*'Coincidence Factors'!$B$10*(1+'Inputs-System'!$C$18)*(1+'Inputs-System'!$C$41))*'Inputs-Proposals'!$J$23*'Inputs-Proposals'!$J$25*(1-'Inputs-Proposals'!$J$20^(BF$3-'Inputs-System'!$C$7))*(VLOOKUP(BF$3,'Embedded Emissions'!$A$47:$B$78,2,FALSE)+VLOOKUP(BF$3,'Embedded Emissions'!$A$129:$B$158,2,FALSE)), $C52 = "3", ('Inputs-System'!$C$30*'Coincidence Factors'!$B$10*(1+'Inputs-System'!$C$18)*(1+'Inputs-System'!$C$41))*'Inputs-Proposals'!$J$29*'Inputs-Proposals'!$J$31*(1-'Inputs-Proposals'!$J$20^(BF$3-'Inputs-System'!$C$7))*(VLOOKUP(BF$3,'Embedded Emissions'!$A$47:$B$78,2,FALSE)+VLOOKUP(BF$3,'Embedded Emissions'!$A$129:$B$158,2,FALSE)), $C52 = "0", 0), 0)</f>
        <v>0</v>
      </c>
      <c r="BH52" s="44">
        <f>IFERROR(_xlfn.IFS($C52="1",( 'Inputs-System'!$C$30*'Coincidence Factors'!$B$10*(1+'Inputs-System'!$C$18)*(1+'Inputs-System'!$C$41))*('Inputs-Proposals'!$J$17*'Inputs-Proposals'!$J$19*(1-'Inputs-Proposals'!$J$20)^(BF$3-'Inputs-System'!$C$7))*(VLOOKUP(BF$3,DRIPE!$A$54:$I$82,5,FALSE)+VLOOKUP(BF$3,DRIPE!$A$54:$I$82,9,FALSE))+ ('Inputs-System'!$C$26*'Coincidence Factors'!$B$6*(1+'Inputs-System'!$C$18)*(1+'Inputs-System'!$C$42))*'Inputs-Proposals'!$J$16*VLOOKUP(BF$3,DRIPE!$A$54:$I$82,8,FALSE), $C52 = "2",( 'Inputs-System'!$C$30*'Coincidence Factors'!$B$10*(1+'Inputs-System'!$C$18)*(1+'Inputs-System'!$C$41))*('Inputs-Proposals'!$J$23*'Inputs-Proposals'!$J$25*(1-'Inputs-Proposals'!$J$26)^(BF$3-'Inputs-System'!$C$7))*(VLOOKUP(BF$3,DRIPE!$A$54:$I$82,5,FALSE)+VLOOKUP(BF$3,DRIPE!$A$54:$I$82,9,FALSE))+ ('Inputs-System'!$C$26*'Coincidence Factors'!$B$6*(1+'Inputs-System'!$C$18)*(1+'Inputs-System'!$C$42))*'Inputs-Proposals'!$J$22*VLOOKUP(BF$3,DRIPE!$A$54:$I$82,8,FALSE), $C52= "3", ( 'Inputs-System'!$C$30*'Coincidence Factors'!$B$10*(1+'Inputs-System'!$C$18)*(1+'Inputs-System'!$C$41))*('Inputs-Proposals'!$J$29*'Inputs-Proposals'!$J$31*(1-'Inputs-Proposals'!$J$32)^(BF$3-'Inputs-System'!$C$7))*(VLOOKUP(BF$3,DRIPE!$A$54:$I$82,5,FALSE)+VLOOKUP(BF$3,DRIPE!$A$54:$I$82,9,FALSE))+ ('Inputs-System'!$C$26*'Coincidence Factors'!$B$6*(1+'Inputs-System'!$C$18)*(1+'Inputs-System'!$C$42))*'Inputs-Proposals'!$J$28*VLOOKUP(BF$3,DRIPE!$A$54:$I$82,8,FALSE), $C52 = "0", 0), 0)</f>
        <v>0</v>
      </c>
      <c r="BI52" s="45">
        <f>IFERROR(_xlfn.IFS($C52="1",('Inputs-System'!$C$26*'Coincidence Factors'!$B$10*(1+'Inputs-System'!$C$18)*(1+'Inputs-System'!$C$42))*'Inputs-Proposals'!$D$16*(VLOOKUP(BF$3,Capacity!$A$53:$E$85,4,FALSE)*(1+'Inputs-System'!$C$42)+VLOOKUP(BF$3,Capacity!$A$53:$E$85,5,FALSE)*(1+'Inputs-System'!$C$43)*'Inputs-System'!$C$29), $C52 = "2", ('Inputs-System'!$C$26*'Coincidence Factors'!$B$10*(1+'Inputs-System'!$C$18))*'Inputs-Proposals'!$D$22*(VLOOKUP(BF$3,Capacity!$A$53:$E$85,4,FALSE)*(1+'Inputs-System'!$C$42)+VLOOKUP(BF$3,Capacity!$A$53:$E$85,5,FALSE)*'Inputs-System'!$C$29*(1+'Inputs-System'!$C$43)), $C52 = "3", ('Inputs-System'!$C$26*'Coincidence Factors'!$B$10*(1+'Inputs-System'!$C$18))*'Inputs-Proposals'!$D$28*(VLOOKUP(BF$3,Capacity!$A$53:$E$85,4,FALSE)*(1+'Inputs-System'!$C$42)+VLOOKUP(BF$3,Capacity!$A$53:$E$85,5,FALSE)*'Inputs-System'!$C$29*(1+'Inputs-System'!$C$43)), $C52 = "0", 0), 0)</f>
        <v>0</v>
      </c>
      <c r="BJ52" s="44">
        <v>0</v>
      </c>
      <c r="BK52" s="342">
        <f>IFERROR(_xlfn.IFS($C52="1", 'Inputs-System'!$C$30*'Coincidence Factors'!$B$10*'Inputs-Proposals'!$J$17*'Inputs-Proposals'!$J$19*(VLOOKUP(BF$3,'Non-Embedded Emissions'!$A$56:$D$90,2,FALSE)-VLOOKUP(BF$3,'Non-Embedded Emissions'!$F$57:$H$88,3,FALSE)+VLOOKUP(BF$3,'Non-Embedded Emissions'!$A$143:$D$174,2,FALSE)-VLOOKUP(BF$3,'Non-Embedded Emissions'!$F$143:$H$174,3,FALSE)+VLOOKUP(BF$3,'Non-Embedded Emissions'!$A$230:$D$259,2,FALSE)), $C52 = "2", 'Inputs-System'!$C$30*'Coincidence Factors'!$B$10*'Inputs-Proposals'!$J$23*'Inputs-Proposals'!$J$25*(VLOOKUP(BF$3,'Non-Embedded Emissions'!$A$56:$D$90,2,FALSE)-VLOOKUP(BF$3,'Non-Embedded Emissions'!$F$57:$H$88,3,FALSE)+VLOOKUP(BF$3,'Non-Embedded Emissions'!$A$143:$D$174,2,FALSE)-VLOOKUP(BF$3,'Non-Embedded Emissions'!$F$143:$H$174,3,FALSE)+VLOOKUP(BF$3,'Non-Embedded Emissions'!$A$230:$D$259,2,FALSE)), $C52 = "3", 'Inputs-System'!$C$30*'Coincidence Factors'!$B$10*'Inputs-Proposals'!$J$29*'Inputs-Proposals'!$J$31*(VLOOKUP(BF$3,'Non-Embedded Emissions'!$A$56:$D$90,2,FALSE)-VLOOKUP(BF$3,'Non-Embedded Emissions'!$F$57:$H$88,3,FALSE)+VLOOKUP(BF$3,'Non-Embedded Emissions'!$A$143:$D$174,2,FALSE)-VLOOKUP(BF$3,'Non-Embedded Emissions'!$F$143:$H$174,3,FALSE)+VLOOKUP(BF$3,'Non-Embedded Emissions'!$A$230:$D$259,2,FALSE)), $C52 = "0", 0), 0)</f>
        <v>0</v>
      </c>
      <c r="BL52" s="45">
        <f>IFERROR(_xlfn.IFS($C52="1",('Inputs-System'!$C$30*'Coincidence Factors'!$B$10*(1+'Inputs-System'!$C$18)*(1+'Inputs-System'!$C$41)*('Inputs-Proposals'!$J$17*'Inputs-Proposals'!$J$19*(1-'Inputs-Proposals'!$J$20^(BL$3-'Inputs-System'!$C$7)))*(VLOOKUP(BL$3,Energy!$A$51:$K$83,5,FALSE))), $C52 = "2",('Inputs-System'!$C$30*'Coincidence Factors'!$B$10)*(1+'Inputs-System'!$C$18)*(1+'Inputs-System'!$C$41)*('Inputs-Proposals'!$J$23*'Inputs-Proposals'!$J$25*(1-'Inputs-Proposals'!$J$26^(BL$3-'Inputs-System'!$C$7)))*(VLOOKUP(BL$3,Energy!$A$51:$K$83,5,FALSE)), $C52= "3", ('Inputs-System'!$C$30*'Coincidence Factors'!$B$10*(1+'Inputs-System'!$C$18)*(1+'Inputs-System'!$C$41)*('Inputs-Proposals'!$J$29*'Inputs-Proposals'!$J$31*(1-'Inputs-Proposals'!$J$32^(BL$3-'Inputs-System'!$C$7)))*(VLOOKUP(BL$3,Energy!$A$51:$K$83,5,FALSE))), $C52= "0", 0), 0)</f>
        <v>0</v>
      </c>
      <c r="BM52" s="44">
        <f>IFERROR(_xlfn.IFS($C52="1",('Inputs-System'!$C$30*'Coincidence Factors'!$B$10*(1+'Inputs-System'!$C$18)*(1+'Inputs-System'!$C$41))*'Inputs-Proposals'!$J$17*'Inputs-Proposals'!$J$19*(1-'Inputs-Proposals'!$J$20^(BL$3-'Inputs-System'!$C$7))*(VLOOKUP(BL$3,'Embedded Emissions'!$A$47:$B$78,2,FALSE)+VLOOKUP(BL$3,'Embedded Emissions'!$A$129:$B$158,2,FALSE)), $C52 = "2",('Inputs-System'!$C$30*'Coincidence Factors'!$B$10*(1+'Inputs-System'!$C$18)*(1+'Inputs-System'!$C$41))*'Inputs-Proposals'!$J$23*'Inputs-Proposals'!$J$25*(1-'Inputs-Proposals'!$J$20^(BL$3-'Inputs-System'!$C$7))*(VLOOKUP(BL$3,'Embedded Emissions'!$A$47:$B$78,2,FALSE)+VLOOKUP(BL$3,'Embedded Emissions'!$A$129:$B$158,2,FALSE)), $C52 = "3", ('Inputs-System'!$C$30*'Coincidence Factors'!$B$10*(1+'Inputs-System'!$C$18)*(1+'Inputs-System'!$C$41))*'Inputs-Proposals'!$J$29*'Inputs-Proposals'!$J$31*(1-'Inputs-Proposals'!$J$20^(BL$3-'Inputs-System'!$C$7))*(VLOOKUP(BL$3,'Embedded Emissions'!$A$47:$B$78,2,FALSE)+VLOOKUP(BL$3,'Embedded Emissions'!$A$129:$B$158,2,FALSE)), $C52 = "0", 0), 0)</f>
        <v>0</v>
      </c>
      <c r="BN52" s="44">
        <f>IFERROR(_xlfn.IFS($C52="1",( 'Inputs-System'!$C$30*'Coincidence Factors'!$B$10*(1+'Inputs-System'!$C$18)*(1+'Inputs-System'!$C$41))*('Inputs-Proposals'!$J$17*'Inputs-Proposals'!$J$19*(1-'Inputs-Proposals'!$J$20)^(BL$3-'Inputs-System'!$C$7))*(VLOOKUP(BL$3,DRIPE!$A$54:$I$82,5,FALSE)+VLOOKUP(BL$3,DRIPE!$A$54:$I$82,9,FALSE))+ ('Inputs-System'!$C$26*'Coincidence Factors'!$B$6*(1+'Inputs-System'!$C$18)*(1+'Inputs-System'!$C$42))*'Inputs-Proposals'!$J$16*VLOOKUP(BL$3,DRIPE!$A$54:$I$82,8,FALSE), $C52 = "2",( 'Inputs-System'!$C$30*'Coincidence Factors'!$B$10*(1+'Inputs-System'!$C$18)*(1+'Inputs-System'!$C$41))*('Inputs-Proposals'!$J$23*'Inputs-Proposals'!$J$25*(1-'Inputs-Proposals'!$J$26)^(BL$3-'Inputs-System'!$C$7))*(VLOOKUP(BL$3,DRIPE!$A$54:$I$82,5,FALSE)+VLOOKUP(BL$3,DRIPE!$A$54:$I$82,9,FALSE))+ ('Inputs-System'!$C$26*'Coincidence Factors'!$B$6*(1+'Inputs-System'!$C$18)*(1+'Inputs-System'!$C$42))*'Inputs-Proposals'!$J$22*VLOOKUP(BL$3,DRIPE!$A$54:$I$82,8,FALSE), $C52= "3", ( 'Inputs-System'!$C$30*'Coincidence Factors'!$B$10*(1+'Inputs-System'!$C$18)*(1+'Inputs-System'!$C$41))*('Inputs-Proposals'!$J$29*'Inputs-Proposals'!$J$31*(1-'Inputs-Proposals'!$J$32)^(BL$3-'Inputs-System'!$C$7))*(VLOOKUP(BL$3,DRIPE!$A$54:$I$82,5,FALSE)+VLOOKUP(BL$3,DRIPE!$A$54:$I$82,9,FALSE))+ ('Inputs-System'!$C$26*'Coincidence Factors'!$B$6*(1+'Inputs-System'!$C$18)*(1+'Inputs-System'!$C$42))*'Inputs-Proposals'!$J$28*VLOOKUP(BL$3,DRIPE!$A$54:$I$82,8,FALSE), $C52 = "0", 0), 0)</f>
        <v>0</v>
      </c>
      <c r="BO52" s="45">
        <f>IFERROR(_xlfn.IFS($C52="1",('Inputs-System'!$C$26*'Coincidence Factors'!$B$10*(1+'Inputs-System'!$C$18)*(1+'Inputs-System'!$C$42))*'Inputs-Proposals'!$D$16*(VLOOKUP(BL$3,Capacity!$A$53:$E$85,4,FALSE)*(1+'Inputs-System'!$C$42)+VLOOKUP(BL$3,Capacity!$A$53:$E$85,5,FALSE)*(1+'Inputs-System'!$C$43)*'Inputs-System'!$C$29), $C52 = "2", ('Inputs-System'!$C$26*'Coincidence Factors'!$B$10*(1+'Inputs-System'!$C$18))*'Inputs-Proposals'!$D$22*(VLOOKUP(BL$3,Capacity!$A$53:$E$85,4,FALSE)*(1+'Inputs-System'!$C$42)+VLOOKUP(BL$3,Capacity!$A$53:$E$85,5,FALSE)*'Inputs-System'!$C$29*(1+'Inputs-System'!$C$43)), $C52 = "3", ('Inputs-System'!$C$26*'Coincidence Factors'!$B$10*(1+'Inputs-System'!$C$18))*'Inputs-Proposals'!$D$28*(VLOOKUP(BL$3,Capacity!$A$53:$E$85,4,FALSE)*(1+'Inputs-System'!$C$42)+VLOOKUP(BL$3,Capacity!$A$53:$E$85,5,FALSE)*'Inputs-System'!$C$29*(1+'Inputs-System'!$C$43)), $C52 = "0", 0), 0)</f>
        <v>0</v>
      </c>
      <c r="BP52" s="44">
        <v>0</v>
      </c>
      <c r="BQ52" s="342">
        <f>IFERROR(_xlfn.IFS($C52="1", 'Inputs-System'!$C$30*'Coincidence Factors'!$B$10*'Inputs-Proposals'!$J$17*'Inputs-Proposals'!$J$19*(VLOOKUP(BL$3,'Non-Embedded Emissions'!$A$56:$D$90,2,FALSE)-VLOOKUP(BL$3,'Non-Embedded Emissions'!$F$57:$H$88,3,FALSE)+VLOOKUP(BL$3,'Non-Embedded Emissions'!$A$143:$D$174,2,FALSE)-VLOOKUP(BL$3,'Non-Embedded Emissions'!$F$143:$H$174,3,FALSE)+VLOOKUP(BL$3,'Non-Embedded Emissions'!$A$230:$D$259,2,FALSE)), $C52 = "2", 'Inputs-System'!$C$30*'Coincidence Factors'!$B$10*'Inputs-Proposals'!$J$23*'Inputs-Proposals'!$J$25*(VLOOKUP(BL$3,'Non-Embedded Emissions'!$A$56:$D$90,2,FALSE)-VLOOKUP(BL$3,'Non-Embedded Emissions'!$F$57:$H$88,3,FALSE)+VLOOKUP(BL$3,'Non-Embedded Emissions'!$A$143:$D$174,2,FALSE)-VLOOKUP(BL$3,'Non-Embedded Emissions'!$F$143:$H$174,3,FALSE)+VLOOKUP(BL$3,'Non-Embedded Emissions'!$A$230:$D$259,2,FALSE)), $C52 = "3", 'Inputs-System'!$C$30*'Coincidence Factors'!$B$10*'Inputs-Proposals'!$J$29*'Inputs-Proposals'!$J$31*(VLOOKUP(BL$3,'Non-Embedded Emissions'!$A$56:$D$90,2,FALSE)-VLOOKUP(BL$3,'Non-Embedded Emissions'!$F$57:$H$88,3,FALSE)+VLOOKUP(BL$3,'Non-Embedded Emissions'!$A$143:$D$174,2,FALSE)-VLOOKUP(BL$3,'Non-Embedded Emissions'!$F$143:$H$174,3,FALSE)+VLOOKUP(BL$3,'Non-Embedded Emissions'!$A$230:$D$259,2,FALSE)), $C52 = "0", 0), 0)</f>
        <v>0</v>
      </c>
      <c r="BR52" s="45">
        <f>IFERROR(_xlfn.IFS($C52="1",('Inputs-System'!$C$30*'Coincidence Factors'!$B$10*(1+'Inputs-System'!$C$18)*(1+'Inputs-System'!$C$41)*('Inputs-Proposals'!$J$17*'Inputs-Proposals'!$J$19*(1-'Inputs-Proposals'!$J$20^(BR$3-'Inputs-System'!$C$7)))*(VLOOKUP(BR$3,Energy!$A$51:$K$83,5,FALSE))), $C52 = "2",('Inputs-System'!$C$30*'Coincidence Factors'!$B$10)*(1+'Inputs-System'!$C$18)*(1+'Inputs-System'!$C$41)*('Inputs-Proposals'!$J$23*'Inputs-Proposals'!$J$25*(1-'Inputs-Proposals'!$J$26^(BR$3-'Inputs-System'!$C$7)))*(VLOOKUP(BR$3,Energy!$A$51:$K$83,5,FALSE)), $C52= "3", ('Inputs-System'!$C$30*'Coincidence Factors'!$B$10*(1+'Inputs-System'!$C$18)*(1+'Inputs-System'!$C$41)*('Inputs-Proposals'!$J$29*'Inputs-Proposals'!$J$31*(1-'Inputs-Proposals'!$J$32^(BR$3-'Inputs-System'!$C$7)))*(VLOOKUP(BR$3,Energy!$A$51:$K$83,5,FALSE))), $C52= "0", 0), 0)</f>
        <v>0</v>
      </c>
      <c r="BS52" s="44">
        <f>IFERROR(_xlfn.IFS($C52="1",('Inputs-System'!$C$30*'Coincidence Factors'!$B$10*(1+'Inputs-System'!$C$18)*(1+'Inputs-System'!$C$41))*'Inputs-Proposals'!$J$17*'Inputs-Proposals'!$J$19*(1-'Inputs-Proposals'!$J$20^(BR$3-'Inputs-System'!$C$7))*(VLOOKUP(BR$3,'Embedded Emissions'!$A$47:$B$78,2,FALSE)+VLOOKUP(BR$3,'Embedded Emissions'!$A$129:$B$158,2,FALSE)), $C52 = "2",('Inputs-System'!$C$30*'Coincidence Factors'!$B$10*(1+'Inputs-System'!$C$18)*(1+'Inputs-System'!$C$41))*'Inputs-Proposals'!$J$23*'Inputs-Proposals'!$J$25*(1-'Inputs-Proposals'!$J$20^(BR$3-'Inputs-System'!$C$7))*(VLOOKUP(BR$3,'Embedded Emissions'!$A$47:$B$78,2,FALSE)+VLOOKUP(BR$3,'Embedded Emissions'!$A$129:$B$158,2,FALSE)), $C52 = "3", ('Inputs-System'!$C$30*'Coincidence Factors'!$B$10*(1+'Inputs-System'!$C$18)*(1+'Inputs-System'!$C$41))*'Inputs-Proposals'!$J$29*'Inputs-Proposals'!$J$31*(1-'Inputs-Proposals'!$J$20^(BR$3-'Inputs-System'!$C$7))*(VLOOKUP(BR$3,'Embedded Emissions'!$A$47:$B$78,2,FALSE)+VLOOKUP(BR$3,'Embedded Emissions'!$A$129:$B$158,2,FALSE)), $C52 = "0", 0), 0)</f>
        <v>0</v>
      </c>
      <c r="BT52" s="44">
        <f>IFERROR(_xlfn.IFS($C52="1",( 'Inputs-System'!$C$30*'Coincidence Factors'!$B$10*(1+'Inputs-System'!$C$18)*(1+'Inputs-System'!$C$41))*('Inputs-Proposals'!$J$17*'Inputs-Proposals'!$J$19*(1-'Inputs-Proposals'!$J$20)^(BR$3-'Inputs-System'!$C$7))*(VLOOKUP(BR$3,DRIPE!$A$54:$I$82,5,FALSE)+VLOOKUP(BR$3,DRIPE!$A$54:$I$82,9,FALSE))+ ('Inputs-System'!$C$26*'Coincidence Factors'!$B$6*(1+'Inputs-System'!$C$18)*(1+'Inputs-System'!$C$42))*'Inputs-Proposals'!$J$16*VLOOKUP(BR$3,DRIPE!$A$54:$I$82,8,FALSE), $C52 = "2",( 'Inputs-System'!$C$30*'Coincidence Factors'!$B$10*(1+'Inputs-System'!$C$18)*(1+'Inputs-System'!$C$41))*('Inputs-Proposals'!$J$23*'Inputs-Proposals'!$J$25*(1-'Inputs-Proposals'!$J$26)^(BR$3-'Inputs-System'!$C$7))*(VLOOKUP(BR$3,DRIPE!$A$54:$I$82,5,FALSE)+VLOOKUP(BR$3,DRIPE!$A$54:$I$82,9,FALSE))+ ('Inputs-System'!$C$26*'Coincidence Factors'!$B$6*(1+'Inputs-System'!$C$18)*(1+'Inputs-System'!$C$42))*'Inputs-Proposals'!$J$22*VLOOKUP(BR$3,DRIPE!$A$54:$I$82,8,FALSE), $C52= "3", ( 'Inputs-System'!$C$30*'Coincidence Factors'!$B$10*(1+'Inputs-System'!$C$18)*(1+'Inputs-System'!$C$41))*('Inputs-Proposals'!$J$29*'Inputs-Proposals'!$J$31*(1-'Inputs-Proposals'!$J$32)^(BR$3-'Inputs-System'!$C$7))*(VLOOKUP(BR$3,DRIPE!$A$54:$I$82,5,FALSE)+VLOOKUP(BR$3,DRIPE!$A$54:$I$82,9,FALSE))+ ('Inputs-System'!$C$26*'Coincidence Factors'!$B$6*(1+'Inputs-System'!$C$18)*(1+'Inputs-System'!$C$42))*'Inputs-Proposals'!$J$28*VLOOKUP(BR$3,DRIPE!$A$54:$I$82,8,FALSE), $C52 = "0", 0), 0)</f>
        <v>0</v>
      </c>
      <c r="BU52" s="45">
        <f>IFERROR(_xlfn.IFS($C52="1",('Inputs-System'!$C$26*'Coincidence Factors'!$B$10*(1+'Inputs-System'!$C$18)*(1+'Inputs-System'!$C$42))*'Inputs-Proposals'!$D$16*(VLOOKUP(BR$3,Capacity!$A$53:$E$85,4,FALSE)*(1+'Inputs-System'!$C$42)+VLOOKUP(BR$3,Capacity!$A$53:$E$85,5,FALSE)*(1+'Inputs-System'!$C$43)*'Inputs-System'!$C$29), $C52 = "2", ('Inputs-System'!$C$26*'Coincidence Factors'!$B$10*(1+'Inputs-System'!$C$18))*'Inputs-Proposals'!$D$22*(VLOOKUP(BR$3,Capacity!$A$53:$E$85,4,FALSE)*(1+'Inputs-System'!$C$42)+VLOOKUP(BR$3,Capacity!$A$53:$E$85,5,FALSE)*'Inputs-System'!$C$29*(1+'Inputs-System'!$C$43)), $C52 = "3", ('Inputs-System'!$C$26*'Coincidence Factors'!$B$10*(1+'Inputs-System'!$C$18))*'Inputs-Proposals'!$D$28*(VLOOKUP(BR$3,Capacity!$A$53:$E$85,4,FALSE)*(1+'Inputs-System'!$C$42)+VLOOKUP(BR$3,Capacity!$A$53:$E$85,5,FALSE)*'Inputs-System'!$C$29*(1+'Inputs-System'!$C$43)), $C52 = "0", 0), 0)</f>
        <v>0</v>
      </c>
      <c r="BV52" s="44">
        <v>0</v>
      </c>
      <c r="BW52" s="342">
        <f>IFERROR(_xlfn.IFS($C52="1", 'Inputs-System'!$C$30*'Coincidence Factors'!$B$10*'Inputs-Proposals'!$J$17*'Inputs-Proposals'!$J$19*(VLOOKUP(BR$3,'Non-Embedded Emissions'!$A$56:$D$90,2,FALSE)-VLOOKUP(BR$3,'Non-Embedded Emissions'!$F$57:$H$88,3,FALSE)+VLOOKUP(BR$3,'Non-Embedded Emissions'!$A$143:$D$174,2,FALSE)-VLOOKUP(BR$3,'Non-Embedded Emissions'!$F$143:$H$174,3,FALSE)+VLOOKUP(BR$3,'Non-Embedded Emissions'!$A$230:$D$259,2,FALSE)), $C52 = "2", 'Inputs-System'!$C$30*'Coincidence Factors'!$B$10*'Inputs-Proposals'!$J$23*'Inputs-Proposals'!$J$25*(VLOOKUP(BR$3,'Non-Embedded Emissions'!$A$56:$D$90,2,FALSE)-VLOOKUP(BR$3,'Non-Embedded Emissions'!$F$57:$H$88,3,FALSE)+VLOOKUP(BR$3,'Non-Embedded Emissions'!$A$143:$D$174,2,FALSE)-VLOOKUP(BR$3,'Non-Embedded Emissions'!$F$143:$H$174,3,FALSE)+VLOOKUP(BR$3,'Non-Embedded Emissions'!$A$230:$D$259,2,FALSE)), $C52 = "3", 'Inputs-System'!$C$30*'Coincidence Factors'!$B$10*'Inputs-Proposals'!$J$29*'Inputs-Proposals'!$J$31*(VLOOKUP(BR$3,'Non-Embedded Emissions'!$A$56:$D$90,2,FALSE)-VLOOKUP(BR$3,'Non-Embedded Emissions'!$F$57:$H$88,3,FALSE)+VLOOKUP(BR$3,'Non-Embedded Emissions'!$A$143:$D$174,2,FALSE)-VLOOKUP(BR$3,'Non-Embedded Emissions'!$F$143:$H$174,3,FALSE)+VLOOKUP(BR$3,'Non-Embedded Emissions'!$A$230:$D$259,2,FALSE)), $C52 = "0", 0), 0)</f>
        <v>0</v>
      </c>
      <c r="BX52" s="45">
        <f>IFERROR(_xlfn.IFS($C52="1",('Inputs-System'!$C$30*'Coincidence Factors'!$B$10*(1+'Inputs-System'!$C$18)*(1+'Inputs-System'!$C$41)*('Inputs-Proposals'!$J$17*'Inputs-Proposals'!$J$19*(1-'Inputs-Proposals'!$J$20^(BX$3-'Inputs-System'!$C$7)))*(VLOOKUP(BX$3,Energy!$A$51:$K$83,5,FALSE))), $C52 = "2",('Inputs-System'!$C$30*'Coincidence Factors'!$B$10)*(1+'Inputs-System'!$C$18)*(1+'Inputs-System'!$C$41)*('Inputs-Proposals'!$J$23*'Inputs-Proposals'!$J$25*(1-'Inputs-Proposals'!$J$26^(BX$3-'Inputs-System'!$C$7)))*(VLOOKUP(BX$3,Energy!$A$51:$K$83,5,FALSE)), $C52= "3", ('Inputs-System'!$C$30*'Coincidence Factors'!$B$10*(1+'Inputs-System'!$C$18)*(1+'Inputs-System'!$C$41)*('Inputs-Proposals'!$J$29*'Inputs-Proposals'!$J$31*(1-'Inputs-Proposals'!$J$32^(BX$3-'Inputs-System'!$C$7)))*(VLOOKUP(BX$3,Energy!$A$51:$K$83,5,FALSE))), $C52= "0", 0), 0)</f>
        <v>0</v>
      </c>
      <c r="BY52" s="44">
        <f>IFERROR(_xlfn.IFS($C52="1",('Inputs-System'!$C$30*'Coincidence Factors'!$B$10*(1+'Inputs-System'!$C$18)*(1+'Inputs-System'!$C$41))*'Inputs-Proposals'!$J$17*'Inputs-Proposals'!$J$19*(1-'Inputs-Proposals'!$J$20^(BX$3-'Inputs-System'!$C$7))*(VLOOKUP(BX$3,'Embedded Emissions'!$A$47:$B$78,2,FALSE)+VLOOKUP(BX$3,'Embedded Emissions'!$A$129:$B$158,2,FALSE)), $C52 = "2",('Inputs-System'!$C$30*'Coincidence Factors'!$B$10*(1+'Inputs-System'!$C$18)*(1+'Inputs-System'!$C$41))*'Inputs-Proposals'!$J$23*'Inputs-Proposals'!$J$25*(1-'Inputs-Proposals'!$J$20^(BX$3-'Inputs-System'!$C$7))*(VLOOKUP(BX$3,'Embedded Emissions'!$A$47:$B$78,2,FALSE)+VLOOKUP(BX$3,'Embedded Emissions'!$A$129:$B$158,2,FALSE)), $C52 = "3", ('Inputs-System'!$C$30*'Coincidence Factors'!$B$10*(1+'Inputs-System'!$C$18)*(1+'Inputs-System'!$C$41))*'Inputs-Proposals'!$J$29*'Inputs-Proposals'!$J$31*(1-'Inputs-Proposals'!$J$20^(BX$3-'Inputs-System'!$C$7))*(VLOOKUP(BX$3,'Embedded Emissions'!$A$47:$B$78,2,FALSE)+VLOOKUP(BX$3,'Embedded Emissions'!$A$129:$B$158,2,FALSE)), $C52 = "0", 0), 0)</f>
        <v>0</v>
      </c>
      <c r="BZ52" s="44">
        <f>IFERROR(_xlfn.IFS($C52="1",( 'Inputs-System'!$C$30*'Coincidence Factors'!$B$10*(1+'Inputs-System'!$C$18)*(1+'Inputs-System'!$C$41))*('Inputs-Proposals'!$J$17*'Inputs-Proposals'!$J$19*(1-'Inputs-Proposals'!$J$20)^(BX$3-'Inputs-System'!$C$7))*(VLOOKUP(BX$3,DRIPE!$A$54:$I$82,5,FALSE)+VLOOKUP(BX$3,DRIPE!$A$54:$I$82,9,FALSE))+ ('Inputs-System'!$C$26*'Coincidence Factors'!$B$6*(1+'Inputs-System'!$C$18)*(1+'Inputs-System'!$C$42))*'Inputs-Proposals'!$J$16*VLOOKUP(BX$3,DRIPE!$A$54:$I$82,8,FALSE), $C52 = "2",( 'Inputs-System'!$C$30*'Coincidence Factors'!$B$10*(1+'Inputs-System'!$C$18)*(1+'Inputs-System'!$C$41))*('Inputs-Proposals'!$J$23*'Inputs-Proposals'!$J$25*(1-'Inputs-Proposals'!$J$26)^(BX$3-'Inputs-System'!$C$7))*(VLOOKUP(BX$3,DRIPE!$A$54:$I$82,5,FALSE)+VLOOKUP(BX$3,DRIPE!$A$54:$I$82,9,FALSE))+ ('Inputs-System'!$C$26*'Coincidence Factors'!$B$6*(1+'Inputs-System'!$C$18)*(1+'Inputs-System'!$C$42))*'Inputs-Proposals'!$J$22*VLOOKUP(BX$3,DRIPE!$A$54:$I$82,8,FALSE), $C52= "3", ( 'Inputs-System'!$C$30*'Coincidence Factors'!$B$10*(1+'Inputs-System'!$C$18)*(1+'Inputs-System'!$C$41))*('Inputs-Proposals'!$J$29*'Inputs-Proposals'!$J$31*(1-'Inputs-Proposals'!$J$32)^(BX$3-'Inputs-System'!$C$7))*(VLOOKUP(BX$3,DRIPE!$A$54:$I$82,5,FALSE)+VLOOKUP(BX$3,DRIPE!$A$54:$I$82,9,FALSE))+ ('Inputs-System'!$C$26*'Coincidence Factors'!$B$6*(1+'Inputs-System'!$C$18)*(1+'Inputs-System'!$C$42))*'Inputs-Proposals'!$J$28*VLOOKUP(BX$3,DRIPE!$A$54:$I$82,8,FALSE), $C52 = "0", 0), 0)</f>
        <v>0</v>
      </c>
      <c r="CA52" s="45">
        <f>IFERROR(_xlfn.IFS($C52="1",('Inputs-System'!$C$26*'Coincidence Factors'!$B$10*(1+'Inputs-System'!$C$18)*(1+'Inputs-System'!$C$42))*'Inputs-Proposals'!$D$16*(VLOOKUP(BX$3,Capacity!$A$53:$E$85,4,FALSE)*(1+'Inputs-System'!$C$42)+VLOOKUP(BX$3,Capacity!$A$53:$E$85,5,FALSE)*(1+'Inputs-System'!$C$43)*'Inputs-System'!$C$29), $C52 = "2", ('Inputs-System'!$C$26*'Coincidence Factors'!$B$10*(1+'Inputs-System'!$C$18))*'Inputs-Proposals'!$D$22*(VLOOKUP(BX$3,Capacity!$A$53:$E$85,4,FALSE)*(1+'Inputs-System'!$C$42)+VLOOKUP(BX$3,Capacity!$A$53:$E$85,5,FALSE)*'Inputs-System'!$C$29*(1+'Inputs-System'!$C$43)), $C52 = "3", ('Inputs-System'!$C$26*'Coincidence Factors'!$B$10*(1+'Inputs-System'!$C$18))*'Inputs-Proposals'!$D$28*(VLOOKUP(BX$3,Capacity!$A$53:$E$85,4,FALSE)*(1+'Inputs-System'!$C$42)+VLOOKUP(BX$3,Capacity!$A$53:$E$85,5,FALSE)*'Inputs-System'!$C$29*(1+'Inputs-System'!$C$43)), $C52 = "0", 0), 0)</f>
        <v>0</v>
      </c>
      <c r="CB52" s="44">
        <v>0</v>
      </c>
      <c r="CC52" s="342">
        <f>IFERROR(_xlfn.IFS($C52="1", 'Inputs-System'!$C$30*'Coincidence Factors'!$B$10*'Inputs-Proposals'!$J$17*'Inputs-Proposals'!$J$19*(VLOOKUP(BX$3,'Non-Embedded Emissions'!$A$56:$D$90,2,FALSE)-VLOOKUP(BX$3,'Non-Embedded Emissions'!$F$57:$H$88,3,FALSE)+VLOOKUP(BX$3,'Non-Embedded Emissions'!$A$143:$D$174,2,FALSE)-VLOOKUP(BX$3,'Non-Embedded Emissions'!$F$143:$H$174,3,FALSE)+VLOOKUP(BX$3,'Non-Embedded Emissions'!$A$230:$D$259,2,FALSE)), $C52 = "2", 'Inputs-System'!$C$30*'Coincidence Factors'!$B$10*'Inputs-Proposals'!$J$23*'Inputs-Proposals'!$J$25*(VLOOKUP(BX$3,'Non-Embedded Emissions'!$A$56:$D$90,2,FALSE)-VLOOKUP(BX$3,'Non-Embedded Emissions'!$F$57:$H$88,3,FALSE)+VLOOKUP(BX$3,'Non-Embedded Emissions'!$A$143:$D$174,2,FALSE)-VLOOKUP(BX$3,'Non-Embedded Emissions'!$F$143:$H$174,3,FALSE)+VLOOKUP(BX$3,'Non-Embedded Emissions'!$A$230:$D$259,2,FALSE)), $C52 = "3", 'Inputs-System'!$C$30*'Coincidence Factors'!$B$10*'Inputs-Proposals'!$J$29*'Inputs-Proposals'!$J$31*(VLOOKUP(BX$3,'Non-Embedded Emissions'!$A$56:$D$90,2,FALSE)-VLOOKUP(BX$3,'Non-Embedded Emissions'!$F$57:$H$88,3,FALSE)+VLOOKUP(BX$3,'Non-Embedded Emissions'!$A$143:$D$174,2,FALSE)-VLOOKUP(BX$3,'Non-Embedded Emissions'!$F$143:$H$174,3,FALSE)+VLOOKUP(BX$3,'Non-Embedded Emissions'!$A$230:$D$259,2,FALSE)), $C52 = "0", 0), 0)</f>
        <v>0</v>
      </c>
      <c r="CD52" s="45">
        <f>IFERROR(_xlfn.IFS($C52="1",('Inputs-System'!$C$30*'Coincidence Factors'!$B$10*(1+'Inputs-System'!$C$18)*(1+'Inputs-System'!$C$41)*('Inputs-Proposals'!$J$17*'Inputs-Proposals'!$J$19*(1-'Inputs-Proposals'!$J$20^(CD$3-'Inputs-System'!$C$7)))*(VLOOKUP(CD$3,Energy!$A$51:$K$83,5,FALSE))), $C52 = "2",('Inputs-System'!$C$30*'Coincidence Factors'!$B$10)*(1+'Inputs-System'!$C$18)*(1+'Inputs-System'!$C$41)*('Inputs-Proposals'!$J$23*'Inputs-Proposals'!$J$25*(1-'Inputs-Proposals'!$J$26^(CD$3-'Inputs-System'!$C$7)))*(VLOOKUP(CD$3,Energy!$A$51:$K$83,5,FALSE)), $C52= "3", ('Inputs-System'!$C$30*'Coincidence Factors'!$B$10*(1+'Inputs-System'!$C$18)*(1+'Inputs-System'!$C$41)*('Inputs-Proposals'!$J$29*'Inputs-Proposals'!$J$31*(1-'Inputs-Proposals'!$J$32^(CD$3-'Inputs-System'!$C$7)))*(VLOOKUP(CD$3,Energy!$A$51:$K$83,5,FALSE))), $C52= "0", 0), 0)</f>
        <v>0</v>
      </c>
      <c r="CE52" s="44">
        <f>IFERROR(_xlfn.IFS($C52="1",('Inputs-System'!$C$30*'Coincidence Factors'!$B$10*(1+'Inputs-System'!$C$18)*(1+'Inputs-System'!$C$41))*'Inputs-Proposals'!$J$17*'Inputs-Proposals'!$J$19*(1-'Inputs-Proposals'!$J$20^(CD$3-'Inputs-System'!$C$7))*(VLOOKUP(CD$3,'Embedded Emissions'!$A$47:$B$78,2,FALSE)+VLOOKUP(CD$3,'Embedded Emissions'!$A$129:$B$158,2,FALSE)), $C52 = "2",('Inputs-System'!$C$30*'Coincidence Factors'!$B$10*(1+'Inputs-System'!$C$18)*(1+'Inputs-System'!$C$41))*'Inputs-Proposals'!$J$23*'Inputs-Proposals'!$J$25*(1-'Inputs-Proposals'!$J$20^(CD$3-'Inputs-System'!$C$7))*(VLOOKUP(CD$3,'Embedded Emissions'!$A$47:$B$78,2,FALSE)+VLOOKUP(CD$3,'Embedded Emissions'!$A$129:$B$158,2,FALSE)), $C52 = "3", ('Inputs-System'!$C$30*'Coincidence Factors'!$B$10*(1+'Inputs-System'!$C$18)*(1+'Inputs-System'!$C$41))*'Inputs-Proposals'!$J$29*'Inputs-Proposals'!$J$31*(1-'Inputs-Proposals'!$J$20^(CD$3-'Inputs-System'!$C$7))*(VLOOKUP(CD$3,'Embedded Emissions'!$A$47:$B$78,2,FALSE)+VLOOKUP(CD$3,'Embedded Emissions'!$A$129:$B$158,2,FALSE)), $C52 = "0", 0), 0)</f>
        <v>0</v>
      </c>
      <c r="CF52" s="44">
        <f>IFERROR(_xlfn.IFS($C52="1",( 'Inputs-System'!$C$30*'Coincidence Factors'!$B$10*(1+'Inputs-System'!$C$18)*(1+'Inputs-System'!$C$41))*('Inputs-Proposals'!$J$17*'Inputs-Proposals'!$J$19*(1-'Inputs-Proposals'!$J$20)^(CD$3-'Inputs-System'!$C$7))*(VLOOKUP(CD$3,DRIPE!$A$54:$I$82,5,FALSE)+VLOOKUP(CD$3,DRIPE!$A$54:$I$82,9,FALSE))+ ('Inputs-System'!$C$26*'Coincidence Factors'!$B$6*(1+'Inputs-System'!$C$18)*(1+'Inputs-System'!$C$42))*'Inputs-Proposals'!$J$16*VLOOKUP(CD$3,DRIPE!$A$54:$I$82,8,FALSE), $C52 = "2",( 'Inputs-System'!$C$30*'Coincidence Factors'!$B$10*(1+'Inputs-System'!$C$18)*(1+'Inputs-System'!$C$41))*('Inputs-Proposals'!$J$23*'Inputs-Proposals'!$J$25*(1-'Inputs-Proposals'!$J$26)^(CD$3-'Inputs-System'!$C$7))*(VLOOKUP(CD$3,DRIPE!$A$54:$I$82,5,FALSE)+VLOOKUP(CD$3,DRIPE!$A$54:$I$82,9,FALSE))+ ('Inputs-System'!$C$26*'Coincidence Factors'!$B$6*(1+'Inputs-System'!$C$18)*(1+'Inputs-System'!$C$42))*'Inputs-Proposals'!$J$22*VLOOKUP(CD$3,DRIPE!$A$54:$I$82,8,FALSE), $C52= "3", ( 'Inputs-System'!$C$30*'Coincidence Factors'!$B$10*(1+'Inputs-System'!$C$18)*(1+'Inputs-System'!$C$41))*('Inputs-Proposals'!$J$29*'Inputs-Proposals'!$J$31*(1-'Inputs-Proposals'!$J$32)^(CD$3-'Inputs-System'!$C$7))*(VLOOKUP(CD$3,DRIPE!$A$54:$I$82,5,FALSE)+VLOOKUP(CD$3,DRIPE!$A$54:$I$82,9,FALSE))+ ('Inputs-System'!$C$26*'Coincidence Factors'!$B$6*(1+'Inputs-System'!$C$18)*(1+'Inputs-System'!$C$42))*'Inputs-Proposals'!$J$28*VLOOKUP(CD$3,DRIPE!$A$54:$I$82,8,FALSE), $C52 = "0", 0), 0)</f>
        <v>0</v>
      </c>
      <c r="CG52" s="45">
        <f>IFERROR(_xlfn.IFS($C52="1",('Inputs-System'!$C$26*'Coincidence Factors'!$B$10*(1+'Inputs-System'!$C$18)*(1+'Inputs-System'!$C$42))*'Inputs-Proposals'!$D$16*(VLOOKUP(CD$3,Capacity!$A$53:$E$85,4,FALSE)*(1+'Inputs-System'!$C$42)+VLOOKUP(CD$3,Capacity!$A$53:$E$85,5,FALSE)*(1+'Inputs-System'!$C$43)*'Inputs-System'!$C$29), $C52 = "2", ('Inputs-System'!$C$26*'Coincidence Factors'!$B$10*(1+'Inputs-System'!$C$18))*'Inputs-Proposals'!$D$22*(VLOOKUP(CD$3,Capacity!$A$53:$E$85,4,FALSE)*(1+'Inputs-System'!$C$42)+VLOOKUP(CD$3,Capacity!$A$53:$E$85,5,FALSE)*'Inputs-System'!$C$29*(1+'Inputs-System'!$C$43)), $C52 = "3", ('Inputs-System'!$C$26*'Coincidence Factors'!$B$10*(1+'Inputs-System'!$C$18))*'Inputs-Proposals'!$D$28*(VLOOKUP(CD$3,Capacity!$A$53:$E$85,4,FALSE)*(1+'Inputs-System'!$C$42)+VLOOKUP(CD$3,Capacity!$A$53:$E$85,5,FALSE)*'Inputs-System'!$C$29*(1+'Inputs-System'!$C$43)), $C52 = "0", 0), 0)</f>
        <v>0</v>
      </c>
      <c r="CH52" s="44">
        <v>0</v>
      </c>
      <c r="CI52" s="342">
        <f>IFERROR(_xlfn.IFS($C52="1", 'Inputs-System'!$C$30*'Coincidence Factors'!$B$10*'Inputs-Proposals'!$J$17*'Inputs-Proposals'!$J$19*(VLOOKUP(CD$3,'Non-Embedded Emissions'!$A$56:$D$90,2,FALSE)-VLOOKUP(CD$3,'Non-Embedded Emissions'!$F$57:$H$88,3,FALSE)+VLOOKUP(CD$3,'Non-Embedded Emissions'!$A$143:$D$174,2,FALSE)-VLOOKUP(CD$3,'Non-Embedded Emissions'!$F$143:$H$174,3,FALSE)+VLOOKUP(CD$3,'Non-Embedded Emissions'!$A$230:$D$259,2,FALSE)), $C52 = "2", 'Inputs-System'!$C$30*'Coincidence Factors'!$B$10*'Inputs-Proposals'!$J$23*'Inputs-Proposals'!$J$25*(VLOOKUP(CD$3,'Non-Embedded Emissions'!$A$56:$D$90,2,FALSE)-VLOOKUP(CD$3,'Non-Embedded Emissions'!$F$57:$H$88,3,FALSE)+VLOOKUP(CD$3,'Non-Embedded Emissions'!$A$143:$D$174,2,FALSE)-VLOOKUP(CD$3,'Non-Embedded Emissions'!$F$143:$H$174,3,FALSE)+VLOOKUP(CD$3,'Non-Embedded Emissions'!$A$230:$D$259,2,FALSE)), $C52 = "3", 'Inputs-System'!$C$30*'Coincidence Factors'!$B$10*'Inputs-Proposals'!$J$29*'Inputs-Proposals'!$J$31*(VLOOKUP(CD$3,'Non-Embedded Emissions'!$A$56:$D$90,2,FALSE)-VLOOKUP(CD$3,'Non-Embedded Emissions'!$F$57:$H$88,3,FALSE)+VLOOKUP(CD$3,'Non-Embedded Emissions'!$A$143:$D$174,2,FALSE)-VLOOKUP(CD$3,'Non-Embedded Emissions'!$F$143:$H$174,3,FALSE)+VLOOKUP(CD$3,'Non-Embedded Emissions'!$A$230:$D$259,2,FALSE)), $C52 = "0", 0), 0)</f>
        <v>0</v>
      </c>
      <c r="CJ52" s="45">
        <f>IFERROR(_xlfn.IFS($C52="1",('Inputs-System'!$C$30*'Coincidence Factors'!$B$10*(1+'Inputs-System'!$C$18)*(1+'Inputs-System'!$C$41)*('Inputs-Proposals'!$J$17*'Inputs-Proposals'!$J$19*(1-'Inputs-Proposals'!$J$20^(CJ$3-'Inputs-System'!$C$7)))*(VLOOKUP(CJ$3,Energy!$A$51:$K$83,5,FALSE))), $C52 = "2",('Inputs-System'!$C$30*'Coincidence Factors'!$B$10)*(1+'Inputs-System'!$C$18)*(1+'Inputs-System'!$C$41)*('Inputs-Proposals'!$J$23*'Inputs-Proposals'!$J$25*(1-'Inputs-Proposals'!$J$26^(CJ$3-'Inputs-System'!$C$7)))*(VLOOKUP(CJ$3,Energy!$A$51:$K$83,5,FALSE)), $C52= "3", ('Inputs-System'!$C$30*'Coincidence Factors'!$B$10*(1+'Inputs-System'!$C$18)*(1+'Inputs-System'!$C$41)*('Inputs-Proposals'!$J$29*'Inputs-Proposals'!$J$31*(1-'Inputs-Proposals'!$J$32^(CJ$3-'Inputs-System'!$C$7)))*(VLOOKUP(CJ$3,Energy!$A$51:$K$83,5,FALSE))), $C52= "0", 0), 0)</f>
        <v>0</v>
      </c>
      <c r="CK52" s="44">
        <f>IFERROR(_xlfn.IFS($C52="1",('Inputs-System'!$C$30*'Coincidence Factors'!$B$10*(1+'Inputs-System'!$C$18)*(1+'Inputs-System'!$C$41))*'Inputs-Proposals'!$J$17*'Inputs-Proposals'!$J$19*(1-'Inputs-Proposals'!$J$20^(CJ$3-'Inputs-System'!$C$7))*(VLOOKUP(CJ$3,'Embedded Emissions'!$A$47:$B$78,2,FALSE)+VLOOKUP(CJ$3,'Embedded Emissions'!$A$129:$B$158,2,FALSE)), $C52 = "2",('Inputs-System'!$C$30*'Coincidence Factors'!$B$10*(1+'Inputs-System'!$C$18)*(1+'Inputs-System'!$C$41))*'Inputs-Proposals'!$J$23*'Inputs-Proposals'!$J$25*(1-'Inputs-Proposals'!$J$20^(CJ$3-'Inputs-System'!$C$7))*(VLOOKUP(CJ$3,'Embedded Emissions'!$A$47:$B$78,2,FALSE)+VLOOKUP(CJ$3,'Embedded Emissions'!$A$129:$B$158,2,FALSE)), $C52 = "3", ('Inputs-System'!$C$30*'Coincidence Factors'!$B$10*(1+'Inputs-System'!$C$18)*(1+'Inputs-System'!$C$41))*'Inputs-Proposals'!$J$29*'Inputs-Proposals'!$J$31*(1-'Inputs-Proposals'!$J$20^(CJ$3-'Inputs-System'!$C$7))*(VLOOKUP(CJ$3,'Embedded Emissions'!$A$47:$B$78,2,FALSE)+VLOOKUP(CJ$3,'Embedded Emissions'!$A$129:$B$158,2,FALSE)), $C52 = "0", 0), 0)</f>
        <v>0</v>
      </c>
      <c r="CL52" s="44">
        <f>IFERROR(_xlfn.IFS($C52="1",( 'Inputs-System'!$C$30*'Coincidence Factors'!$B$10*(1+'Inputs-System'!$C$18)*(1+'Inputs-System'!$C$41))*('Inputs-Proposals'!$J$17*'Inputs-Proposals'!$J$19*(1-'Inputs-Proposals'!$J$20)^(CJ$3-'Inputs-System'!$C$7))*(VLOOKUP(CJ$3,DRIPE!$A$54:$I$82,5,FALSE)+VLOOKUP(CJ$3,DRIPE!$A$54:$I$82,9,FALSE))+ ('Inputs-System'!$C$26*'Coincidence Factors'!$B$6*(1+'Inputs-System'!$C$18)*(1+'Inputs-System'!$C$42))*'Inputs-Proposals'!$J$16*VLOOKUP(CJ$3,DRIPE!$A$54:$I$82,8,FALSE), $C52 = "2",( 'Inputs-System'!$C$30*'Coincidence Factors'!$B$10*(1+'Inputs-System'!$C$18)*(1+'Inputs-System'!$C$41))*('Inputs-Proposals'!$J$23*'Inputs-Proposals'!$J$25*(1-'Inputs-Proposals'!$J$26)^(CJ$3-'Inputs-System'!$C$7))*(VLOOKUP(CJ$3,DRIPE!$A$54:$I$82,5,FALSE)+VLOOKUP(CJ$3,DRIPE!$A$54:$I$82,9,FALSE))+ ('Inputs-System'!$C$26*'Coincidence Factors'!$B$6*(1+'Inputs-System'!$C$18)*(1+'Inputs-System'!$C$42))*'Inputs-Proposals'!$J$22*VLOOKUP(CJ$3,DRIPE!$A$54:$I$82,8,FALSE), $C52= "3", ( 'Inputs-System'!$C$30*'Coincidence Factors'!$B$10*(1+'Inputs-System'!$C$18)*(1+'Inputs-System'!$C$41))*('Inputs-Proposals'!$J$29*'Inputs-Proposals'!$J$31*(1-'Inputs-Proposals'!$J$32)^(CJ$3-'Inputs-System'!$C$7))*(VLOOKUP(CJ$3,DRIPE!$A$54:$I$82,5,FALSE)+VLOOKUP(CJ$3,DRIPE!$A$54:$I$82,9,FALSE))+ ('Inputs-System'!$C$26*'Coincidence Factors'!$B$6*(1+'Inputs-System'!$C$18)*(1+'Inputs-System'!$C$42))*'Inputs-Proposals'!$J$28*VLOOKUP(CJ$3,DRIPE!$A$54:$I$82,8,FALSE), $C52 = "0", 0), 0)</f>
        <v>0</v>
      </c>
      <c r="CM52" s="45">
        <f>IFERROR(_xlfn.IFS($C52="1",('Inputs-System'!$C$26*'Coincidence Factors'!$B$10*(1+'Inputs-System'!$C$18)*(1+'Inputs-System'!$C$42))*'Inputs-Proposals'!$D$16*(VLOOKUP(CJ$3,Capacity!$A$53:$E$85,4,FALSE)*(1+'Inputs-System'!$C$42)+VLOOKUP(CJ$3,Capacity!$A$53:$E$85,5,FALSE)*(1+'Inputs-System'!$C$43)*'Inputs-System'!$C$29), $C52 = "2", ('Inputs-System'!$C$26*'Coincidence Factors'!$B$10*(1+'Inputs-System'!$C$18))*'Inputs-Proposals'!$D$22*(VLOOKUP(CJ$3,Capacity!$A$53:$E$85,4,FALSE)*(1+'Inputs-System'!$C$42)+VLOOKUP(CJ$3,Capacity!$A$53:$E$85,5,FALSE)*'Inputs-System'!$C$29*(1+'Inputs-System'!$C$43)), $C52 = "3", ('Inputs-System'!$C$26*'Coincidence Factors'!$B$10*(1+'Inputs-System'!$C$18))*'Inputs-Proposals'!$D$28*(VLOOKUP(CJ$3,Capacity!$A$53:$E$85,4,FALSE)*(1+'Inputs-System'!$C$42)+VLOOKUP(CJ$3,Capacity!$A$53:$E$85,5,FALSE)*'Inputs-System'!$C$29*(1+'Inputs-System'!$C$43)), $C52 = "0", 0), 0)</f>
        <v>0</v>
      </c>
      <c r="CN52" s="44">
        <v>0</v>
      </c>
      <c r="CO52" s="342">
        <f>IFERROR(_xlfn.IFS($C52="1", 'Inputs-System'!$C$30*'Coincidence Factors'!$B$10*'Inputs-Proposals'!$J$17*'Inputs-Proposals'!$J$19*(VLOOKUP(CJ$3,'Non-Embedded Emissions'!$A$56:$D$90,2,FALSE)-VLOOKUP(CJ$3,'Non-Embedded Emissions'!$F$57:$H$88,3,FALSE)+VLOOKUP(CJ$3,'Non-Embedded Emissions'!$A$143:$D$174,2,FALSE)-VLOOKUP(CJ$3,'Non-Embedded Emissions'!$F$143:$H$174,3,FALSE)+VLOOKUP(CJ$3,'Non-Embedded Emissions'!$A$230:$D$259,2,FALSE)), $C52 = "2", 'Inputs-System'!$C$30*'Coincidence Factors'!$B$10*'Inputs-Proposals'!$J$23*'Inputs-Proposals'!$J$25*(VLOOKUP(CJ$3,'Non-Embedded Emissions'!$A$56:$D$90,2,FALSE)-VLOOKUP(CJ$3,'Non-Embedded Emissions'!$F$57:$H$88,3,FALSE)+VLOOKUP(CJ$3,'Non-Embedded Emissions'!$A$143:$D$174,2,FALSE)-VLOOKUP(CJ$3,'Non-Embedded Emissions'!$F$143:$H$174,3,FALSE)+VLOOKUP(CJ$3,'Non-Embedded Emissions'!$A$230:$D$259,2,FALSE)), $C52 = "3", 'Inputs-System'!$C$30*'Coincidence Factors'!$B$10*'Inputs-Proposals'!$J$29*'Inputs-Proposals'!$J$31*(VLOOKUP(CJ$3,'Non-Embedded Emissions'!$A$56:$D$90,2,FALSE)-VLOOKUP(CJ$3,'Non-Embedded Emissions'!$F$57:$H$88,3,FALSE)+VLOOKUP(CJ$3,'Non-Embedded Emissions'!$A$143:$D$174,2,FALSE)-VLOOKUP(CJ$3,'Non-Embedded Emissions'!$F$143:$H$174,3,FALSE)+VLOOKUP(CJ$3,'Non-Embedded Emissions'!$A$230:$D$259,2,FALSE)), $C52 = "0", 0), 0)</f>
        <v>0</v>
      </c>
      <c r="CP52" s="45">
        <f>IFERROR(_xlfn.IFS($C52="1",('Inputs-System'!$C$30*'Coincidence Factors'!$B$10*(1+'Inputs-System'!$C$18)*(1+'Inputs-System'!$C$41)*('Inputs-Proposals'!$J$17*'Inputs-Proposals'!$J$19*(1-'Inputs-Proposals'!$J$20^(CP$3-'Inputs-System'!$C$7)))*(VLOOKUP(CP$3,Energy!$A$51:$K$83,5,FALSE))), $C52 = "2",('Inputs-System'!$C$30*'Coincidence Factors'!$B$10)*(1+'Inputs-System'!$C$18)*(1+'Inputs-System'!$C$41)*('Inputs-Proposals'!$J$23*'Inputs-Proposals'!$J$25*(1-'Inputs-Proposals'!$J$26^(CP$3-'Inputs-System'!$C$7)))*(VLOOKUP(CP$3,Energy!$A$51:$K$83,5,FALSE)), $C52= "3", ('Inputs-System'!$C$30*'Coincidence Factors'!$B$10*(1+'Inputs-System'!$C$18)*(1+'Inputs-System'!$C$41)*('Inputs-Proposals'!$J$29*'Inputs-Proposals'!$J$31*(1-'Inputs-Proposals'!$J$32^(CP$3-'Inputs-System'!$C$7)))*(VLOOKUP(CP$3,Energy!$A$51:$K$83,5,FALSE))), $C52= "0", 0), 0)</f>
        <v>0</v>
      </c>
      <c r="CQ52" s="44">
        <f>IFERROR(_xlfn.IFS($C52="1",('Inputs-System'!$C$30*'Coincidence Factors'!$B$10*(1+'Inputs-System'!$C$18)*(1+'Inputs-System'!$C$41))*'Inputs-Proposals'!$J$17*'Inputs-Proposals'!$J$19*(1-'Inputs-Proposals'!$J$20^(CP$3-'Inputs-System'!$C$7))*(VLOOKUP(CP$3,'Embedded Emissions'!$A$47:$B$78,2,FALSE)+VLOOKUP(CP$3,'Embedded Emissions'!$A$129:$B$158,2,FALSE)), $C52 = "2",('Inputs-System'!$C$30*'Coincidence Factors'!$B$10*(1+'Inputs-System'!$C$18)*(1+'Inputs-System'!$C$41))*'Inputs-Proposals'!$J$23*'Inputs-Proposals'!$J$25*(1-'Inputs-Proposals'!$J$20^(CP$3-'Inputs-System'!$C$7))*(VLOOKUP(CP$3,'Embedded Emissions'!$A$47:$B$78,2,FALSE)+VLOOKUP(CP$3,'Embedded Emissions'!$A$129:$B$158,2,FALSE)), $C52 = "3", ('Inputs-System'!$C$30*'Coincidence Factors'!$B$10*(1+'Inputs-System'!$C$18)*(1+'Inputs-System'!$C$41))*'Inputs-Proposals'!$J$29*'Inputs-Proposals'!$J$31*(1-'Inputs-Proposals'!$J$20^(CP$3-'Inputs-System'!$C$7))*(VLOOKUP(CP$3,'Embedded Emissions'!$A$47:$B$78,2,FALSE)+VLOOKUP(CP$3,'Embedded Emissions'!$A$129:$B$158,2,FALSE)), $C52 = "0", 0), 0)</f>
        <v>0</v>
      </c>
      <c r="CR52" s="44">
        <f>IFERROR(_xlfn.IFS($C52="1",( 'Inputs-System'!$C$30*'Coincidence Factors'!$B$10*(1+'Inputs-System'!$C$18)*(1+'Inputs-System'!$C$41))*('Inputs-Proposals'!$J$17*'Inputs-Proposals'!$J$19*(1-'Inputs-Proposals'!$J$20)^(CP$3-'Inputs-System'!$C$7))*(VLOOKUP(CP$3,DRIPE!$A$54:$I$82,5,FALSE)+VLOOKUP(CP$3,DRIPE!$A$54:$I$82,9,FALSE))+ ('Inputs-System'!$C$26*'Coincidence Factors'!$B$6*(1+'Inputs-System'!$C$18)*(1+'Inputs-System'!$C$42))*'Inputs-Proposals'!$J$16*VLOOKUP(CP$3,DRIPE!$A$54:$I$82,8,FALSE), $C52 = "2",( 'Inputs-System'!$C$30*'Coincidence Factors'!$B$10*(1+'Inputs-System'!$C$18)*(1+'Inputs-System'!$C$41))*('Inputs-Proposals'!$J$23*'Inputs-Proposals'!$J$25*(1-'Inputs-Proposals'!$J$26)^(CP$3-'Inputs-System'!$C$7))*(VLOOKUP(CP$3,DRIPE!$A$54:$I$82,5,FALSE)+VLOOKUP(CP$3,DRIPE!$A$54:$I$82,9,FALSE))+ ('Inputs-System'!$C$26*'Coincidence Factors'!$B$6*(1+'Inputs-System'!$C$18)*(1+'Inputs-System'!$C$42))*'Inputs-Proposals'!$J$22*VLOOKUP(CP$3,DRIPE!$A$54:$I$82,8,FALSE), $C52= "3", ( 'Inputs-System'!$C$30*'Coincidence Factors'!$B$10*(1+'Inputs-System'!$C$18)*(1+'Inputs-System'!$C$41))*('Inputs-Proposals'!$J$29*'Inputs-Proposals'!$J$31*(1-'Inputs-Proposals'!$J$32)^(CP$3-'Inputs-System'!$C$7))*(VLOOKUP(CP$3,DRIPE!$A$54:$I$82,5,FALSE)+VLOOKUP(CP$3,DRIPE!$A$54:$I$82,9,FALSE))+ ('Inputs-System'!$C$26*'Coincidence Factors'!$B$6*(1+'Inputs-System'!$C$18)*(1+'Inputs-System'!$C$42))*'Inputs-Proposals'!$J$28*VLOOKUP(CP$3,DRIPE!$A$54:$I$82,8,FALSE), $C52 = "0", 0), 0)</f>
        <v>0</v>
      </c>
      <c r="CS52" s="45">
        <f>IFERROR(_xlfn.IFS($C52="1",('Inputs-System'!$C$26*'Coincidence Factors'!$B$10*(1+'Inputs-System'!$C$18)*(1+'Inputs-System'!$C$42))*'Inputs-Proposals'!$D$16*(VLOOKUP(CP$3,Capacity!$A$53:$E$85,4,FALSE)*(1+'Inputs-System'!$C$42)+VLOOKUP(CP$3,Capacity!$A$53:$E$85,5,FALSE)*(1+'Inputs-System'!$C$43)*'Inputs-System'!$C$29), $C52 = "2", ('Inputs-System'!$C$26*'Coincidence Factors'!$B$10*(1+'Inputs-System'!$C$18))*'Inputs-Proposals'!$D$22*(VLOOKUP(CP$3,Capacity!$A$53:$E$85,4,FALSE)*(1+'Inputs-System'!$C$42)+VLOOKUP(CP$3,Capacity!$A$53:$E$85,5,FALSE)*'Inputs-System'!$C$29*(1+'Inputs-System'!$C$43)), $C52 = "3", ('Inputs-System'!$C$26*'Coincidence Factors'!$B$10*(1+'Inputs-System'!$C$18))*'Inputs-Proposals'!$D$28*(VLOOKUP(CP$3,Capacity!$A$53:$E$85,4,FALSE)*(1+'Inputs-System'!$C$42)+VLOOKUP(CP$3,Capacity!$A$53:$E$85,5,FALSE)*'Inputs-System'!$C$29*(1+'Inputs-System'!$C$43)), $C52 = "0", 0), 0)</f>
        <v>0</v>
      </c>
      <c r="CT52" s="44">
        <v>0</v>
      </c>
      <c r="CU52" s="342">
        <f>IFERROR(_xlfn.IFS($C52="1", 'Inputs-System'!$C$30*'Coincidence Factors'!$B$10*'Inputs-Proposals'!$J$17*'Inputs-Proposals'!$J$19*(VLOOKUP(CP$3,'Non-Embedded Emissions'!$A$56:$D$90,2,FALSE)-VLOOKUP(CP$3,'Non-Embedded Emissions'!$F$57:$H$88,3,FALSE)+VLOOKUP(CP$3,'Non-Embedded Emissions'!$A$143:$D$174,2,FALSE)-VLOOKUP(CP$3,'Non-Embedded Emissions'!$F$143:$H$174,3,FALSE)+VLOOKUP(CP$3,'Non-Embedded Emissions'!$A$230:$D$259,2,FALSE)), $C52 = "2", 'Inputs-System'!$C$30*'Coincidence Factors'!$B$10*'Inputs-Proposals'!$J$23*'Inputs-Proposals'!$J$25*(VLOOKUP(CP$3,'Non-Embedded Emissions'!$A$56:$D$90,2,FALSE)-VLOOKUP(CP$3,'Non-Embedded Emissions'!$F$57:$H$88,3,FALSE)+VLOOKUP(CP$3,'Non-Embedded Emissions'!$A$143:$D$174,2,FALSE)-VLOOKUP(CP$3,'Non-Embedded Emissions'!$F$143:$H$174,3,FALSE)+VLOOKUP(CP$3,'Non-Embedded Emissions'!$A$230:$D$259,2,FALSE)), $C52 = "3", 'Inputs-System'!$C$30*'Coincidence Factors'!$B$10*'Inputs-Proposals'!$J$29*'Inputs-Proposals'!$J$31*(VLOOKUP(CP$3,'Non-Embedded Emissions'!$A$56:$D$90,2,FALSE)-VLOOKUP(CP$3,'Non-Embedded Emissions'!$F$57:$H$88,3,FALSE)+VLOOKUP(CP$3,'Non-Embedded Emissions'!$A$143:$D$174,2,FALSE)-VLOOKUP(CP$3,'Non-Embedded Emissions'!$F$143:$H$174,3,FALSE)+VLOOKUP(CP$3,'Non-Embedded Emissions'!$A$230:$D$259,2,FALSE)), $C52 = "0", 0), 0)</f>
        <v>0</v>
      </c>
      <c r="CV52" s="45">
        <f>IFERROR(_xlfn.IFS($C52="1",('Inputs-System'!$C$30*'Coincidence Factors'!$B$10*(1+'Inputs-System'!$C$18)*(1+'Inputs-System'!$C$41)*('Inputs-Proposals'!$J$17*'Inputs-Proposals'!$J$19*(1-'Inputs-Proposals'!$J$20^(CV$3-'Inputs-System'!$C$7)))*(VLOOKUP(CV$3,Energy!$A$51:$K$83,5,FALSE))), $C52 = "2",('Inputs-System'!$C$30*'Coincidence Factors'!$B$10)*(1+'Inputs-System'!$C$18)*(1+'Inputs-System'!$C$41)*('Inputs-Proposals'!$J$23*'Inputs-Proposals'!$J$25*(1-'Inputs-Proposals'!$J$26^(CV$3-'Inputs-System'!$C$7)))*(VLOOKUP(CV$3,Energy!$A$51:$K$83,5,FALSE)), $C52= "3", ('Inputs-System'!$C$30*'Coincidence Factors'!$B$10*(1+'Inputs-System'!$C$18)*(1+'Inputs-System'!$C$41)*('Inputs-Proposals'!$J$29*'Inputs-Proposals'!$J$31*(1-'Inputs-Proposals'!$J$32^(CV$3-'Inputs-System'!$C$7)))*(VLOOKUP(CV$3,Energy!$A$51:$K$83,5,FALSE))), $C52= "0", 0), 0)</f>
        <v>0</v>
      </c>
      <c r="CW52" s="44">
        <f>IFERROR(_xlfn.IFS($C52="1",('Inputs-System'!$C$30*'Coincidence Factors'!$B$10*(1+'Inputs-System'!$C$18)*(1+'Inputs-System'!$C$41))*'Inputs-Proposals'!$J$17*'Inputs-Proposals'!$J$19*(1-'Inputs-Proposals'!$J$20^(CV$3-'Inputs-System'!$C$7))*(VLOOKUP(CV$3,'Embedded Emissions'!$A$47:$B$78,2,FALSE)+VLOOKUP(CV$3,'Embedded Emissions'!$A$129:$B$158,2,FALSE)), $C52 = "2",('Inputs-System'!$C$30*'Coincidence Factors'!$B$10*(1+'Inputs-System'!$C$18)*(1+'Inputs-System'!$C$41))*'Inputs-Proposals'!$J$23*'Inputs-Proposals'!$J$25*(1-'Inputs-Proposals'!$J$20^(CV$3-'Inputs-System'!$C$7))*(VLOOKUP(CV$3,'Embedded Emissions'!$A$47:$B$78,2,FALSE)+VLOOKUP(CV$3,'Embedded Emissions'!$A$129:$B$158,2,FALSE)), $C52 = "3", ('Inputs-System'!$C$30*'Coincidence Factors'!$B$10*(1+'Inputs-System'!$C$18)*(1+'Inputs-System'!$C$41))*'Inputs-Proposals'!$J$29*'Inputs-Proposals'!$J$31*(1-'Inputs-Proposals'!$J$20^(CV$3-'Inputs-System'!$C$7))*(VLOOKUP(CV$3,'Embedded Emissions'!$A$47:$B$78,2,FALSE)+VLOOKUP(CV$3,'Embedded Emissions'!$A$129:$B$158,2,FALSE)), $C52 = "0", 0), 0)</f>
        <v>0</v>
      </c>
      <c r="CX52" s="44">
        <f>IFERROR(_xlfn.IFS($C52="1",( 'Inputs-System'!$C$30*'Coincidence Factors'!$B$10*(1+'Inputs-System'!$C$18)*(1+'Inputs-System'!$C$41))*('Inputs-Proposals'!$J$17*'Inputs-Proposals'!$J$19*(1-'Inputs-Proposals'!$J$20)^(CV$3-'Inputs-System'!$C$7))*(VLOOKUP(CV$3,DRIPE!$A$54:$I$82,5,FALSE)+VLOOKUP(CV$3,DRIPE!$A$54:$I$82,9,FALSE))+ ('Inputs-System'!$C$26*'Coincidence Factors'!$B$6*(1+'Inputs-System'!$C$18)*(1+'Inputs-System'!$C$42))*'Inputs-Proposals'!$J$16*VLOOKUP(CV$3,DRIPE!$A$54:$I$82,8,FALSE), $C52 = "2",( 'Inputs-System'!$C$30*'Coincidence Factors'!$B$10*(1+'Inputs-System'!$C$18)*(1+'Inputs-System'!$C$41))*('Inputs-Proposals'!$J$23*'Inputs-Proposals'!$J$25*(1-'Inputs-Proposals'!$J$26)^(CV$3-'Inputs-System'!$C$7))*(VLOOKUP(CV$3,DRIPE!$A$54:$I$82,5,FALSE)+VLOOKUP(CV$3,DRIPE!$A$54:$I$82,9,FALSE))+ ('Inputs-System'!$C$26*'Coincidence Factors'!$B$6*(1+'Inputs-System'!$C$18)*(1+'Inputs-System'!$C$42))*'Inputs-Proposals'!$J$22*VLOOKUP(CV$3,DRIPE!$A$54:$I$82,8,FALSE), $C52= "3", ( 'Inputs-System'!$C$30*'Coincidence Factors'!$B$10*(1+'Inputs-System'!$C$18)*(1+'Inputs-System'!$C$41))*('Inputs-Proposals'!$J$29*'Inputs-Proposals'!$J$31*(1-'Inputs-Proposals'!$J$32)^(CV$3-'Inputs-System'!$C$7))*(VLOOKUP(CV$3,DRIPE!$A$54:$I$82,5,FALSE)+VLOOKUP(CV$3,DRIPE!$A$54:$I$82,9,FALSE))+ ('Inputs-System'!$C$26*'Coincidence Factors'!$B$6*(1+'Inputs-System'!$C$18)*(1+'Inputs-System'!$C$42))*'Inputs-Proposals'!$J$28*VLOOKUP(CV$3,DRIPE!$A$54:$I$82,8,FALSE), $C52 = "0", 0), 0)</f>
        <v>0</v>
      </c>
      <c r="CY52" s="45">
        <f>IFERROR(_xlfn.IFS($C52="1",('Inputs-System'!$C$26*'Coincidence Factors'!$B$10*(1+'Inputs-System'!$C$18)*(1+'Inputs-System'!$C$42))*'Inputs-Proposals'!$D$16*(VLOOKUP(CV$3,Capacity!$A$53:$E$85,4,FALSE)*(1+'Inputs-System'!$C$42)+VLOOKUP(CV$3,Capacity!$A$53:$E$85,5,FALSE)*(1+'Inputs-System'!$C$43)*'Inputs-System'!$C$29), $C52 = "2", ('Inputs-System'!$C$26*'Coincidence Factors'!$B$10*(1+'Inputs-System'!$C$18))*'Inputs-Proposals'!$D$22*(VLOOKUP(CV$3,Capacity!$A$53:$E$85,4,FALSE)*(1+'Inputs-System'!$C$42)+VLOOKUP(CV$3,Capacity!$A$53:$E$85,5,FALSE)*'Inputs-System'!$C$29*(1+'Inputs-System'!$C$43)), $C52 = "3", ('Inputs-System'!$C$26*'Coincidence Factors'!$B$10*(1+'Inputs-System'!$C$18))*'Inputs-Proposals'!$D$28*(VLOOKUP(CV$3,Capacity!$A$53:$E$85,4,FALSE)*(1+'Inputs-System'!$C$42)+VLOOKUP(CV$3,Capacity!$A$53:$E$85,5,FALSE)*'Inputs-System'!$C$29*(1+'Inputs-System'!$C$43)), $C52 = "0", 0), 0)</f>
        <v>0</v>
      </c>
      <c r="CZ52" s="44">
        <v>0</v>
      </c>
      <c r="DA52" s="342">
        <f>IFERROR(_xlfn.IFS($C52="1", 'Inputs-System'!$C$30*'Coincidence Factors'!$B$10*'Inputs-Proposals'!$J$17*'Inputs-Proposals'!$J$19*(VLOOKUP(CV$3,'Non-Embedded Emissions'!$A$56:$D$90,2,FALSE)-VLOOKUP(CV$3,'Non-Embedded Emissions'!$F$57:$H$88,3,FALSE)+VLOOKUP(CV$3,'Non-Embedded Emissions'!$A$143:$D$174,2,FALSE)-VLOOKUP(CV$3,'Non-Embedded Emissions'!$F$143:$H$174,3,FALSE)+VLOOKUP(CV$3,'Non-Embedded Emissions'!$A$230:$D$259,2,FALSE)), $C52 = "2", 'Inputs-System'!$C$30*'Coincidence Factors'!$B$10*'Inputs-Proposals'!$J$23*'Inputs-Proposals'!$J$25*(VLOOKUP(CV$3,'Non-Embedded Emissions'!$A$56:$D$90,2,FALSE)-VLOOKUP(CV$3,'Non-Embedded Emissions'!$F$57:$H$88,3,FALSE)+VLOOKUP(CV$3,'Non-Embedded Emissions'!$A$143:$D$174,2,FALSE)-VLOOKUP(CV$3,'Non-Embedded Emissions'!$F$143:$H$174,3,FALSE)+VLOOKUP(CV$3,'Non-Embedded Emissions'!$A$230:$D$259,2,FALSE)), $C52 = "3", 'Inputs-System'!$C$30*'Coincidence Factors'!$B$10*'Inputs-Proposals'!$J$29*'Inputs-Proposals'!$J$31*(VLOOKUP(CV$3,'Non-Embedded Emissions'!$A$56:$D$90,2,FALSE)-VLOOKUP(CV$3,'Non-Embedded Emissions'!$F$57:$H$88,3,FALSE)+VLOOKUP(CV$3,'Non-Embedded Emissions'!$A$143:$D$174,2,FALSE)-VLOOKUP(CV$3,'Non-Embedded Emissions'!$F$143:$H$174,3,FALSE)+VLOOKUP(CV$3,'Non-Embedded Emissions'!$A$230:$D$259,2,FALSE)), $C52 = "0", 0), 0)</f>
        <v>0</v>
      </c>
      <c r="DB52" s="45">
        <f>IFERROR(_xlfn.IFS($C52="1",('Inputs-System'!$C$30*'Coincidence Factors'!$B$10*(1+'Inputs-System'!$C$18)*(1+'Inputs-System'!$C$41)*('Inputs-Proposals'!$J$17*'Inputs-Proposals'!$J$19*(1-'Inputs-Proposals'!$J$20^(DB$3-'Inputs-System'!$C$7)))*(VLOOKUP(DB$3,Energy!$A$51:$K$83,5,FALSE))), $C52 = "2",('Inputs-System'!$C$30*'Coincidence Factors'!$B$10)*(1+'Inputs-System'!$C$18)*(1+'Inputs-System'!$C$41)*('Inputs-Proposals'!$J$23*'Inputs-Proposals'!$J$25*(1-'Inputs-Proposals'!$J$26^(DB$3-'Inputs-System'!$C$7)))*(VLOOKUP(DB$3,Energy!$A$51:$K$83,5,FALSE)), $C52= "3", ('Inputs-System'!$C$30*'Coincidence Factors'!$B$10*(1+'Inputs-System'!$C$18)*(1+'Inputs-System'!$C$41)*('Inputs-Proposals'!$J$29*'Inputs-Proposals'!$J$31*(1-'Inputs-Proposals'!$J$32^(DB$3-'Inputs-System'!$C$7)))*(VLOOKUP(DB$3,Energy!$A$51:$K$83,5,FALSE))), $C52= "0", 0), 0)</f>
        <v>0</v>
      </c>
      <c r="DC52" s="44">
        <f>IFERROR(_xlfn.IFS($C52="1",('Inputs-System'!$C$30*'Coincidence Factors'!$B$10*(1+'Inputs-System'!$C$18)*(1+'Inputs-System'!$C$41))*'Inputs-Proposals'!$J$17*'Inputs-Proposals'!$J$19*(1-'Inputs-Proposals'!$J$20^(DB$3-'Inputs-System'!$C$7))*(VLOOKUP(DB$3,'Embedded Emissions'!$A$47:$B$78,2,FALSE)+VLOOKUP(DB$3,'Embedded Emissions'!$A$129:$B$158,2,FALSE)), $C52 = "2",('Inputs-System'!$C$30*'Coincidence Factors'!$B$10*(1+'Inputs-System'!$C$18)*(1+'Inputs-System'!$C$41))*'Inputs-Proposals'!$J$23*'Inputs-Proposals'!$J$25*(1-'Inputs-Proposals'!$J$20^(DB$3-'Inputs-System'!$C$7))*(VLOOKUP(DB$3,'Embedded Emissions'!$A$47:$B$78,2,FALSE)+VLOOKUP(DB$3,'Embedded Emissions'!$A$129:$B$158,2,FALSE)), $C52 = "3", ('Inputs-System'!$C$30*'Coincidence Factors'!$B$10*(1+'Inputs-System'!$C$18)*(1+'Inputs-System'!$C$41))*'Inputs-Proposals'!$J$29*'Inputs-Proposals'!$J$31*(1-'Inputs-Proposals'!$J$20^(DB$3-'Inputs-System'!$C$7))*(VLOOKUP(DB$3,'Embedded Emissions'!$A$47:$B$78,2,FALSE)+VLOOKUP(DB$3,'Embedded Emissions'!$A$129:$B$158,2,FALSE)), $C52 = "0", 0), 0)</f>
        <v>0</v>
      </c>
      <c r="DD52" s="44">
        <f>IFERROR(_xlfn.IFS($C52="1",( 'Inputs-System'!$C$30*'Coincidence Factors'!$B$10*(1+'Inputs-System'!$C$18)*(1+'Inputs-System'!$C$41))*('Inputs-Proposals'!$J$17*'Inputs-Proposals'!$J$19*(1-'Inputs-Proposals'!$J$20)^(DB$3-'Inputs-System'!$C$7))*(VLOOKUP(DB$3,DRIPE!$A$54:$I$82,5,FALSE)+VLOOKUP(DB$3,DRIPE!$A$54:$I$82,9,FALSE))+ ('Inputs-System'!$C$26*'Coincidence Factors'!$B$6*(1+'Inputs-System'!$C$18)*(1+'Inputs-System'!$C$42))*'Inputs-Proposals'!$J$16*VLOOKUP(DB$3,DRIPE!$A$54:$I$82,8,FALSE), $C52 = "2",( 'Inputs-System'!$C$30*'Coincidence Factors'!$B$10*(1+'Inputs-System'!$C$18)*(1+'Inputs-System'!$C$41))*('Inputs-Proposals'!$J$23*'Inputs-Proposals'!$J$25*(1-'Inputs-Proposals'!$J$26)^(DB$3-'Inputs-System'!$C$7))*(VLOOKUP(DB$3,DRIPE!$A$54:$I$82,5,FALSE)+VLOOKUP(DB$3,DRIPE!$A$54:$I$82,9,FALSE))+ ('Inputs-System'!$C$26*'Coincidence Factors'!$B$6*(1+'Inputs-System'!$C$18)*(1+'Inputs-System'!$C$42))*'Inputs-Proposals'!$J$22*VLOOKUP(DB$3,DRIPE!$A$54:$I$82,8,FALSE), $C52= "3", ( 'Inputs-System'!$C$30*'Coincidence Factors'!$B$10*(1+'Inputs-System'!$C$18)*(1+'Inputs-System'!$C$41))*('Inputs-Proposals'!$J$29*'Inputs-Proposals'!$J$31*(1-'Inputs-Proposals'!$J$32)^(DB$3-'Inputs-System'!$C$7))*(VLOOKUP(DB$3,DRIPE!$A$54:$I$82,5,FALSE)+VLOOKUP(DB$3,DRIPE!$A$54:$I$82,9,FALSE))+ ('Inputs-System'!$C$26*'Coincidence Factors'!$B$6*(1+'Inputs-System'!$C$18)*(1+'Inputs-System'!$C$42))*'Inputs-Proposals'!$J$28*VLOOKUP(DB$3,DRIPE!$A$54:$I$82,8,FALSE), $C52 = "0", 0), 0)</f>
        <v>0</v>
      </c>
      <c r="DE52" s="45">
        <f>IFERROR(_xlfn.IFS($C52="1",('Inputs-System'!$C$26*'Coincidence Factors'!$B$10*(1+'Inputs-System'!$C$18)*(1+'Inputs-System'!$C$42))*'Inputs-Proposals'!$D$16*(VLOOKUP(DB$3,Capacity!$A$53:$E$85,4,FALSE)*(1+'Inputs-System'!$C$42)+VLOOKUP(DB$3,Capacity!$A$53:$E$85,5,FALSE)*(1+'Inputs-System'!$C$43)*'Inputs-System'!$C$29), $C52 = "2", ('Inputs-System'!$C$26*'Coincidence Factors'!$B$10*(1+'Inputs-System'!$C$18))*'Inputs-Proposals'!$D$22*(VLOOKUP(DB$3,Capacity!$A$53:$E$85,4,FALSE)*(1+'Inputs-System'!$C$42)+VLOOKUP(DB$3,Capacity!$A$53:$E$85,5,FALSE)*'Inputs-System'!$C$29*(1+'Inputs-System'!$C$43)), $C52 = "3", ('Inputs-System'!$C$26*'Coincidence Factors'!$B$10*(1+'Inputs-System'!$C$18))*'Inputs-Proposals'!$D$28*(VLOOKUP(DB$3,Capacity!$A$53:$E$85,4,FALSE)*(1+'Inputs-System'!$C$42)+VLOOKUP(DB$3,Capacity!$A$53:$E$85,5,FALSE)*'Inputs-System'!$C$29*(1+'Inputs-System'!$C$43)), $C52 = "0", 0), 0)</f>
        <v>0</v>
      </c>
      <c r="DF52" s="44">
        <v>0</v>
      </c>
      <c r="DG52" s="342">
        <f>IFERROR(_xlfn.IFS($C52="1", 'Inputs-System'!$C$30*'Coincidence Factors'!$B$10*'Inputs-Proposals'!$J$17*'Inputs-Proposals'!$J$19*(VLOOKUP(DB$3,'Non-Embedded Emissions'!$A$56:$D$90,2,FALSE)-VLOOKUP(DB$3,'Non-Embedded Emissions'!$F$57:$H$88,3,FALSE)+VLOOKUP(DB$3,'Non-Embedded Emissions'!$A$143:$D$174,2,FALSE)-VLOOKUP(DB$3,'Non-Embedded Emissions'!$F$143:$H$174,3,FALSE)+VLOOKUP(DB$3,'Non-Embedded Emissions'!$A$230:$D$259,2,FALSE)), $C52 = "2", 'Inputs-System'!$C$30*'Coincidence Factors'!$B$10*'Inputs-Proposals'!$J$23*'Inputs-Proposals'!$J$25*(VLOOKUP(DB$3,'Non-Embedded Emissions'!$A$56:$D$90,2,FALSE)-VLOOKUP(DB$3,'Non-Embedded Emissions'!$F$57:$H$88,3,FALSE)+VLOOKUP(DB$3,'Non-Embedded Emissions'!$A$143:$D$174,2,FALSE)-VLOOKUP(DB$3,'Non-Embedded Emissions'!$F$143:$H$174,3,FALSE)+VLOOKUP(DB$3,'Non-Embedded Emissions'!$A$230:$D$259,2,FALSE)), $C52 = "3", 'Inputs-System'!$C$30*'Coincidence Factors'!$B$10*'Inputs-Proposals'!$J$29*'Inputs-Proposals'!$J$31*(VLOOKUP(DB$3,'Non-Embedded Emissions'!$A$56:$D$90,2,FALSE)-VLOOKUP(DB$3,'Non-Embedded Emissions'!$F$57:$H$88,3,FALSE)+VLOOKUP(DB$3,'Non-Embedded Emissions'!$A$143:$D$174,2,FALSE)-VLOOKUP(DB$3,'Non-Embedded Emissions'!$F$143:$H$174,3,FALSE)+VLOOKUP(DB$3,'Non-Embedded Emissions'!$A$230:$D$259,2,FALSE)), $C52 = "0", 0), 0)</f>
        <v>0</v>
      </c>
      <c r="DH52" s="45">
        <f>IFERROR(_xlfn.IFS($C52="1",('Inputs-System'!$C$30*'Coincidence Factors'!$B$10*(1+'Inputs-System'!$C$18)*(1+'Inputs-System'!$C$41)*('Inputs-Proposals'!$J$17*'Inputs-Proposals'!$J$19*(1-'Inputs-Proposals'!$J$20^(DH$3-'Inputs-System'!$C$7)))*(VLOOKUP(DH$3,Energy!$A$51:$K$83,5,FALSE))), $C52 = "2",('Inputs-System'!$C$30*'Coincidence Factors'!$B$10)*(1+'Inputs-System'!$C$18)*(1+'Inputs-System'!$C$41)*('Inputs-Proposals'!$J$23*'Inputs-Proposals'!$J$25*(1-'Inputs-Proposals'!$J$26^(DH$3-'Inputs-System'!$C$7)))*(VLOOKUP(DH$3,Energy!$A$51:$K$83,5,FALSE)), $C52= "3", ('Inputs-System'!$C$30*'Coincidence Factors'!$B$10*(1+'Inputs-System'!$C$18)*(1+'Inputs-System'!$C$41)*('Inputs-Proposals'!$J$29*'Inputs-Proposals'!$J$31*(1-'Inputs-Proposals'!$J$32^(DH$3-'Inputs-System'!$C$7)))*(VLOOKUP(DH$3,Energy!$A$51:$K$83,5,FALSE))), $C52= "0", 0), 0)</f>
        <v>0</v>
      </c>
      <c r="DI52" s="44">
        <f>IFERROR(_xlfn.IFS($C52="1",('Inputs-System'!$C$30*'Coincidence Factors'!$B$10*(1+'Inputs-System'!$C$18)*(1+'Inputs-System'!$C$41))*'Inputs-Proposals'!$J$17*'Inputs-Proposals'!$J$19*(1-'Inputs-Proposals'!$J$20^(DH$3-'Inputs-System'!$C$7))*(VLOOKUP(DH$3,'Embedded Emissions'!$A$47:$B$78,2,FALSE)+VLOOKUP(DH$3,'Embedded Emissions'!$A$129:$B$158,2,FALSE)), $C52 = "2",('Inputs-System'!$C$30*'Coincidence Factors'!$B$10*(1+'Inputs-System'!$C$18)*(1+'Inputs-System'!$C$41))*'Inputs-Proposals'!$J$23*'Inputs-Proposals'!$J$25*(1-'Inputs-Proposals'!$J$20^(DH$3-'Inputs-System'!$C$7))*(VLOOKUP(DH$3,'Embedded Emissions'!$A$47:$B$78,2,FALSE)+VLOOKUP(DH$3,'Embedded Emissions'!$A$129:$B$158,2,FALSE)), $C52 = "3", ('Inputs-System'!$C$30*'Coincidence Factors'!$B$10*(1+'Inputs-System'!$C$18)*(1+'Inputs-System'!$C$41))*'Inputs-Proposals'!$J$29*'Inputs-Proposals'!$J$31*(1-'Inputs-Proposals'!$J$20^(DH$3-'Inputs-System'!$C$7))*(VLOOKUP(DH$3,'Embedded Emissions'!$A$47:$B$78,2,FALSE)+VLOOKUP(DH$3,'Embedded Emissions'!$A$129:$B$158,2,FALSE)), $C52 = "0", 0), 0)</f>
        <v>0</v>
      </c>
      <c r="DJ52" s="44">
        <f>IFERROR(_xlfn.IFS($C52="1",( 'Inputs-System'!$C$30*'Coincidence Factors'!$B$10*(1+'Inputs-System'!$C$18)*(1+'Inputs-System'!$C$41))*('Inputs-Proposals'!$J$17*'Inputs-Proposals'!$J$19*(1-'Inputs-Proposals'!$J$20)^(DH$3-'Inputs-System'!$C$7))*(VLOOKUP(DH$3,DRIPE!$A$54:$I$82,5,FALSE)+VLOOKUP(DH$3,DRIPE!$A$54:$I$82,9,FALSE))+ ('Inputs-System'!$C$26*'Coincidence Factors'!$B$6*(1+'Inputs-System'!$C$18)*(1+'Inputs-System'!$C$42))*'Inputs-Proposals'!$J$16*VLOOKUP(DH$3,DRIPE!$A$54:$I$82,8,FALSE), $C52 = "2",( 'Inputs-System'!$C$30*'Coincidence Factors'!$B$10*(1+'Inputs-System'!$C$18)*(1+'Inputs-System'!$C$41))*('Inputs-Proposals'!$J$23*'Inputs-Proposals'!$J$25*(1-'Inputs-Proposals'!$J$26)^(DH$3-'Inputs-System'!$C$7))*(VLOOKUP(DH$3,DRIPE!$A$54:$I$82,5,FALSE)+VLOOKUP(DH$3,DRIPE!$A$54:$I$82,9,FALSE))+ ('Inputs-System'!$C$26*'Coincidence Factors'!$B$6*(1+'Inputs-System'!$C$18)*(1+'Inputs-System'!$C$42))*'Inputs-Proposals'!$J$22*VLOOKUP(DH$3,DRIPE!$A$54:$I$82,8,FALSE), $C52= "3", ( 'Inputs-System'!$C$30*'Coincidence Factors'!$B$10*(1+'Inputs-System'!$C$18)*(1+'Inputs-System'!$C$41))*('Inputs-Proposals'!$J$29*'Inputs-Proposals'!$J$31*(1-'Inputs-Proposals'!$J$32)^(DH$3-'Inputs-System'!$C$7))*(VLOOKUP(DH$3,DRIPE!$A$54:$I$82,5,FALSE)+VLOOKUP(DH$3,DRIPE!$A$54:$I$82,9,FALSE))+ ('Inputs-System'!$C$26*'Coincidence Factors'!$B$6*(1+'Inputs-System'!$C$18)*(1+'Inputs-System'!$C$42))*'Inputs-Proposals'!$J$28*VLOOKUP(DH$3,DRIPE!$A$54:$I$82,8,FALSE), $C52 = "0", 0), 0)</f>
        <v>0</v>
      </c>
      <c r="DK52" s="45">
        <f>IFERROR(_xlfn.IFS($C52="1",('Inputs-System'!$C$26*'Coincidence Factors'!$B$10*(1+'Inputs-System'!$C$18)*(1+'Inputs-System'!$C$42))*'Inputs-Proposals'!$D$16*(VLOOKUP(DH$3,Capacity!$A$53:$E$85,4,FALSE)*(1+'Inputs-System'!$C$42)+VLOOKUP(DH$3,Capacity!$A$53:$E$85,5,FALSE)*(1+'Inputs-System'!$C$43)*'Inputs-System'!$C$29), $C52 = "2", ('Inputs-System'!$C$26*'Coincidence Factors'!$B$10*(1+'Inputs-System'!$C$18))*'Inputs-Proposals'!$D$22*(VLOOKUP(DH$3,Capacity!$A$53:$E$85,4,FALSE)*(1+'Inputs-System'!$C$42)+VLOOKUP(DH$3,Capacity!$A$53:$E$85,5,FALSE)*'Inputs-System'!$C$29*(1+'Inputs-System'!$C$43)), $C52 = "3", ('Inputs-System'!$C$26*'Coincidence Factors'!$B$10*(1+'Inputs-System'!$C$18))*'Inputs-Proposals'!$D$28*(VLOOKUP(DH$3,Capacity!$A$53:$E$85,4,FALSE)*(1+'Inputs-System'!$C$42)+VLOOKUP(DH$3,Capacity!$A$53:$E$85,5,FALSE)*'Inputs-System'!$C$29*(1+'Inputs-System'!$C$43)), $C52 = "0", 0), 0)</f>
        <v>0</v>
      </c>
      <c r="DL52" s="44">
        <v>0</v>
      </c>
      <c r="DM52" s="342">
        <f>IFERROR(_xlfn.IFS($C52="1", 'Inputs-System'!$C$30*'Coincidence Factors'!$B$10*'Inputs-Proposals'!$J$17*'Inputs-Proposals'!$J$19*(VLOOKUP(DH$3,'Non-Embedded Emissions'!$A$56:$D$90,2,FALSE)-VLOOKUP(DH$3,'Non-Embedded Emissions'!$F$57:$H$88,3,FALSE)+VLOOKUP(DH$3,'Non-Embedded Emissions'!$A$143:$D$174,2,FALSE)-VLOOKUP(DH$3,'Non-Embedded Emissions'!$F$143:$H$174,3,FALSE)+VLOOKUP(DH$3,'Non-Embedded Emissions'!$A$230:$D$259,2,FALSE)), $C52 = "2", 'Inputs-System'!$C$30*'Coincidence Factors'!$B$10*'Inputs-Proposals'!$J$23*'Inputs-Proposals'!$J$25*(VLOOKUP(DH$3,'Non-Embedded Emissions'!$A$56:$D$90,2,FALSE)-VLOOKUP(DH$3,'Non-Embedded Emissions'!$F$57:$H$88,3,FALSE)+VLOOKUP(DH$3,'Non-Embedded Emissions'!$A$143:$D$174,2,FALSE)-VLOOKUP(DH$3,'Non-Embedded Emissions'!$F$143:$H$174,3,FALSE)+VLOOKUP(DH$3,'Non-Embedded Emissions'!$A$230:$D$259,2,FALSE)), $C52 = "3", 'Inputs-System'!$C$30*'Coincidence Factors'!$B$10*'Inputs-Proposals'!$J$29*'Inputs-Proposals'!$J$31*(VLOOKUP(DH$3,'Non-Embedded Emissions'!$A$56:$D$90,2,FALSE)-VLOOKUP(DH$3,'Non-Embedded Emissions'!$F$57:$H$88,3,FALSE)+VLOOKUP(DH$3,'Non-Embedded Emissions'!$A$143:$D$174,2,FALSE)-VLOOKUP(DH$3,'Non-Embedded Emissions'!$F$143:$H$174,3,FALSE)+VLOOKUP(DH$3,'Non-Embedded Emissions'!$A$230:$D$259,2,FALSE)), $C52 = "0", 0), 0)</f>
        <v>0</v>
      </c>
      <c r="DN52" s="45">
        <f>IFERROR(_xlfn.IFS($C52="1",('Inputs-System'!$C$30*'Coincidence Factors'!$B$10*(1+'Inputs-System'!$C$18)*(1+'Inputs-System'!$C$41)*('Inputs-Proposals'!$J$17*'Inputs-Proposals'!$J$19*(1-'Inputs-Proposals'!$J$20^(DN$3-'Inputs-System'!$C$7)))*(VLOOKUP(DN$3,Energy!$A$51:$K$83,5,FALSE))), $C52 = "2",('Inputs-System'!$C$30*'Coincidence Factors'!$B$10)*(1+'Inputs-System'!$C$18)*(1+'Inputs-System'!$C$41)*('Inputs-Proposals'!$J$23*'Inputs-Proposals'!$J$25*(1-'Inputs-Proposals'!$J$26^(DN$3-'Inputs-System'!$C$7)))*(VLOOKUP(DN$3,Energy!$A$51:$K$83,5,FALSE)), $C52= "3", ('Inputs-System'!$C$30*'Coincidence Factors'!$B$10*(1+'Inputs-System'!$C$18)*(1+'Inputs-System'!$C$41)*('Inputs-Proposals'!$J$29*'Inputs-Proposals'!$J$31*(1-'Inputs-Proposals'!$J$32^(DN$3-'Inputs-System'!$C$7)))*(VLOOKUP(DN$3,Energy!$A$51:$K$83,5,FALSE))), $C52= "0", 0), 0)</f>
        <v>0</v>
      </c>
      <c r="DO52" s="44">
        <f>IFERROR(_xlfn.IFS($C52="1",('Inputs-System'!$C$30*'Coincidence Factors'!$B$10*(1+'Inputs-System'!$C$18)*(1+'Inputs-System'!$C$41))*'Inputs-Proposals'!$J$17*'Inputs-Proposals'!$J$19*(1-'Inputs-Proposals'!$J$20^(DN$3-'Inputs-System'!$C$7))*(VLOOKUP(DN$3,'Embedded Emissions'!$A$47:$B$78,2,FALSE)+VLOOKUP(DN$3,'Embedded Emissions'!$A$129:$B$158,2,FALSE)), $C52 = "2",('Inputs-System'!$C$30*'Coincidence Factors'!$B$10*(1+'Inputs-System'!$C$18)*(1+'Inputs-System'!$C$41))*'Inputs-Proposals'!$J$23*'Inputs-Proposals'!$J$25*(1-'Inputs-Proposals'!$J$20^(DN$3-'Inputs-System'!$C$7))*(VLOOKUP(DN$3,'Embedded Emissions'!$A$47:$B$78,2,FALSE)+VLOOKUP(DN$3,'Embedded Emissions'!$A$129:$B$158,2,FALSE)), $C52 = "3", ('Inputs-System'!$C$30*'Coincidence Factors'!$B$10*(1+'Inputs-System'!$C$18)*(1+'Inputs-System'!$C$41))*'Inputs-Proposals'!$J$29*'Inputs-Proposals'!$J$31*(1-'Inputs-Proposals'!$J$20^(DN$3-'Inputs-System'!$C$7))*(VLOOKUP(DN$3,'Embedded Emissions'!$A$47:$B$78,2,FALSE)+VLOOKUP(DN$3,'Embedded Emissions'!$A$129:$B$158,2,FALSE)), $C52 = "0", 0), 0)</f>
        <v>0</v>
      </c>
      <c r="DP52" s="44">
        <f>IFERROR(_xlfn.IFS($C52="1",( 'Inputs-System'!$C$30*'Coincidence Factors'!$B$10*(1+'Inputs-System'!$C$18)*(1+'Inputs-System'!$C$41))*('Inputs-Proposals'!$J$17*'Inputs-Proposals'!$J$19*(1-'Inputs-Proposals'!$J$20)^(DN$3-'Inputs-System'!$C$7))*(VLOOKUP(DN$3,DRIPE!$A$54:$I$82,5,FALSE)+VLOOKUP(DN$3,DRIPE!$A$54:$I$82,9,FALSE))+ ('Inputs-System'!$C$26*'Coincidence Factors'!$B$6*(1+'Inputs-System'!$C$18)*(1+'Inputs-System'!$C$42))*'Inputs-Proposals'!$J$16*VLOOKUP(DN$3,DRIPE!$A$54:$I$82,8,FALSE), $C52 = "2",( 'Inputs-System'!$C$30*'Coincidence Factors'!$B$10*(1+'Inputs-System'!$C$18)*(1+'Inputs-System'!$C$41))*('Inputs-Proposals'!$J$23*'Inputs-Proposals'!$J$25*(1-'Inputs-Proposals'!$J$26)^(DN$3-'Inputs-System'!$C$7))*(VLOOKUP(DN$3,DRIPE!$A$54:$I$82,5,FALSE)+VLOOKUP(DN$3,DRIPE!$A$54:$I$82,9,FALSE))+ ('Inputs-System'!$C$26*'Coincidence Factors'!$B$6*(1+'Inputs-System'!$C$18)*(1+'Inputs-System'!$C$42))*'Inputs-Proposals'!$J$22*VLOOKUP(DN$3,DRIPE!$A$54:$I$82,8,FALSE), $C52= "3", ( 'Inputs-System'!$C$30*'Coincidence Factors'!$B$10*(1+'Inputs-System'!$C$18)*(1+'Inputs-System'!$C$41))*('Inputs-Proposals'!$J$29*'Inputs-Proposals'!$J$31*(1-'Inputs-Proposals'!$J$32)^(DN$3-'Inputs-System'!$C$7))*(VLOOKUP(DN$3,DRIPE!$A$54:$I$82,5,FALSE)+VLOOKUP(DN$3,DRIPE!$A$54:$I$82,9,FALSE))+ ('Inputs-System'!$C$26*'Coincidence Factors'!$B$6*(1+'Inputs-System'!$C$18)*(1+'Inputs-System'!$C$42))*'Inputs-Proposals'!$J$28*VLOOKUP(DN$3,DRIPE!$A$54:$I$82,8,FALSE), $C52 = "0", 0), 0)</f>
        <v>0</v>
      </c>
      <c r="DQ52" s="45">
        <f>IFERROR(_xlfn.IFS($C52="1",('Inputs-System'!$C$26*'Coincidence Factors'!$B$10*(1+'Inputs-System'!$C$18)*(1+'Inputs-System'!$C$42))*'Inputs-Proposals'!$D$16*(VLOOKUP(DN$3,Capacity!$A$53:$E$85,4,FALSE)*(1+'Inputs-System'!$C$42)+VLOOKUP(DN$3,Capacity!$A$53:$E$85,5,FALSE)*(1+'Inputs-System'!$C$43)*'Inputs-System'!$C$29), $C52 = "2", ('Inputs-System'!$C$26*'Coincidence Factors'!$B$10*(1+'Inputs-System'!$C$18))*'Inputs-Proposals'!$D$22*(VLOOKUP(DN$3,Capacity!$A$53:$E$85,4,FALSE)*(1+'Inputs-System'!$C$42)+VLOOKUP(DN$3,Capacity!$A$53:$E$85,5,FALSE)*'Inputs-System'!$C$29*(1+'Inputs-System'!$C$43)), $C52 = "3", ('Inputs-System'!$C$26*'Coincidence Factors'!$B$10*(1+'Inputs-System'!$C$18))*'Inputs-Proposals'!$D$28*(VLOOKUP(DN$3,Capacity!$A$53:$E$85,4,FALSE)*(1+'Inputs-System'!$C$42)+VLOOKUP(DN$3,Capacity!$A$53:$E$85,5,FALSE)*'Inputs-System'!$C$29*(1+'Inputs-System'!$C$43)), $C52 = "0", 0), 0)</f>
        <v>0</v>
      </c>
      <c r="DR52" s="44">
        <v>0</v>
      </c>
      <c r="DS52" s="342">
        <f>IFERROR(_xlfn.IFS($C52="1", 'Inputs-System'!$C$30*'Coincidence Factors'!$B$10*'Inputs-Proposals'!$J$17*'Inputs-Proposals'!$J$19*(VLOOKUP(DN$3,'Non-Embedded Emissions'!$A$56:$D$90,2,FALSE)-VLOOKUP(DN$3,'Non-Embedded Emissions'!$F$57:$H$88,3,FALSE)+VLOOKUP(DN$3,'Non-Embedded Emissions'!$A$143:$D$174,2,FALSE)-VLOOKUP(DN$3,'Non-Embedded Emissions'!$F$143:$H$174,3,FALSE)+VLOOKUP(DN$3,'Non-Embedded Emissions'!$A$230:$D$259,2,FALSE)), $C52 = "2", 'Inputs-System'!$C$30*'Coincidence Factors'!$B$10*'Inputs-Proposals'!$J$23*'Inputs-Proposals'!$J$25*(VLOOKUP(DN$3,'Non-Embedded Emissions'!$A$56:$D$90,2,FALSE)-VLOOKUP(DN$3,'Non-Embedded Emissions'!$F$57:$H$88,3,FALSE)+VLOOKUP(DN$3,'Non-Embedded Emissions'!$A$143:$D$174,2,FALSE)-VLOOKUP(DN$3,'Non-Embedded Emissions'!$F$143:$H$174,3,FALSE)+VLOOKUP(DN$3,'Non-Embedded Emissions'!$A$230:$D$259,2,FALSE)), $C52 = "3", 'Inputs-System'!$C$30*'Coincidence Factors'!$B$10*'Inputs-Proposals'!$J$29*'Inputs-Proposals'!$J$31*(VLOOKUP(DN$3,'Non-Embedded Emissions'!$A$56:$D$90,2,FALSE)-VLOOKUP(DN$3,'Non-Embedded Emissions'!$F$57:$H$88,3,FALSE)+VLOOKUP(DN$3,'Non-Embedded Emissions'!$A$143:$D$174,2,FALSE)-VLOOKUP(DN$3,'Non-Embedded Emissions'!$F$143:$H$174,3,FALSE)+VLOOKUP(DN$3,'Non-Embedded Emissions'!$A$230:$D$259,2,FALSE)), $C52 = "0", 0), 0)</f>
        <v>0</v>
      </c>
      <c r="DT52" s="45">
        <f>IFERROR(_xlfn.IFS($C52="1",('Inputs-System'!$C$30*'Coincidence Factors'!$B$10*(1+'Inputs-System'!$C$18)*(1+'Inputs-System'!$C$41)*('Inputs-Proposals'!$J$17*'Inputs-Proposals'!$J$19*(1-'Inputs-Proposals'!$J$20^(DT$3-'Inputs-System'!$C$7)))*(VLOOKUP(DT$3,Energy!$A$51:$K$83,5,FALSE))), $C52 = "2",('Inputs-System'!$C$30*'Coincidence Factors'!$B$10)*(1+'Inputs-System'!$C$18)*(1+'Inputs-System'!$C$41)*('Inputs-Proposals'!$J$23*'Inputs-Proposals'!$J$25*(1-'Inputs-Proposals'!$J$26^(DT$3-'Inputs-System'!$C$7)))*(VLOOKUP(DT$3,Energy!$A$51:$K$83,5,FALSE)), $C52= "3", ('Inputs-System'!$C$30*'Coincidence Factors'!$B$10*(1+'Inputs-System'!$C$18)*(1+'Inputs-System'!$C$41)*('Inputs-Proposals'!$J$29*'Inputs-Proposals'!$J$31*(1-'Inputs-Proposals'!$J$32^(DT$3-'Inputs-System'!$C$7)))*(VLOOKUP(DT$3,Energy!$A$51:$K$83,5,FALSE))), $C52= "0", 0), 0)</f>
        <v>0</v>
      </c>
      <c r="DU52" s="44">
        <f>IFERROR(_xlfn.IFS($C52="1",('Inputs-System'!$C$30*'Coincidence Factors'!$B$10*(1+'Inputs-System'!$C$18)*(1+'Inputs-System'!$C$41))*'Inputs-Proposals'!$J$17*'Inputs-Proposals'!$J$19*(1-'Inputs-Proposals'!$J$20^(DT$3-'Inputs-System'!$C$7))*(VLOOKUP(DT$3,'Embedded Emissions'!$A$47:$B$78,2,FALSE)+VLOOKUP(DT$3,'Embedded Emissions'!$A$129:$B$158,2,FALSE)), $C52 = "2",('Inputs-System'!$C$30*'Coincidence Factors'!$B$10*(1+'Inputs-System'!$C$18)*(1+'Inputs-System'!$C$41))*'Inputs-Proposals'!$J$23*'Inputs-Proposals'!$J$25*(1-'Inputs-Proposals'!$J$20^(DT$3-'Inputs-System'!$C$7))*(VLOOKUP(DT$3,'Embedded Emissions'!$A$47:$B$78,2,FALSE)+VLOOKUP(DT$3,'Embedded Emissions'!$A$129:$B$158,2,FALSE)), $C52 = "3", ('Inputs-System'!$C$30*'Coincidence Factors'!$B$10*(1+'Inputs-System'!$C$18)*(1+'Inputs-System'!$C$41))*'Inputs-Proposals'!$J$29*'Inputs-Proposals'!$J$31*(1-'Inputs-Proposals'!$J$20^(DT$3-'Inputs-System'!$C$7))*(VLOOKUP(DT$3,'Embedded Emissions'!$A$47:$B$78,2,FALSE)+VLOOKUP(DT$3,'Embedded Emissions'!$A$129:$B$158,2,FALSE)), $C52 = "0", 0), 0)</f>
        <v>0</v>
      </c>
      <c r="DV52" s="44">
        <f>IFERROR(_xlfn.IFS($C52="1",( 'Inputs-System'!$C$30*'Coincidence Factors'!$B$10*(1+'Inputs-System'!$C$18)*(1+'Inputs-System'!$C$41))*('Inputs-Proposals'!$J$17*'Inputs-Proposals'!$J$19*(1-'Inputs-Proposals'!$J$20)^(DT$3-'Inputs-System'!$C$7))*(VLOOKUP(DT$3,DRIPE!$A$54:$I$82,5,FALSE)+VLOOKUP(DT$3,DRIPE!$A$54:$I$82,9,FALSE))+ ('Inputs-System'!$C$26*'Coincidence Factors'!$B$6*(1+'Inputs-System'!$C$18)*(1+'Inputs-System'!$C$42))*'Inputs-Proposals'!$J$16*VLOOKUP(DT$3,DRIPE!$A$54:$I$82,8,FALSE), $C52 = "2",( 'Inputs-System'!$C$30*'Coincidence Factors'!$B$10*(1+'Inputs-System'!$C$18)*(1+'Inputs-System'!$C$41))*('Inputs-Proposals'!$J$23*'Inputs-Proposals'!$J$25*(1-'Inputs-Proposals'!$J$26)^(DT$3-'Inputs-System'!$C$7))*(VLOOKUP(DT$3,DRIPE!$A$54:$I$82,5,FALSE)+VLOOKUP(DT$3,DRIPE!$A$54:$I$82,9,FALSE))+ ('Inputs-System'!$C$26*'Coincidence Factors'!$B$6*(1+'Inputs-System'!$C$18)*(1+'Inputs-System'!$C$42))*'Inputs-Proposals'!$J$22*VLOOKUP(DT$3,DRIPE!$A$54:$I$82,8,FALSE), $C52= "3", ( 'Inputs-System'!$C$30*'Coincidence Factors'!$B$10*(1+'Inputs-System'!$C$18)*(1+'Inputs-System'!$C$41))*('Inputs-Proposals'!$J$29*'Inputs-Proposals'!$J$31*(1-'Inputs-Proposals'!$J$32)^(DT$3-'Inputs-System'!$C$7))*(VLOOKUP(DT$3,DRIPE!$A$54:$I$82,5,FALSE)+VLOOKUP(DT$3,DRIPE!$A$54:$I$82,9,FALSE))+ ('Inputs-System'!$C$26*'Coincidence Factors'!$B$6*(1+'Inputs-System'!$C$18)*(1+'Inputs-System'!$C$42))*'Inputs-Proposals'!$J$28*VLOOKUP(DT$3,DRIPE!$A$54:$I$82,8,FALSE), $C52 = "0", 0), 0)</f>
        <v>0</v>
      </c>
      <c r="DW52" s="45">
        <f>IFERROR(_xlfn.IFS($C52="1",('Inputs-System'!$C$26*'Coincidence Factors'!$B$10*(1+'Inputs-System'!$C$18)*(1+'Inputs-System'!$C$42))*'Inputs-Proposals'!$D$16*(VLOOKUP(DT$3,Capacity!$A$53:$E$85,4,FALSE)*(1+'Inputs-System'!$C$42)+VLOOKUP(DT$3,Capacity!$A$53:$E$85,5,FALSE)*(1+'Inputs-System'!$C$43)*'Inputs-System'!$C$29), $C52 = "2", ('Inputs-System'!$C$26*'Coincidence Factors'!$B$10*(1+'Inputs-System'!$C$18))*'Inputs-Proposals'!$D$22*(VLOOKUP(DT$3,Capacity!$A$53:$E$85,4,FALSE)*(1+'Inputs-System'!$C$42)+VLOOKUP(DT$3,Capacity!$A$53:$E$85,5,FALSE)*'Inputs-System'!$C$29*(1+'Inputs-System'!$C$43)), $C52 = "3", ('Inputs-System'!$C$26*'Coincidence Factors'!$B$10*(1+'Inputs-System'!$C$18))*'Inputs-Proposals'!$D$28*(VLOOKUP(DT$3,Capacity!$A$53:$E$85,4,FALSE)*(1+'Inputs-System'!$C$42)+VLOOKUP(DT$3,Capacity!$A$53:$E$85,5,FALSE)*'Inputs-System'!$C$29*(1+'Inputs-System'!$C$43)), $C52 = "0", 0), 0)</f>
        <v>0</v>
      </c>
      <c r="DX52" s="44">
        <v>0</v>
      </c>
      <c r="DY52" s="342">
        <f>IFERROR(_xlfn.IFS($C52="1", 'Inputs-System'!$C$30*'Coincidence Factors'!$B$10*'Inputs-Proposals'!$J$17*'Inputs-Proposals'!$J$19*(VLOOKUP(DT$3,'Non-Embedded Emissions'!$A$56:$D$90,2,FALSE)-VLOOKUP(DT$3,'Non-Embedded Emissions'!$F$57:$H$88,3,FALSE)+VLOOKUP(DT$3,'Non-Embedded Emissions'!$A$143:$D$174,2,FALSE)-VLOOKUP(DT$3,'Non-Embedded Emissions'!$F$143:$H$174,3,FALSE)+VLOOKUP(DT$3,'Non-Embedded Emissions'!$A$230:$D$259,2,FALSE)), $C52 = "2", 'Inputs-System'!$C$30*'Coincidence Factors'!$B$10*'Inputs-Proposals'!$J$23*'Inputs-Proposals'!$J$25*(VLOOKUP(DT$3,'Non-Embedded Emissions'!$A$56:$D$90,2,FALSE)-VLOOKUP(DT$3,'Non-Embedded Emissions'!$F$57:$H$88,3,FALSE)+VLOOKUP(DT$3,'Non-Embedded Emissions'!$A$143:$D$174,2,FALSE)-VLOOKUP(DT$3,'Non-Embedded Emissions'!$F$143:$H$174,3,FALSE)+VLOOKUP(DT$3,'Non-Embedded Emissions'!$A$230:$D$259,2,FALSE)), $C52 = "3", 'Inputs-System'!$C$30*'Coincidence Factors'!$B$10*'Inputs-Proposals'!$J$29*'Inputs-Proposals'!$J$31*(VLOOKUP(DT$3,'Non-Embedded Emissions'!$A$56:$D$90,2,FALSE)-VLOOKUP(DT$3,'Non-Embedded Emissions'!$F$57:$H$88,3,FALSE)+VLOOKUP(DT$3,'Non-Embedded Emissions'!$A$143:$D$174,2,FALSE)-VLOOKUP(DT$3,'Non-Embedded Emissions'!$F$143:$H$174,3,FALSE)+VLOOKUP(DT$3,'Non-Embedded Emissions'!$A$230:$D$259,2,FALSE)), $C52 = "0", 0), 0)</f>
        <v>0</v>
      </c>
      <c r="DZ52" s="45">
        <f>IFERROR(_xlfn.IFS($C52="1",('Inputs-System'!$C$30*'Coincidence Factors'!$B$10*(1+'Inputs-System'!$C$18)*(1+'Inputs-System'!$C$41)*('Inputs-Proposals'!$J$17*'Inputs-Proposals'!$J$19*(1-'Inputs-Proposals'!$J$20^(DZ$3-'Inputs-System'!$C$7)))*(VLOOKUP(DZ$3,Energy!$A$51:$K$83,5,FALSE))), $C52 = "2",('Inputs-System'!$C$30*'Coincidence Factors'!$B$10)*(1+'Inputs-System'!$C$18)*(1+'Inputs-System'!$C$41)*('Inputs-Proposals'!$J$23*'Inputs-Proposals'!$J$25*(1-'Inputs-Proposals'!$J$26^(DZ$3-'Inputs-System'!$C$7)))*(VLOOKUP(DZ$3,Energy!$A$51:$K$83,5,FALSE)), $C52= "3", ('Inputs-System'!$C$30*'Coincidence Factors'!$B$10*(1+'Inputs-System'!$C$18)*(1+'Inputs-System'!$C$41)*('Inputs-Proposals'!$J$29*'Inputs-Proposals'!$J$31*(1-'Inputs-Proposals'!$J$32^(DZ$3-'Inputs-System'!$C$7)))*(VLOOKUP(DZ$3,Energy!$A$51:$K$83,5,FALSE))), $C52= "0", 0), 0)</f>
        <v>0</v>
      </c>
      <c r="EA52" s="44">
        <f>IFERROR(_xlfn.IFS($C52="1",('Inputs-System'!$C$30*'Coincidence Factors'!$B$10*(1+'Inputs-System'!$C$18)*(1+'Inputs-System'!$C$41))*'Inputs-Proposals'!$J$17*'Inputs-Proposals'!$J$19*(1-'Inputs-Proposals'!$J$20^(DZ$3-'Inputs-System'!$C$7))*(VLOOKUP(DZ$3,'Embedded Emissions'!$A$47:$B$78,2,FALSE)+VLOOKUP(DZ$3,'Embedded Emissions'!$A$129:$B$158,2,FALSE)), $C52 = "2",('Inputs-System'!$C$30*'Coincidence Factors'!$B$10*(1+'Inputs-System'!$C$18)*(1+'Inputs-System'!$C$41))*'Inputs-Proposals'!$J$23*'Inputs-Proposals'!$J$25*(1-'Inputs-Proposals'!$J$20^(DZ$3-'Inputs-System'!$C$7))*(VLOOKUP(DZ$3,'Embedded Emissions'!$A$47:$B$78,2,FALSE)+VLOOKUP(DZ$3,'Embedded Emissions'!$A$129:$B$158,2,FALSE)), $C52 = "3", ('Inputs-System'!$C$30*'Coincidence Factors'!$B$10*(1+'Inputs-System'!$C$18)*(1+'Inputs-System'!$C$41))*'Inputs-Proposals'!$J$29*'Inputs-Proposals'!$J$31*(1-'Inputs-Proposals'!$J$20^(DZ$3-'Inputs-System'!$C$7))*(VLOOKUP(DZ$3,'Embedded Emissions'!$A$47:$B$78,2,FALSE)+VLOOKUP(DZ$3,'Embedded Emissions'!$A$129:$B$158,2,FALSE)), $C52 = "0", 0), 0)</f>
        <v>0</v>
      </c>
      <c r="EB52" s="44">
        <f>IFERROR(_xlfn.IFS($C52="1",( 'Inputs-System'!$C$30*'Coincidence Factors'!$B$10*(1+'Inputs-System'!$C$18)*(1+'Inputs-System'!$C$41))*('Inputs-Proposals'!$J$17*'Inputs-Proposals'!$J$19*(1-'Inputs-Proposals'!$J$20)^(DZ$3-'Inputs-System'!$C$7))*(VLOOKUP(DZ$3,DRIPE!$A$54:$I$82,5,FALSE)+VLOOKUP(DZ$3,DRIPE!$A$54:$I$82,9,FALSE))+ ('Inputs-System'!$C$26*'Coincidence Factors'!$B$6*(1+'Inputs-System'!$C$18)*(1+'Inputs-System'!$C$42))*'Inputs-Proposals'!$J$16*VLOOKUP(DZ$3,DRIPE!$A$54:$I$82,8,FALSE), $C52 = "2",( 'Inputs-System'!$C$30*'Coincidence Factors'!$B$10*(1+'Inputs-System'!$C$18)*(1+'Inputs-System'!$C$41))*('Inputs-Proposals'!$J$23*'Inputs-Proposals'!$J$25*(1-'Inputs-Proposals'!$J$26)^(DZ$3-'Inputs-System'!$C$7))*(VLOOKUP(DZ$3,DRIPE!$A$54:$I$82,5,FALSE)+VLOOKUP(DZ$3,DRIPE!$A$54:$I$82,9,FALSE))+ ('Inputs-System'!$C$26*'Coincidence Factors'!$B$6*(1+'Inputs-System'!$C$18)*(1+'Inputs-System'!$C$42))*'Inputs-Proposals'!$J$22*VLOOKUP(DZ$3,DRIPE!$A$54:$I$82,8,FALSE), $C52= "3", ( 'Inputs-System'!$C$30*'Coincidence Factors'!$B$10*(1+'Inputs-System'!$C$18)*(1+'Inputs-System'!$C$41))*('Inputs-Proposals'!$J$29*'Inputs-Proposals'!$J$31*(1-'Inputs-Proposals'!$J$32)^(DZ$3-'Inputs-System'!$C$7))*(VLOOKUP(DZ$3,DRIPE!$A$54:$I$82,5,FALSE)+VLOOKUP(DZ$3,DRIPE!$A$54:$I$82,9,FALSE))+ ('Inputs-System'!$C$26*'Coincidence Factors'!$B$6*(1+'Inputs-System'!$C$18)*(1+'Inputs-System'!$C$42))*'Inputs-Proposals'!$J$28*VLOOKUP(DZ$3,DRIPE!$A$54:$I$82,8,FALSE), $C52 = "0", 0), 0)</f>
        <v>0</v>
      </c>
      <c r="EC52" s="45">
        <f>IFERROR(_xlfn.IFS($C52="1",('Inputs-System'!$C$26*'Coincidence Factors'!$B$10*(1+'Inputs-System'!$C$18)*(1+'Inputs-System'!$C$42))*'Inputs-Proposals'!$D$16*(VLOOKUP(DZ$3,Capacity!$A$53:$E$85,4,FALSE)*(1+'Inputs-System'!$C$42)+VLOOKUP(DZ$3,Capacity!$A$53:$E$85,5,FALSE)*(1+'Inputs-System'!$C$43)*'Inputs-System'!$C$29), $C52 = "2", ('Inputs-System'!$C$26*'Coincidence Factors'!$B$10*(1+'Inputs-System'!$C$18))*'Inputs-Proposals'!$D$22*(VLOOKUP(DZ$3,Capacity!$A$53:$E$85,4,FALSE)*(1+'Inputs-System'!$C$42)+VLOOKUP(DZ$3,Capacity!$A$53:$E$85,5,FALSE)*'Inputs-System'!$C$29*(1+'Inputs-System'!$C$43)), $C52 = "3", ('Inputs-System'!$C$26*'Coincidence Factors'!$B$10*(1+'Inputs-System'!$C$18))*'Inputs-Proposals'!$D$28*(VLOOKUP(DZ$3,Capacity!$A$53:$E$85,4,FALSE)*(1+'Inputs-System'!$C$42)+VLOOKUP(DZ$3,Capacity!$A$53:$E$85,5,FALSE)*'Inputs-System'!$C$29*(1+'Inputs-System'!$C$43)), $C52 = "0", 0), 0)</f>
        <v>0</v>
      </c>
      <c r="ED52" s="44">
        <v>0</v>
      </c>
      <c r="EE52" s="342">
        <f>IFERROR(_xlfn.IFS($C52="1", 'Inputs-System'!$C$30*'Coincidence Factors'!$B$10*'Inputs-Proposals'!$J$17*'Inputs-Proposals'!$J$19*(VLOOKUP(DZ$3,'Non-Embedded Emissions'!$A$56:$D$90,2,FALSE)-VLOOKUP(DZ$3,'Non-Embedded Emissions'!$F$57:$H$88,3,FALSE)+VLOOKUP(DZ$3,'Non-Embedded Emissions'!$A$143:$D$174,2,FALSE)-VLOOKUP(DZ$3,'Non-Embedded Emissions'!$F$143:$H$174,3,FALSE)+VLOOKUP(DZ$3,'Non-Embedded Emissions'!$A$230:$D$259,2,FALSE)), $C52 = "2", 'Inputs-System'!$C$30*'Coincidence Factors'!$B$10*'Inputs-Proposals'!$J$23*'Inputs-Proposals'!$J$25*(VLOOKUP(DZ$3,'Non-Embedded Emissions'!$A$56:$D$90,2,FALSE)-VLOOKUP(DZ$3,'Non-Embedded Emissions'!$F$57:$H$88,3,FALSE)+VLOOKUP(DZ$3,'Non-Embedded Emissions'!$A$143:$D$174,2,FALSE)-VLOOKUP(DZ$3,'Non-Embedded Emissions'!$F$143:$H$174,3,FALSE)+VLOOKUP(DZ$3,'Non-Embedded Emissions'!$A$230:$D$259,2,FALSE)), $C52 = "3", 'Inputs-System'!$C$30*'Coincidence Factors'!$B$10*'Inputs-Proposals'!$J$29*'Inputs-Proposals'!$J$31*(VLOOKUP(DZ$3,'Non-Embedded Emissions'!$A$56:$D$90,2,FALSE)-VLOOKUP(DZ$3,'Non-Embedded Emissions'!$F$57:$H$88,3,FALSE)+VLOOKUP(DZ$3,'Non-Embedded Emissions'!$A$143:$D$174,2,FALSE)-VLOOKUP(DZ$3,'Non-Embedded Emissions'!$F$143:$H$174,3,FALSE)+VLOOKUP(DZ$3,'Non-Embedded Emissions'!$A$230:$D$259,2,FALSE)), $C52 = "0", 0), 0)</f>
        <v>0</v>
      </c>
    </row>
    <row r="53" spans="1:135" x14ac:dyDescent="0.35">
      <c r="A53" s="707">
        <f>'Inputs-Proposals'!K2</f>
        <v>0</v>
      </c>
      <c r="B53" s="52" t="s">
        <v>90</v>
      </c>
      <c r="C53" s="52" t="str">
        <f>IFERROR(_xlfn.IFS('Benefits Calc'!B53='Inputs-Proposals'!$K$15, "1", 'Benefits Calc'!B53='Inputs-Proposals'!$K$21, "2", 'Benefits Calc'!B53='Inputs-Proposals'!$K$27, "3"), "0")</f>
        <v>0</v>
      </c>
      <c r="D53" s="323">
        <f t="shared" si="0"/>
        <v>0</v>
      </c>
      <c r="E53" s="44">
        <f t="shared" si="1"/>
        <v>0</v>
      </c>
      <c r="F53" s="44">
        <f t="shared" si="2"/>
        <v>0</v>
      </c>
      <c r="G53" s="44">
        <f t="shared" si="3"/>
        <v>0</v>
      </c>
      <c r="H53" s="44">
        <f t="shared" si="4"/>
        <v>0</v>
      </c>
      <c r="I53" s="44">
        <f t="shared" si="5"/>
        <v>0</v>
      </c>
      <c r="J53" s="322">
        <f>NPV('Inputs-System'!$C$20,P53+V53+AB53+AH53+AN53+AT53+AZ53+BF53+BL53+BR53+BX53+CD53+CJ53+CP53+CV53+DB53+DH53+DN53+DT53+DZ53)</f>
        <v>0</v>
      </c>
      <c r="K53" s="318">
        <f>NPV('Inputs-System'!$C$20,Q53+W53+AC53+AI53+AO53+AU53+BA53+BG53+BM53+BS53+BY53+CE53+CK53+CQ53+CW53+DC53+DI53+DO53+DU53+EA53)</f>
        <v>0</v>
      </c>
      <c r="L53" s="318">
        <f>NPV('Inputs-System'!$C$20,R53+X53+AD53+AJ53+AP53+AV53+BB53+BH53+BN53+BT53+BZ53+CF53+CL53+CR53+CX53+DD53+DJ53+DP53+DV53+EB53)</f>
        <v>0</v>
      </c>
      <c r="M53" s="318">
        <f>NPV('Inputs-System'!$C$20,S53+Y53+AE53+AK53+AQ53+AW53+BC53+BI53+BO53+BU53+CA53+CG53+CM53+CS53+CY53+DE53+DK53+DQ53+DW53+EC53)</f>
        <v>0</v>
      </c>
      <c r="N53" s="318">
        <f>NPV('Inputs-System'!$C$20,T53+Z53+AF53+AL53+AR53+AX53+BD53+BJ53+BP53+BV53+CB53+CH53+CN53+CT53+CZ53+DF53+DL53+DR53+DX53+ED53)</f>
        <v>0</v>
      </c>
      <c r="O53" s="319">
        <f>NPV('Inputs-System'!$C$20,U53+AA53+AG53+AM53+AS53+AY53+BE53+BK53+BQ53+BW53+CC53+CI53+CO53+CU53+DA53+DG53+DM53+DS53+DY53+EE53)</f>
        <v>0</v>
      </c>
      <c r="P53" s="326">
        <f>IFERROR(_xlfn.IFS($C53="1",('Inputs-System'!$C$30*'Coincidence Factors'!$B$5*(1+'Inputs-System'!$C$18)*(1+'Inputs-System'!$C$41)*('Inputs-Proposals'!$K$17*'Inputs-Proposals'!$K$19*(1-'Inputs-Proposals'!$K$20))*(VLOOKUP(P$3,Energy!$A$51:$K$83,5,FALSE)-VLOOKUP(P$3,Energy!$A$51:$K$83,6,FALSE))), $C53 = "2",('Inputs-System'!$C$30*'Coincidence Factors'!$B$5)*(1+'Inputs-System'!$C$18)*(1+'Inputs-System'!$C$41)*('Inputs-Proposals'!$K$23*'Inputs-Proposals'!$K$25*(1-'Inputs-Proposals'!$K$26))*(VLOOKUP(P$3,Energy!$A$51:$K$83,5,FALSE)-VLOOKUP(P$3,Energy!$A$51:$K$83,6,FALSE)), $C53= "3", ('Inputs-System'!$C$30*'Coincidence Factors'!$B$5*(1+'Inputs-System'!$C$18)*(1+'Inputs-System'!$C$41)*('Inputs-Proposals'!$K$29*'Inputs-Proposals'!$K$31*(1-'Inputs-Proposals'!$K$32))*(VLOOKUP(P$3,Energy!$A$51:$K$83,5,FALSE)-VLOOKUP(P$3,Energy!$A$51:$K$83,6,FALSE))), $C53= "0", 0), 0)</f>
        <v>0</v>
      </c>
      <c r="Q53" s="318">
        <f>IFERROR(_xlfn.IFS($C53="1", 'Inputs-System'!$C$30*'Coincidence Factors'!$B$5*(1+'Inputs-System'!$C$18)*(1+'Inputs-System'!$C$41)*'Inputs-Proposals'!$K$17*'Inputs-Proposals'!$K$19*(1-'Inputs-Proposals'!$K$20)*(VLOOKUP(P$3,'Embedded Emissions'!$A$47:$B$78,2,FALSE)+VLOOKUP(P$3,'Embedded Emissions'!$A$129:$B$158,2,FALSE)), $C53 = "2",'Inputs-System'!$C$30*'Coincidence Factors'!$B$5*(1+'Inputs-System'!$C$18)*(1+'Inputs-System'!$C$41)*'Inputs-Proposals'!$K$23*'Inputs-Proposals'!$K$25*(1-'Inputs-Proposals'!$K$20)*(VLOOKUP(P$3,'Embedded Emissions'!$A$47:$B$78,2,FALSE)+VLOOKUP(P$3,'Embedded Emissions'!$A$129:$B$158,2,FALSE)), $C53 = "3", 'Inputs-System'!$C$30*'Coincidence Factors'!$B$5*(1+'Inputs-System'!$C$18)*(1+'Inputs-System'!$C$41)*'Inputs-Proposals'!$K$29*'Inputs-Proposals'!$K$31*(1-'Inputs-Proposals'!$K$20)*(VLOOKUP(P$3,'Embedded Emissions'!$A$47:$B$78,2,FALSE)+VLOOKUP(P$3,'Embedded Emissions'!$A$129:$B$158,2,FALSE)), $C53 = "0", 0), 0)</f>
        <v>0</v>
      </c>
      <c r="R53" s="318">
        <f>IFERROR(_xlfn.IFS($C53="1",( 'Inputs-System'!$C$30*'Coincidence Factors'!$B$5*(1+'Inputs-System'!$C$18)*(1+'Inputs-System'!$C$41))*('Inputs-Proposals'!$K$17*'Inputs-Proposals'!$K$19*(1-'Inputs-Proposals'!$K$20))*(VLOOKUP(P$3,DRIPE!$A$54:$I$82,5,FALSE)-VLOOKUP(P$3,DRIPE!$A$54:$I$82,6,FALSE)+VLOOKUP(P$3,DRIPE!$A$54:$I$82,9,FALSE))+ ('Inputs-System'!$C$26*'Coincidence Factors'!$B$5*(1+'Inputs-System'!$C$18)*(1+'Inputs-System'!$C$42))*'Inputs-Proposals'!$K$16*VLOOKUP(P$3,DRIPE!$A$54:$I$80,8,FALSE), $C53 = "2",( 'Inputs-System'!$C$30*'Coincidence Factors'!$B$5*(1+'Inputs-System'!$C$18)*(1+'Inputs-System'!$C$41))*('Inputs-Proposals'!$K$23*'Inputs-Proposals'!$K$25*(1-'Inputs-Proposals'!$K$26))*(VLOOKUP(P$3,DRIPE!$A$54:$I$82,5,FALSE)-VLOOKUP(P$3,DRIPE!$A$54:$I$82,6,FALSE)+VLOOKUP(P$3,DRIPE!$A$54:$I$82,9,FALSE))+ ('Inputs-System'!$C$26*'Coincidence Factors'!$B$5*(1+'Inputs-System'!$C$18)*(1+'Inputs-System'!$C$41))+ ('Inputs-System'!$C$26*'Coincidence Factors'!$B$5)*'Inputs-Proposals'!$K$22*VLOOKUP(P$3,DRIPE!$A$54:$I$80,8,FALSE), $C53= "3", ('Inputs-System'!$C$30*'Coincidence Factors'!$B$5)*('Inputs-Proposals'!$K$29*'Inputs-Proposals'!$K$31*(1-'Inputs-Proposals'!$K$32))*(VLOOKUP(P$3,DRIPE!$A$54:$I$80,5,FALSE)-VLOOKUP(P$3,DRIPE!$A$54:$I$80,6,FALSE)+VLOOKUP(P$3,DRIPE!$A$54:$I$80,9,FALSE))+ ('Inputs-System'!$C$26*'Coincidence Factors'!$B$5*(1+'Inputs-System'!$C$18)*(1+'Inputs-System'!$C$42))*'Inputs-Proposals'!$K$28*VLOOKUP(P$3,DRIPE!$A$54:$I$80,8,FALSE), $C53 = "0", 0), 0)</f>
        <v>0</v>
      </c>
      <c r="S53" s="326">
        <f>IFERROR(_xlfn.IFS($C53="1",('Inputs-System'!$C$26*'Coincidence Factors'!$B$5*(1+'Inputs-System'!$C$18)*(1+'Inputs-System'!$C$42))*'Inputs-Proposals'!$K$16*(VLOOKUP(P$3,Capacity!$A$53:$E$85,4,FALSE)*(1+'Inputs-System'!$C$42)+VLOOKUP(P$3,Capacity!$A$53:$E$85,5,FALSE)*(1+'Inputs-System'!$C$43)*'Inputs-System'!$C$29), $C53 = "2", ('Inputs-System'!$C$26*'Coincidence Factors'!$B$5*(1+'Inputs-System'!$C$18))*'Inputs-Proposals'!$K$22*(VLOOKUP(P$3,Capacity!$A$53:$E$85,4,FALSE)*(1+'Inputs-System'!$C$42)+VLOOKUP(P$3,Capacity!$A$53:$E$85,5,FALSE)*'Inputs-System'!$C$29*(1+'Inputs-System'!$C$43)), $C53 = "3", ('Inputs-System'!$C$26*'Coincidence Factors'!$B$5*(1+'Inputs-System'!$C$18))*'Inputs-Proposals'!$K$28*(VLOOKUP(P$3,Capacity!$A$53:$E$85,4,FALSE)*(1+'Inputs-System'!$C$42)+VLOOKUP(P$3,Capacity!$A$53:$E$85,5,FALSE)*'Inputs-System'!$C$29*(1+'Inputs-System'!$C$43)), $C53 = "0", 0), 0)</f>
        <v>0</v>
      </c>
      <c r="T53" s="318">
        <v>0</v>
      </c>
      <c r="U53" s="318">
        <f>IFERROR(_xlfn.IFS($C53="1", 'Inputs-System'!$C$30*'Coincidence Factors'!$B$5*'Inputs-Proposals'!$K$17*'Inputs-Proposals'!$K$19*(VLOOKUP(P$3,'Non-Embedded Emissions'!$A$56:$D$90,2,FALSE)+VLOOKUP(P$3,'Non-Embedded Emissions'!$A$143:$D$174,2,FALSE)+VLOOKUP(P$3,'Non-Embedded Emissions'!$A$230:$D$259,2,FALSE)-VLOOKUP(P$3,'Non-Embedded Emissions'!$A$56:$D$90,3,FALSE)-VLOOKUP(P$3,'Non-Embedded Emissions'!$A$143:$D$174,3,FALSE)-VLOOKUP(P$3,'Non-Embedded Emissions'!$A$230:$D$259,3,FALSE)), $C53 = "2", 'Inputs-System'!$C$30*'Coincidence Factors'!$B$5*'Inputs-Proposals'!$K$23*'Inputs-Proposals'!$K$25*(VLOOKUP(P$3,'Non-Embedded Emissions'!$A$56:$D$90,2,FALSE)+VLOOKUP(P$3,'Non-Embedded Emissions'!$A$143:$D$174,2,FALSE)+VLOOKUP(P$3,'Non-Embedded Emissions'!$A$230:$D$259,2,FALSE)-VLOOKUP(P$3,'Non-Embedded Emissions'!$A$56:$D$90,3,FALSE)-VLOOKUP(P$3,'Non-Embedded Emissions'!$A$143:$D$174,3,FALSE)-VLOOKUP(P$3,'Non-Embedded Emissions'!$A$230:$D$259,3,FALSE)), $C53 = "3", 'Inputs-System'!$C$30*'Coincidence Factors'!$B$5*'Inputs-Proposals'!$K$29*'Inputs-Proposals'!$K$31*(VLOOKUP(P$3,'Non-Embedded Emissions'!$A$56:$D$90,2,FALSE)+VLOOKUP(P$3,'Non-Embedded Emissions'!$A$143:$D$174,2,FALSE)+VLOOKUP(P$3,'Non-Embedded Emissions'!$A$230:$D$259,2,FALSE)-VLOOKUP(P$3,'Non-Embedded Emissions'!$A$56:$D$90,3,FALSE)-VLOOKUP(P$3,'Non-Embedded Emissions'!$A$143:$D$174,3,FALSE)-VLOOKUP(P$3,'Non-Embedded Emissions'!$A$230:$D$259,3,FALSE)), $C53 = "0", 0), 0)</f>
        <v>0</v>
      </c>
      <c r="V53" s="344">
        <f>IFERROR(_xlfn.IFS($C53="1",('Inputs-System'!$C$30*'Coincidence Factors'!$B$5*(1+'Inputs-System'!$C$18)*(1+'Inputs-System'!$C$41)*('Inputs-Proposals'!$K$17*'Inputs-Proposals'!$K$19*(1-'Inputs-Proposals'!$K$20))*(VLOOKUP(V$3,Energy!$A$51:$K$83,5,FALSE)-VLOOKUP(V$3,Energy!$A$51:$K$83,6,FALSE))), $C53 = "2",('Inputs-System'!$C$30*'Coincidence Factors'!$B$5)*(1+'Inputs-System'!$C$18)*(1+'Inputs-System'!$C$41)*('Inputs-Proposals'!$K$23*'Inputs-Proposals'!$K$25*(1-'Inputs-Proposals'!$K$26))*(VLOOKUP(V$3,Energy!$A$51:$K$83,5,FALSE)-VLOOKUP(V$3,Energy!$A$51:$K$83,6,FALSE)), $C53= "3", ('Inputs-System'!$C$30*'Coincidence Factors'!$B$5*(1+'Inputs-System'!$C$18)*(1+'Inputs-System'!$C$41)*('Inputs-Proposals'!$K$29*'Inputs-Proposals'!$K$31*(1-'Inputs-Proposals'!$K$32))*(VLOOKUP(V$3,Energy!$A$51:$K$83,5,FALSE)-VLOOKUP(V$3,Energy!$A$51:$K$83,6,FALSE))), $C53= "0", 0), 0)</f>
        <v>0</v>
      </c>
      <c r="W53" s="100">
        <f>IFERROR(_xlfn.IFS($C53="1", 'Inputs-System'!$C$30*'Coincidence Factors'!$B$5*(1+'Inputs-System'!$C$18)*(1+'Inputs-System'!$C$41)*'Inputs-Proposals'!$K$17*'Inputs-Proposals'!$K$19*(1-'Inputs-Proposals'!$K$20)*(VLOOKUP(V$3,'Embedded Emissions'!$A$47:$B$78,2,FALSE)+VLOOKUP(V$3,'Embedded Emissions'!$A$129:$B$158,2,FALSE)), $C53 = "2",'Inputs-System'!$C$30*'Coincidence Factors'!$B$5*(1+'Inputs-System'!$C$18)*(1+'Inputs-System'!$C$41)*'Inputs-Proposals'!$K$23*'Inputs-Proposals'!$K$25*(1-'Inputs-Proposals'!$K$20)*(VLOOKUP(V$3,'Embedded Emissions'!$A$47:$B$78,2,FALSE)+VLOOKUP(V$3,'Embedded Emissions'!$A$129:$B$158,2,FALSE)), $C53 = "3", 'Inputs-System'!$C$30*'Coincidence Factors'!$B$5*(1+'Inputs-System'!$C$18)*(1+'Inputs-System'!$C$41)*'Inputs-Proposals'!$K$29*'Inputs-Proposals'!$K$31*(1-'Inputs-Proposals'!$K$20)*(VLOOKUP(V$3,'Embedded Emissions'!$A$47:$B$78,2,FALSE)+VLOOKUP(V$3,'Embedded Emissions'!$A$129:$B$158,2,FALSE)), $C53 = "0", 0), 0)</f>
        <v>0</v>
      </c>
      <c r="X53" s="318">
        <f>IFERROR(_xlfn.IFS($C53="1",( 'Inputs-System'!$C$30*'Coincidence Factors'!$B$5*(1+'Inputs-System'!$C$18)*(1+'Inputs-System'!$C$41))*('Inputs-Proposals'!$K$17*'Inputs-Proposals'!$K$19*(1-'Inputs-Proposals'!$K$20))*(VLOOKUP(V$3,DRIPE!$A$54:$I$82,5,FALSE)-VLOOKUP(V$3,DRIPE!$A$54:$I$82,6,FALSE)+VLOOKUP(V$3,DRIPE!$A$54:$I$82,9,FALSE))+ ('Inputs-System'!$C$26*'Coincidence Factors'!$B$5*(1+'Inputs-System'!$C$18)*(1+'Inputs-System'!$C$42))*'Inputs-Proposals'!$K$16*VLOOKUP(V$3,DRIPE!$A$54:$I$80,8,FALSE), $C53 = "2",( 'Inputs-System'!$C$30*'Coincidence Factors'!$B$5*(1+'Inputs-System'!$C$18)*(1+'Inputs-System'!$C$41))*('Inputs-Proposals'!$K$23*'Inputs-Proposals'!$K$25*(1-'Inputs-Proposals'!$K$26))*(VLOOKUP(V$3,DRIPE!$A$54:$I$82,5,FALSE)-VLOOKUP(V$3,DRIPE!$A$54:$I$82,6,FALSE)+VLOOKUP(V$3,DRIPE!$A$54:$I$82,9,FALSE))+ ('Inputs-System'!$C$26*'Coincidence Factors'!$B$5*(1+'Inputs-System'!$C$18)*(1+'Inputs-System'!$C$41))+ ('Inputs-System'!$C$26*'Coincidence Factors'!$B$5)*'Inputs-Proposals'!$K$22*VLOOKUP(V$3,DRIPE!$A$54:$I$80,8,FALSE), $C53= "3", ('Inputs-System'!$C$30*'Coincidence Factors'!$B$5)*('Inputs-Proposals'!$K$29*'Inputs-Proposals'!$K$31*(1-'Inputs-Proposals'!$K$32))*(VLOOKUP(V$3,DRIPE!$A$54:$I$80,5,FALSE)-VLOOKUP(V$3,DRIPE!$A$54:$I$80,6,FALSE)+VLOOKUP(V$3,DRIPE!$A$54:$I$80,9,FALSE))+ ('Inputs-System'!$C$26*'Coincidence Factors'!$B$5*(1+'Inputs-System'!$C$18)*(1+'Inputs-System'!$C$42))*'Inputs-Proposals'!$K$28*VLOOKUP(V$3,DRIPE!$A$54:$I$80,8,FALSE), $C53 = "0", 0), 0)</f>
        <v>0</v>
      </c>
      <c r="Y53" s="326">
        <f>IFERROR(_xlfn.IFS($C53="1",('Inputs-System'!$C$26*'Coincidence Factors'!$B$5*(1+'Inputs-System'!$C$18)*(1+'Inputs-System'!$C$42))*'Inputs-Proposals'!$K$16*(VLOOKUP(V$3,Capacity!$A$53:$E$85,4,FALSE)*(1+'Inputs-System'!$C$42)+VLOOKUP(V$3,Capacity!$A$53:$E$85,5,FALSE)*(1+'Inputs-System'!$C$43)*'Inputs-System'!$C$29), $C53 = "2", ('Inputs-System'!$C$26*'Coincidence Factors'!$B$5*(1+'Inputs-System'!$C$18))*'Inputs-Proposals'!$K$22*(VLOOKUP(V$3,Capacity!$A$53:$E$85,4,FALSE)*(1+'Inputs-System'!$C$42)+VLOOKUP(V$3,Capacity!$A$53:$E$85,5,FALSE)*'Inputs-System'!$C$29*(1+'Inputs-System'!$C$43)), $C53 = "3", ('Inputs-System'!$C$26*'Coincidence Factors'!$B$5*(1+'Inputs-System'!$C$18))*'Inputs-Proposals'!$K$28*(VLOOKUP(V$3,Capacity!$A$53:$E$85,4,FALSE)*(1+'Inputs-System'!$C$42)+VLOOKUP(V$3,Capacity!$A$53:$E$85,5,FALSE)*'Inputs-System'!$C$29*(1+'Inputs-System'!$C$43)), $C53 = "0", 0), 0)</f>
        <v>0</v>
      </c>
      <c r="Z53" s="100">
        <v>0</v>
      </c>
      <c r="AA53" s="346">
        <f>IFERROR(_xlfn.IFS($C53="1", 'Inputs-System'!$C$30*'Coincidence Factors'!$B$5*'Inputs-Proposals'!$K$17*'Inputs-Proposals'!$K$19*(VLOOKUP(V$3,'Non-Embedded Emissions'!$A$56:$D$90,2,FALSE)+VLOOKUP(V$3,'Non-Embedded Emissions'!$A$143:$D$174,2,FALSE)+VLOOKUP(V$3,'Non-Embedded Emissions'!$A$230:$D$259,2,FALSE)-VLOOKUP(V$3,'Non-Embedded Emissions'!$A$56:$D$90,3,FALSE)-VLOOKUP(V$3,'Non-Embedded Emissions'!$A$143:$D$174,3,FALSE)-VLOOKUP(V$3,'Non-Embedded Emissions'!$A$230:$D$259,3,FALSE)), $C53 = "2", 'Inputs-System'!$C$30*'Coincidence Factors'!$B$5*'Inputs-Proposals'!$K$23*'Inputs-Proposals'!$K$25*(VLOOKUP(V$3,'Non-Embedded Emissions'!$A$56:$D$90,2,FALSE)+VLOOKUP(V$3,'Non-Embedded Emissions'!$A$143:$D$174,2,FALSE)+VLOOKUP(V$3,'Non-Embedded Emissions'!$A$230:$D$259,2,FALSE)-VLOOKUP(V$3,'Non-Embedded Emissions'!$A$56:$D$90,3,FALSE)-VLOOKUP(V$3,'Non-Embedded Emissions'!$A$143:$D$174,3,FALSE)-VLOOKUP(V$3,'Non-Embedded Emissions'!$A$230:$D$259,3,FALSE)), $C53 = "3", 'Inputs-System'!$C$30*'Coincidence Factors'!$B$5*'Inputs-Proposals'!$K$29*'Inputs-Proposals'!$K$31*(VLOOKUP(V$3,'Non-Embedded Emissions'!$A$56:$D$90,2,FALSE)+VLOOKUP(V$3,'Non-Embedded Emissions'!$A$143:$D$174,2,FALSE)+VLOOKUP(V$3,'Non-Embedded Emissions'!$A$230:$D$259,2,FALSE)-VLOOKUP(V$3,'Non-Embedded Emissions'!$A$56:$D$90,3,FALSE)-VLOOKUP(V$3,'Non-Embedded Emissions'!$A$143:$D$174,3,FALSE)-VLOOKUP(V$3,'Non-Embedded Emissions'!$A$230:$D$259,3,FALSE)), $C53 = "0", 0), 0)</f>
        <v>0</v>
      </c>
      <c r="AB53" s="344">
        <f>IFERROR(_xlfn.IFS($C53="1",('Inputs-System'!$C$30*'Coincidence Factors'!$B$5*(1+'Inputs-System'!$C$18)*(1+'Inputs-System'!$C$41)*('Inputs-Proposals'!$K$17*'Inputs-Proposals'!$K$19*(1-'Inputs-Proposals'!$K$20))*(VLOOKUP(AB$3,Energy!$A$51:$K$83,5,FALSE)-VLOOKUP(AB$3,Energy!$A$51:$K$83,6,FALSE))), $C53 = "2",('Inputs-System'!$C$30*'Coincidence Factors'!$B$5)*(1+'Inputs-System'!$C$18)*(1+'Inputs-System'!$C$41)*('Inputs-Proposals'!$K$23*'Inputs-Proposals'!$K$25*(1-'Inputs-Proposals'!$K$26))*(VLOOKUP(AB$3,Energy!$A$51:$K$83,5,FALSE)-VLOOKUP(AB$3,Energy!$A$51:$K$83,6,FALSE)), $C53= "3", ('Inputs-System'!$C$30*'Coincidence Factors'!$B$5*(1+'Inputs-System'!$C$18)*(1+'Inputs-System'!$C$41)*('Inputs-Proposals'!$K$29*'Inputs-Proposals'!$K$31*(1-'Inputs-Proposals'!$K$32))*(VLOOKUP(AB$3,Energy!$A$51:$K$83,5,FALSE)-VLOOKUP(AB$3,Energy!$A$51:$K$83,6,FALSE))), $C53= "0", 0), 0)</f>
        <v>0</v>
      </c>
      <c r="AC53" s="100">
        <f>IFERROR(_xlfn.IFS($C53="1", 'Inputs-System'!$C$30*'Coincidence Factors'!$B$5*(1+'Inputs-System'!$C$18)*(1+'Inputs-System'!$C$41)*'Inputs-Proposals'!$K$17*'Inputs-Proposals'!$K$19*(1-'Inputs-Proposals'!$K$20)*(VLOOKUP(AB$3,'Embedded Emissions'!$A$47:$B$78,2,FALSE)+VLOOKUP(AB$3,'Embedded Emissions'!$A$129:$B$158,2,FALSE)), $C53 = "2",'Inputs-System'!$C$30*'Coincidence Factors'!$B$5*(1+'Inputs-System'!$C$18)*(1+'Inputs-System'!$C$41)*'Inputs-Proposals'!$K$23*'Inputs-Proposals'!$K$25*(1-'Inputs-Proposals'!$K$20)*(VLOOKUP(AB$3,'Embedded Emissions'!$A$47:$B$78,2,FALSE)+VLOOKUP(AB$3,'Embedded Emissions'!$A$129:$B$158,2,FALSE)), $C53 = "3", 'Inputs-System'!$C$30*'Coincidence Factors'!$B$5*(1+'Inputs-System'!$C$18)*(1+'Inputs-System'!$C$41)*'Inputs-Proposals'!$K$29*'Inputs-Proposals'!$K$31*(1-'Inputs-Proposals'!$K$20)*(VLOOKUP(AB$3,'Embedded Emissions'!$A$47:$B$78,2,FALSE)+VLOOKUP(AB$3,'Embedded Emissions'!$A$129:$B$158,2,FALSE)), $C53 = "0", 0), 0)</f>
        <v>0</v>
      </c>
      <c r="AD53" s="318">
        <f>IFERROR(_xlfn.IFS($C53="1",( 'Inputs-System'!$C$30*'Coincidence Factors'!$B$5*(1+'Inputs-System'!$C$18)*(1+'Inputs-System'!$C$41))*('Inputs-Proposals'!$K$17*'Inputs-Proposals'!$K$19*(1-'Inputs-Proposals'!$K$20))*(VLOOKUP(AB$3,DRIPE!$A$54:$I$82,5,FALSE)-VLOOKUP(AB$3,DRIPE!$A$54:$I$82,6,FALSE)+VLOOKUP(AB$3,DRIPE!$A$54:$I$82,9,FALSE))+ ('Inputs-System'!$C$26*'Coincidence Factors'!$B$5*(1+'Inputs-System'!$C$18)*(1+'Inputs-System'!$C$42))*'Inputs-Proposals'!$K$16*VLOOKUP(AB$3,DRIPE!$A$54:$I$80,8,FALSE), $C53 = "2",( 'Inputs-System'!$C$30*'Coincidence Factors'!$B$5*(1+'Inputs-System'!$C$18)*(1+'Inputs-System'!$C$41))*('Inputs-Proposals'!$K$23*'Inputs-Proposals'!$K$25*(1-'Inputs-Proposals'!$K$26))*(VLOOKUP(AB$3,DRIPE!$A$54:$I$82,5,FALSE)-VLOOKUP(AB$3,DRIPE!$A$54:$I$82,6,FALSE)+VLOOKUP(AB$3,DRIPE!$A$54:$I$82,9,FALSE))+ ('Inputs-System'!$C$26*'Coincidence Factors'!$B$5*(1+'Inputs-System'!$C$18)*(1+'Inputs-System'!$C$41))+ ('Inputs-System'!$C$26*'Coincidence Factors'!$B$5)*'Inputs-Proposals'!$K$22*VLOOKUP(AB$3,DRIPE!$A$54:$I$80,8,FALSE), $C53= "3", ('Inputs-System'!$C$30*'Coincidence Factors'!$B$5)*('Inputs-Proposals'!$K$29*'Inputs-Proposals'!$K$31*(1-'Inputs-Proposals'!$K$32))*(VLOOKUP(AB$3,DRIPE!$A$54:$I$80,5,FALSE)-VLOOKUP(AB$3,DRIPE!$A$54:$I$80,6,FALSE)+VLOOKUP(AB$3,DRIPE!$A$54:$I$80,9,FALSE))+ ('Inputs-System'!$C$26*'Coincidence Factors'!$B$5*(1+'Inputs-System'!$C$18)*(1+'Inputs-System'!$C$42))*'Inputs-Proposals'!$K$28*VLOOKUP(AB$3,DRIPE!$A$54:$I$80,8,FALSE), $C53 = "0", 0), 0)</f>
        <v>0</v>
      </c>
      <c r="AE53" s="326">
        <f>IFERROR(_xlfn.IFS($C53="1",('Inputs-System'!$C$26*'Coincidence Factors'!$B$5*(1+'Inputs-System'!$C$18)*(1+'Inputs-System'!$C$42))*'Inputs-Proposals'!$K$16*(VLOOKUP(AB$3,Capacity!$A$53:$E$85,4,FALSE)*(1+'Inputs-System'!$C$42)+VLOOKUP(AB$3,Capacity!$A$53:$E$85,5,FALSE)*(1+'Inputs-System'!$C$43)*'Inputs-System'!$C$29), $C53 = "2", ('Inputs-System'!$C$26*'Coincidence Factors'!$B$5*(1+'Inputs-System'!$C$18))*'Inputs-Proposals'!$K$22*(VLOOKUP(AB$3,Capacity!$A$53:$E$85,4,FALSE)*(1+'Inputs-System'!$C$42)+VLOOKUP(AB$3,Capacity!$A$53:$E$85,5,FALSE)*'Inputs-System'!$C$29*(1+'Inputs-System'!$C$43)), $C53 = "3", ('Inputs-System'!$C$26*'Coincidence Factors'!$B$5*(1+'Inputs-System'!$C$18))*'Inputs-Proposals'!$K$28*(VLOOKUP(AB$3,Capacity!$A$53:$E$85,4,FALSE)*(1+'Inputs-System'!$C$42)+VLOOKUP(AB$3,Capacity!$A$53:$E$85,5,FALSE)*'Inputs-System'!$C$29*(1+'Inputs-System'!$C$43)), $C53 = "0", 0), 0)</f>
        <v>0</v>
      </c>
      <c r="AF53" s="100">
        <v>0</v>
      </c>
      <c r="AG53" s="346">
        <f>IFERROR(_xlfn.IFS($C53="1", 'Inputs-System'!$C$30*'Coincidence Factors'!$B$5*'Inputs-Proposals'!$K$17*'Inputs-Proposals'!$K$19*(VLOOKUP(AB$3,'Non-Embedded Emissions'!$A$56:$D$90,2,FALSE)+VLOOKUP(AB$3,'Non-Embedded Emissions'!$A$143:$D$174,2,FALSE)+VLOOKUP(AB$3,'Non-Embedded Emissions'!$A$230:$D$259,2,FALSE)-VLOOKUP(AB$3,'Non-Embedded Emissions'!$A$56:$D$90,3,FALSE)-VLOOKUP(AB$3,'Non-Embedded Emissions'!$A$143:$D$174,3,FALSE)-VLOOKUP(AB$3,'Non-Embedded Emissions'!$A$230:$D$259,3,FALSE)), $C53 = "2", 'Inputs-System'!$C$30*'Coincidence Factors'!$B$5*'Inputs-Proposals'!$K$23*'Inputs-Proposals'!$K$25*(VLOOKUP(AB$3,'Non-Embedded Emissions'!$A$56:$D$90,2,FALSE)+VLOOKUP(AB$3,'Non-Embedded Emissions'!$A$143:$D$174,2,FALSE)+VLOOKUP(AB$3,'Non-Embedded Emissions'!$A$230:$D$259,2,FALSE)-VLOOKUP(AB$3,'Non-Embedded Emissions'!$A$56:$D$90,3,FALSE)-VLOOKUP(AB$3,'Non-Embedded Emissions'!$A$143:$D$174,3,FALSE)-VLOOKUP(AB$3,'Non-Embedded Emissions'!$A$230:$D$259,3,FALSE)), $C53 = "3", 'Inputs-System'!$C$30*'Coincidence Factors'!$B$5*'Inputs-Proposals'!$K$29*'Inputs-Proposals'!$K$31*(VLOOKUP(AB$3,'Non-Embedded Emissions'!$A$56:$D$90,2,FALSE)+VLOOKUP(AB$3,'Non-Embedded Emissions'!$A$143:$D$174,2,FALSE)+VLOOKUP(AB$3,'Non-Embedded Emissions'!$A$230:$D$259,2,FALSE)-VLOOKUP(AB$3,'Non-Embedded Emissions'!$A$56:$D$90,3,FALSE)-VLOOKUP(AB$3,'Non-Embedded Emissions'!$A$143:$D$174,3,FALSE)-VLOOKUP(AB$3,'Non-Embedded Emissions'!$A$230:$D$259,3,FALSE)), $C53 = "0", 0), 0)</f>
        <v>0</v>
      </c>
      <c r="AH53" s="344">
        <f>IFERROR(_xlfn.IFS($C53="1",('Inputs-System'!$C$30*'Coincidence Factors'!$B$5*(1+'Inputs-System'!$C$18)*(1+'Inputs-System'!$C$41)*('Inputs-Proposals'!$K$17*'Inputs-Proposals'!$K$19*(1-'Inputs-Proposals'!$K$20))*(VLOOKUP(AH$3,Energy!$A$51:$K$83,5,FALSE)-VLOOKUP(AH$3,Energy!$A$51:$K$83,6,FALSE))), $C53 = "2",('Inputs-System'!$C$30*'Coincidence Factors'!$B$5)*(1+'Inputs-System'!$C$18)*(1+'Inputs-System'!$C$41)*('Inputs-Proposals'!$K$23*'Inputs-Proposals'!$K$25*(1-'Inputs-Proposals'!$K$26))*(VLOOKUP(AH$3,Energy!$A$51:$K$83,5,FALSE)-VLOOKUP(AH$3,Energy!$A$51:$K$83,6,FALSE)), $C53= "3", ('Inputs-System'!$C$30*'Coincidence Factors'!$B$5*(1+'Inputs-System'!$C$18)*(1+'Inputs-System'!$C$41)*('Inputs-Proposals'!$K$29*'Inputs-Proposals'!$K$31*(1-'Inputs-Proposals'!$K$32))*(VLOOKUP(AH$3,Energy!$A$51:$K$83,5,FALSE)-VLOOKUP(AH$3,Energy!$A$51:$K$83,6,FALSE))), $C53= "0", 0), 0)</f>
        <v>0</v>
      </c>
      <c r="AI53" s="100">
        <f>IFERROR(_xlfn.IFS($C53="1", 'Inputs-System'!$C$30*'Coincidence Factors'!$B$5*(1+'Inputs-System'!$C$18)*(1+'Inputs-System'!$C$41)*'Inputs-Proposals'!$K$17*'Inputs-Proposals'!$K$19*(1-'Inputs-Proposals'!$K$20)*(VLOOKUP(AH$3,'Embedded Emissions'!$A$47:$B$78,2,FALSE)+VLOOKUP(AH$3,'Embedded Emissions'!$A$129:$B$158,2,FALSE)), $C53 = "2",'Inputs-System'!$C$30*'Coincidence Factors'!$B$5*(1+'Inputs-System'!$C$18)*(1+'Inputs-System'!$C$41)*'Inputs-Proposals'!$K$23*'Inputs-Proposals'!$K$25*(1-'Inputs-Proposals'!$K$20)*(VLOOKUP(AH$3,'Embedded Emissions'!$A$47:$B$78,2,FALSE)+VLOOKUP(AH$3,'Embedded Emissions'!$A$129:$B$158,2,FALSE)), $C53 = "3", 'Inputs-System'!$C$30*'Coincidence Factors'!$B$5*(1+'Inputs-System'!$C$18)*(1+'Inputs-System'!$C$41)*'Inputs-Proposals'!$K$29*'Inputs-Proposals'!$K$31*(1-'Inputs-Proposals'!$K$20)*(VLOOKUP(AH$3,'Embedded Emissions'!$A$47:$B$78,2,FALSE)+VLOOKUP(AH$3,'Embedded Emissions'!$A$129:$B$158,2,FALSE)), $C53 = "0", 0), 0)</f>
        <v>0</v>
      </c>
      <c r="AJ53" s="318">
        <f>IFERROR(_xlfn.IFS($C53="1",( 'Inputs-System'!$C$30*'Coincidence Factors'!$B$5*(1+'Inputs-System'!$C$18)*(1+'Inputs-System'!$C$41))*('Inputs-Proposals'!$K$17*'Inputs-Proposals'!$K$19*(1-'Inputs-Proposals'!$K$20))*(VLOOKUP(AH$3,DRIPE!$A$54:$I$82,5,FALSE)-VLOOKUP(AH$3,DRIPE!$A$54:$I$82,6,FALSE)+VLOOKUP(AH$3,DRIPE!$A$54:$I$82,9,FALSE))+ ('Inputs-System'!$C$26*'Coincidence Factors'!$B$5*(1+'Inputs-System'!$C$18)*(1+'Inputs-System'!$C$42))*'Inputs-Proposals'!$K$16*VLOOKUP(AH$3,DRIPE!$A$54:$I$80,8,FALSE), $C53 = "2",( 'Inputs-System'!$C$30*'Coincidence Factors'!$B$5*(1+'Inputs-System'!$C$18)*(1+'Inputs-System'!$C$41))*('Inputs-Proposals'!$K$23*'Inputs-Proposals'!$K$25*(1-'Inputs-Proposals'!$K$26))*(VLOOKUP(AH$3,DRIPE!$A$54:$I$82,5,FALSE)-VLOOKUP(AH$3,DRIPE!$A$54:$I$82,6,FALSE)+VLOOKUP(AH$3,DRIPE!$A$54:$I$82,9,FALSE))+ ('Inputs-System'!$C$26*'Coincidence Factors'!$B$5*(1+'Inputs-System'!$C$18)*(1+'Inputs-System'!$C$41))+ ('Inputs-System'!$C$26*'Coincidence Factors'!$B$5)*'Inputs-Proposals'!$K$22*VLOOKUP(AH$3,DRIPE!$A$54:$I$80,8,FALSE), $C53= "3", ('Inputs-System'!$C$30*'Coincidence Factors'!$B$5)*('Inputs-Proposals'!$K$29*'Inputs-Proposals'!$K$31*(1-'Inputs-Proposals'!$K$32))*(VLOOKUP(AH$3,DRIPE!$A$54:$I$80,5,FALSE)-VLOOKUP(AH$3,DRIPE!$A$54:$I$80,6,FALSE)+VLOOKUP(AH$3,DRIPE!$A$54:$I$80,9,FALSE))+ ('Inputs-System'!$C$26*'Coincidence Factors'!$B$5*(1+'Inputs-System'!$C$18)*(1+'Inputs-System'!$C$42))*'Inputs-Proposals'!$K$28*VLOOKUP(AH$3,DRIPE!$A$54:$I$80,8,FALSE), $C53 = "0", 0), 0)</f>
        <v>0</v>
      </c>
      <c r="AK53" s="326">
        <f>IFERROR(_xlfn.IFS($C53="1",('Inputs-System'!$C$26*'Coincidence Factors'!$B$5*(1+'Inputs-System'!$C$18)*(1+'Inputs-System'!$C$42))*'Inputs-Proposals'!$K$16*(VLOOKUP(AH$3,Capacity!$A$53:$E$85,4,FALSE)*(1+'Inputs-System'!$C$42)+VLOOKUP(AH$3,Capacity!$A$53:$E$85,5,FALSE)*(1+'Inputs-System'!$C$43)*'Inputs-System'!$C$29), $C53 = "2", ('Inputs-System'!$C$26*'Coincidence Factors'!$B$5*(1+'Inputs-System'!$C$18))*'Inputs-Proposals'!$K$22*(VLOOKUP(AH$3,Capacity!$A$53:$E$85,4,FALSE)*(1+'Inputs-System'!$C$42)+VLOOKUP(AH$3,Capacity!$A$53:$E$85,5,FALSE)*'Inputs-System'!$C$29*(1+'Inputs-System'!$C$43)), $C53 = "3", ('Inputs-System'!$C$26*'Coincidence Factors'!$B$5*(1+'Inputs-System'!$C$18))*'Inputs-Proposals'!$K$28*(VLOOKUP(AH$3,Capacity!$A$53:$E$85,4,FALSE)*(1+'Inputs-System'!$C$42)+VLOOKUP(AH$3,Capacity!$A$53:$E$85,5,FALSE)*'Inputs-System'!$C$29*(1+'Inputs-System'!$C$43)), $C53 = "0", 0), 0)</f>
        <v>0</v>
      </c>
      <c r="AL53" s="100">
        <v>0</v>
      </c>
      <c r="AM53" s="346">
        <f>IFERROR(_xlfn.IFS($C53="1", 'Inputs-System'!$C$30*'Coincidence Factors'!$B$5*'Inputs-Proposals'!$K$17*'Inputs-Proposals'!$K$19*(VLOOKUP(AH$3,'Non-Embedded Emissions'!$A$56:$D$90,2,FALSE)+VLOOKUP(AH$3,'Non-Embedded Emissions'!$A$143:$D$174,2,FALSE)+VLOOKUP(AH$3,'Non-Embedded Emissions'!$A$230:$D$259,2,FALSE)-VLOOKUP(AH$3,'Non-Embedded Emissions'!$A$56:$D$90,3,FALSE)-VLOOKUP(AH$3,'Non-Embedded Emissions'!$A$143:$D$174,3,FALSE)-VLOOKUP(AH$3,'Non-Embedded Emissions'!$A$230:$D$259,3,FALSE)), $C53 = "2", 'Inputs-System'!$C$30*'Coincidence Factors'!$B$5*'Inputs-Proposals'!$K$23*'Inputs-Proposals'!$K$25*(VLOOKUP(AH$3,'Non-Embedded Emissions'!$A$56:$D$90,2,FALSE)+VLOOKUP(AH$3,'Non-Embedded Emissions'!$A$143:$D$174,2,FALSE)+VLOOKUP(AH$3,'Non-Embedded Emissions'!$A$230:$D$259,2,FALSE)-VLOOKUP(AH$3,'Non-Embedded Emissions'!$A$56:$D$90,3,FALSE)-VLOOKUP(AH$3,'Non-Embedded Emissions'!$A$143:$D$174,3,FALSE)-VLOOKUP(AH$3,'Non-Embedded Emissions'!$A$230:$D$259,3,FALSE)), $C53 = "3", 'Inputs-System'!$C$30*'Coincidence Factors'!$B$5*'Inputs-Proposals'!$K$29*'Inputs-Proposals'!$K$31*(VLOOKUP(AH$3,'Non-Embedded Emissions'!$A$56:$D$90,2,FALSE)+VLOOKUP(AH$3,'Non-Embedded Emissions'!$A$143:$D$174,2,FALSE)+VLOOKUP(AH$3,'Non-Embedded Emissions'!$A$230:$D$259,2,FALSE)-VLOOKUP(AH$3,'Non-Embedded Emissions'!$A$56:$D$90,3,FALSE)-VLOOKUP(AH$3,'Non-Embedded Emissions'!$A$143:$D$174,3,FALSE)-VLOOKUP(AH$3,'Non-Embedded Emissions'!$A$230:$D$259,3,FALSE)), $C53 = "0", 0), 0)</f>
        <v>0</v>
      </c>
      <c r="AN53" s="344">
        <f>IFERROR(_xlfn.IFS($C53="1",('Inputs-System'!$C$30*'Coincidence Factors'!$B$5*(1+'Inputs-System'!$C$18)*(1+'Inputs-System'!$C$41)*('Inputs-Proposals'!$K$17*'Inputs-Proposals'!$K$19*(1-'Inputs-Proposals'!$K$20))*(VLOOKUP(AN$3,Energy!$A$51:$K$83,5,FALSE)-VLOOKUP(AN$3,Energy!$A$51:$K$83,6,FALSE))), $C53 = "2",('Inputs-System'!$C$30*'Coincidence Factors'!$B$5)*(1+'Inputs-System'!$C$18)*(1+'Inputs-System'!$C$41)*('Inputs-Proposals'!$K$23*'Inputs-Proposals'!$K$25*(1-'Inputs-Proposals'!$K$26))*(VLOOKUP(AN$3,Energy!$A$51:$K$83,5,FALSE)-VLOOKUP(AN$3,Energy!$A$51:$K$83,6,FALSE)), $C53= "3", ('Inputs-System'!$C$30*'Coincidence Factors'!$B$5*(1+'Inputs-System'!$C$18)*(1+'Inputs-System'!$C$41)*('Inputs-Proposals'!$K$29*'Inputs-Proposals'!$K$31*(1-'Inputs-Proposals'!$K$32))*(VLOOKUP(AN$3,Energy!$A$51:$K$83,5,FALSE)-VLOOKUP(AN$3,Energy!$A$51:$K$83,6,FALSE))), $C53= "0", 0), 0)</f>
        <v>0</v>
      </c>
      <c r="AO53" s="100">
        <f>IFERROR(_xlfn.IFS($C53="1", 'Inputs-System'!$C$30*'Coincidence Factors'!$B$5*(1+'Inputs-System'!$C$18)*(1+'Inputs-System'!$C$41)*'Inputs-Proposals'!$K$17*'Inputs-Proposals'!$K$19*(1-'Inputs-Proposals'!$K$20)*(VLOOKUP(AN$3,'Embedded Emissions'!$A$47:$B$78,2,FALSE)+VLOOKUP(AN$3,'Embedded Emissions'!$A$129:$B$158,2,FALSE)), $C53 = "2",'Inputs-System'!$C$30*'Coincidence Factors'!$B$5*(1+'Inputs-System'!$C$18)*(1+'Inputs-System'!$C$41)*'Inputs-Proposals'!$K$23*'Inputs-Proposals'!$K$25*(1-'Inputs-Proposals'!$K$20)*(VLOOKUP(AN$3,'Embedded Emissions'!$A$47:$B$78,2,FALSE)+VLOOKUP(AN$3,'Embedded Emissions'!$A$129:$B$158,2,FALSE)), $C53 = "3", 'Inputs-System'!$C$30*'Coincidence Factors'!$B$5*(1+'Inputs-System'!$C$18)*(1+'Inputs-System'!$C$41)*'Inputs-Proposals'!$K$29*'Inputs-Proposals'!$K$31*(1-'Inputs-Proposals'!$K$20)*(VLOOKUP(AN$3,'Embedded Emissions'!$A$47:$B$78,2,FALSE)+VLOOKUP(AN$3,'Embedded Emissions'!$A$129:$B$158,2,FALSE)), $C53 = "0", 0), 0)</f>
        <v>0</v>
      </c>
      <c r="AP53" s="318">
        <f>IFERROR(_xlfn.IFS($C53="1",( 'Inputs-System'!$C$30*'Coincidence Factors'!$B$5*(1+'Inputs-System'!$C$18)*(1+'Inputs-System'!$C$41))*('Inputs-Proposals'!$K$17*'Inputs-Proposals'!$K$19*(1-'Inputs-Proposals'!$K$20))*(VLOOKUP(AN$3,DRIPE!$A$54:$I$82,5,FALSE)-VLOOKUP(AN$3,DRIPE!$A$54:$I$82,6,FALSE)+VLOOKUP(AN$3,DRIPE!$A$54:$I$82,9,FALSE))+ ('Inputs-System'!$C$26*'Coincidence Factors'!$B$5*(1+'Inputs-System'!$C$18)*(1+'Inputs-System'!$C$42))*'Inputs-Proposals'!$K$16*VLOOKUP(AN$3,DRIPE!$A$54:$I$80,8,FALSE), $C53 = "2",( 'Inputs-System'!$C$30*'Coincidence Factors'!$B$5*(1+'Inputs-System'!$C$18)*(1+'Inputs-System'!$C$41))*('Inputs-Proposals'!$K$23*'Inputs-Proposals'!$K$25*(1-'Inputs-Proposals'!$K$26))*(VLOOKUP(AN$3,DRIPE!$A$54:$I$82,5,FALSE)-VLOOKUP(AN$3,DRIPE!$A$54:$I$82,6,FALSE)+VLOOKUP(AN$3,DRIPE!$A$54:$I$82,9,FALSE))+ ('Inputs-System'!$C$26*'Coincidence Factors'!$B$5*(1+'Inputs-System'!$C$18)*(1+'Inputs-System'!$C$41))+ ('Inputs-System'!$C$26*'Coincidence Factors'!$B$5)*'Inputs-Proposals'!$K$22*VLOOKUP(AN$3,DRIPE!$A$54:$I$80,8,FALSE), $C53= "3", ('Inputs-System'!$C$30*'Coincidence Factors'!$B$5)*('Inputs-Proposals'!$K$29*'Inputs-Proposals'!$K$31*(1-'Inputs-Proposals'!$K$32))*(VLOOKUP(AN$3,DRIPE!$A$54:$I$80,5,FALSE)-VLOOKUP(AN$3,DRIPE!$A$54:$I$80,6,FALSE)+VLOOKUP(AN$3,DRIPE!$A$54:$I$80,9,FALSE))+ ('Inputs-System'!$C$26*'Coincidence Factors'!$B$5*(1+'Inputs-System'!$C$18)*(1+'Inputs-System'!$C$42))*'Inputs-Proposals'!$K$28*VLOOKUP(AN$3,DRIPE!$A$54:$I$80,8,FALSE), $C53 = "0", 0), 0)</f>
        <v>0</v>
      </c>
      <c r="AQ53" s="326">
        <f>IFERROR(_xlfn.IFS($C53="1",('Inputs-System'!$C$26*'Coincidence Factors'!$B$5*(1+'Inputs-System'!$C$18)*(1+'Inputs-System'!$C$42))*'Inputs-Proposals'!$K$16*(VLOOKUP(AN$3,Capacity!$A$53:$E$85,4,FALSE)*(1+'Inputs-System'!$C$42)+VLOOKUP(AN$3,Capacity!$A$53:$E$85,5,FALSE)*(1+'Inputs-System'!$C$43)*'Inputs-System'!$C$29), $C53 = "2", ('Inputs-System'!$C$26*'Coincidence Factors'!$B$5*(1+'Inputs-System'!$C$18))*'Inputs-Proposals'!$K$22*(VLOOKUP(AN$3,Capacity!$A$53:$E$85,4,FALSE)*(1+'Inputs-System'!$C$42)+VLOOKUP(AN$3,Capacity!$A$53:$E$85,5,FALSE)*'Inputs-System'!$C$29*(1+'Inputs-System'!$C$43)), $C53 = "3", ('Inputs-System'!$C$26*'Coincidence Factors'!$B$5*(1+'Inputs-System'!$C$18))*'Inputs-Proposals'!$K$28*(VLOOKUP(AN$3,Capacity!$A$53:$E$85,4,FALSE)*(1+'Inputs-System'!$C$42)+VLOOKUP(AN$3,Capacity!$A$53:$E$85,5,FALSE)*'Inputs-System'!$C$29*(1+'Inputs-System'!$C$43)), $C53 = "0", 0), 0)</f>
        <v>0</v>
      </c>
      <c r="AR53" s="100">
        <v>0</v>
      </c>
      <c r="AS53" s="346">
        <f>IFERROR(_xlfn.IFS($C53="1", 'Inputs-System'!$C$30*'Coincidence Factors'!$B$5*'Inputs-Proposals'!$K$17*'Inputs-Proposals'!$K$19*(VLOOKUP(AN$3,'Non-Embedded Emissions'!$A$56:$D$90,2,FALSE)+VLOOKUP(AN$3,'Non-Embedded Emissions'!$A$143:$D$174,2,FALSE)+VLOOKUP(AN$3,'Non-Embedded Emissions'!$A$230:$D$259,2,FALSE)-VLOOKUP(AN$3,'Non-Embedded Emissions'!$A$56:$D$90,3,FALSE)-VLOOKUP(AN$3,'Non-Embedded Emissions'!$A$143:$D$174,3,FALSE)-VLOOKUP(AN$3,'Non-Embedded Emissions'!$A$230:$D$259,3,FALSE)), $C53 = "2", 'Inputs-System'!$C$30*'Coincidence Factors'!$B$5*'Inputs-Proposals'!$K$23*'Inputs-Proposals'!$K$25*(VLOOKUP(AN$3,'Non-Embedded Emissions'!$A$56:$D$90,2,FALSE)+VLOOKUP(AN$3,'Non-Embedded Emissions'!$A$143:$D$174,2,FALSE)+VLOOKUP(AN$3,'Non-Embedded Emissions'!$A$230:$D$259,2,FALSE)-VLOOKUP(AN$3,'Non-Embedded Emissions'!$A$56:$D$90,3,FALSE)-VLOOKUP(AN$3,'Non-Embedded Emissions'!$A$143:$D$174,3,FALSE)-VLOOKUP(AN$3,'Non-Embedded Emissions'!$A$230:$D$259,3,FALSE)), $C53 = "3", 'Inputs-System'!$C$30*'Coincidence Factors'!$B$5*'Inputs-Proposals'!$K$29*'Inputs-Proposals'!$K$31*(VLOOKUP(AN$3,'Non-Embedded Emissions'!$A$56:$D$90,2,FALSE)+VLOOKUP(AN$3,'Non-Embedded Emissions'!$A$143:$D$174,2,FALSE)+VLOOKUP(AN$3,'Non-Embedded Emissions'!$A$230:$D$259,2,FALSE)-VLOOKUP(AN$3,'Non-Embedded Emissions'!$A$56:$D$90,3,FALSE)-VLOOKUP(AN$3,'Non-Embedded Emissions'!$A$143:$D$174,3,FALSE)-VLOOKUP(AN$3,'Non-Embedded Emissions'!$A$230:$D$259,3,FALSE)), $C53 = "0", 0), 0)</f>
        <v>0</v>
      </c>
      <c r="AT53" s="344">
        <f>IFERROR(_xlfn.IFS($C53="1",('Inputs-System'!$C$30*'Coincidence Factors'!$B$5*(1+'Inputs-System'!$C$18)*(1+'Inputs-System'!$C$41)*('Inputs-Proposals'!$K$17*'Inputs-Proposals'!$K$19*(1-'Inputs-Proposals'!$K$20))*(VLOOKUP(AT$3,Energy!$A$51:$K$83,5,FALSE)-VLOOKUP(AT$3,Energy!$A$51:$K$83,6,FALSE))), $C53 = "2",('Inputs-System'!$C$30*'Coincidence Factors'!$B$5)*(1+'Inputs-System'!$C$18)*(1+'Inputs-System'!$C$41)*('Inputs-Proposals'!$K$23*'Inputs-Proposals'!$K$25*(1-'Inputs-Proposals'!$K$26))*(VLOOKUP(AT$3,Energy!$A$51:$K$83,5,FALSE)-VLOOKUP(AT$3,Energy!$A$51:$K$83,6,FALSE)), $C53= "3", ('Inputs-System'!$C$30*'Coincidence Factors'!$B$5*(1+'Inputs-System'!$C$18)*(1+'Inputs-System'!$C$41)*('Inputs-Proposals'!$K$29*'Inputs-Proposals'!$K$31*(1-'Inputs-Proposals'!$K$32))*(VLOOKUP(AT$3,Energy!$A$51:$K$83,5,FALSE)-VLOOKUP(AT$3,Energy!$A$51:$K$83,6,FALSE))), $C53= "0", 0), 0)</f>
        <v>0</v>
      </c>
      <c r="AU53" s="100">
        <f>IFERROR(_xlfn.IFS($C53="1", 'Inputs-System'!$C$30*'Coincidence Factors'!$B$5*(1+'Inputs-System'!$C$18)*(1+'Inputs-System'!$C$41)*'Inputs-Proposals'!$K$17*'Inputs-Proposals'!$K$19*(1-'Inputs-Proposals'!$K$20)*(VLOOKUP(AT$3,'Embedded Emissions'!$A$47:$B$78,2,FALSE)+VLOOKUP(AT$3,'Embedded Emissions'!$A$129:$B$158,2,FALSE)), $C53 = "2",'Inputs-System'!$C$30*'Coincidence Factors'!$B$5*(1+'Inputs-System'!$C$18)*(1+'Inputs-System'!$C$41)*'Inputs-Proposals'!$K$23*'Inputs-Proposals'!$K$25*(1-'Inputs-Proposals'!$K$20)*(VLOOKUP(AT$3,'Embedded Emissions'!$A$47:$B$78,2,FALSE)+VLOOKUP(AT$3,'Embedded Emissions'!$A$129:$B$158,2,FALSE)), $C53 = "3", 'Inputs-System'!$C$30*'Coincidence Factors'!$B$5*(1+'Inputs-System'!$C$18)*(1+'Inputs-System'!$C$41)*'Inputs-Proposals'!$K$29*'Inputs-Proposals'!$K$31*(1-'Inputs-Proposals'!$K$20)*(VLOOKUP(AT$3,'Embedded Emissions'!$A$47:$B$78,2,FALSE)+VLOOKUP(AT$3,'Embedded Emissions'!$A$129:$B$158,2,FALSE)), $C53 = "0", 0), 0)</f>
        <v>0</v>
      </c>
      <c r="AV53" s="318">
        <f>IFERROR(_xlfn.IFS($C53="1",( 'Inputs-System'!$C$30*'Coincidence Factors'!$B$5*(1+'Inputs-System'!$C$18)*(1+'Inputs-System'!$C$41))*('Inputs-Proposals'!$K$17*'Inputs-Proposals'!$K$19*(1-'Inputs-Proposals'!$K$20))*(VLOOKUP(AT$3,DRIPE!$A$54:$I$82,5,FALSE)-VLOOKUP(AT$3,DRIPE!$A$54:$I$82,6,FALSE)+VLOOKUP(AT$3,DRIPE!$A$54:$I$82,9,FALSE))+ ('Inputs-System'!$C$26*'Coincidence Factors'!$B$5*(1+'Inputs-System'!$C$18)*(1+'Inputs-System'!$C$42))*'Inputs-Proposals'!$K$16*VLOOKUP(AT$3,DRIPE!$A$54:$I$80,8,FALSE), $C53 = "2",( 'Inputs-System'!$C$30*'Coincidence Factors'!$B$5*(1+'Inputs-System'!$C$18)*(1+'Inputs-System'!$C$41))*('Inputs-Proposals'!$K$23*'Inputs-Proposals'!$K$25*(1-'Inputs-Proposals'!$K$26))*(VLOOKUP(AT$3,DRIPE!$A$54:$I$82,5,FALSE)-VLOOKUP(AT$3,DRIPE!$A$54:$I$82,6,FALSE)+VLOOKUP(AT$3,DRIPE!$A$54:$I$82,9,FALSE))+ ('Inputs-System'!$C$26*'Coincidence Factors'!$B$5*(1+'Inputs-System'!$C$18)*(1+'Inputs-System'!$C$41))+ ('Inputs-System'!$C$26*'Coincidence Factors'!$B$5)*'Inputs-Proposals'!$K$22*VLOOKUP(AT$3,DRIPE!$A$54:$I$80,8,FALSE), $C53= "3", ('Inputs-System'!$C$30*'Coincidence Factors'!$B$5)*('Inputs-Proposals'!$K$29*'Inputs-Proposals'!$K$31*(1-'Inputs-Proposals'!$K$32))*(VLOOKUP(AT$3,DRIPE!$A$54:$I$80,5,FALSE)-VLOOKUP(AT$3,DRIPE!$A$54:$I$80,6,FALSE)+VLOOKUP(AT$3,DRIPE!$A$54:$I$80,9,FALSE))+ ('Inputs-System'!$C$26*'Coincidence Factors'!$B$5*(1+'Inputs-System'!$C$18)*(1+'Inputs-System'!$C$42))*'Inputs-Proposals'!$K$28*VLOOKUP(AT$3,DRIPE!$A$54:$I$80,8,FALSE), $C53 = "0", 0), 0)</f>
        <v>0</v>
      </c>
      <c r="AW53" s="326">
        <f>IFERROR(_xlfn.IFS($C53="1",('Inputs-System'!$C$26*'Coincidence Factors'!$B$5*(1+'Inputs-System'!$C$18)*(1+'Inputs-System'!$C$42))*'Inputs-Proposals'!$K$16*(VLOOKUP(AT$3,Capacity!$A$53:$E$85,4,FALSE)*(1+'Inputs-System'!$C$42)+VLOOKUP(AT$3,Capacity!$A$53:$E$85,5,FALSE)*(1+'Inputs-System'!$C$43)*'Inputs-System'!$C$29), $C53 = "2", ('Inputs-System'!$C$26*'Coincidence Factors'!$B$5*(1+'Inputs-System'!$C$18))*'Inputs-Proposals'!$K$22*(VLOOKUP(AT$3,Capacity!$A$53:$E$85,4,FALSE)*(1+'Inputs-System'!$C$42)+VLOOKUP(AT$3,Capacity!$A$53:$E$85,5,FALSE)*'Inputs-System'!$C$29*(1+'Inputs-System'!$C$43)), $C53 = "3", ('Inputs-System'!$C$26*'Coincidence Factors'!$B$5*(1+'Inputs-System'!$C$18))*'Inputs-Proposals'!$K$28*(VLOOKUP(AT$3,Capacity!$A$53:$E$85,4,FALSE)*(1+'Inputs-System'!$C$42)+VLOOKUP(AT$3,Capacity!$A$53:$E$85,5,FALSE)*'Inputs-System'!$C$29*(1+'Inputs-System'!$C$43)), $C53 = "0", 0), 0)</f>
        <v>0</v>
      </c>
      <c r="AX53" s="100">
        <v>0</v>
      </c>
      <c r="AY53" s="346">
        <f>IFERROR(_xlfn.IFS($C53="1", 'Inputs-System'!$C$30*'Coincidence Factors'!$B$5*'Inputs-Proposals'!$K$17*'Inputs-Proposals'!$K$19*(VLOOKUP(AT$3,'Non-Embedded Emissions'!$A$56:$D$90,2,FALSE)+VLOOKUP(AT$3,'Non-Embedded Emissions'!$A$143:$D$174,2,FALSE)+VLOOKUP(AT$3,'Non-Embedded Emissions'!$A$230:$D$259,2,FALSE)-VLOOKUP(AT$3,'Non-Embedded Emissions'!$A$56:$D$90,3,FALSE)-VLOOKUP(AT$3,'Non-Embedded Emissions'!$A$143:$D$174,3,FALSE)-VLOOKUP(AT$3,'Non-Embedded Emissions'!$A$230:$D$259,3,FALSE)), $C53 = "2", 'Inputs-System'!$C$30*'Coincidence Factors'!$B$5*'Inputs-Proposals'!$K$23*'Inputs-Proposals'!$K$25*(VLOOKUP(AT$3,'Non-Embedded Emissions'!$A$56:$D$90,2,FALSE)+VLOOKUP(AT$3,'Non-Embedded Emissions'!$A$143:$D$174,2,FALSE)+VLOOKUP(AT$3,'Non-Embedded Emissions'!$A$230:$D$259,2,FALSE)-VLOOKUP(AT$3,'Non-Embedded Emissions'!$A$56:$D$90,3,FALSE)-VLOOKUP(AT$3,'Non-Embedded Emissions'!$A$143:$D$174,3,FALSE)-VLOOKUP(AT$3,'Non-Embedded Emissions'!$A$230:$D$259,3,FALSE)), $C53 = "3", 'Inputs-System'!$C$30*'Coincidence Factors'!$B$5*'Inputs-Proposals'!$K$29*'Inputs-Proposals'!$K$31*(VLOOKUP(AT$3,'Non-Embedded Emissions'!$A$56:$D$90,2,FALSE)+VLOOKUP(AT$3,'Non-Embedded Emissions'!$A$143:$D$174,2,FALSE)+VLOOKUP(AT$3,'Non-Embedded Emissions'!$A$230:$D$259,2,FALSE)-VLOOKUP(AT$3,'Non-Embedded Emissions'!$A$56:$D$90,3,FALSE)-VLOOKUP(AT$3,'Non-Embedded Emissions'!$A$143:$D$174,3,FALSE)-VLOOKUP(AT$3,'Non-Embedded Emissions'!$A$230:$D$259,3,FALSE)), $C53 = "0", 0), 0)</f>
        <v>0</v>
      </c>
      <c r="AZ53" s="344">
        <f>IFERROR(_xlfn.IFS($C53="1",('Inputs-System'!$C$30*'Coincidence Factors'!$B$5*(1+'Inputs-System'!$C$18)*(1+'Inputs-System'!$C$41)*('Inputs-Proposals'!$K$17*'Inputs-Proposals'!$K$19*(1-'Inputs-Proposals'!$K$20))*(VLOOKUP(AZ$3,Energy!$A$51:$K$83,5,FALSE)-VLOOKUP(AZ$3,Energy!$A$51:$K$83,6,FALSE))), $C53 = "2",('Inputs-System'!$C$30*'Coincidence Factors'!$B$5)*(1+'Inputs-System'!$C$18)*(1+'Inputs-System'!$C$41)*('Inputs-Proposals'!$K$23*'Inputs-Proposals'!$K$25*(1-'Inputs-Proposals'!$K$26))*(VLOOKUP(AZ$3,Energy!$A$51:$K$83,5,FALSE)-VLOOKUP(AZ$3,Energy!$A$51:$K$83,6,FALSE)), $C53= "3", ('Inputs-System'!$C$30*'Coincidence Factors'!$B$5*(1+'Inputs-System'!$C$18)*(1+'Inputs-System'!$C$41)*('Inputs-Proposals'!$K$29*'Inputs-Proposals'!$K$31*(1-'Inputs-Proposals'!$K$32))*(VLOOKUP(AZ$3,Energy!$A$51:$K$83,5,FALSE)-VLOOKUP(AZ$3,Energy!$A$51:$K$83,6,FALSE))), $C53= "0", 0), 0)</f>
        <v>0</v>
      </c>
      <c r="BA53" s="100">
        <f>IFERROR(_xlfn.IFS($C53="1", 'Inputs-System'!$C$30*'Coincidence Factors'!$B$5*(1+'Inputs-System'!$C$18)*(1+'Inputs-System'!$C$41)*'Inputs-Proposals'!$K$17*'Inputs-Proposals'!$K$19*(1-'Inputs-Proposals'!$K$20)*(VLOOKUP(AZ$3,'Embedded Emissions'!$A$47:$B$78,2,FALSE)+VLOOKUP(AZ$3,'Embedded Emissions'!$A$129:$B$158,2,FALSE)), $C53 = "2",'Inputs-System'!$C$30*'Coincidence Factors'!$B$5*(1+'Inputs-System'!$C$18)*(1+'Inputs-System'!$C$41)*'Inputs-Proposals'!$K$23*'Inputs-Proposals'!$K$25*(1-'Inputs-Proposals'!$K$20)*(VLOOKUP(AZ$3,'Embedded Emissions'!$A$47:$B$78,2,FALSE)+VLOOKUP(AZ$3,'Embedded Emissions'!$A$129:$B$158,2,FALSE)), $C53 = "3", 'Inputs-System'!$C$30*'Coincidence Factors'!$B$5*(1+'Inputs-System'!$C$18)*(1+'Inputs-System'!$C$41)*'Inputs-Proposals'!$K$29*'Inputs-Proposals'!$K$31*(1-'Inputs-Proposals'!$K$20)*(VLOOKUP(AZ$3,'Embedded Emissions'!$A$47:$B$78,2,FALSE)+VLOOKUP(AZ$3,'Embedded Emissions'!$A$129:$B$158,2,FALSE)), $C53 = "0", 0), 0)</f>
        <v>0</v>
      </c>
      <c r="BB53" s="318">
        <f>IFERROR(_xlfn.IFS($C53="1",( 'Inputs-System'!$C$30*'Coincidence Factors'!$B$5*(1+'Inputs-System'!$C$18)*(1+'Inputs-System'!$C$41))*('Inputs-Proposals'!$K$17*'Inputs-Proposals'!$K$19*(1-'Inputs-Proposals'!$K$20))*(VLOOKUP(AZ$3,DRIPE!$A$54:$I$82,5,FALSE)-VLOOKUP(AZ$3,DRIPE!$A$54:$I$82,6,FALSE)+VLOOKUP(AZ$3,DRIPE!$A$54:$I$82,9,FALSE))+ ('Inputs-System'!$C$26*'Coincidence Factors'!$B$5*(1+'Inputs-System'!$C$18)*(1+'Inputs-System'!$C$42))*'Inputs-Proposals'!$K$16*VLOOKUP(AZ$3,DRIPE!$A$54:$I$80,8,FALSE), $C53 = "2",( 'Inputs-System'!$C$30*'Coincidence Factors'!$B$5*(1+'Inputs-System'!$C$18)*(1+'Inputs-System'!$C$41))*('Inputs-Proposals'!$K$23*'Inputs-Proposals'!$K$25*(1-'Inputs-Proposals'!$K$26))*(VLOOKUP(AZ$3,DRIPE!$A$54:$I$82,5,FALSE)-VLOOKUP(AZ$3,DRIPE!$A$54:$I$82,6,FALSE)+VLOOKUP(AZ$3,DRIPE!$A$54:$I$82,9,FALSE))+ ('Inputs-System'!$C$26*'Coincidence Factors'!$B$5*(1+'Inputs-System'!$C$18)*(1+'Inputs-System'!$C$41))+ ('Inputs-System'!$C$26*'Coincidence Factors'!$B$5)*'Inputs-Proposals'!$K$22*VLOOKUP(AZ$3,DRIPE!$A$54:$I$80,8,FALSE), $C53= "3", ('Inputs-System'!$C$30*'Coincidence Factors'!$B$5)*('Inputs-Proposals'!$K$29*'Inputs-Proposals'!$K$31*(1-'Inputs-Proposals'!$K$32))*(VLOOKUP(AZ$3,DRIPE!$A$54:$I$80,5,FALSE)-VLOOKUP(AZ$3,DRIPE!$A$54:$I$80,6,FALSE)+VLOOKUP(AZ$3,DRIPE!$A$54:$I$80,9,FALSE))+ ('Inputs-System'!$C$26*'Coincidence Factors'!$B$5*(1+'Inputs-System'!$C$18)*(1+'Inputs-System'!$C$42))*'Inputs-Proposals'!$K$28*VLOOKUP(AZ$3,DRIPE!$A$54:$I$80,8,FALSE), $C53 = "0", 0), 0)</f>
        <v>0</v>
      </c>
      <c r="BC53" s="326">
        <f>IFERROR(_xlfn.IFS($C53="1",('Inputs-System'!$C$26*'Coincidence Factors'!$B$5*(1+'Inputs-System'!$C$18)*(1+'Inputs-System'!$C$42))*'Inputs-Proposals'!$K$16*(VLOOKUP(AZ$3,Capacity!$A$53:$E$85,4,FALSE)*(1+'Inputs-System'!$C$42)+VLOOKUP(AZ$3,Capacity!$A$53:$E$85,5,FALSE)*(1+'Inputs-System'!$C$43)*'Inputs-System'!$C$29), $C53 = "2", ('Inputs-System'!$C$26*'Coincidence Factors'!$B$5*(1+'Inputs-System'!$C$18))*'Inputs-Proposals'!$K$22*(VLOOKUP(AZ$3,Capacity!$A$53:$E$85,4,FALSE)*(1+'Inputs-System'!$C$42)+VLOOKUP(AZ$3,Capacity!$A$53:$E$85,5,FALSE)*'Inputs-System'!$C$29*(1+'Inputs-System'!$C$43)), $C53 = "3", ('Inputs-System'!$C$26*'Coincidence Factors'!$B$5*(1+'Inputs-System'!$C$18))*'Inputs-Proposals'!$K$28*(VLOOKUP(AZ$3,Capacity!$A$53:$E$85,4,FALSE)*(1+'Inputs-System'!$C$42)+VLOOKUP(AZ$3,Capacity!$A$53:$E$85,5,FALSE)*'Inputs-System'!$C$29*(1+'Inputs-System'!$C$43)), $C53 = "0", 0), 0)</f>
        <v>0</v>
      </c>
      <c r="BD53" s="100">
        <v>0</v>
      </c>
      <c r="BE53" s="346">
        <f>IFERROR(_xlfn.IFS($C53="1", 'Inputs-System'!$C$30*'Coincidence Factors'!$B$5*'Inputs-Proposals'!$K$17*'Inputs-Proposals'!$K$19*(VLOOKUP(AZ$3,'Non-Embedded Emissions'!$A$56:$D$90,2,FALSE)+VLOOKUP(AZ$3,'Non-Embedded Emissions'!$A$143:$D$174,2,FALSE)+VLOOKUP(AZ$3,'Non-Embedded Emissions'!$A$230:$D$259,2,FALSE)-VLOOKUP(AZ$3,'Non-Embedded Emissions'!$A$56:$D$90,3,FALSE)-VLOOKUP(AZ$3,'Non-Embedded Emissions'!$A$143:$D$174,3,FALSE)-VLOOKUP(AZ$3,'Non-Embedded Emissions'!$A$230:$D$259,3,FALSE)), $C53 = "2", 'Inputs-System'!$C$30*'Coincidence Factors'!$B$5*'Inputs-Proposals'!$K$23*'Inputs-Proposals'!$K$25*(VLOOKUP(AZ$3,'Non-Embedded Emissions'!$A$56:$D$90,2,FALSE)+VLOOKUP(AZ$3,'Non-Embedded Emissions'!$A$143:$D$174,2,FALSE)+VLOOKUP(AZ$3,'Non-Embedded Emissions'!$A$230:$D$259,2,FALSE)-VLOOKUP(AZ$3,'Non-Embedded Emissions'!$A$56:$D$90,3,FALSE)-VLOOKUP(AZ$3,'Non-Embedded Emissions'!$A$143:$D$174,3,FALSE)-VLOOKUP(AZ$3,'Non-Embedded Emissions'!$A$230:$D$259,3,FALSE)), $C53 = "3", 'Inputs-System'!$C$30*'Coincidence Factors'!$B$5*'Inputs-Proposals'!$K$29*'Inputs-Proposals'!$K$31*(VLOOKUP(AZ$3,'Non-Embedded Emissions'!$A$56:$D$90,2,FALSE)+VLOOKUP(AZ$3,'Non-Embedded Emissions'!$A$143:$D$174,2,FALSE)+VLOOKUP(AZ$3,'Non-Embedded Emissions'!$A$230:$D$259,2,FALSE)-VLOOKUP(AZ$3,'Non-Embedded Emissions'!$A$56:$D$90,3,FALSE)-VLOOKUP(AZ$3,'Non-Embedded Emissions'!$A$143:$D$174,3,FALSE)-VLOOKUP(AZ$3,'Non-Embedded Emissions'!$A$230:$D$259,3,FALSE)), $C53 = "0", 0), 0)</f>
        <v>0</v>
      </c>
      <c r="BF53" s="344">
        <f>IFERROR(_xlfn.IFS($C53="1",('Inputs-System'!$C$30*'Coincidence Factors'!$B$5*(1+'Inputs-System'!$C$18)*(1+'Inputs-System'!$C$41)*('Inputs-Proposals'!$K$17*'Inputs-Proposals'!$K$19*(1-'Inputs-Proposals'!$K$20))*(VLOOKUP(BF$3,Energy!$A$51:$K$83,5,FALSE)-VLOOKUP(BF$3,Energy!$A$51:$K$83,6,FALSE))), $C53 = "2",('Inputs-System'!$C$30*'Coincidence Factors'!$B$5)*(1+'Inputs-System'!$C$18)*(1+'Inputs-System'!$C$41)*('Inputs-Proposals'!$K$23*'Inputs-Proposals'!$K$25*(1-'Inputs-Proposals'!$K$26))*(VLOOKUP(BF$3,Energy!$A$51:$K$83,5,FALSE)-VLOOKUP(BF$3,Energy!$A$51:$K$83,6,FALSE)), $C53= "3", ('Inputs-System'!$C$30*'Coincidence Factors'!$B$5*(1+'Inputs-System'!$C$18)*(1+'Inputs-System'!$C$41)*('Inputs-Proposals'!$K$29*'Inputs-Proposals'!$K$31*(1-'Inputs-Proposals'!$K$32))*(VLOOKUP(BF$3,Energy!$A$51:$K$83,5,FALSE)-VLOOKUP(BF$3,Energy!$A$51:$K$83,6,FALSE))), $C53= "0", 0), 0)</f>
        <v>0</v>
      </c>
      <c r="BG53" s="100">
        <f>IFERROR(_xlfn.IFS($C53="1", 'Inputs-System'!$C$30*'Coincidence Factors'!$B$5*(1+'Inputs-System'!$C$18)*(1+'Inputs-System'!$C$41)*'Inputs-Proposals'!$K$17*'Inputs-Proposals'!$K$19*(1-'Inputs-Proposals'!$K$20)*(VLOOKUP(BF$3,'Embedded Emissions'!$A$47:$B$78,2,FALSE)+VLOOKUP(BF$3,'Embedded Emissions'!$A$129:$B$158,2,FALSE)), $C53 = "2",'Inputs-System'!$C$30*'Coincidence Factors'!$B$5*(1+'Inputs-System'!$C$18)*(1+'Inputs-System'!$C$41)*'Inputs-Proposals'!$K$23*'Inputs-Proposals'!$K$25*(1-'Inputs-Proposals'!$K$20)*(VLOOKUP(BF$3,'Embedded Emissions'!$A$47:$B$78,2,FALSE)+VLOOKUP(BF$3,'Embedded Emissions'!$A$129:$B$158,2,FALSE)), $C53 = "3", 'Inputs-System'!$C$30*'Coincidence Factors'!$B$5*(1+'Inputs-System'!$C$18)*(1+'Inputs-System'!$C$41)*'Inputs-Proposals'!$K$29*'Inputs-Proposals'!$K$31*(1-'Inputs-Proposals'!$K$20)*(VLOOKUP(BF$3,'Embedded Emissions'!$A$47:$B$78,2,FALSE)+VLOOKUP(BF$3,'Embedded Emissions'!$A$129:$B$158,2,FALSE)), $C53 = "0", 0), 0)</f>
        <v>0</v>
      </c>
      <c r="BH53" s="318">
        <f>IFERROR(_xlfn.IFS($C53="1",( 'Inputs-System'!$C$30*'Coincidence Factors'!$B$5*(1+'Inputs-System'!$C$18)*(1+'Inputs-System'!$C$41))*('Inputs-Proposals'!$K$17*'Inputs-Proposals'!$K$19*(1-'Inputs-Proposals'!$K$20))*(VLOOKUP(BF$3,DRIPE!$A$54:$I$82,5,FALSE)-VLOOKUP(BF$3,DRIPE!$A$54:$I$82,6,FALSE)+VLOOKUP(BF$3,DRIPE!$A$54:$I$82,9,FALSE))+ ('Inputs-System'!$C$26*'Coincidence Factors'!$B$5*(1+'Inputs-System'!$C$18)*(1+'Inputs-System'!$C$42))*'Inputs-Proposals'!$K$16*VLOOKUP(BF$3,DRIPE!$A$54:$I$80,8,FALSE), $C53 = "2",( 'Inputs-System'!$C$30*'Coincidence Factors'!$B$5*(1+'Inputs-System'!$C$18)*(1+'Inputs-System'!$C$41))*('Inputs-Proposals'!$K$23*'Inputs-Proposals'!$K$25*(1-'Inputs-Proposals'!$K$26))*(VLOOKUP(BF$3,DRIPE!$A$54:$I$82,5,FALSE)-VLOOKUP(BF$3,DRIPE!$A$54:$I$82,6,FALSE)+VLOOKUP(BF$3,DRIPE!$A$54:$I$82,9,FALSE))+ ('Inputs-System'!$C$26*'Coincidence Factors'!$B$5*(1+'Inputs-System'!$C$18)*(1+'Inputs-System'!$C$41))+ ('Inputs-System'!$C$26*'Coincidence Factors'!$B$5)*'Inputs-Proposals'!$K$22*VLOOKUP(BF$3,DRIPE!$A$54:$I$80,8,FALSE), $C53= "3", ('Inputs-System'!$C$30*'Coincidence Factors'!$B$5)*('Inputs-Proposals'!$K$29*'Inputs-Proposals'!$K$31*(1-'Inputs-Proposals'!$K$32))*(VLOOKUP(BF$3,DRIPE!$A$54:$I$80,5,FALSE)-VLOOKUP(BF$3,DRIPE!$A$54:$I$80,6,FALSE)+VLOOKUP(BF$3,DRIPE!$A$54:$I$80,9,FALSE))+ ('Inputs-System'!$C$26*'Coincidence Factors'!$B$5*(1+'Inputs-System'!$C$18)*(1+'Inputs-System'!$C$42))*'Inputs-Proposals'!$K$28*VLOOKUP(BF$3,DRIPE!$A$54:$I$80,8,FALSE), $C53 = "0", 0), 0)</f>
        <v>0</v>
      </c>
      <c r="BI53" s="326">
        <f>IFERROR(_xlfn.IFS($C53="1",('Inputs-System'!$C$26*'Coincidence Factors'!$B$5*(1+'Inputs-System'!$C$18)*(1+'Inputs-System'!$C$42))*'Inputs-Proposals'!$K$16*(VLOOKUP(BF$3,Capacity!$A$53:$E$85,4,FALSE)*(1+'Inputs-System'!$C$42)+VLOOKUP(BF$3,Capacity!$A$53:$E$85,5,FALSE)*(1+'Inputs-System'!$C$43)*'Inputs-System'!$C$29), $C53 = "2", ('Inputs-System'!$C$26*'Coincidence Factors'!$B$5*(1+'Inputs-System'!$C$18))*'Inputs-Proposals'!$K$22*(VLOOKUP(BF$3,Capacity!$A$53:$E$85,4,FALSE)*(1+'Inputs-System'!$C$42)+VLOOKUP(BF$3,Capacity!$A$53:$E$85,5,FALSE)*'Inputs-System'!$C$29*(1+'Inputs-System'!$C$43)), $C53 = "3", ('Inputs-System'!$C$26*'Coincidence Factors'!$B$5*(1+'Inputs-System'!$C$18))*'Inputs-Proposals'!$K$28*(VLOOKUP(BF$3,Capacity!$A$53:$E$85,4,FALSE)*(1+'Inputs-System'!$C$42)+VLOOKUP(BF$3,Capacity!$A$53:$E$85,5,FALSE)*'Inputs-System'!$C$29*(1+'Inputs-System'!$C$43)), $C53 = "0", 0), 0)</f>
        <v>0</v>
      </c>
      <c r="BJ53" s="100">
        <v>0</v>
      </c>
      <c r="BK53" s="346">
        <f>IFERROR(_xlfn.IFS($C53="1", 'Inputs-System'!$C$30*'Coincidence Factors'!$B$5*'Inputs-Proposals'!$K$17*'Inputs-Proposals'!$K$19*(VLOOKUP(BF$3,'Non-Embedded Emissions'!$A$56:$D$90,2,FALSE)+VLOOKUP(BF$3,'Non-Embedded Emissions'!$A$143:$D$174,2,FALSE)+VLOOKUP(BF$3,'Non-Embedded Emissions'!$A$230:$D$259,2,FALSE)-VLOOKUP(BF$3,'Non-Embedded Emissions'!$A$56:$D$90,3,FALSE)-VLOOKUP(BF$3,'Non-Embedded Emissions'!$A$143:$D$174,3,FALSE)-VLOOKUP(BF$3,'Non-Embedded Emissions'!$A$230:$D$259,3,FALSE)), $C53 = "2", 'Inputs-System'!$C$30*'Coincidence Factors'!$B$5*'Inputs-Proposals'!$K$23*'Inputs-Proposals'!$K$25*(VLOOKUP(BF$3,'Non-Embedded Emissions'!$A$56:$D$90,2,FALSE)+VLOOKUP(BF$3,'Non-Embedded Emissions'!$A$143:$D$174,2,FALSE)+VLOOKUP(BF$3,'Non-Embedded Emissions'!$A$230:$D$259,2,FALSE)-VLOOKUP(BF$3,'Non-Embedded Emissions'!$A$56:$D$90,3,FALSE)-VLOOKUP(BF$3,'Non-Embedded Emissions'!$A$143:$D$174,3,FALSE)-VLOOKUP(BF$3,'Non-Embedded Emissions'!$A$230:$D$259,3,FALSE)), $C53 = "3", 'Inputs-System'!$C$30*'Coincidence Factors'!$B$5*'Inputs-Proposals'!$K$29*'Inputs-Proposals'!$K$31*(VLOOKUP(BF$3,'Non-Embedded Emissions'!$A$56:$D$90,2,FALSE)+VLOOKUP(BF$3,'Non-Embedded Emissions'!$A$143:$D$174,2,FALSE)+VLOOKUP(BF$3,'Non-Embedded Emissions'!$A$230:$D$259,2,FALSE)-VLOOKUP(BF$3,'Non-Embedded Emissions'!$A$56:$D$90,3,FALSE)-VLOOKUP(BF$3,'Non-Embedded Emissions'!$A$143:$D$174,3,FALSE)-VLOOKUP(BF$3,'Non-Embedded Emissions'!$A$230:$D$259,3,FALSE)), $C53 = "0", 0), 0)</f>
        <v>0</v>
      </c>
      <c r="BL53" s="344">
        <f>IFERROR(_xlfn.IFS($C53="1",('Inputs-System'!$C$30*'Coincidence Factors'!$B$5*(1+'Inputs-System'!$C$18)*(1+'Inputs-System'!$C$41)*('Inputs-Proposals'!$K$17*'Inputs-Proposals'!$K$19*(1-'Inputs-Proposals'!$K$20))*(VLOOKUP(BL$3,Energy!$A$51:$K$83,5,FALSE)-VLOOKUP(BL$3,Energy!$A$51:$K$83,6,FALSE))), $C53 = "2",('Inputs-System'!$C$30*'Coincidence Factors'!$B$5)*(1+'Inputs-System'!$C$18)*(1+'Inputs-System'!$C$41)*('Inputs-Proposals'!$K$23*'Inputs-Proposals'!$K$25*(1-'Inputs-Proposals'!$K$26))*(VLOOKUP(BL$3,Energy!$A$51:$K$83,5,FALSE)-VLOOKUP(BL$3,Energy!$A$51:$K$83,6,FALSE)), $C53= "3", ('Inputs-System'!$C$30*'Coincidence Factors'!$B$5*(1+'Inputs-System'!$C$18)*(1+'Inputs-System'!$C$41)*('Inputs-Proposals'!$K$29*'Inputs-Proposals'!$K$31*(1-'Inputs-Proposals'!$K$32))*(VLOOKUP(BL$3,Energy!$A$51:$K$83,5,FALSE)-VLOOKUP(BL$3,Energy!$A$51:$K$83,6,FALSE))), $C53= "0", 0), 0)</f>
        <v>0</v>
      </c>
      <c r="BM53" s="100">
        <f>IFERROR(_xlfn.IFS($C53="1", 'Inputs-System'!$C$30*'Coincidence Factors'!$B$5*(1+'Inputs-System'!$C$18)*(1+'Inputs-System'!$C$41)*'Inputs-Proposals'!$K$17*'Inputs-Proposals'!$K$19*(1-'Inputs-Proposals'!$K$20)*(VLOOKUP(BL$3,'Embedded Emissions'!$A$47:$B$78,2,FALSE)+VLOOKUP(BL$3,'Embedded Emissions'!$A$129:$B$158,2,FALSE)), $C53 = "2",'Inputs-System'!$C$30*'Coincidence Factors'!$B$5*(1+'Inputs-System'!$C$18)*(1+'Inputs-System'!$C$41)*'Inputs-Proposals'!$K$23*'Inputs-Proposals'!$K$25*(1-'Inputs-Proposals'!$K$20)*(VLOOKUP(BL$3,'Embedded Emissions'!$A$47:$B$78,2,FALSE)+VLOOKUP(BL$3,'Embedded Emissions'!$A$129:$B$158,2,FALSE)), $C53 = "3", 'Inputs-System'!$C$30*'Coincidence Factors'!$B$5*(1+'Inputs-System'!$C$18)*(1+'Inputs-System'!$C$41)*'Inputs-Proposals'!$K$29*'Inputs-Proposals'!$K$31*(1-'Inputs-Proposals'!$K$20)*(VLOOKUP(BL$3,'Embedded Emissions'!$A$47:$B$78,2,FALSE)+VLOOKUP(BL$3,'Embedded Emissions'!$A$129:$B$158,2,FALSE)), $C53 = "0", 0), 0)</f>
        <v>0</v>
      </c>
      <c r="BN53" s="318">
        <f>IFERROR(_xlfn.IFS($C53="1",( 'Inputs-System'!$C$30*'Coincidence Factors'!$B$5*(1+'Inputs-System'!$C$18)*(1+'Inputs-System'!$C$41))*('Inputs-Proposals'!$K$17*'Inputs-Proposals'!$K$19*(1-'Inputs-Proposals'!$K$20))*(VLOOKUP(BL$3,DRIPE!$A$54:$I$82,5,FALSE)-VLOOKUP(BL$3,DRIPE!$A$54:$I$82,6,FALSE)+VLOOKUP(BL$3,DRIPE!$A$54:$I$82,9,FALSE))+ ('Inputs-System'!$C$26*'Coincidence Factors'!$B$5*(1+'Inputs-System'!$C$18)*(1+'Inputs-System'!$C$42))*'Inputs-Proposals'!$K$16*VLOOKUP(BL$3,DRIPE!$A$54:$I$80,8,FALSE), $C53 = "2",( 'Inputs-System'!$C$30*'Coincidence Factors'!$B$5*(1+'Inputs-System'!$C$18)*(1+'Inputs-System'!$C$41))*('Inputs-Proposals'!$K$23*'Inputs-Proposals'!$K$25*(1-'Inputs-Proposals'!$K$26))*(VLOOKUP(BL$3,DRIPE!$A$54:$I$82,5,FALSE)-VLOOKUP(BL$3,DRIPE!$A$54:$I$82,6,FALSE)+VLOOKUP(BL$3,DRIPE!$A$54:$I$82,9,FALSE))+ ('Inputs-System'!$C$26*'Coincidence Factors'!$B$5*(1+'Inputs-System'!$C$18)*(1+'Inputs-System'!$C$41))+ ('Inputs-System'!$C$26*'Coincidence Factors'!$B$5)*'Inputs-Proposals'!$K$22*VLOOKUP(BL$3,DRIPE!$A$54:$I$80,8,FALSE), $C53= "3", ('Inputs-System'!$C$30*'Coincidence Factors'!$B$5)*('Inputs-Proposals'!$K$29*'Inputs-Proposals'!$K$31*(1-'Inputs-Proposals'!$K$32))*(VLOOKUP(BL$3,DRIPE!$A$54:$I$80,5,FALSE)-VLOOKUP(BL$3,DRIPE!$A$54:$I$80,6,FALSE)+VLOOKUP(BL$3,DRIPE!$A$54:$I$80,9,FALSE))+ ('Inputs-System'!$C$26*'Coincidence Factors'!$B$5*(1+'Inputs-System'!$C$18)*(1+'Inputs-System'!$C$42))*'Inputs-Proposals'!$K$28*VLOOKUP(BL$3,DRIPE!$A$54:$I$80,8,FALSE), $C53 = "0", 0), 0)</f>
        <v>0</v>
      </c>
      <c r="BO53" s="326">
        <f>IFERROR(_xlfn.IFS($C53="1",('Inputs-System'!$C$26*'Coincidence Factors'!$B$5*(1+'Inputs-System'!$C$18)*(1+'Inputs-System'!$C$42))*'Inputs-Proposals'!$K$16*(VLOOKUP(BL$3,Capacity!$A$53:$E$85,4,FALSE)*(1+'Inputs-System'!$C$42)+VLOOKUP(BL$3,Capacity!$A$53:$E$85,5,FALSE)*(1+'Inputs-System'!$C$43)*'Inputs-System'!$C$29), $C53 = "2", ('Inputs-System'!$C$26*'Coincidence Factors'!$B$5*(1+'Inputs-System'!$C$18))*'Inputs-Proposals'!$K$22*(VLOOKUP(BL$3,Capacity!$A$53:$E$85,4,FALSE)*(1+'Inputs-System'!$C$42)+VLOOKUP(BL$3,Capacity!$A$53:$E$85,5,FALSE)*'Inputs-System'!$C$29*(1+'Inputs-System'!$C$43)), $C53 = "3", ('Inputs-System'!$C$26*'Coincidence Factors'!$B$5*(1+'Inputs-System'!$C$18))*'Inputs-Proposals'!$K$28*(VLOOKUP(BL$3,Capacity!$A$53:$E$85,4,FALSE)*(1+'Inputs-System'!$C$42)+VLOOKUP(BL$3,Capacity!$A$53:$E$85,5,FALSE)*'Inputs-System'!$C$29*(1+'Inputs-System'!$C$43)), $C53 = "0", 0), 0)</f>
        <v>0</v>
      </c>
      <c r="BP53" s="100">
        <v>0</v>
      </c>
      <c r="BQ53" s="346">
        <f>IFERROR(_xlfn.IFS($C53="1", 'Inputs-System'!$C$30*'Coincidence Factors'!$B$5*'Inputs-Proposals'!$K$17*'Inputs-Proposals'!$K$19*(VLOOKUP(BL$3,'Non-Embedded Emissions'!$A$56:$D$90,2,FALSE)+VLOOKUP(BL$3,'Non-Embedded Emissions'!$A$143:$D$174,2,FALSE)+VLOOKUP(BL$3,'Non-Embedded Emissions'!$A$230:$D$259,2,FALSE)-VLOOKUP(BL$3,'Non-Embedded Emissions'!$A$56:$D$90,3,FALSE)-VLOOKUP(BL$3,'Non-Embedded Emissions'!$A$143:$D$174,3,FALSE)-VLOOKUP(BL$3,'Non-Embedded Emissions'!$A$230:$D$259,3,FALSE)), $C53 = "2", 'Inputs-System'!$C$30*'Coincidence Factors'!$B$5*'Inputs-Proposals'!$K$23*'Inputs-Proposals'!$K$25*(VLOOKUP(BL$3,'Non-Embedded Emissions'!$A$56:$D$90,2,FALSE)+VLOOKUP(BL$3,'Non-Embedded Emissions'!$A$143:$D$174,2,FALSE)+VLOOKUP(BL$3,'Non-Embedded Emissions'!$A$230:$D$259,2,FALSE)-VLOOKUP(BL$3,'Non-Embedded Emissions'!$A$56:$D$90,3,FALSE)-VLOOKUP(BL$3,'Non-Embedded Emissions'!$A$143:$D$174,3,FALSE)-VLOOKUP(BL$3,'Non-Embedded Emissions'!$A$230:$D$259,3,FALSE)), $C53 = "3", 'Inputs-System'!$C$30*'Coincidence Factors'!$B$5*'Inputs-Proposals'!$K$29*'Inputs-Proposals'!$K$31*(VLOOKUP(BL$3,'Non-Embedded Emissions'!$A$56:$D$90,2,FALSE)+VLOOKUP(BL$3,'Non-Embedded Emissions'!$A$143:$D$174,2,FALSE)+VLOOKUP(BL$3,'Non-Embedded Emissions'!$A$230:$D$259,2,FALSE)-VLOOKUP(BL$3,'Non-Embedded Emissions'!$A$56:$D$90,3,FALSE)-VLOOKUP(BL$3,'Non-Embedded Emissions'!$A$143:$D$174,3,FALSE)-VLOOKUP(BL$3,'Non-Embedded Emissions'!$A$230:$D$259,3,FALSE)), $C53 = "0", 0), 0)</f>
        <v>0</v>
      </c>
      <c r="BR53" s="344">
        <f>IFERROR(_xlfn.IFS($C53="1",('Inputs-System'!$C$30*'Coincidence Factors'!$B$5*(1+'Inputs-System'!$C$18)*(1+'Inputs-System'!$C$41)*('Inputs-Proposals'!$K$17*'Inputs-Proposals'!$K$19*(1-'Inputs-Proposals'!$K$20))*(VLOOKUP(BR$3,Energy!$A$51:$K$83,5,FALSE)-VLOOKUP(BR$3,Energy!$A$51:$K$83,6,FALSE))), $C53 = "2",('Inputs-System'!$C$30*'Coincidence Factors'!$B$5)*(1+'Inputs-System'!$C$18)*(1+'Inputs-System'!$C$41)*('Inputs-Proposals'!$K$23*'Inputs-Proposals'!$K$25*(1-'Inputs-Proposals'!$K$26))*(VLOOKUP(BR$3,Energy!$A$51:$K$83,5,FALSE)-VLOOKUP(BR$3,Energy!$A$51:$K$83,6,FALSE)), $C53= "3", ('Inputs-System'!$C$30*'Coincidence Factors'!$B$5*(1+'Inputs-System'!$C$18)*(1+'Inputs-System'!$C$41)*('Inputs-Proposals'!$K$29*'Inputs-Proposals'!$K$31*(1-'Inputs-Proposals'!$K$32))*(VLOOKUP(BR$3,Energy!$A$51:$K$83,5,FALSE)-VLOOKUP(BR$3,Energy!$A$51:$K$83,6,FALSE))), $C53= "0", 0), 0)</f>
        <v>0</v>
      </c>
      <c r="BS53" s="100">
        <f>IFERROR(_xlfn.IFS($C53="1", 'Inputs-System'!$C$30*'Coincidence Factors'!$B$5*(1+'Inputs-System'!$C$18)*(1+'Inputs-System'!$C$41)*'Inputs-Proposals'!$K$17*'Inputs-Proposals'!$K$19*(1-'Inputs-Proposals'!$K$20)*(VLOOKUP(BR$3,'Embedded Emissions'!$A$47:$B$78,2,FALSE)+VLOOKUP(BR$3,'Embedded Emissions'!$A$129:$B$158,2,FALSE)), $C53 = "2",'Inputs-System'!$C$30*'Coincidence Factors'!$B$5*(1+'Inputs-System'!$C$18)*(1+'Inputs-System'!$C$41)*'Inputs-Proposals'!$K$23*'Inputs-Proposals'!$K$25*(1-'Inputs-Proposals'!$K$20)*(VLOOKUP(BR$3,'Embedded Emissions'!$A$47:$B$78,2,FALSE)+VLOOKUP(BR$3,'Embedded Emissions'!$A$129:$B$158,2,FALSE)), $C53 = "3", 'Inputs-System'!$C$30*'Coincidence Factors'!$B$5*(1+'Inputs-System'!$C$18)*(1+'Inputs-System'!$C$41)*'Inputs-Proposals'!$K$29*'Inputs-Proposals'!$K$31*(1-'Inputs-Proposals'!$K$20)*(VLOOKUP(BR$3,'Embedded Emissions'!$A$47:$B$78,2,FALSE)+VLOOKUP(BR$3,'Embedded Emissions'!$A$129:$B$158,2,FALSE)), $C53 = "0", 0), 0)</f>
        <v>0</v>
      </c>
      <c r="BT53" s="318">
        <f>IFERROR(_xlfn.IFS($C53="1",( 'Inputs-System'!$C$30*'Coincidence Factors'!$B$5*(1+'Inputs-System'!$C$18)*(1+'Inputs-System'!$C$41))*('Inputs-Proposals'!$K$17*'Inputs-Proposals'!$K$19*(1-'Inputs-Proposals'!$K$20))*(VLOOKUP(BR$3,DRIPE!$A$54:$I$82,5,FALSE)-VLOOKUP(BR$3,DRIPE!$A$54:$I$82,6,FALSE)+VLOOKUP(BR$3,DRIPE!$A$54:$I$82,9,FALSE))+ ('Inputs-System'!$C$26*'Coincidence Factors'!$B$5*(1+'Inputs-System'!$C$18)*(1+'Inputs-System'!$C$42))*'Inputs-Proposals'!$K$16*VLOOKUP(BR$3,DRIPE!$A$54:$I$80,8,FALSE), $C53 = "2",( 'Inputs-System'!$C$30*'Coincidence Factors'!$B$5*(1+'Inputs-System'!$C$18)*(1+'Inputs-System'!$C$41))*('Inputs-Proposals'!$K$23*'Inputs-Proposals'!$K$25*(1-'Inputs-Proposals'!$K$26))*(VLOOKUP(BR$3,DRIPE!$A$54:$I$82,5,FALSE)-VLOOKUP(BR$3,DRIPE!$A$54:$I$82,6,FALSE)+VLOOKUP(BR$3,DRIPE!$A$54:$I$82,9,FALSE))+ ('Inputs-System'!$C$26*'Coincidence Factors'!$B$5*(1+'Inputs-System'!$C$18)*(1+'Inputs-System'!$C$41))+ ('Inputs-System'!$C$26*'Coincidence Factors'!$B$5)*'Inputs-Proposals'!$K$22*VLOOKUP(BR$3,DRIPE!$A$54:$I$80,8,FALSE), $C53= "3", ('Inputs-System'!$C$30*'Coincidence Factors'!$B$5)*('Inputs-Proposals'!$K$29*'Inputs-Proposals'!$K$31*(1-'Inputs-Proposals'!$K$32))*(VLOOKUP(BR$3,DRIPE!$A$54:$I$80,5,FALSE)-VLOOKUP(BR$3,DRIPE!$A$54:$I$80,6,FALSE)+VLOOKUP(BR$3,DRIPE!$A$54:$I$80,9,FALSE))+ ('Inputs-System'!$C$26*'Coincidence Factors'!$B$5*(1+'Inputs-System'!$C$18)*(1+'Inputs-System'!$C$42))*'Inputs-Proposals'!$K$28*VLOOKUP(BR$3,DRIPE!$A$54:$I$80,8,FALSE), $C53 = "0", 0), 0)</f>
        <v>0</v>
      </c>
      <c r="BU53" s="326">
        <f>IFERROR(_xlfn.IFS($C53="1",('Inputs-System'!$C$26*'Coincidence Factors'!$B$5*(1+'Inputs-System'!$C$18)*(1+'Inputs-System'!$C$42))*'Inputs-Proposals'!$K$16*(VLOOKUP(BR$3,Capacity!$A$53:$E$85,4,FALSE)*(1+'Inputs-System'!$C$42)+VLOOKUP(BR$3,Capacity!$A$53:$E$85,5,FALSE)*(1+'Inputs-System'!$C$43)*'Inputs-System'!$C$29), $C53 = "2", ('Inputs-System'!$C$26*'Coincidence Factors'!$B$5*(1+'Inputs-System'!$C$18))*'Inputs-Proposals'!$K$22*(VLOOKUP(BR$3,Capacity!$A$53:$E$85,4,FALSE)*(1+'Inputs-System'!$C$42)+VLOOKUP(BR$3,Capacity!$A$53:$E$85,5,FALSE)*'Inputs-System'!$C$29*(1+'Inputs-System'!$C$43)), $C53 = "3", ('Inputs-System'!$C$26*'Coincidence Factors'!$B$5*(1+'Inputs-System'!$C$18))*'Inputs-Proposals'!$K$28*(VLOOKUP(BR$3,Capacity!$A$53:$E$85,4,FALSE)*(1+'Inputs-System'!$C$42)+VLOOKUP(BR$3,Capacity!$A$53:$E$85,5,FALSE)*'Inputs-System'!$C$29*(1+'Inputs-System'!$C$43)), $C53 = "0", 0), 0)</f>
        <v>0</v>
      </c>
      <c r="BV53" s="100">
        <v>0</v>
      </c>
      <c r="BW53" s="346">
        <f>IFERROR(_xlfn.IFS($C53="1", 'Inputs-System'!$C$30*'Coincidence Factors'!$B$5*'Inputs-Proposals'!$K$17*'Inputs-Proposals'!$K$19*(VLOOKUP(BR$3,'Non-Embedded Emissions'!$A$56:$D$90,2,FALSE)+VLOOKUP(BR$3,'Non-Embedded Emissions'!$A$143:$D$174,2,FALSE)+VLOOKUP(BR$3,'Non-Embedded Emissions'!$A$230:$D$259,2,FALSE)-VLOOKUP(BR$3,'Non-Embedded Emissions'!$A$56:$D$90,3,FALSE)-VLOOKUP(BR$3,'Non-Embedded Emissions'!$A$143:$D$174,3,FALSE)-VLOOKUP(BR$3,'Non-Embedded Emissions'!$A$230:$D$259,3,FALSE)), $C53 = "2", 'Inputs-System'!$C$30*'Coincidence Factors'!$B$5*'Inputs-Proposals'!$K$23*'Inputs-Proposals'!$K$25*(VLOOKUP(BR$3,'Non-Embedded Emissions'!$A$56:$D$90,2,FALSE)+VLOOKUP(BR$3,'Non-Embedded Emissions'!$A$143:$D$174,2,FALSE)+VLOOKUP(BR$3,'Non-Embedded Emissions'!$A$230:$D$259,2,FALSE)-VLOOKUP(BR$3,'Non-Embedded Emissions'!$A$56:$D$90,3,FALSE)-VLOOKUP(BR$3,'Non-Embedded Emissions'!$A$143:$D$174,3,FALSE)-VLOOKUP(BR$3,'Non-Embedded Emissions'!$A$230:$D$259,3,FALSE)), $C53 = "3", 'Inputs-System'!$C$30*'Coincidence Factors'!$B$5*'Inputs-Proposals'!$K$29*'Inputs-Proposals'!$K$31*(VLOOKUP(BR$3,'Non-Embedded Emissions'!$A$56:$D$90,2,FALSE)+VLOOKUP(BR$3,'Non-Embedded Emissions'!$A$143:$D$174,2,FALSE)+VLOOKUP(BR$3,'Non-Embedded Emissions'!$A$230:$D$259,2,FALSE)-VLOOKUP(BR$3,'Non-Embedded Emissions'!$A$56:$D$90,3,FALSE)-VLOOKUP(BR$3,'Non-Embedded Emissions'!$A$143:$D$174,3,FALSE)-VLOOKUP(BR$3,'Non-Embedded Emissions'!$A$230:$D$259,3,FALSE)), $C53 = "0", 0), 0)</f>
        <v>0</v>
      </c>
      <c r="BX53" s="344">
        <f>IFERROR(_xlfn.IFS($C53="1",('Inputs-System'!$C$30*'Coincidence Factors'!$B$5*(1+'Inputs-System'!$C$18)*(1+'Inputs-System'!$C$41)*('Inputs-Proposals'!$K$17*'Inputs-Proposals'!$K$19*(1-'Inputs-Proposals'!$K$20))*(VLOOKUP(BX$3,Energy!$A$51:$K$83,5,FALSE)-VLOOKUP(BX$3,Energy!$A$51:$K$83,6,FALSE))), $C53 = "2",('Inputs-System'!$C$30*'Coincidence Factors'!$B$5)*(1+'Inputs-System'!$C$18)*(1+'Inputs-System'!$C$41)*('Inputs-Proposals'!$K$23*'Inputs-Proposals'!$K$25*(1-'Inputs-Proposals'!$K$26))*(VLOOKUP(BX$3,Energy!$A$51:$K$83,5,FALSE)-VLOOKUP(BX$3,Energy!$A$51:$K$83,6,FALSE)), $C53= "3", ('Inputs-System'!$C$30*'Coincidence Factors'!$B$5*(1+'Inputs-System'!$C$18)*(1+'Inputs-System'!$C$41)*('Inputs-Proposals'!$K$29*'Inputs-Proposals'!$K$31*(1-'Inputs-Proposals'!$K$32))*(VLOOKUP(BX$3,Energy!$A$51:$K$83,5,FALSE)-VLOOKUP(BX$3,Energy!$A$51:$K$83,6,FALSE))), $C53= "0", 0), 0)</f>
        <v>0</v>
      </c>
      <c r="BY53" s="100">
        <f>IFERROR(_xlfn.IFS($C53="1", 'Inputs-System'!$C$30*'Coincidence Factors'!$B$5*(1+'Inputs-System'!$C$18)*(1+'Inputs-System'!$C$41)*'Inputs-Proposals'!$K$17*'Inputs-Proposals'!$K$19*(1-'Inputs-Proposals'!$K$20)*(VLOOKUP(BX$3,'Embedded Emissions'!$A$47:$B$78,2,FALSE)+VLOOKUP(BX$3,'Embedded Emissions'!$A$129:$B$158,2,FALSE)), $C53 = "2",'Inputs-System'!$C$30*'Coincidence Factors'!$B$5*(1+'Inputs-System'!$C$18)*(1+'Inputs-System'!$C$41)*'Inputs-Proposals'!$K$23*'Inputs-Proposals'!$K$25*(1-'Inputs-Proposals'!$K$20)*(VLOOKUP(BX$3,'Embedded Emissions'!$A$47:$B$78,2,FALSE)+VLOOKUP(BX$3,'Embedded Emissions'!$A$129:$B$158,2,FALSE)), $C53 = "3", 'Inputs-System'!$C$30*'Coincidence Factors'!$B$5*(1+'Inputs-System'!$C$18)*(1+'Inputs-System'!$C$41)*'Inputs-Proposals'!$K$29*'Inputs-Proposals'!$K$31*(1-'Inputs-Proposals'!$K$20)*(VLOOKUP(BX$3,'Embedded Emissions'!$A$47:$B$78,2,FALSE)+VLOOKUP(BX$3,'Embedded Emissions'!$A$129:$B$158,2,FALSE)), $C53 = "0", 0), 0)</f>
        <v>0</v>
      </c>
      <c r="BZ53" s="318">
        <f>IFERROR(_xlfn.IFS($C53="1",( 'Inputs-System'!$C$30*'Coincidence Factors'!$B$5*(1+'Inputs-System'!$C$18)*(1+'Inputs-System'!$C$41))*('Inputs-Proposals'!$K$17*'Inputs-Proposals'!$K$19*(1-'Inputs-Proposals'!$K$20))*(VLOOKUP(BX$3,DRIPE!$A$54:$I$82,5,FALSE)-VLOOKUP(BX$3,DRIPE!$A$54:$I$82,6,FALSE)+VLOOKUP(BX$3,DRIPE!$A$54:$I$82,9,FALSE))+ ('Inputs-System'!$C$26*'Coincidence Factors'!$B$5*(1+'Inputs-System'!$C$18)*(1+'Inputs-System'!$C$42))*'Inputs-Proposals'!$K$16*VLOOKUP(BX$3,DRIPE!$A$54:$I$80,8,FALSE), $C53 = "2",( 'Inputs-System'!$C$30*'Coincidence Factors'!$B$5*(1+'Inputs-System'!$C$18)*(1+'Inputs-System'!$C$41))*('Inputs-Proposals'!$K$23*'Inputs-Proposals'!$K$25*(1-'Inputs-Proposals'!$K$26))*(VLOOKUP(BX$3,DRIPE!$A$54:$I$82,5,FALSE)-VLOOKUP(BX$3,DRIPE!$A$54:$I$82,6,FALSE)+VLOOKUP(BX$3,DRIPE!$A$54:$I$82,9,FALSE))+ ('Inputs-System'!$C$26*'Coincidence Factors'!$B$5*(1+'Inputs-System'!$C$18)*(1+'Inputs-System'!$C$41))+ ('Inputs-System'!$C$26*'Coincidence Factors'!$B$5)*'Inputs-Proposals'!$K$22*VLOOKUP(BX$3,DRIPE!$A$54:$I$80,8,FALSE), $C53= "3", ('Inputs-System'!$C$30*'Coincidence Factors'!$B$5)*('Inputs-Proposals'!$K$29*'Inputs-Proposals'!$K$31*(1-'Inputs-Proposals'!$K$32))*(VLOOKUP(BX$3,DRIPE!$A$54:$I$80,5,FALSE)-VLOOKUP(BX$3,DRIPE!$A$54:$I$80,6,FALSE)+VLOOKUP(BX$3,DRIPE!$A$54:$I$80,9,FALSE))+ ('Inputs-System'!$C$26*'Coincidence Factors'!$B$5*(1+'Inputs-System'!$C$18)*(1+'Inputs-System'!$C$42))*'Inputs-Proposals'!$K$28*VLOOKUP(BX$3,DRIPE!$A$54:$I$80,8,FALSE), $C53 = "0", 0), 0)</f>
        <v>0</v>
      </c>
      <c r="CA53" s="326">
        <f>IFERROR(_xlfn.IFS($C53="1",('Inputs-System'!$C$26*'Coincidence Factors'!$B$5*(1+'Inputs-System'!$C$18)*(1+'Inputs-System'!$C$42))*'Inputs-Proposals'!$K$16*(VLOOKUP(BX$3,Capacity!$A$53:$E$85,4,FALSE)*(1+'Inputs-System'!$C$42)+VLOOKUP(BX$3,Capacity!$A$53:$E$85,5,FALSE)*(1+'Inputs-System'!$C$43)*'Inputs-System'!$C$29), $C53 = "2", ('Inputs-System'!$C$26*'Coincidence Factors'!$B$5*(1+'Inputs-System'!$C$18))*'Inputs-Proposals'!$K$22*(VLOOKUP(BX$3,Capacity!$A$53:$E$85,4,FALSE)*(1+'Inputs-System'!$C$42)+VLOOKUP(BX$3,Capacity!$A$53:$E$85,5,FALSE)*'Inputs-System'!$C$29*(1+'Inputs-System'!$C$43)), $C53 = "3", ('Inputs-System'!$C$26*'Coincidence Factors'!$B$5*(1+'Inputs-System'!$C$18))*'Inputs-Proposals'!$K$28*(VLOOKUP(BX$3,Capacity!$A$53:$E$85,4,FALSE)*(1+'Inputs-System'!$C$42)+VLOOKUP(BX$3,Capacity!$A$53:$E$85,5,FALSE)*'Inputs-System'!$C$29*(1+'Inputs-System'!$C$43)), $C53 = "0", 0), 0)</f>
        <v>0</v>
      </c>
      <c r="CB53" s="100">
        <v>0</v>
      </c>
      <c r="CC53" s="346">
        <f>IFERROR(_xlfn.IFS($C53="1", 'Inputs-System'!$C$30*'Coincidence Factors'!$B$5*'Inputs-Proposals'!$K$17*'Inputs-Proposals'!$K$19*(VLOOKUP(BX$3,'Non-Embedded Emissions'!$A$56:$D$90,2,FALSE)+VLOOKUP(BX$3,'Non-Embedded Emissions'!$A$143:$D$174,2,FALSE)+VLOOKUP(BX$3,'Non-Embedded Emissions'!$A$230:$D$259,2,FALSE)-VLOOKUP(BX$3,'Non-Embedded Emissions'!$A$56:$D$90,3,FALSE)-VLOOKUP(BX$3,'Non-Embedded Emissions'!$A$143:$D$174,3,FALSE)-VLOOKUP(BX$3,'Non-Embedded Emissions'!$A$230:$D$259,3,FALSE)), $C53 = "2", 'Inputs-System'!$C$30*'Coincidence Factors'!$B$5*'Inputs-Proposals'!$K$23*'Inputs-Proposals'!$K$25*(VLOOKUP(BX$3,'Non-Embedded Emissions'!$A$56:$D$90,2,FALSE)+VLOOKUP(BX$3,'Non-Embedded Emissions'!$A$143:$D$174,2,FALSE)+VLOOKUP(BX$3,'Non-Embedded Emissions'!$A$230:$D$259,2,FALSE)-VLOOKUP(BX$3,'Non-Embedded Emissions'!$A$56:$D$90,3,FALSE)-VLOOKUP(BX$3,'Non-Embedded Emissions'!$A$143:$D$174,3,FALSE)-VLOOKUP(BX$3,'Non-Embedded Emissions'!$A$230:$D$259,3,FALSE)), $C53 = "3", 'Inputs-System'!$C$30*'Coincidence Factors'!$B$5*'Inputs-Proposals'!$K$29*'Inputs-Proposals'!$K$31*(VLOOKUP(BX$3,'Non-Embedded Emissions'!$A$56:$D$90,2,FALSE)+VLOOKUP(BX$3,'Non-Embedded Emissions'!$A$143:$D$174,2,FALSE)+VLOOKUP(BX$3,'Non-Embedded Emissions'!$A$230:$D$259,2,FALSE)-VLOOKUP(BX$3,'Non-Embedded Emissions'!$A$56:$D$90,3,FALSE)-VLOOKUP(BX$3,'Non-Embedded Emissions'!$A$143:$D$174,3,FALSE)-VLOOKUP(BX$3,'Non-Embedded Emissions'!$A$230:$D$259,3,FALSE)), $C53 = "0", 0), 0)</f>
        <v>0</v>
      </c>
      <c r="CD53" s="344">
        <f>IFERROR(_xlfn.IFS($C53="1",('Inputs-System'!$C$30*'Coincidence Factors'!$B$5*(1+'Inputs-System'!$C$18)*(1+'Inputs-System'!$C$41)*('Inputs-Proposals'!$K$17*'Inputs-Proposals'!$K$19*(1-'Inputs-Proposals'!$K$20))*(VLOOKUP(CD$3,Energy!$A$51:$K$83,5,FALSE)-VLOOKUP(CD$3,Energy!$A$51:$K$83,6,FALSE))), $C53 = "2",('Inputs-System'!$C$30*'Coincidence Factors'!$B$5)*(1+'Inputs-System'!$C$18)*(1+'Inputs-System'!$C$41)*('Inputs-Proposals'!$K$23*'Inputs-Proposals'!$K$25*(1-'Inputs-Proposals'!$K$26))*(VLOOKUP(CD$3,Energy!$A$51:$K$83,5,FALSE)-VLOOKUP(CD$3,Energy!$A$51:$K$83,6,FALSE)), $C53= "3", ('Inputs-System'!$C$30*'Coincidence Factors'!$B$5*(1+'Inputs-System'!$C$18)*(1+'Inputs-System'!$C$41)*('Inputs-Proposals'!$K$29*'Inputs-Proposals'!$K$31*(1-'Inputs-Proposals'!$K$32))*(VLOOKUP(CD$3,Energy!$A$51:$K$83,5,FALSE)-VLOOKUP(CD$3,Energy!$A$51:$K$83,6,FALSE))), $C53= "0", 0), 0)</f>
        <v>0</v>
      </c>
      <c r="CE53" s="100">
        <f>IFERROR(_xlfn.IFS($C53="1", 'Inputs-System'!$C$30*'Coincidence Factors'!$B$5*(1+'Inputs-System'!$C$18)*(1+'Inputs-System'!$C$41)*'Inputs-Proposals'!$K$17*'Inputs-Proposals'!$K$19*(1-'Inputs-Proposals'!$K$20)*(VLOOKUP(CD$3,'Embedded Emissions'!$A$47:$B$78,2,FALSE)+VLOOKUP(CD$3,'Embedded Emissions'!$A$129:$B$158,2,FALSE)), $C53 = "2",'Inputs-System'!$C$30*'Coincidence Factors'!$B$5*(1+'Inputs-System'!$C$18)*(1+'Inputs-System'!$C$41)*'Inputs-Proposals'!$K$23*'Inputs-Proposals'!$K$25*(1-'Inputs-Proposals'!$K$20)*(VLOOKUP(CD$3,'Embedded Emissions'!$A$47:$B$78,2,FALSE)+VLOOKUP(CD$3,'Embedded Emissions'!$A$129:$B$158,2,FALSE)), $C53 = "3", 'Inputs-System'!$C$30*'Coincidence Factors'!$B$5*(1+'Inputs-System'!$C$18)*(1+'Inputs-System'!$C$41)*'Inputs-Proposals'!$K$29*'Inputs-Proposals'!$K$31*(1-'Inputs-Proposals'!$K$20)*(VLOOKUP(CD$3,'Embedded Emissions'!$A$47:$B$78,2,FALSE)+VLOOKUP(CD$3,'Embedded Emissions'!$A$129:$B$158,2,FALSE)), $C53 = "0", 0), 0)</f>
        <v>0</v>
      </c>
      <c r="CF53" s="318">
        <f>IFERROR(_xlfn.IFS($C53="1",( 'Inputs-System'!$C$30*'Coincidence Factors'!$B$5*(1+'Inputs-System'!$C$18)*(1+'Inputs-System'!$C$41))*('Inputs-Proposals'!$K$17*'Inputs-Proposals'!$K$19*(1-'Inputs-Proposals'!$K$20))*(VLOOKUP(CD$3,DRIPE!$A$54:$I$82,5,FALSE)-VLOOKUP(CD$3,DRIPE!$A$54:$I$82,6,FALSE)+VLOOKUP(CD$3,DRIPE!$A$54:$I$82,9,FALSE))+ ('Inputs-System'!$C$26*'Coincidence Factors'!$B$5*(1+'Inputs-System'!$C$18)*(1+'Inputs-System'!$C$42))*'Inputs-Proposals'!$K$16*VLOOKUP(CD$3,DRIPE!$A$54:$I$80,8,FALSE), $C53 = "2",( 'Inputs-System'!$C$30*'Coincidence Factors'!$B$5*(1+'Inputs-System'!$C$18)*(1+'Inputs-System'!$C$41))*('Inputs-Proposals'!$K$23*'Inputs-Proposals'!$K$25*(1-'Inputs-Proposals'!$K$26))*(VLOOKUP(CD$3,DRIPE!$A$54:$I$82,5,FALSE)-VLOOKUP(CD$3,DRIPE!$A$54:$I$82,6,FALSE)+VLOOKUP(CD$3,DRIPE!$A$54:$I$82,9,FALSE))+ ('Inputs-System'!$C$26*'Coincidence Factors'!$B$5*(1+'Inputs-System'!$C$18)*(1+'Inputs-System'!$C$41))+ ('Inputs-System'!$C$26*'Coincidence Factors'!$B$5)*'Inputs-Proposals'!$K$22*VLOOKUP(CD$3,DRIPE!$A$54:$I$80,8,FALSE), $C53= "3", ('Inputs-System'!$C$30*'Coincidence Factors'!$B$5)*('Inputs-Proposals'!$K$29*'Inputs-Proposals'!$K$31*(1-'Inputs-Proposals'!$K$32))*(VLOOKUP(CD$3,DRIPE!$A$54:$I$80,5,FALSE)-VLOOKUP(CD$3,DRIPE!$A$54:$I$80,6,FALSE)+VLOOKUP(CD$3,DRIPE!$A$54:$I$80,9,FALSE))+ ('Inputs-System'!$C$26*'Coincidence Factors'!$B$5*(1+'Inputs-System'!$C$18)*(1+'Inputs-System'!$C$42))*'Inputs-Proposals'!$K$28*VLOOKUP(CD$3,DRIPE!$A$54:$I$80,8,FALSE), $C53 = "0", 0), 0)</f>
        <v>0</v>
      </c>
      <c r="CG53" s="326">
        <f>IFERROR(_xlfn.IFS($C53="1",('Inputs-System'!$C$26*'Coincidence Factors'!$B$5*(1+'Inputs-System'!$C$18)*(1+'Inputs-System'!$C$42))*'Inputs-Proposals'!$K$16*(VLOOKUP(CD$3,Capacity!$A$53:$E$85,4,FALSE)*(1+'Inputs-System'!$C$42)+VLOOKUP(CD$3,Capacity!$A$53:$E$85,5,FALSE)*(1+'Inputs-System'!$C$43)*'Inputs-System'!$C$29), $C53 = "2", ('Inputs-System'!$C$26*'Coincidence Factors'!$B$5*(1+'Inputs-System'!$C$18))*'Inputs-Proposals'!$K$22*(VLOOKUP(CD$3,Capacity!$A$53:$E$85,4,FALSE)*(1+'Inputs-System'!$C$42)+VLOOKUP(CD$3,Capacity!$A$53:$E$85,5,FALSE)*'Inputs-System'!$C$29*(1+'Inputs-System'!$C$43)), $C53 = "3", ('Inputs-System'!$C$26*'Coincidence Factors'!$B$5*(1+'Inputs-System'!$C$18))*'Inputs-Proposals'!$K$28*(VLOOKUP(CD$3,Capacity!$A$53:$E$85,4,FALSE)*(1+'Inputs-System'!$C$42)+VLOOKUP(CD$3,Capacity!$A$53:$E$85,5,FALSE)*'Inputs-System'!$C$29*(1+'Inputs-System'!$C$43)), $C53 = "0", 0), 0)</f>
        <v>0</v>
      </c>
      <c r="CH53" s="100">
        <v>0</v>
      </c>
      <c r="CI53" s="346">
        <f>IFERROR(_xlfn.IFS($C53="1", 'Inputs-System'!$C$30*'Coincidence Factors'!$B$5*'Inputs-Proposals'!$K$17*'Inputs-Proposals'!$K$19*(VLOOKUP(CD$3,'Non-Embedded Emissions'!$A$56:$D$90,2,FALSE)+VLOOKUP(CD$3,'Non-Embedded Emissions'!$A$143:$D$174,2,FALSE)+VLOOKUP(CD$3,'Non-Embedded Emissions'!$A$230:$D$259,2,FALSE)-VLOOKUP(CD$3,'Non-Embedded Emissions'!$A$56:$D$90,3,FALSE)-VLOOKUP(CD$3,'Non-Embedded Emissions'!$A$143:$D$174,3,FALSE)-VLOOKUP(CD$3,'Non-Embedded Emissions'!$A$230:$D$259,3,FALSE)), $C53 = "2", 'Inputs-System'!$C$30*'Coincidence Factors'!$B$5*'Inputs-Proposals'!$K$23*'Inputs-Proposals'!$K$25*(VLOOKUP(CD$3,'Non-Embedded Emissions'!$A$56:$D$90,2,FALSE)+VLOOKUP(CD$3,'Non-Embedded Emissions'!$A$143:$D$174,2,FALSE)+VLOOKUP(CD$3,'Non-Embedded Emissions'!$A$230:$D$259,2,FALSE)-VLOOKUP(CD$3,'Non-Embedded Emissions'!$A$56:$D$90,3,FALSE)-VLOOKUP(CD$3,'Non-Embedded Emissions'!$A$143:$D$174,3,FALSE)-VLOOKUP(CD$3,'Non-Embedded Emissions'!$A$230:$D$259,3,FALSE)), $C53 = "3", 'Inputs-System'!$C$30*'Coincidence Factors'!$B$5*'Inputs-Proposals'!$K$29*'Inputs-Proposals'!$K$31*(VLOOKUP(CD$3,'Non-Embedded Emissions'!$A$56:$D$90,2,FALSE)+VLOOKUP(CD$3,'Non-Embedded Emissions'!$A$143:$D$174,2,FALSE)+VLOOKUP(CD$3,'Non-Embedded Emissions'!$A$230:$D$259,2,FALSE)-VLOOKUP(CD$3,'Non-Embedded Emissions'!$A$56:$D$90,3,FALSE)-VLOOKUP(CD$3,'Non-Embedded Emissions'!$A$143:$D$174,3,FALSE)-VLOOKUP(CD$3,'Non-Embedded Emissions'!$A$230:$D$259,3,FALSE)), $C53 = "0", 0), 0)</f>
        <v>0</v>
      </c>
      <c r="CJ53" s="344">
        <f>IFERROR(_xlfn.IFS($C53="1",('Inputs-System'!$C$30*'Coincidence Factors'!$B$5*(1+'Inputs-System'!$C$18)*(1+'Inputs-System'!$C$41)*('Inputs-Proposals'!$K$17*'Inputs-Proposals'!$K$19*(1-'Inputs-Proposals'!$K$20))*(VLOOKUP(CJ$3,Energy!$A$51:$K$83,5,FALSE)-VLOOKUP(CJ$3,Energy!$A$51:$K$83,6,FALSE))), $C53 = "2",('Inputs-System'!$C$30*'Coincidence Factors'!$B$5)*(1+'Inputs-System'!$C$18)*(1+'Inputs-System'!$C$41)*('Inputs-Proposals'!$K$23*'Inputs-Proposals'!$K$25*(1-'Inputs-Proposals'!$K$26))*(VLOOKUP(CJ$3,Energy!$A$51:$K$83,5,FALSE)-VLOOKUP(CJ$3,Energy!$A$51:$K$83,6,FALSE)), $C53= "3", ('Inputs-System'!$C$30*'Coincidence Factors'!$B$5*(1+'Inputs-System'!$C$18)*(1+'Inputs-System'!$C$41)*('Inputs-Proposals'!$K$29*'Inputs-Proposals'!$K$31*(1-'Inputs-Proposals'!$K$32))*(VLOOKUP(CJ$3,Energy!$A$51:$K$83,5,FALSE)-VLOOKUP(CJ$3,Energy!$A$51:$K$83,6,FALSE))), $C53= "0", 0), 0)</f>
        <v>0</v>
      </c>
      <c r="CK53" s="100">
        <f>IFERROR(_xlfn.IFS($C53="1", 'Inputs-System'!$C$30*'Coincidence Factors'!$B$5*(1+'Inputs-System'!$C$18)*(1+'Inputs-System'!$C$41)*'Inputs-Proposals'!$K$17*'Inputs-Proposals'!$K$19*(1-'Inputs-Proposals'!$K$20)*(VLOOKUP(CJ$3,'Embedded Emissions'!$A$47:$B$78,2,FALSE)+VLOOKUP(CJ$3,'Embedded Emissions'!$A$129:$B$158,2,FALSE)), $C53 = "2",'Inputs-System'!$C$30*'Coincidence Factors'!$B$5*(1+'Inputs-System'!$C$18)*(1+'Inputs-System'!$C$41)*'Inputs-Proposals'!$K$23*'Inputs-Proposals'!$K$25*(1-'Inputs-Proposals'!$K$20)*(VLOOKUP(CJ$3,'Embedded Emissions'!$A$47:$B$78,2,FALSE)+VLOOKUP(CJ$3,'Embedded Emissions'!$A$129:$B$158,2,FALSE)), $C53 = "3", 'Inputs-System'!$C$30*'Coincidence Factors'!$B$5*(1+'Inputs-System'!$C$18)*(1+'Inputs-System'!$C$41)*'Inputs-Proposals'!$K$29*'Inputs-Proposals'!$K$31*(1-'Inputs-Proposals'!$K$20)*(VLOOKUP(CJ$3,'Embedded Emissions'!$A$47:$B$78,2,FALSE)+VLOOKUP(CJ$3,'Embedded Emissions'!$A$129:$B$158,2,FALSE)), $C53 = "0", 0), 0)</f>
        <v>0</v>
      </c>
      <c r="CL53" s="318">
        <f>IFERROR(_xlfn.IFS($C53="1",( 'Inputs-System'!$C$30*'Coincidence Factors'!$B$5*(1+'Inputs-System'!$C$18)*(1+'Inputs-System'!$C$41))*('Inputs-Proposals'!$K$17*'Inputs-Proposals'!$K$19*(1-'Inputs-Proposals'!$K$20))*(VLOOKUP(CJ$3,DRIPE!$A$54:$I$82,5,FALSE)-VLOOKUP(CJ$3,DRIPE!$A$54:$I$82,6,FALSE)+VLOOKUP(CJ$3,DRIPE!$A$54:$I$82,9,FALSE))+ ('Inputs-System'!$C$26*'Coincidence Factors'!$B$5*(1+'Inputs-System'!$C$18)*(1+'Inputs-System'!$C$42))*'Inputs-Proposals'!$K$16*VLOOKUP(CJ$3,DRIPE!$A$54:$I$80,8,FALSE), $C53 = "2",( 'Inputs-System'!$C$30*'Coincidence Factors'!$B$5*(1+'Inputs-System'!$C$18)*(1+'Inputs-System'!$C$41))*('Inputs-Proposals'!$K$23*'Inputs-Proposals'!$K$25*(1-'Inputs-Proposals'!$K$26))*(VLOOKUP(CJ$3,DRIPE!$A$54:$I$82,5,FALSE)-VLOOKUP(CJ$3,DRIPE!$A$54:$I$82,6,FALSE)+VLOOKUP(CJ$3,DRIPE!$A$54:$I$82,9,FALSE))+ ('Inputs-System'!$C$26*'Coincidence Factors'!$B$5*(1+'Inputs-System'!$C$18)*(1+'Inputs-System'!$C$41))+ ('Inputs-System'!$C$26*'Coincidence Factors'!$B$5)*'Inputs-Proposals'!$K$22*VLOOKUP(CJ$3,DRIPE!$A$54:$I$80,8,FALSE), $C53= "3", ('Inputs-System'!$C$30*'Coincidence Factors'!$B$5)*('Inputs-Proposals'!$K$29*'Inputs-Proposals'!$K$31*(1-'Inputs-Proposals'!$K$32))*(VLOOKUP(CJ$3,DRIPE!$A$54:$I$80,5,FALSE)-VLOOKUP(CJ$3,DRIPE!$A$54:$I$80,6,FALSE)+VLOOKUP(CJ$3,DRIPE!$A$54:$I$80,9,FALSE))+ ('Inputs-System'!$C$26*'Coincidence Factors'!$B$5*(1+'Inputs-System'!$C$18)*(1+'Inputs-System'!$C$42))*'Inputs-Proposals'!$K$28*VLOOKUP(CJ$3,DRIPE!$A$54:$I$80,8,FALSE), $C53 = "0", 0), 0)</f>
        <v>0</v>
      </c>
      <c r="CM53" s="326">
        <f>IFERROR(_xlfn.IFS($C53="1",('Inputs-System'!$C$26*'Coincidence Factors'!$B$5*(1+'Inputs-System'!$C$18)*(1+'Inputs-System'!$C$42))*'Inputs-Proposals'!$K$16*(VLOOKUP(CJ$3,Capacity!$A$53:$E$85,4,FALSE)*(1+'Inputs-System'!$C$42)+VLOOKUP(CJ$3,Capacity!$A$53:$E$85,5,FALSE)*(1+'Inputs-System'!$C$43)*'Inputs-System'!$C$29), $C53 = "2", ('Inputs-System'!$C$26*'Coincidence Factors'!$B$5*(1+'Inputs-System'!$C$18))*'Inputs-Proposals'!$K$22*(VLOOKUP(CJ$3,Capacity!$A$53:$E$85,4,FALSE)*(1+'Inputs-System'!$C$42)+VLOOKUP(CJ$3,Capacity!$A$53:$E$85,5,FALSE)*'Inputs-System'!$C$29*(1+'Inputs-System'!$C$43)), $C53 = "3", ('Inputs-System'!$C$26*'Coincidence Factors'!$B$5*(1+'Inputs-System'!$C$18))*'Inputs-Proposals'!$K$28*(VLOOKUP(CJ$3,Capacity!$A$53:$E$85,4,FALSE)*(1+'Inputs-System'!$C$42)+VLOOKUP(CJ$3,Capacity!$A$53:$E$85,5,FALSE)*'Inputs-System'!$C$29*(1+'Inputs-System'!$C$43)), $C53 = "0", 0), 0)</f>
        <v>0</v>
      </c>
      <c r="CN53" s="100">
        <v>0</v>
      </c>
      <c r="CO53" s="346">
        <f>IFERROR(_xlfn.IFS($C53="1", 'Inputs-System'!$C$30*'Coincidence Factors'!$B$5*'Inputs-Proposals'!$K$17*'Inputs-Proposals'!$K$19*(VLOOKUP(CJ$3,'Non-Embedded Emissions'!$A$56:$D$90,2,FALSE)+VLOOKUP(CJ$3,'Non-Embedded Emissions'!$A$143:$D$174,2,FALSE)+VLOOKUP(CJ$3,'Non-Embedded Emissions'!$A$230:$D$259,2,FALSE)-VLOOKUP(CJ$3,'Non-Embedded Emissions'!$A$56:$D$90,3,FALSE)-VLOOKUP(CJ$3,'Non-Embedded Emissions'!$A$143:$D$174,3,FALSE)-VLOOKUP(CJ$3,'Non-Embedded Emissions'!$A$230:$D$259,3,FALSE)), $C53 = "2", 'Inputs-System'!$C$30*'Coincidence Factors'!$B$5*'Inputs-Proposals'!$K$23*'Inputs-Proposals'!$K$25*(VLOOKUP(CJ$3,'Non-Embedded Emissions'!$A$56:$D$90,2,FALSE)+VLOOKUP(CJ$3,'Non-Embedded Emissions'!$A$143:$D$174,2,FALSE)+VLOOKUP(CJ$3,'Non-Embedded Emissions'!$A$230:$D$259,2,FALSE)-VLOOKUP(CJ$3,'Non-Embedded Emissions'!$A$56:$D$90,3,FALSE)-VLOOKUP(CJ$3,'Non-Embedded Emissions'!$A$143:$D$174,3,FALSE)-VLOOKUP(CJ$3,'Non-Embedded Emissions'!$A$230:$D$259,3,FALSE)), $C53 = "3", 'Inputs-System'!$C$30*'Coincidence Factors'!$B$5*'Inputs-Proposals'!$K$29*'Inputs-Proposals'!$K$31*(VLOOKUP(CJ$3,'Non-Embedded Emissions'!$A$56:$D$90,2,FALSE)+VLOOKUP(CJ$3,'Non-Embedded Emissions'!$A$143:$D$174,2,FALSE)+VLOOKUP(CJ$3,'Non-Embedded Emissions'!$A$230:$D$259,2,FALSE)-VLOOKUP(CJ$3,'Non-Embedded Emissions'!$A$56:$D$90,3,FALSE)-VLOOKUP(CJ$3,'Non-Embedded Emissions'!$A$143:$D$174,3,FALSE)-VLOOKUP(CJ$3,'Non-Embedded Emissions'!$A$230:$D$259,3,FALSE)), $C53 = "0", 0), 0)</f>
        <v>0</v>
      </c>
      <c r="CP53" s="344">
        <f>IFERROR(_xlfn.IFS($C53="1",('Inputs-System'!$C$30*'Coincidence Factors'!$B$5*(1+'Inputs-System'!$C$18)*(1+'Inputs-System'!$C$41)*('Inputs-Proposals'!$K$17*'Inputs-Proposals'!$K$19*(1-'Inputs-Proposals'!$K$20))*(VLOOKUP(CP$3,Energy!$A$51:$K$83,5,FALSE)-VLOOKUP(CP$3,Energy!$A$51:$K$83,6,FALSE))), $C53 = "2",('Inputs-System'!$C$30*'Coincidence Factors'!$B$5)*(1+'Inputs-System'!$C$18)*(1+'Inputs-System'!$C$41)*('Inputs-Proposals'!$K$23*'Inputs-Proposals'!$K$25*(1-'Inputs-Proposals'!$K$26))*(VLOOKUP(CP$3,Energy!$A$51:$K$83,5,FALSE)-VLOOKUP(CP$3,Energy!$A$51:$K$83,6,FALSE)), $C53= "3", ('Inputs-System'!$C$30*'Coincidence Factors'!$B$5*(1+'Inputs-System'!$C$18)*(1+'Inputs-System'!$C$41)*('Inputs-Proposals'!$K$29*'Inputs-Proposals'!$K$31*(1-'Inputs-Proposals'!$K$32))*(VLOOKUP(CP$3,Energy!$A$51:$K$83,5,FALSE)-VLOOKUP(CP$3,Energy!$A$51:$K$83,6,FALSE))), $C53= "0", 0), 0)</f>
        <v>0</v>
      </c>
      <c r="CQ53" s="100">
        <f>IFERROR(_xlfn.IFS($C53="1", 'Inputs-System'!$C$30*'Coincidence Factors'!$B$5*(1+'Inputs-System'!$C$18)*(1+'Inputs-System'!$C$41)*'Inputs-Proposals'!$K$17*'Inputs-Proposals'!$K$19*(1-'Inputs-Proposals'!$K$20)*(VLOOKUP(CP$3,'Embedded Emissions'!$A$47:$B$78,2,FALSE)+VLOOKUP(CP$3,'Embedded Emissions'!$A$129:$B$158,2,FALSE)), $C53 = "2",'Inputs-System'!$C$30*'Coincidence Factors'!$B$5*(1+'Inputs-System'!$C$18)*(1+'Inputs-System'!$C$41)*'Inputs-Proposals'!$K$23*'Inputs-Proposals'!$K$25*(1-'Inputs-Proposals'!$K$20)*(VLOOKUP(CP$3,'Embedded Emissions'!$A$47:$B$78,2,FALSE)+VLOOKUP(CP$3,'Embedded Emissions'!$A$129:$B$158,2,FALSE)), $C53 = "3", 'Inputs-System'!$C$30*'Coincidence Factors'!$B$5*(1+'Inputs-System'!$C$18)*(1+'Inputs-System'!$C$41)*'Inputs-Proposals'!$K$29*'Inputs-Proposals'!$K$31*(1-'Inputs-Proposals'!$K$20)*(VLOOKUP(CP$3,'Embedded Emissions'!$A$47:$B$78,2,FALSE)+VLOOKUP(CP$3,'Embedded Emissions'!$A$129:$B$158,2,FALSE)), $C53 = "0", 0), 0)</f>
        <v>0</v>
      </c>
      <c r="CR53" s="318">
        <f>IFERROR(_xlfn.IFS($C53="1",( 'Inputs-System'!$C$30*'Coincidence Factors'!$B$5*(1+'Inputs-System'!$C$18)*(1+'Inputs-System'!$C$41))*('Inputs-Proposals'!$K$17*'Inputs-Proposals'!$K$19*(1-'Inputs-Proposals'!$K$20))*(VLOOKUP(CP$3,DRIPE!$A$54:$I$82,5,FALSE)-VLOOKUP(CP$3,DRIPE!$A$54:$I$82,6,FALSE)+VLOOKUP(CP$3,DRIPE!$A$54:$I$82,9,FALSE))+ ('Inputs-System'!$C$26*'Coincidence Factors'!$B$5*(1+'Inputs-System'!$C$18)*(1+'Inputs-System'!$C$42))*'Inputs-Proposals'!$K$16*VLOOKUP(CP$3,DRIPE!$A$54:$I$80,8,FALSE), $C53 = "2",( 'Inputs-System'!$C$30*'Coincidence Factors'!$B$5*(1+'Inputs-System'!$C$18)*(1+'Inputs-System'!$C$41))*('Inputs-Proposals'!$K$23*'Inputs-Proposals'!$K$25*(1-'Inputs-Proposals'!$K$26))*(VLOOKUP(CP$3,DRIPE!$A$54:$I$82,5,FALSE)-VLOOKUP(CP$3,DRIPE!$A$54:$I$82,6,FALSE)+VLOOKUP(CP$3,DRIPE!$A$54:$I$82,9,FALSE))+ ('Inputs-System'!$C$26*'Coincidence Factors'!$B$5*(1+'Inputs-System'!$C$18)*(1+'Inputs-System'!$C$41))+ ('Inputs-System'!$C$26*'Coincidence Factors'!$B$5)*'Inputs-Proposals'!$K$22*VLOOKUP(CP$3,DRIPE!$A$54:$I$80,8,FALSE), $C53= "3", ('Inputs-System'!$C$30*'Coincidence Factors'!$B$5)*('Inputs-Proposals'!$K$29*'Inputs-Proposals'!$K$31*(1-'Inputs-Proposals'!$K$32))*(VLOOKUP(CP$3,DRIPE!$A$54:$I$80,5,FALSE)-VLOOKUP(CP$3,DRIPE!$A$54:$I$80,6,FALSE)+VLOOKUP(CP$3,DRIPE!$A$54:$I$80,9,FALSE))+ ('Inputs-System'!$C$26*'Coincidence Factors'!$B$5*(1+'Inputs-System'!$C$18)*(1+'Inputs-System'!$C$42))*'Inputs-Proposals'!$K$28*VLOOKUP(CP$3,DRIPE!$A$54:$I$80,8,FALSE), $C53 = "0", 0), 0)</f>
        <v>0</v>
      </c>
      <c r="CS53" s="326">
        <f>IFERROR(_xlfn.IFS($C53="1",('Inputs-System'!$C$26*'Coincidence Factors'!$B$5*(1+'Inputs-System'!$C$18)*(1+'Inputs-System'!$C$42))*'Inputs-Proposals'!$K$16*(VLOOKUP(CP$3,Capacity!$A$53:$E$85,4,FALSE)*(1+'Inputs-System'!$C$42)+VLOOKUP(CP$3,Capacity!$A$53:$E$85,5,FALSE)*(1+'Inputs-System'!$C$43)*'Inputs-System'!$C$29), $C53 = "2", ('Inputs-System'!$C$26*'Coincidence Factors'!$B$5*(1+'Inputs-System'!$C$18))*'Inputs-Proposals'!$K$22*(VLOOKUP(CP$3,Capacity!$A$53:$E$85,4,FALSE)*(1+'Inputs-System'!$C$42)+VLOOKUP(CP$3,Capacity!$A$53:$E$85,5,FALSE)*'Inputs-System'!$C$29*(1+'Inputs-System'!$C$43)), $C53 = "3", ('Inputs-System'!$C$26*'Coincidence Factors'!$B$5*(1+'Inputs-System'!$C$18))*'Inputs-Proposals'!$K$28*(VLOOKUP(CP$3,Capacity!$A$53:$E$85,4,FALSE)*(1+'Inputs-System'!$C$42)+VLOOKUP(CP$3,Capacity!$A$53:$E$85,5,FALSE)*'Inputs-System'!$C$29*(1+'Inputs-System'!$C$43)), $C53 = "0", 0), 0)</f>
        <v>0</v>
      </c>
      <c r="CT53" s="100">
        <v>0</v>
      </c>
      <c r="CU53" s="346">
        <f>IFERROR(_xlfn.IFS($C53="1", 'Inputs-System'!$C$30*'Coincidence Factors'!$B$5*'Inputs-Proposals'!$K$17*'Inputs-Proposals'!$K$19*(VLOOKUP(CP$3,'Non-Embedded Emissions'!$A$56:$D$90,2,FALSE)+VLOOKUP(CP$3,'Non-Embedded Emissions'!$A$143:$D$174,2,FALSE)+VLOOKUP(CP$3,'Non-Embedded Emissions'!$A$230:$D$259,2,FALSE)-VLOOKUP(CP$3,'Non-Embedded Emissions'!$A$56:$D$90,3,FALSE)-VLOOKUP(CP$3,'Non-Embedded Emissions'!$A$143:$D$174,3,FALSE)-VLOOKUP(CP$3,'Non-Embedded Emissions'!$A$230:$D$259,3,FALSE)), $C53 = "2", 'Inputs-System'!$C$30*'Coincidence Factors'!$B$5*'Inputs-Proposals'!$K$23*'Inputs-Proposals'!$K$25*(VLOOKUP(CP$3,'Non-Embedded Emissions'!$A$56:$D$90,2,FALSE)+VLOOKUP(CP$3,'Non-Embedded Emissions'!$A$143:$D$174,2,FALSE)+VLOOKUP(CP$3,'Non-Embedded Emissions'!$A$230:$D$259,2,FALSE)-VLOOKUP(CP$3,'Non-Embedded Emissions'!$A$56:$D$90,3,FALSE)-VLOOKUP(CP$3,'Non-Embedded Emissions'!$A$143:$D$174,3,FALSE)-VLOOKUP(CP$3,'Non-Embedded Emissions'!$A$230:$D$259,3,FALSE)), $C53 = "3", 'Inputs-System'!$C$30*'Coincidence Factors'!$B$5*'Inputs-Proposals'!$K$29*'Inputs-Proposals'!$K$31*(VLOOKUP(CP$3,'Non-Embedded Emissions'!$A$56:$D$90,2,FALSE)+VLOOKUP(CP$3,'Non-Embedded Emissions'!$A$143:$D$174,2,FALSE)+VLOOKUP(CP$3,'Non-Embedded Emissions'!$A$230:$D$259,2,FALSE)-VLOOKUP(CP$3,'Non-Embedded Emissions'!$A$56:$D$90,3,FALSE)-VLOOKUP(CP$3,'Non-Embedded Emissions'!$A$143:$D$174,3,FALSE)-VLOOKUP(CP$3,'Non-Embedded Emissions'!$A$230:$D$259,3,FALSE)), $C53 = "0", 0), 0)</f>
        <v>0</v>
      </c>
      <c r="CV53" s="344">
        <f>IFERROR(_xlfn.IFS($C53="1",('Inputs-System'!$C$30*'Coincidence Factors'!$B$5*(1+'Inputs-System'!$C$18)*(1+'Inputs-System'!$C$41)*('Inputs-Proposals'!$K$17*'Inputs-Proposals'!$K$19*(1-'Inputs-Proposals'!$K$20))*(VLOOKUP(CV$3,Energy!$A$51:$K$83,5,FALSE)-VLOOKUP(CV$3,Energy!$A$51:$K$83,6,FALSE))), $C53 = "2",('Inputs-System'!$C$30*'Coincidence Factors'!$B$5)*(1+'Inputs-System'!$C$18)*(1+'Inputs-System'!$C$41)*('Inputs-Proposals'!$K$23*'Inputs-Proposals'!$K$25*(1-'Inputs-Proposals'!$K$26))*(VLOOKUP(CV$3,Energy!$A$51:$K$83,5,FALSE)-VLOOKUP(CV$3,Energy!$A$51:$K$83,6,FALSE)), $C53= "3", ('Inputs-System'!$C$30*'Coincidence Factors'!$B$5*(1+'Inputs-System'!$C$18)*(1+'Inputs-System'!$C$41)*('Inputs-Proposals'!$K$29*'Inputs-Proposals'!$K$31*(1-'Inputs-Proposals'!$K$32))*(VLOOKUP(CV$3,Energy!$A$51:$K$83,5,FALSE)-VLOOKUP(CV$3,Energy!$A$51:$K$83,6,FALSE))), $C53= "0", 0), 0)</f>
        <v>0</v>
      </c>
      <c r="CW53" s="100">
        <f>IFERROR(_xlfn.IFS($C53="1", 'Inputs-System'!$C$30*'Coincidence Factors'!$B$5*(1+'Inputs-System'!$C$18)*(1+'Inputs-System'!$C$41)*'Inputs-Proposals'!$K$17*'Inputs-Proposals'!$K$19*(1-'Inputs-Proposals'!$K$20)*(VLOOKUP(CV$3,'Embedded Emissions'!$A$47:$B$78,2,FALSE)+VLOOKUP(CV$3,'Embedded Emissions'!$A$129:$B$158,2,FALSE)), $C53 = "2",'Inputs-System'!$C$30*'Coincidence Factors'!$B$5*(1+'Inputs-System'!$C$18)*(1+'Inputs-System'!$C$41)*'Inputs-Proposals'!$K$23*'Inputs-Proposals'!$K$25*(1-'Inputs-Proposals'!$K$20)*(VLOOKUP(CV$3,'Embedded Emissions'!$A$47:$B$78,2,FALSE)+VLOOKUP(CV$3,'Embedded Emissions'!$A$129:$B$158,2,FALSE)), $C53 = "3", 'Inputs-System'!$C$30*'Coincidence Factors'!$B$5*(1+'Inputs-System'!$C$18)*(1+'Inputs-System'!$C$41)*'Inputs-Proposals'!$K$29*'Inputs-Proposals'!$K$31*(1-'Inputs-Proposals'!$K$20)*(VLOOKUP(CV$3,'Embedded Emissions'!$A$47:$B$78,2,FALSE)+VLOOKUP(CV$3,'Embedded Emissions'!$A$129:$B$158,2,FALSE)), $C53 = "0", 0), 0)</f>
        <v>0</v>
      </c>
      <c r="CX53" s="318">
        <f>IFERROR(_xlfn.IFS($C53="1",( 'Inputs-System'!$C$30*'Coincidence Factors'!$B$5*(1+'Inputs-System'!$C$18)*(1+'Inputs-System'!$C$41))*('Inputs-Proposals'!$K$17*'Inputs-Proposals'!$K$19*(1-'Inputs-Proposals'!$K$20))*(VLOOKUP(CV$3,DRIPE!$A$54:$I$82,5,FALSE)-VLOOKUP(CV$3,DRIPE!$A$54:$I$82,6,FALSE)+VLOOKUP(CV$3,DRIPE!$A$54:$I$82,9,FALSE))+ ('Inputs-System'!$C$26*'Coincidence Factors'!$B$5*(1+'Inputs-System'!$C$18)*(1+'Inputs-System'!$C$42))*'Inputs-Proposals'!$K$16*VLOOKUP(CV$3,DRIPE!$A$54:$I$80,8,FALSE), $C53 = "2",( 'Inputs-System'!$C$30*'Coincidence Factors'!$B$5*(1+'Inputs-System'!$C$18)*(1+'Inputs-System'!$C$41))*('Inputs-Proposals'!$K$23*'Inputs-Proposals'!$K$25*(1-'Inputs-Proposals'!$K$26))*(VLOOKUP(CV$3,DRIPE!$A$54:$I$82,5,FALSE)-VLOOKUP(CV$3,DRIPE!$A$54:$I$82,6,FALSE)+VLOOKUP(CV$3,DRIPE!$A$54:$I$82,9,FALSE))+ ('Inputs-System'!$C$26*'Coincidence Factors'!$B$5*(1+'Inputs-System'!$C$18)*(1+'Inputs-System'!$C$41))+ ('Inputs-System'!$C$26*'Coincidence Factors'!$B$5)*'Inputs-Proposals'!$K$22*VLOOKUP(CV$3,DRIPE!$A$54:$I$80,8,FALSE), $C53= "3", ('Inputs-System'!$C$30*'Coincidence Factors'!$B$5)*('Inputs-Proposals'!$K$29*'Inputs-Proposals'!$K$31*(1-'Inputs-Proposals'!$K$32))*(VLOOKUP(CV$3,DRIPE!$A$54:$I$80,5,FALSE)-VLOOKUP(CV$3,DRIPE!$A$54:$I$80,6,FALSE)+VLOOKUP(CV$3,DRIPE!$A$54:$I$80,9,FALSE))+ ('Inputs-System'!$C$26*'Coincidence Factors'!$B$5*(1+'Inputs-System'!$C$18)*(1+'Inputs-System'!$C$42))*'Inputs-Proposals'!$K$28*VLOOKUP(CV$3,DRIPE!$A$54:$I$80,8,FALSE), $C53 = "0", 0), 0)</f>
        <v>0</v>
      </c>
      <c r="CY53" s="326">
        <f>IFERROR(_xlfn.IFS($C53="1",('Inputs-System'!$C$26*'Coincidence Factors'!$B$5*(1+'Inputs-System'!$C$18)*(1+'Inputs-System'!$C$42))*'Inputs-Proposals'!$K$16*(VLOOKUP(CV$3,Capacity!$A$53:$E$85,4,FALSE)*(1+'Inputs-System'!$C$42)+VLOOKUP(CV$3,Capacity!$A$53:$E$85,5,FALSE)*(1+'Inputs-System'!$C$43)*'Inputs-System'!$C$29), $C53 = "2", ('Inputs-System'!$C$26*'Coincidence Factors'!$B$5*(1+'Inputs-System'!$C$18))*'Inputs-Proposals'!$K$22*(VLOOKUP(CV$3,Capacity!$A$53:$E$85,4,FALSE)*(1+'Inputs-System'!$C$42)+VLOOKUP(CV$3,Capacity!$A$53:$E$85,5,FALSE)*'Inputs-System'!$C$29*(1+'Inputs-System'!$C$43)), $C53 = "3", ('Inputs-System'!$C$26*'Coincidence Factors'!$B$5*(1+'Inputs-System'!$C$18))*'Inputs-Proposals'!$K$28*(VLOOKUP(CV$3,Capacity!$A$53:$E$85,4,FALSE)*(1+'Inputs-System'!$C$42)+VLOOKUP(CV$3,Capacity!$A$53:$E$85,5,FALSE)*'Inputs-System'!$C$29*(1+'Inputs-System'!$C$43)), $C53 = "0", 0), 0)</f>
        <v>0</v>
      </c>
      <c r="CZ53" s="100">
        <v>0</v>
      </c>
      <c r="DA53" s="346">
        <f>IFERROR(_xlfn.IFS($C53="1", 'Inputs-System'!$C$30*'Coincidence Factors'!$B$5*'Inputs-Proposals'!$K$17*'Inputs-Proposals'!$K$19*(VLOOKUP(CV$3,'Non-Embedded Emissions'!$A$56:$D$90,2,FALSE)+VLOOKUP(CV$3,'Non-Embedded Emissions'!$A$143:$D$174,2,FALSE)+VLOOKUP(CV$3,'Non-Embedded Emissions'!$A$230:$D$259,2,FALSE)-VLOOKUP(CV$3,'Non-Embedded Emissions'!$A$56:$D$90,3,FALSE)-VLOOKUP(CV$3,'Non-Embedded Emissions'!$A$143:$D$174,3,FALSE)-VLOOKUP(CV$3,'Non-Embedded Emissions'!$A$230:$D$259,3,FALSE)), $C53 = "2", 'Inputs-System'!$C$30*'Coincidence Factors'!$B$5*'Inputs-Proposals'!$K$23*'Inputs-Proposals'!$K$25*(VLOOKUP(CV$3,'Non-Embedded Emissions'!$A$56:$D$90,2,FALSE)+VLOOKUP(CV$3,'Non-Embedded Emissions'!$A$143:$D$174,2,FALSE)+VLOOKUP(CV$3,'Non-Embedded Emissions'!$A$230:$D$259,2,FALSE)-VLOOKUP(CV$3,'Non-Embedded Emissions'!$A$56:$D$90,3,FALSE)-VLOOKUP(CV$3,'Non-Embedded Emissions'!$A$143:$D$174,3,FALSE)-VLOOKUP(CV$3,'Non-Embedded Emissions'!$A$230:$D$259,3,FALSE)), $C53 = "3", 'Inputs-System'!$C$30*'Coincidence Factors'!$B$5*'Inputs-Proposals'!$K$29*'Inputs-Proposals'!$K$31*(VLOOKUP(CV$3,'Non-Embedded Emissions'!$A$56:$D$90,2,FALSE)+VLOOKUP(CV$3,'Non-Embedded Emissions'!$A$143:$D$174,2,FALSE)+VLOOKUP(CV$3,'Non-Embedded Emissions'!$A$230:$D$259,2,FALSE)-VLOOKUP(CV$3,'Non-Embedded Emissions'!$A$56:$D$90,3,FALSE)-VLOOKUP(CV$3,'Non-Embedded Emissions'!$A$143:$D$174,3,FALSE)-VLOOKUP(CV$3,'Non-Embedded Emissions'!$A$230:$D$259,3,FALSE)), $C53 = "0", 0), 0)</f>
        <v>0</v>
      </c>
      <c r="DB53" s="344">
        <f>IFERROR(_xlfn.IFS($C53="1",('Inputs-System'!$C$30*'Coincidence Factors'!$B$5*(1+'Inputs-System'!$C$18)*(1+'Inputs-System'!$C$41)*('Inputs-Proposals'!$K$17*'Inputs-Proposals'!$K$19*(1-'Inputs-Proposals'!$K$20))*(VLOOKUP(DB$3,Energy!$A$51:$K$83,5,FALSE)-VLOOKUP(DB$3,Energy!$A$51:$K$83,6,FALSE))), $C53 = "2",('Inputs-System'!$C$30*'Coincidence Factors'!$B$5)*(1+'Inputs-System'!$C$18)*(1+'Inputs-System'!$C$41)*('Inputs-Proposals'!$K$23*'Inputs-Proposals'!$K$25*(1-'Inputs-Proposals'!$K$26))*(VLOOKUP(DB$3,Energy!$A$51:$K$83,5,FALSE)-VLOOKUP(DB$3,Energy!$A$51:$K$83,6,FALSE)), $C53= "3", ('Inputs-System'!$C$30*'Coincidence Factors'!$B$5*(1+'Inputs-System'!$C$18)*(1+'Inputs-System'!$C$41)*('Inputs-Proposals'!$K$29*'Inputs-Proposals'!$K$31*(1-'Inputs-Proposals'!$K$32))*(VLOOKUP(DB$3,Energy!$A$51:$K$83,5,FALSE)-VLOOKUP(DB$3,Energy!$A$51:$K$83,6,FALSE))), $C53= "0", 0), 0)</f>
        <v>0</v>
      </c>
      <c r="DC53" s="100">
        <f>IFERROR(_xlfn.IFS($C53="1", 'Inputs-System'!$C$30*'Coincidence Factors'!$B$5*(1+'Inputs-System'!$C$18)*(1+'Inputs-System'!$C$41)*'Inputs-Proposals'!$K$17*'Inputs-Proposals'!$K$19*(1-'Inputs-Proposals'!$K$20)*(VLOOKUP(DB$3,'Embedded Emissions'!$A$47:$B$78,2,FALSE)+VLOOKUP(DB$3,'Embedded Emissions'!$A$129:$B$158,2,FALSE)), $C53 = "2",'Inputs-System'!$C$30*'Coincidence Factors'!$B$5*(1+'Inputs-System'!$C$18)*(1+'Inputs-System'!$C$41)*'Inputs-Proposals'!$K$23*'Inputs-Proposals'!$K$25*(1-'Inputs-Proposals'!$K$20)*(VLOOKUP(DB$3,'Embedded Emissions'!$A$47:$B$78,2,FALSE)+VLOOKUP(DB$3,'Embedded Emissions'!$A$129:$B$158,2,FALSE)), $C53 = "3", 'Inputs-System'!$C$30*'Coincidence Factors'!$B$5*(1+'Inputs-System'!$C$18)*(1+'Inputs-System'!$C$41)*'Inputs-Proposals'!$K$29*'Inputs-Proposals'!$K$31*(1-'Inputs-Proposals'!$K$20)*(VLOOKUP(DB$3,'Embedded Emissions'!$A$47:$B$78,2,FALSE)+VLOOKUP(DB$3,'Embedded Emissions'!$A$129:$B$158,2,FALSE)), $C53 = "0", 0), 0)</f>
        <v>0</v>
      </c>
      <c r="DD53" s="318">
        <f>IFERROR(_xlfn.IFS($C53="1",( 'Inputs-System'!$C$30*'Coincidence Factors'!$B$5*(1+'Inputs-System'!$C$18)*(1+'Inputs-System'!$C$41))*('Inputs-Proposals'!$K$17*'Inputs-Proposals'!$K$19*(1-'Inputs-Proposals'!$K$20))*(VLOOKUP(DB$3,DRIPE!$A$54:$I$82,5,FALSE)-VLOOKUP(DB$3,DRIPE!$A$54:$I$82,6,FALSE)+VLOOKUP(DB$3,DRIPE!$A$54:$I$82,9,FALSE))+ ('Inputs-System'!$C$26*'Coincidence Factors'!$B$5*(1+'Inputs-System'!$C$18)*(1+'Inputs-System'!$C$42))*'Inputs-Proposals'!$K$16*VLOOKUP(DB$3,DRIPE!$A$54:$I$80,8,FALSE), $C53 = "2",( 'Inputs-System'!$C$30*'Coincidence Factors'!$B$5*(1+'Inputs-System'!$C$18)*(1+'Inputs-System'!$C$41))*('Inputs-Proposals'!$K$23*'Inputs-Proposals'!$K$25*(1-'Inputs-Proposals'!$K$26))*(VLOOKUP(DB$3,DRIPE!$A$54:$I$82,5,FALSE)-VLOOKUP(DB$3,DRIPE!$A$54:$I$82,6,FALSE)+VLOOKUP(DB$3,DRIPE!$A$54:$I$82,9,FALSE))+ ('Inputs-System'!$C$26*'Coincidence Factors'!$B$5*(1+'Inputs-System'!$C$18)*(1+'Inputs-System'!$C$41))+ ('Inputs-System'!$C$26*'Coincidence Factors'!$B$5)*'Inputs-Proposals'!$K$22*VLOOKUP(DB$3,DRIPE!$A$54:$I$80,8,FALSE), $C53= "3", ('Inputs-System'!$C$30*'Coincidence Factors'!$B$5)*('Inputs-Proposals'!$K$29*'Inputs-Proposals'!$K$31*(1-'Inputs-Proposals'!$K$32))*(VLOOKUP(DB$3,DRIPE!$A$54:$I$80,5,FALSE)-VLOOKUP(DB$3,DRIPE!$A$54:$I$80,6,FALSE)+VLOOKUP(DB$3,DRIPE!$A$54:$I$80,9,FALSE))+ ('Inputs-System'!$C$26*'Coincidence Factors'!$B$5*(1+'Inputs-System'!$C$18)*(1+'Inputs-System'!$C$42))*'Inputs-Proposals'!$K$28*VLOOKUP(DB$3,DRIPE!$A$54:$I$80,8,FALSE), $C53 = "0", 0), 0)</f>
        <v>0</v>
      </c>
      <c r="DE53" s="326">
        <f>IFERROR(_xlfn.IFS($C53="1",('Inputs-System'!$C$26*'Coincidence Factors'!$B$5*(1+'Inputs-System'!$C$18)*(1+'Inputs-System'!$C$42))*'Inputs-Proposals'!$K$16*(VLOOKUP(DB$3,Capacity!$A$53:$E$85,4,FALSE)*(1+'Inputs-System'!$C$42)+VLOOKUP(DB$3,Capacity!$A$53:$E$85,5,FALSE)*(1+'Inputs-System'!$C$43)*'Inputs-System'!$C$29), $C53 = "2", ('Inputs-System'!$C$26*'Coincidence Factors'!$B$5*(1+'Inputs-System'!$C$18))*'Inputs-Proposals'!$K$22*(VLOOKUP(DB$3,Capacity!$A$53:$E$85,4,FALSE)*(1+'Inputs-System'!$C$42)+VLOOKUP(DB$3,Capacity!$A$53:$E$85,5,FALSE)*'Inputs-System'!$C$29*(1+'Inputs-System'!$C$43)), $C53 = "3", ('Inputs-System'!$C$26*'Coincidence Factors'!$B$5*(1+'Inputs-System'!$C$18))*'Inputs-Proposals'!$K$28*(VLOOKUP(DB$3,Capacity!$A$53:$E$85,4,FALSE)*(1+'Inputs-System'!$C$42)+VLOOKUP(DB$3,Capacity!$A$53:$E$85,5,FALSE)*'Inputs-System'!$C$29*(1+'Inputs-System'!$C$43)), $C53 = "0", 0), 0)</f>
        <v>0</v>
      </c>
      <c r="DF53" s="100">
        <v>0</v>
      </c>
      <c r="DG53" s="346">
        <f>IFERROR(_xlfn.IFS($C53="1", 'Inputs-System'!$C$30*'Coincidence Factors'!$B$5*'Inputs-Proposals'!$K$17*'Inputs-Proposals'!$K$19*(VLOOKUP(DB$3,'Non-Embedded Emissions'!$A$56:$D$90,2,FALSE)+VLOOKUP(DB$3,'Non-Embedded Emissions'!$A$143:$D$174,2,FALSE)+VLOOKUP(DB$3,'Non-Embedded Emissions'!$A$230:$D$259,2,FALSE)-VLOOKUP(DB$3,'Non-Embedded Emissions'!$A$56:$D$90,3,FALSE)-VLOOKUP(DB$3,'Non-Embedded Emissions'!$A$143:$D$174,3,FALSE)-VLOOKUP(DB$3,'Non-Embedded Emissions'!$A$230:$D$259,3,FALSE)), $C53 = "2", 'Inputs-System'!$C$30*'Coincidence Factors'!$B$5*'Inputs-Proposals'!$K$23*'Inputs-Proposals'!$K$25*(VLOOKUP(DB$3,'Non-Embedded Emissions'!$A$56:$D$90,2,FALSE)+VLOOKUP(DB$3,'Non-Embedded Emissions'!$A$143:$D$174,2,FALSE)+VLOOKUP(DB$3,'Non-Embedded Emissions'!$A$230:$D$259,2,FALSE)-VLOOKUP(DB$3,'Non-Embedded Emissions'!$A$56:$D$90,3,FALSE)-VLOOKUP(DB$3,'Non-Embedded Emissions'!$A$143:$D$174,3,FALSE)-VLOOKUP(DB$3,'Non-Embedded Emissions'!$A$230:$D$259,3,FALSE)), $C53 = "3", 'Inputs-System'!$C$30*'Coincidence Factors'!$B$5*'Inputs-Proposals'!$K$29*'Inputs-Proposals'!$K$31*(VLOOKUP(DB$3,'Non-Embedded Emissions'!$A$56:$D$90,2,FALSE)+VLOOKUP(DB$3,'Non-Embedded Emissions'!$A$143:$D$174,2,FALSE)+VLOOKUP(DB$3,'Non-Embedded Emissions'!$A$230:$D$259,2,FALSE)-VLOOKUP(DB$3,'Non-Embedded Emissions'!$A$56:$D$90,3,FALSE)-VLOOKUP(DB$3,'Non-Embedded Emissions'!$A$143:$D$174,3,FALSE)-VLOOKUP(DB$3,'Non-Embedded Emissions'!$A$230:$D$259,3,FALSE)), $C53 = "0", 0), 0)</f>
        <v>0</v>
      </c>
      <c r="DH53" s="344">
        <f>IFERROR(_xlfn.IFS($C53="1",('Inputs-System'!$C$30*'Coincidence Factors'!$B$5*(1+'Inputs-System'!$C$18)*(1+'Inputs-System'!$C$41)*('Inputs-Proposals'!$K$17*'Inputs-Proposals'!$K$19*(1-'Inputs-Proposals'!$K$20))*(VLOOKUP(DH$3,Energy!$A$51:$K$83,5,FALSE)-VLOOKUP(DH$3,Energy!$A$51:$K$83,6,FALSE))), $C53 = "2",('Inputs-System'!$C$30*'Coincidence Factors'!$B$5)*(1+'Inputs-System'!$C$18)*(1+'Inputs-System'!$C$41)*('Inputs-Proposals'!$K$23*'Inputs-Proposals'!$K$25*(1-'Inputs-Proposals'!$K$26))*(VLOOKUP(DH$3,Energy!$A$51:$K$83,5,FALSE)-VLOOKUP(DH$3,Energy!$A$51:$K$83,6,FALSE)), $C53= "3", ('Inputs-System'!$C$30*'Coincidence Factors'!$B$5*(1+'Inputs-System'!$C$18)*(1+'Inputs-System'!$C$41)*('Inputs-Proposals'!$K$29*'Inputs-Proposals'!$K$31*(1-'Inputs-Proposals'!$K$32))*(VLOOKUP(DH$3,Energy!$A$51:$K$83,5,FALSE)-VLOOKUP(DH$3,Energy!$A$51:$K$83,6,FALSE))), $C53= "0", 0), 0)</f>
        <v>0</v>
      </c>
      <c r="DI53" s="100">
        <f>IFERROR(_xlfn.IFS($C53="1", 'Inputs-System'!$C$30*'Coincidence Factors'!$B$5*(1+'Inputs-System'!$C$18)*(1+'Inputs-System'!$C$41)*'Inputs-Proposals'!$K$17*'Inputs-Proposals'!$K$19*(1-'Inputs-Proposals'!$K$20)*(VLOOKUP(DH$3,'Embedded Emissions'!$A$47:$B$78,2,FALSE)+VLOOKUP(DH$3,'Embedded Emissions'!$A$129:$B$158,2,FALSE)), $C53 = "2",'Inputs-System'!$C$30*'Coincidence Factors'!$B$5*(1+'Inputs-System'!$C$18)*(1+'Inputs-System'!$C$41)*'Inputs-Proposals'!$K$23*'Inputs-Proposals'!$K$25*(1-'Inputs-Proposals'!$K$20)*(VLOOKUP(DH$3,'Embedded Emissions'!$A$47:$B$78,2,FALSE)+VLOOKUP(DH$3,'Embedded Emissions'!$A$129:$B$158,2,FALSE)), $C53 = "3", 'Inputs-System'!$C$30*'Coincidence Factors'!$B$5*(1+'Inputs-System'!$C$18)*(1+'Inputs-System'!$C$41)*'Inputs-Proposals'!$K$29*'Inputs-Proposals'!$K$31*(1-'Inputs-Proposals'!$K$20)*(VLOOKUP(DH$3,'Embedded Emissions'!$A$47:$B$78,2,FALSE)+VLOOKUP(DH$3,'Embedded Emissions'!$A$129:$B$158,2,FALSE)), $C53 = "0", 0), 0)</f>
        <v>0</v>
      </c>
      <c r="DJ53" s="318">
        <f>IFERROR(_xlfn.IFS($C53="1",( 'Inputs-System'!$C$30*'Coincidence Factors'!$B$5*(1+'Inputs-System'!$C$18)*(1+'Inputs-System'!$C$41))*('Inputs-Proposals'!$K$17*'Inputs-Proposals'!$K$19*(1-'Inputs-Proposals'!$K$20))*(VLOOKUP(DH$3,DRIPE!$A$54:$I$82,5,FALSE)-VLOOKUP(DH$3,DRIPE!$A$54:$I$82,6,FALSE)+VLOOKUP(DH$3,DRIPE!$A$54:$I$82,9,FALSE))+ ('Inputs-System'!$C$26*'Coincidence Factors'!$B$5*(1+'Inputs-System'!$C$18)*(1+'Inputs-System'!$C$42))*'Inputs-Proposals'!$K$16*VLOOKUP(DH$3,DRIPE!$A$54:$I$80,8,FALSE), $C53 = "2",( 'Inputs-System'!$C$30*'Coincidence Factors'!$B$5*(1+'Inputs-System'!$C$18)*(1+'Inputs-System'!$C$41))*('Inputs-Proposals'!$K$23*'Inputs-Proposals'!$K$25*(1-'Inputs-Proposals'!$K$26))*(VLOOKUP(DH$3,DRIPE!$A$54:$I$82,5,FALSE)-VLOOKUP(DH$3,DRIPE!$A$54:$I$82,6,FALSE)+VLOOKUP(DH$3,DRIPE!$A$54:$I$82,9,FALSE))+ ('Inputs-System'!$C$26*'Coincidence Factors'!$B$5*(1+'Inputs-System'!$C$18)*(1+'Inputs-System'!$C$41))+ ('Inputs-System'!$C$26*'Coincidence Factors'!$B$5)*'Inputs-Proposals'!$K$22*VLOOKUP(DH$3,DRIPE!$A$54:$I$80,8,FALSE), $C53= "3", ('Inputs-System'!$C$30*'Coincidence Factors'!$B$5)*('Inputs-Proposals'!$K$29*'Inputs-Proposals'!$K$31*(1-'Inputs-Proposals'!$K$32))*(VLOOKUP(DH$3,DRIPE!$A$54:$I$80,5,FALSE)-VLOOKUP(DH$3,DRIPE!$A$54:$I$80,6,FALSE)+VLOOKUP(DH$3,DRIPE!$A$54:$I$80,9,FALSE))+ ('Inputs-System'!$C$26*'Coincidence Factors'!$B$5*(1+'Inputs-System'!$C$18)*(1+'Inputs-System'!$C$42))*'Inputs-Proposals'!$K$28*VLOOKUP(DH$3,DRIPE!$A$54:$I$80,8,FALSE), $C53 = "0", 0), 0)</f>
        <v>0</v>
      </c>
      <c r="DK53" s="326">
        <f>IFERROR(_xlfn.IFS($C53="1",('Inputs-System'!$C$26*'Coincidence Factors'!$B$5*(1+'Inputs-System'!$C$18)*(1+'Inputs-System'!$C$42))*'Inputs-Proposals'!$K$16*(VLOOKUP(DH$3,Capacity!$A$53:$E$85,4,FALSE)*(1+'Inputs-System'!$C$42)+VLOOKUP(DH$3,Capacity!$A$53:$E$85,5,FALSE)*(1+'Inputs-System'!$C$43)*'Inputs-System'!$C$29), $C53 = "2", ('Inputs-System'!$C$26*'Coincidence Factors'!$B$5*(1+'Inputs-System'!$C$18))*'Inputs-Proposals'!$K$22*(VLOOKUP(DH$3,Capacity!$A$53:$E$85,4,FALSE)*(1+'Inputs-System'!$C$42)+VLOOKUP(DH$3,Capacity!$A$53:$E$85,5,FALSE)*'Inputs-System'!$C$29*(1+'Inputs-System'!$C$43)), $C53 = "3", ('Inputs-System'!$C$26*'Coincidence Factors'!$B$5*(1+'Inputs-System'!$C$18))*'Inputs-Proposals'!$K$28*(VLOOKUP(DH$3,Capacity!$A$53:$E$85,4,FALSE)*(1+'Inputs-System'!$C$42)+VLOOKUP(DH$3,Capacity!$A$53:$E$85,5,FALSE)*'Inputs-System'!$C$29*(1+'Inputs-System'!$C$43)), $C53 = "0", 0), 0)</f>
        <v>0</v>
      </c>
      <c r="DL53" s="100">
        <v>0</v>
      </c>
      <c r="DM53" s="346">
        <f>IFERROR(_xlfn.IFS($C53="1", 'Inputs-System'!$C$30*'Coincidence Factors'!$B$5*'Inputs-Proposals'!$K$17*'Inputs-Proposals'!$K$19*(VLOOKUP(DH$3,'Non-Embedded Emissions'!$A$56:$D$90,2,FALSE)+VLOOKUP(DH$3,'Non-Embedded Emissions'!$A$143:$D$174,2,FALSE)+VLOOKUP(DH$3,'Non-Embedded Emissions'!$A$230:$D$259,2,FALSE)-VLOOKUP(DH$3,'Non-Embedded Emissions'!$A$56:$D$90,3,FALSE)-VLOOKUP(DH$3,'Non-Embedded Emissions'!$A$143:$D$174,3,FALSE)-VLOOKUP(DH$3,'Non-Embedded Emissions'!$A$230:$D$259,3,FALSE)), $C53 = "2", 'Inputs-System'!$C$30*'Coincidence Factors'!$B$5*'Inputs-Proposals'!$K$23*'Inputs-Proposals'!$K$25*(VLOOKUP(DH$3,'Non-Embedded Emissions'!$A$56:$D$90,2,FALSE)+VLOOKUP(DH$3,'Non-Embedded Emissions'!$A$143:$D$174,2,FALSE)+VLOOKUP(DH$3,'Non-Embedded Emissions'!$A$230:$D$259,2,FALSE)-VLOOKUP(DH$3,'Non-Embedded Emissions'!$A$56:$D$90,3,FALSE)-VLOOKUP(DH$3,'Non-Embedded Emissions'!$A$143:$D$174,3,FALSE)-VLOOKUP(DH$3,'Non-Embedded Emissions'!$A$230:$D$259,3,FALSE)), $C53 = "3", 'Inputs-System'!$C$30*'Coincidence Factors'!$B$5*'Inputs-Proposals'!$K$29*'Inputs-Proposals'!$K$31*(VLOOKUP(DH$3,'Non-Embedded Emissions'!$A$56:$D$90,2,FALSE)+VLOOKUP(DH$3,'Non-Embedded Emissions'!$A$143:$D$174,2,FALSE)+VLOOKUP(DH$3,'Non-Embedded Emissions'!$A$230:$D$259,2,FALSE)-VLOOKUP(DH$3,'Non-Embedded Emissions'!$A$56:$D$90,3,FALSE)-VLOOKUP(DH$3,'Non-Embedded Emissions'!$A$143:$D$174,3,FALSE)-VLOOKUP(DH$3,'Non-Embedded Emissions'!$A$230:$D$259,3,FALSE)), $C53 = "0", 0), 0)</f>
        <v>0</v>
      </c>
      <c r="DN53" s="344">
        <f>IFERROR(_xlfn.IFS($C53="1",('Inputs-System'!$C$30*'Coincidence Factors'!$B$5*(1+'Inputs-System'!$C$18)*(1+'Inputs-System'!$C$41)*('Inputs-Proposals'!$K$17*'Inputs-Proposals'!$K$19*(1-'Inputs-Proposals'!$K$20))*(VLOOKUP(DN$3,Energy!$A$51:$K$83,5,FALSE)-VLOOKUP(DN$3,Energy!$A$51:$K$83,6,FALSE))), $C53 = "2",('Inputs-System'!$C$30*'Coincidence Factors'!$B$5)*(1+'Inputs-System'!$C$18)*(1+'Inputs-System'!$C$41)*('Inputs-Proposals'!$K$23*'Inputs-Proposals'!$K$25*(1-'Inputs-Proposals'!$K$26))*(VLOOKUP(DN$3,Energy!$A$51:$K$83,5,FALSE)-VLOOKUP(DN$3,Energy!$A$51:$K$83,6,FALSE)), $C53= "3", ('Inputs-System'!$C$30*'Coincidence Factors'!$B$5*(1+'Inputs-System'!$C$18)*(1+'Inputs-System'!$C$41)*('Inputs-Proposals'!$K$29*'Inputs-Proposals'!$K$31*(1-'Inputs-Proposals'!$K$32))*(VLOOKUP(DN$3,Energy!$A$51:$K$83,5,FALSE)-VLOOKUP(DN$3,Energy!$A$51:$K$83,6,FALSE))), $C53= "0", 0), 0)</f>
        <v>0</v>
      </c>
      <c r="DO53" s="100">
        <f>IFERROR(_xlfn.IFS($C53="1", 'Inputs-System'!$C$30*'Coincidence Factors'!$B$5*(1+'Inputs-System'!$C$18)*(1+'Inputs-System'!$C$41)*'Inputs-Proposals'!$K$17*'Inputs-Proposals'!$K$19*(1-'Inputs-Proposals'!$K$20)*(VLOOKUP(DN$3,'Embedded Emissions'!$A$47:$B$78,2,FALSE)+VLOOKUP(DN$3,'Embedded Emissions'!$A$129:$B$158,2,FALSE)), $C53 = "2",'Inputs-System'!$C$30*'Coincidence Factors'!$B$5*(1+'Inputs-System'!$C$18)*(1+'Inputs-System'!$C$41)*'Inputs-Proposals'!$K$23*'Inputs-Proposals'!$K$25*(1-'Inputs-Proposals'!$K$20)*(VLOOKUP(DN$3,'Embedded Emissions'!$A$47:$B$78,2,FALSE)+VLOOKUP(DN$3,'Embedded Emissions'!$A$129:$B$158,2,FALSE)), $C53 = "3", 'Inputs-System'!$C$30*'Coincidence Factors'!$B$5*(1+'Inputs-System'!$C$18)*(1+'Inputs-System'!$C$41)*'Inputs-Proposals'!$K$29*'Inputs-Proposals'!$K$31*(1-'Inputs-Proposals'!$K$20)*(VLOOKUP(DN$3,'Embedded Emissions'!$A$47:$B$78,2,FALSE)+VLOOKUP(DN$3,'Embedded Emissions'!$A$129:$B$158,2,FALSE)), $C53 = "0", 0), 0)</f>
        <v>0</v>
      </c>
      <c r="DP53" s="318">
        <f>IFERROR(_xlfn.IFS($C53="1",( 'Inputs-System'!$C$30*'Coincidence Factors'!$B$5*(1+'Inputs-System'!$C$18)*(1+'Inputs-System'!$C$41))*('Inputs-Proposals'!$K$17*'Inputs-Proposals'!$K$19*(1-'Inputs-Proposals'!$K$20))*(VLOOKUP(DN$3,DRIPE!$A$54:$I$82,5,FALSE)-VLOOKUP(DN$3,DRIPE!$A$54:$I$82,6,FALSE)+VLOOKUP(DN$3,DRIPE!$A$54:$I$82,9,FALSE))+ ('Inputs-System'!$C$26*'Coincidence Factors'!$B$5*(1+'Inputs-System'!$C$18)*(1+'Inputs-System'!$C$42))*'Inputs-Proposals'!$K$16*VLOOKUP(DN$3,DRIPE!$A$54:$I$80,8,FALSE), $C53 = "2",( 'Inputs-System'!$C$30*'Coincidence Factors'!$B$5*(1+'Inputs-System'!$C$18)*(1+'Inputs-System'!$C$41))*('Inputs-Proposals'!$K$23*'Inputs-Proposals'!$K$25*(1-'Inputs-Proposals'!$K$26))*(VLOOKUP(DN$3,DRIPE!$A$54:$I$82,5,FALSE)-VLOOKUP(DN$3,DRIPE!$A$54:$I$82,6,FALSE)+VLOOKUP(DN$3,DRIPE!$A$54:$I$82,9,FALSE))+ ('Inputs-System'!$C$26*'Coincidence Factors'!$B$5*(1+'Inputs-System'!$C$18)*(1+'Inputs-System'!$C$41))+ ('Inputs-System'!$C$26*'Coincidence Factors'!$B$5)*'Inputs-Proposals'!$K$22*VLOOKUP(DN$3,DRIPE!$A$54:$I$80,8,FALSE), $C53= "3", ('Inputs-System'!$C$30*'Coincidence Factors'!$B$5)*('Inputs-Proposals'!$K$29*'Inputs-Proposals'!$K$31*(1-'Inputs-Proposals'!$K$32))*(VLOOKUP(DN$3,DRIPE!$A$54:$I$80,5,FALSE)-VLOOKUP(DN$3,DRIPE!$A$54:$I$80,6,FALSE)+VLOOKUP(DN$3,DRIPE!$A$54:$I$80,9,FALSE))+ ('Inputs-System'!$C$26*'Coincidence Factors'!$B$5*(1+'Inputs-System'!$C$18)*(1+'Inputs-System'!$C$42))*'Inputs-Proposals'!$K$28*VLOOKUP(DN$3,DRIPE!$A$54:$I$80,8,FALSE), $C53 = "0", 0), 0)</f>
        <v>0</v>
      </c>
      <c r="DQ53" s="326">
        <f>IFERROR(_xlfn.IFS($C53="1",('Inputs-System'!$C$26*'Coincidence Factors'!$B$5*(1+'Inputs-System'!$C$18)*(1+'Inputs-System'!$C$42))*'Inputs-Proposals'!$K$16*(VLOOKUP(DN$3,Capacity!$A$53:$E$85,4,FALSE)*(1+'Inputs-System'!$C$42)+VLOOKUP(DN$3,Capacity!$A$53:$E$85,5,FALSE)*(1+'Inputs-System'!$C$43)*'Inputs-System'!$C$29), $C53 = "2", ('Inputs-System'!$C$26*'Coincidence Factors'!$B$5*(1+'Inputs-System'!$C$18))*'Inputs-Proposals'!$K$22*(VLOOKUP(DN$3,Capacity!$A$53:$E$85,4,FALSE)*(1+'Inputs-System'!$C$42)+VLOOKUP(DN$3,Capacity!$A$53:$E$85,5,FALSE)*'Inputs-System'!$C$29*(1+'Inputs-System'!$C$43)), $C53 = "3", ('Inputs-System'!$C$26*'Coincidence Factors'!$B$5*(1+'Inputs-System'!$C$18))*'Inputs-Proposals'!$K$28*(VLOOKUP(DN$3,Capacity!$A$53:$E$85,4,FALSE)*(1+'Inputs-System'!$C$42)+VLOOKUP(DN$3,Capacity!$A$53:$E$85,5,FALSE)*'Inputs-System'!$C$29*(1+'Inputs-System'!$C$43)), $C53 = "0", 0), 0)</f>
        <v>0</v>
      </c>
      <c r="DR53" s="100">
        <v>0</v>
      </c>
      <c r="DS53" s="346">
        <f>IFERROR(_xlfn.IFS($C53="1", 'Inputs-System'!$C$30*'Coincidence Factors'!$B$5*'Inputs-Proposals'!$K$17*'Inputs-Proposals'!$K$19*(VLOOKUP(DN$3,'Non-Embedded Emissions'!$A$56:$D$90,2,FALSE)+VLOOKUP(DN$3,'Non-Embedded Emissions'!$A$143:$D$174,2,FALSE)+VLOOKUP(DN$3,'Non-Embedded Emissions'!$A$230:$D$259,2,FALSE)-VLOOKUP(DN$3,'Non-Embedded Emissions'!$A$56:$D$90,3,FALSE)-VLOOKUP(DN$3,'Non-Embedded Emissions'!$A$143:$D$174,3,FALSE)-VLOOKUP(DN$3,'Non-Embedded Emissions'!$A$230:$D$259,3,FALSE)), $C53 = "2", 'Inputs-System'!$C$30*'Coincidence Factors'!$B$5*'Inputs-Proposals'!$K$23*'Inputs-Proposals'!$K$25*(VLOOKUP(DN$3,'Non-Embedded Emissions'!$A$56:$D$90,2,FALSE)+VLOOKUP(DN$3,'Non-Embedded Emissions'!$A$143:$D$174,2,FALSE)+VLOOKUP(DN$3,'Non-Embedded Emissions'!$A$230:$D$259,2,FALSE)-VLOOKUP(DN$3,'Non-Embedded Emissions'!$A$56:$D$90,3,FALSE)-VLOOKUP(DN$3,'Non-Embedded Emissions'!$A$143:$D$174,3,FALSE)-VLOOKUP(DN$3,'Non-Embedded Emissions'!$A$230:$D$259,3,FALSE)), $C53 = "3", 'Inputs-System'!$C$30*'Coincidence Factors'!$B$5*'Inputs-Proposals'!$K$29*'Inputs-Proposals'!$K$31*(VLOOKUP(DN$3,'Non-Embedded Emissions'!$A$56:$D$90,2,FALSE)+VLOOKUP(DN$3,'Non-Embedded Emissions'!$A$143:$D$174,2,FALSE)+VLOOKUP(DN$3,'Non-Embedded Emissions'!$A$230:$D$259,2,FALSE)-VLOOKUP(DN$3,'Non-Embedded Emissions'!$A$56:$D$90,3,FALSE)-VLOOKUP(DN$3,'Non-Embedded Emissions'!$A$143:$D$174,3,FALSE)-VLOOKUP(DN$3,'Non-Embedded Emissions'!$A$230:$D$259,3,FALSE)), $C53 = "0", 0), 0)</f>
        <v>0</v>
      </c>
      <c r="DT53" s="344">
        <f>IFERROR(_xlfn.IFS($C53="1",('Inputs-System'!$C$30*'Coincidence Factors'!$B$5*(1+'Inputs-System'!$C$18)*(1+'Inputs-System'!$C$41)*('Inputs-Proposals'!$K$17*'Inputs-Proposals'!$K$19*(1-'Inputs-Proposals'!$K$20))*(VLOOKUP(DT$3,Energy!$A$51:$K$83,5,FALSE)-VLOOKUP(DT$3,Energy!$A$51:$K$83,6,FALSE))), $C53 = "2",('Inputs-System'!$C$30*'Coincidence Factors'!$B$5)*(1+'Inputs-System'!$C$18)*(1+'Inputs-System'!$C$41)*('Inputs-Proposals'!$K$23*'Inputs-Proposals'!$K$25*(1-'Inputs-Proposals'!$K$26))*(VLOOKUP(DT$3,Energy!$A$51:$K$83,5,FALSE)-VLOOKUP(DT$3,Energy!$A$51:$K$83,6,FALSE)), $C53= "3", ('Inputs-System'!$C$30*'Coincidence Factors'!$B$5*(1+'Inputs-System'!$C$18)*(1+'Inputs-System'!$C$41)*('Inputs-Proposals'!$K$29*'Inputs-Proposals'!$K$31*(1-'Inputs-Proposals'!$K$32))*(VLOOKUP(DT$3,Energy!$A$51:$K$83,5,FALSE)-VLOOKUP(DT$3,Energy!$A$51:$K$83,6,FALSE))), $C53= "0", 0), 0)</f>
        <v>0</v>
      </c>
      <c r="DU53" s="100">
        <f>IFERROR(_xlfn.IFS($C53="1", 'Inputs-System'!$C$30*'Coincidence Factors'!$B$5*(1+'Inputs-System'!$C$18)*(1+'Inputs-System'!$C$41)*'Inputs-Proposals'!$K$17*'Inputs-Proposals'!$K$19*(1-'Inputs-Proposals'!$K$20)*(VLOOKUP(DT$3,'Embedded Emissions'!$A$47:$B$78,2,FALSE)+VLOOKUP(DT$3,'Embedded Emissions'!$A$129:$B$158,2,FALSE)), $C53 = "2",'Inputs-System'!$C$30*'Coincidence Factors'!$B$5*(1+'Inputs-System'!$C$18)*(1+'Inputs-System'!$C$41)*'Inputs-Proposals'!$K$23*'Inputs-Proposals'!$K$25*(1-'Inputs-Proposals'!$K$20)*(VLOOKUP(DT$3,'Embedded Emissions'!$A$47:$B$78,2,FALSE)+VLOOKUP(DT$3,'Embedded Emissions'!$A$129:$B$158,2,FALSE)), $C53 = "3", 'Inputs-System'!$C$30*'Coincidence Factors'!$B$5*(1+'Inputs-System'!$C$18)*(1+'Inputs-System'!$C$41)*'Inputs-Proposals'!$K$29*'Inputs-Proposals'!$K$31*(1-'Inputs-Proposals'!$K$20)*(VLOOKUP(DT$3,'Embedded Emissions'!$A$47:$B$78,2,FALSE)+VLOOKUP(DT$3,'Embedded Emissions'!$A$129:$B$158,2,FALSE)), $C53 = "0", 0), 0)</f>
        <v>0</v>
      </c>
      <c r="DV53" s="318">
        <f>IFERROR(_xlfn.IFS($C53="1",( 'Inputs-System'!$C$30*'Coincidence Factors'!$B$5*(1+'Inputs-System'!$C$18)*(1+'Inputs-System'!$C$41))*('Inputs-Proposals'!$K$17*'Inputs-Proposals'!$K$19*(1-'Inputs-Proposals'!$K$20))*(VLOOKUP(DT$3,DRIPE!$A$54:$I$82,5,FALSE)-VLOOKUP(DT$3,DRIPE!$A$54:$I$82,6,FALSE)+VLOOKUP(DT$3,DRIPE!$A$54:$I$82,9,FALSE))+ ('Inputs-System'!$C$26*'Coincidence Factors'!$B$5*(1+'Inputs-System'!$C$18)*(1+'Inputs-System'!$C$42))*'Inputs-Proposals'!$K$16*VLOOKUP(DT$3,DRIPE!$A$54:$I$80,8,FALSE), $C53 = "2",( 'Inputs-System'!$C$30*'Coincidence Factors'!$B$5*(1+'Inputs-System'!$C$18)*(1+'Inputs-System'!$C$41))*('Inputs-Proposals'!$K$23*'Inputs-Proposals'!$K$25*(1-'Inputs-Proposals'!$K$26))*(VLOOKUP(DT$3,DRIPE!$A$54:$I$82,5,FALSE)-VLOOKUP(DT$3,DRIPE!$A$54:$I$82,6,FALSE)+VLOOKUP(DT$3,DRIPE!$A$54:$I$82,9,FALSE))+ ('Inputs-System'!$C$26*'Coincidence Factors'!$B$5*(1+'Inputs-System'!$C$18)*(1+'Inputs-System'!$C$41))+ ('Inputs-System'!$C$26*'Coincidence Factors'!$B$5)*'Inputs-Proposals'!$K$22*VLOOKUP(DT$3,DRIPE!$A$54:$I$80,8,FALSE), $C53= "3", ('Inputs-System'!$C$30*'Coincidence Factors'!$B$5)*('Inputs-Proposals'!$K$29*'Inputs-Proposals'!$K$31*(1-'Inputs-Proposals'!$K$32))*(VLOOKUP(DT$3,DRIPE!$A$54:$I$80,5,FALSE)-VLOOKUP(DT$3,DRIPE!$A$54:$I$80,6,FALSE)+VLOOKUP(DT$3,DRIPE!$A$54:$I$80,9,FALSE))+ ('Inputs-System'!$C$26*'Coincidence Factors'!$B$5*(1+'Inputs-System'!$C$18)*(1+'Inputs-System'!$C$42))*'Inputs-Proposals'!$K$28*VLOOKUP(DT$3,DRIPE!$A$54:$I$80,8,FALSE), $C53 = "0", 0), 0)</f>
        <v>0</v>
      </c>
      <c r="DW53" s="326">
        <f>IFERROR(_xlfn.IFS($C53="1",('Inputs-System'!$C$26*'Coincidence Factors'!$B$5*(1+'Inputs-System'!$C$18)*(1+'Inputs-System'!$C$42))*'Inputs-Proposals'!$K$16*(VLOOKUP(DT$3,Capacity!$A$53:$E$85,4,FALSE)*(1+'Inputs-System'!$C$42)+VLOOKUP(DT$3,Capacity!$A$53:$E$85,5,FALSE)*(1+'Inputs-System'!$C$43)*'Inputs-System'!$C$29), $C53 = "2", ('Inputs-System'!$C$26*'Coincidence Factors'!$B$5*(1+'Inputs-System'!$C$18))*'Inputs-Proposals'!$K$22*(VLOOKUP(DT$3,Capacity!$A$53:$E$85,4,FALSE)*(1+'Inputs-System'!$C$42)+VLOOKUP(DT$3,Capacity!$A$53:$E$85,5,FALSE)*'Inputs-System'!$C$29*(1+'Inputs-System'!$C$43)), $C53 = "3", ('Inputs-System'!$C$26*'Coincidence Factors'!$B$5*(1+'Inputs-System'!$C$18))*'Inputs-Proposals'!$K$28*(VLOOKUP(DT$3,Capacity!$A$53:$E$85,4,FALSE)*(1+'Inputs-System'!$C$42)+VLOOKUP(DT$3,Capacity!$A$53:$E$85,5,FALSE)*'Inputs-System'!$C$29*(1+'Inputs-System'!$C$43)), $C53 = "0", 0), 0)</f>
        <v>0</v>
      </c>
      <c r="DX53" s="100">
        <v>0</v>
      </c>
      <c r="DY53" s="346">
        <f>IFERROR(_xlfn.IFS($C53="1", 'Inputs-System'!$C$30*'Coincidence Factors'!$B$5*'Inputs-Proposals'!$K$17*'Inputs-Proposals'!$K$19*(VLOOKUP(DT$3,'Non-Embedded Emissions'!$A$56:$D$90,2,FALSE)+VLOOKUP(DT$3,'Non-Embedded Emissions'!$A$143:$D$174,2,FALSE)+VLOOKUP(DT$3,'Non-Embedded Emissions'!$A$230:$D$259,2,FALSE)-VLOOKUP(DT$3,'Non-Embedded Emissions'!$A$56:$D$90,3,FALSE)-VLOOKUP(DT$3,'Non-Embedded Emissions'!$A$143:$D$174,3,FALSE)-VLOOKUP(DT$3,'Non-Embedded Emissions'!$A$230:$D$259,3,FALSE)), $C53 = "2", 'Inputs-System'!$C$30*'Coincidence Factors'!$B$5*'Inputs-Proposals'!$K$23*'Inputs-Proposals'!$K$25*(VLOOKUP(DT$3,'Non-Embedded Emissions'!$A$56:$D$90,2,FALSE)+VLOOKUP(DT$3,'Non-Embedded Emissions'!$A$143:$D$174,2,FALSE)+VLOOKUP(DT$3,'Non-Embedded Emissions'!$A$230:$D$259,2,FALSE)-VLOOKUP(DT$3,'Non-Embedded Emissions'!$A$56:$D$90,3,FALSE)-VLOOKUP(DT$3,'Non-Embedded Emissions'!$A$143:$D$174,3,FALSE)-VLOOKUP(DT$3,'Non-Embedded Emissions'!$A$230:$D$259,3,FALSE)), $C53 = "3", 'Inputs-System'!$C$30*'Coincidence Factors'!$B$5*'Inputs-Proposals'!$K$29*'Inputs-Proposals'!$K$31*(VLOOKUP(DT$3,'Non-Embedded Emissions'!$A$56:$D$90,2,FALSE)+VLOOKUP(DT$3,'Non-Embedded Emissions'!$A$143:$D$174,2,FALSE)+VLOOKUP(DT$3,'Non-Embedded Emissions'!$A$230:$D$259,2,FALSE)-VLOOKUP(DT$3,'Non-Embedded Emissions'!$A$56:$D$90,3,FALSE)-VLOOKUP(DT$3,'Non-Embedded Emissions'!$A$143:$D$174,3,FALSE)-VLOOKUP(DT$3,'Non-Embedded Emissions'!$A$230:$D$259,3,FALSE)), $C53 = "0", 0), 0)</f>
        <v>0</v>
      </c>
      <c r="DZ53" s="344">
        <f>IFERROR(_xlfn.IFS($C53="1",('Inputs-System'!$C$30*'Coincidence Factors'!$B$5*(1+'Inputs-System'!$C$18)*(1+'Inputs-System'!$C$41)*('Inputs-Proposals'!$K$17*'Inputs-Proposals'!$K$19*(1-'Inputs-Proposals'!$K$20))*(VLOOKUP(DZ$3,Energy!$A$51:$K$83,5,FALSE)-VLOOKUP(DZ$3,Energy!$A$51:$K$83,6,FALSE))), $C53 = "2",('Inputs-System'!$C$30*'Coincidence Factors'!$B$5)*(1+'Inputs-System'!$C$18)*(1+'Inputs-System'!$C$41)*('Inputs-Proposals'!$K$23*'Inputs-Proposals'!$K$25*(1-'Inputs-Proposals'!$K$26))*(VLOOKUP(DZ$3,Energy!$A$51:$K$83,5,FALSE)-VLOOKUP(DZ$3,Energy!$A$51:$K$83,6,FALSE)), $C53= "3", ('Inputs-System'!$C$30*'Coincidence Factors'!$B$5*(1+'Inputs-System'!$C$18)*(1+'Inputs-System'!$C$41)*('Inputs-Proposals'!$K$29*'Inputs-Proposals'!$K$31*(1-'Inputs-Proposals'!$K$32))*(VLOOKUP(DZ$3,Energy!$A$51:$K$83,5,FALSE)-VLOOKUP(DZ$3,Energy!$A$51:$K$83,6,FALSE))), $C53= "0", 0), 0)</f>
        <v>0</v>
      </c>
      <c r="EA53" s="100">
        <f>IFERROR(_xlfn.IFS($C53="1", 'Inputs-System'!$C$30*'Coincidence Factors'!$B$5*(1+'Inputs-System'!$C$18)*(1+'Inputs-System'!$C$41)*'Inputs-Proposals'!$K$17*'Inputs-Proposals'!$K$19*(1-'Inputs-Proposals'!$K$20)*(VLOOKUP(DZ$3,'Embedded Emissions'!$A$47:$B$78,2,FALSE)+VLOOKUP(DZ$3,'Embedded Emissions'!$A$129:$B$158,2,FALSE)), $C53 = "2",'Inputs-System'!$C$30*'Coincidence Factors'!$B$5*(1+'Inputs-System'!$C$18)*(1+'Inputs-System'!$C$41)*'Inputs-Proposals'!$K$23*'Inputs-Proposals'!$K$25*(1-'Inputs-Proposals'!$K$20)*(VLOOKUP(DZ$3,'Embedded Emissions'!$A$47:$B$78,2,FALSE)+VLOOKUP(DZ$3,'Embedded Emissions'!$A$129:$B$158,2,FALSE)), $C53 = "3", 'Inputs-System'!$C$30*'Coincidence Factors'!$B$5*(1+'Inputs-System'!$C$18)*(1+'Inputs-System'!$C$41)*'Inputs-Proposals'!$K$29*'Inputs-Proposals'!$K$31*(1-'Inputs-Proposals'!$K$20)*(VLOOKUP(DZ$3,'Embedded Emissions'!$A$47:$B$78,2,FALSE)+VLOOKUP(DZ$3,'Embedded Emissions'!$A$129:$B$158,2,FALSE)), $C53 = "0", 0), 0)</f>
        <v>0</v>
      </c>
      <c r="EB53" s="318">
        <f>IFERROR(_xlfn.IFS($C53="1",( 'Inputs-System'!$C$30*'Coincidence Factors'!$B$5*(1+'Inputs-System'!$C$18)*(1+'Inputs-System'!$C$41))*('Inputs-Proposals'!$K$17*'Inputs-Proposals'!$K$19*(1-'Inputs-Proposals'!$K$20))*(VLOOKUP(DZ$3,DRIPE!$A$54:$I$82,5,FALSE)-VLOOKUP(DZ$3,DRIPE!$A$54:$I$82,6,FALSE)+VLOOKUP(DZ$3,DRIPE!$A$54:$I$82,9,FALSE))+ ('Inputs-System'!$C$26*'Coincidence Factors'!$B$5*(1+'Inputs-System'!$C$18)*(1+'Inputs-System'!$C$42))*'Inputs-Proposals'!$K$16*VLOOKUP(DZ$3,DRIPE!$A$54:$I$80,8,FALSE), $C53 = "2",( 'Inputs-System'!$C$30*'Coincidence Factors'!$B$5*(1+'Inputs-System'!$C$18)*(1+'Inputs-System'!$C$41))*('Inputs-Proposals'!$K$23*'Inputs-Proposals'!$K$25*(1-'Inputs-Proposals'!$K$26))*(VLOOKUP(DZ$3,DRIPE!$A$54:$I$82,5,FALSE)-VLOOKUP(DZ$3,DRIPE!$A$54:$I$82,6,FALSE)+VLOOKUP(DZ$3,DRIPE!$A$54:$I$82,9,FALSE))+ ('Inputs-System'!$C$26*'Coincidence Factors'!$B$5*(1+'Inputs-System'!$C$18)*(1+'Inputs-System'!$C$41))+ ('Inputs-System'!$C$26*'Coincidence Factors'!$B$5)*'Inputs-Proposals'!$K$22*VLOOKUP(DZ$3,DRIPE!$A$54:$I$80,8,FALSE), $C53= "3", ('Inputs-System'!$C$30*'Coincidence Factors'!$B$5)*('Inputs-Proposals'!$K$29*'Inputs-Proposals'!$K$31*(1-'Inputs-Proposals'!$K$32))*(VLOOKUP(DZ$3,DRIPE!$A$54:$I$80,5,FALSE)-VLOOKUP(DZ$3,DRIPE!$A$54:$I$80,6,FALSE)+VLOOKUP(DZ$3,DRIPE!$A$54:$I$80,9,FALSE))+ ('Inputs-System'!$C$26*'Coincidence Factors'!$B$5*(1+'Inputs-System'!$C$18)*(1+'Inputs-System'!$C$42))*'Inputs-Proposals'!$K$28*VLOOKUP(DZ$3,DRIPE!$A$54:$I$80,8,FALSE), $C53 = "0", 0), 0)</f>
        <v>0</v>
      </c>
      <c r="EC53" s="326">
        <f>IFERROR(_xlfn.IFS($C53="1",('Inputs-System'!$C$26*'Coincidence Factors'!$B$5*(1+'Inputs-System'!$C$18)*(1+'Inputs-System'!$C$42))*'Inputs-Proposals'!$K$16*(VLOOKUP(DZ$3,Capacity!$A$53:$E$85,4,FALSE)*(1+'Inputs-System'!$C$42)+VLOOKUP(DZ$3,Capacity!$A$53:$E$85,5,FALSE)*(1+'Inputs-System'!$C$43)*'Inputs-System'!$C$29), $C53 = "2", ('Inputs-System'!$C$26*'Coincidence Factors'!$B$5*(1+'Inputs-System'!$C$18))*'Inputs-Proposals'!$K$22*(VLOOKUP(DZ$3,Capacity!$A$53:$E$85,4,FALSE)*(1+'Inputs-System'!$C$42)+VLOOKUP(DZ$3,Capacity!$A$53:$E$85,5,FALSE)*'Inputs-System'!$C$29*(1+'Inputs-System'!$C$43)), $C53 = "3", ('Inputs-System'!$C$26*'Coincidence Factors'!$B$5*(1+'Inputs-System'!$C$18))*'Inputs-Proposals'!$K$28*(VLOOKUP(DZ$3,Capacity!$A$53:$E$85,4,FALSE)*(1+'Inputs-System'!$C$42)+VLOOKUP(DZ$3,Capacity!$A$53:$E$85,5,FALSE)*'Inputs-System'!$C$29*(1+'Inputs-System'!$C$43)), $C53 = "0", 0), 0)</f>
        <v>0</v>
      </c>
      <c r="ED53" s="100">
        <v>0</v>
      </c>
      <c r="EE53" s="346">
        <f>IFERROR(_xlfn.IFS($C53="1", 'Inputs-System'!$C$30*'Coincidence Factors'!$B$5*'Inputs-Proposals'!$K$17*'Inputs-Proposals'!$K$19*(VLOOKUP(DZ$3,'Non-Embedded Emissions'!$A$56:$D$90,2,FALSE)+VLOOKUP(DZ$3,'Non-Embedded Emissions'!$A$143:$D$174,2,FALSE)+VLOOKUP(DZ$3,'Non-Embedded Emissions'!$A$230:$D$259,2,FALSE)-VLOOKUP(DZ$3,'Non-Embedded Emissions'!$A$56:$D$90,3,FALSE)-VLOOKUP(DZ$3,'Non-Embedded Emissions'!$A$143:$D$174,3,FALSE)-VLOOKUP(DZ$3,'Non-Embedded Emissions'!$A$230:$D$259,3,FALSE)), $C53 = "2", 'Inputs-System'!$C$30*'Coincidence Factors'!$B$5*'Inputs-Proposals'!$K$23*'Inputs-Proposals'!$K$25*(VLOOKUP(DZ$3,'Non-Embedded Emissions'!$A$56:$D$90,2,FALSE)+VLOOKUP(DZ$3,'Non-Embedded Emissions'!$A$143:$D$174,2,FALSE)+VLOOKUP(DZ$3,'Non-Embedded Emissions'!$A$230:$D$259,2,FALSE)-VLOOKUP(DZ$3,'Non-Embedded Emissions'!$A$56:$D$90,3,FALSE)-VLOOKUP(DZ$3,'Non-Embedded Emissions'!$A$143:$D$174,3,FALSE)-VLOOKUP(DZ$3,'Non-Embedded Emissions'!$A$230:$D$259,3,FALSE)), $C53 = "3", 'Inputs-System'!$C$30*'Coincidence Factors'!$B$5*'Inputs-Proposals'!$K$29*'Inputs-Proposals'!$K$31*(VLOOKUP(DZ$3,'Non-Embedded Emissions'!$A$56:$D$90,2,FALSE)+VLOOKUP(DZ$3,'Non-Embedded Emissions'!$A$143:$D$174,2,FALSE)+VLOOKUP(DZ$3,'Non-Embedded Emissions'!$A$230:$D$259,2,FALSE)-VLOOKUP(DZ$3,'Non-Embedded Emissions'!$A$56:$D$90,3,FALSE)-VLOOKUP(DZ$3,'Non-Embedded Emissions'!$A$143:$D$174,3,FALSE)-VLOOKUP(DZ$3,'Non-Embedded Emissions'!$A$230:$D$259,3,FALSE)), $C53 = "0", 0), 0)</f>
        <v>0</v>
      </c>
    </row>
    <row r="54" spans="1:135" x14ac:dyDescent="0.35">
      <c r="A54" s="708"/>
      <c r="B54" s="3" t="s">
        <v>158</v>
      </c>
      <c r="C54" s="3" t="str">
        <f>IFERROR(_xlfn.IFS('Benefits Calc'!B54='Inputs-Proposals'!$K$15, "1", 'Benefits Calc'!B54='Inputs-Proposals'!$K$21, "2", 'Benefits Calc'!B54='Inputs-Proposals'!$K$27, "3"), "0")</f>
        <v>0</v>
      </c>
      <c r="D54" s="323">
        <f t="shared" si="0"/>
        <v>0</v>
      </c>
      <c r="E54" s="44">
        <f t="shared" si="1"/>
        <v>0</v>
      </c>
      <c r="F54" s="44">
        <f t="shared" si="2"/>
        <v>0</v>
      </c>
      <c r="G54" s="44">
        <f t="shared" si="3"/>
        <v>0</v>
      </c>
      <c r="H54" s="44">
        <f t="shared" si="4"/>
        <v>0</v>
      </c>
      <c r="I54" s="44">
        <f t="shared" si="5"/>
        <v>0</v>
      </c>
      <c r="J54" s="323">
        <f>NPV('Inputs-System'!$C$20,P54+V54+AB54+AH54+AN54+AT54+AZ54+BF54+BL54+BR54+BX54+CD54+CJ54+CP54+CV54+DB54+DH54+DN54+DT54+DZ54)</f>
        <v>0</v>
      </c>
      <c r="K54" s="44">
        <f>NPV('Inputs-System'!$C$20,Q54+W54+AC54+AI54+AO54+AU54+BA54+BG54+BM54+BS54+BY54+CE54+CK54+CQ54+CW54+DC54+DI54+DO54+DU54+EA54)</f>
        <v>0</v>
      </c>
      <c r="L54" s="44">
        <f>NPV('Inputs-System'!$C$20,R54+X54+AD54+AJ54+AP54+AV54+BB54+BH54+BN54+BT54+BZ54+CF54+CL54+CR54+CX54+DD54+DJ54+DP54+DV54+EB54)</f>
        <v>0</v>
      </c>
      <c r="M54" s="44">
        <f>NPV('Inputs-System'!$C$20,S54+Y54+AE54+AK54+AQ54+AW54+BC54+BI54+BO54+BU54+CA54+CG54+CM54+CS54+CY54+DE54+DK54+DQ54+DW54+EC54)</f>
        <v>0</v>
      </c>
      <c r="N54" s="44">
        <f>NPV('Inputs-System'!$C$20,T54+Z54+AF54+AL54+AR54+AX54+BD54+BJ54+BP54+BV54+CB54+CH54+CN54+CT54+CZ54+DF54+DL54+DR54+DX54+ED54)</f>
        <v>0</v>
      </c>
      <c r="O54" s="119">
        <f>NPV('Inputs-System'!$C$20,U54+AA54+AG54+AM54+AS54+AY54+BE54+BK54+BQ54+BW54+CC54+CI54+CO54+CU54+DA54+DG54+DM54+DS54+DY54+EE54)</f>
        <v>0</v>
      </c>
      <c r="P54" s="45">
        <f>IFERROR(_xlfn.IFS($C54="1",('Inputs-System'!$C$30*'Coincidence Factors'!$B$6*(1+'Inputs-System'!$C$18)*(1+'Inputs-System'!$C$41)*('Inputs-Proposals'!$K$17*'Inputs-Proposals'!$K$19*(1-'Inputs-Proposals'!$K$20^(P$3-'Inputs-System'!$C$7+1)))*(VLOOKUP(P$3,Energy!$A$51:$K$83,5,FALSE))), $C54 = "2",('Inputs-System'!$C$30*'Coincidence Factors'!$B$6)*(1+'Inputs-System'!$C$18)*(1+'Inputs-System'!$C$41)*('Inputs-Proposals'!$K$23*'Inputs-Proposals'!$K$25*(1-'Inputs-Proposals'!$K$26^(P$3-'Inputs-System'!$C$7+1)))*(VLOOKUP(P$3,Energy!$A$51:$K$83,5,FALSE)), $C54= "3", ('Inputs-System'!$C$30*'Coincidence Factors'!$B$6*(1+'Inputs-System'!$C$18)*(1+'Inputs-System'!$C$41)*('Inputs-Proposals'!$K$29*'Inputs-Proposals'!$K$31*(1-'Inputs-Proposals'!$K$32^(P$3-'Inputs-System'!$C$7+1)))*(VLOOKUP(P$3,Energy!$A$51:$K$83,5,FALSE))), $C54= "0", 0), 0)</f>
        <v>0</v>
      </c>
      <c r="Q54" s="44">
        <f>IFERROR(_xlfn.IFS($C54="1",('Inputs-System'!$C$30*'Coincidence Factors'!$B$6*(1+'Inputs-System'!$C$18)*(1+'Inputs-System'!$C$41))*'Inputs-Proposals'!$K$17*'Inputs-Proposals'!$K$19*(1-'Inputs-Proposals'!$K$20^(P$3-'Inputs-System'!$C$7+1))*(VLOOKUP(P$3,'Embedded Emissions'!$A$47:$B$78,2,FALSE)+VLOOKUP(P$3,'Embedded Emissions'!$A$129:$B$158,2,FALSE)), $C54 = "2",('Inputs-System'!$C$30*'Coincidence Factors'!$B$6*(1+'Inputs-System'!$C$18)*(1+'Inputs-System'!$C$41))*'Inputs-Proposals'!$K$23*'Inputs-Proposals'!$K$25*(1-'Inputs-Proposals'!$K$20^(P$3-'Inputs-System'!$C$7+1))*(VLOOKUP(P$3,'Embedded Emissions'!$A$47:$B$78,2,FALSE)+VLOOKUP(P$3,'Embedded Emissions'!$A$129:$B$158,2,FALSE)), $C54 = "3", ('Inputs-System'!$C$30*'Coincidence Factors'!$B$6*(1+'Inputs-System'!$C$18)*(1+'Inputs-System'!$C$41))*'Inputs-Proposals'!$K$29*'Inputs-Proposals'!$K$31*(1-'Inputs-Proposals'!$K$20^(P$3-'Inputs-System'!$C$7+1))*(VLOOKUP(P$3,'Embedded Emissions'!$A$47:$B$78,2,FALSE)+VLOOKUP(P$3,'Embedded Emissions'!$A$129:$B$158,2,FALSE)), $C54 = "0", 0), 0)</f>
        <v>0</v>
      </c>
      <c r="R54" s="44">
        <f>IFERROR(_xlfn.IFS($C54="1",( 'Inputs-System'!$C$30*'Coincidence Factors'!$B$6*(1+'Inputs-System'!$C$18)*(1+'Inputs-System'!$C$41))*('Inputs-Proposals'!$K$17*'Inputs-Proposals'!$K$19*(1-'Inputs-Proposals'!$K$20)^(P$3-'Inputs-System'!$C$7))*(VLOOKUP(P$3,DRIPE!$A$54:$I$82,5,FALSE)+VLOOKUP(P$3,DRIPE!$A$54:$I$82,9,FALSE))+ ('Inputs-System'!$C$26*'Coincidence Factors'!$B$6*(1+'Inputs-System'!$C$18)*(1+'Inputs-System'!$C$42))*'Inputs-Proposals'!$K$16*VLOOKUP(P$3,DRIPE!$A$54:$I$82,8,FALSE), $C54 = "2",( 'Inputs-System'!$C$30*'Coincidence Factors'!$B$6*(1+'Inputs-System'!$C$18)*(1+'Inputs-System'!$C$41))*('Inputs-Proposals'!$K$23*'Inputs-Proposals'!$K$25*(1-'Inputs-Proposals'!$K$26)^(P$3-'Inputs-System'!$C$7))*(VLOOKUP(P$3,DRIPE!$A$54:$I$82,5,FALSE)+VLOOKUP(P$3,DRIPE!$A$54:$I$82,9,FALSE))+ ('Inputs-System'!$C$26*'Coincidence Factors'!$B$6*(1+'Inputs-System'!$C$18)*(1+'Inputs-System'!$C$42))*'Inputs-Proposals'!$K$22*VLOOKUP(P$3,DRIPE!$A$54:$I$82,8,FALSE), $C54= "3", ( 'Inputs-System'!$C$30*'Coincidence Factors'!$B$6*(1+'Inputs-System'!$C$18)*(1+'Inputs-System'!$C$41))*('Inputs-Proposals'!$K$29*'Inputs-Proposals'!$K$31*(1-'Inputs-Proposals'!$K$32)^(P$3-'Inputs-System'!$C$7))*(VLOOKUP(P$3,DRIPE!$A$54:$I$82,5,FALSE)+VLOOKUP(P$3,DRIPE!$A$54:$I$82,9,FALSE))+ ('Inputs-System'!$C$26*'Coincidence Factors'!$B$6*(1+'Inputs-System'!$C$18)*(1+'Inputs-System'!$C$42))*'Inputs-Proposals'!$K$28*VLOOKUP(P$3,DRIPE!$A$54:$I$82,8,FALSE), $C54 = "0", 0), 0)</f>
        <v>0</v>
      </c>
      <c r="S54" s="45">
        <f>IFERROR(_xlfn.IFS($C54="1",('Inputs-System'!$C$26*'Coincidence Factors'!$B$6*(1+'Inputs-System'!$C$18))*'Inputs-Proposals'!$K$16*(VLOOKUP(P$3,Capacity!$A$53:$E$85,4,FALSE)*(1+'Inputs-System'!$C$42)+VLOOKUP(P$3,Capacity!$A$53:$E$85,5,FALSE)*'Inputs-System'!$C$29*(1+'Inputs-System'!$C$43)), $C54 = "2", ('Inputs-System'!$C$26*'Coincidence Factors'!$B$6*(1+'Inputs-System'!$C$18))*'Inputs-Proposals'!$K$22*(VLOOKUP(P$3,Capacity!$A$53:$E$85,4,FALSE)*(1+'Inputs-System'!$C$42)+VLOOKUP(P$3,Capacity!$A$53:$E$85,5,FALSE)*'Inputs-System'!$C$29*(1+'Inputs-System'!$C$43)), $C54 = "3",('Inputs-System'!$C$26*'Coincidence Factors'!$B$6*(1+'Inputs-System'!$C$18))*'Inputs-Proposals'!$K$28*(VLOOKUP(P$3,Capacity!$A$53:$E$85,4,FALSE)*(1+'Inputs-System'!$C$42)+VLOOKUP(P$3,Capacity!$A$53:$E$85,5,FALSE)*'Inputs-System'!$C$29*(1+'Inputs-System'!$C$43)), $C54 = "0", 0), 0)</f>
        <v>0</v>
      </c>
      <c r="T54" s="44">
        <v>0</v>
      </c>
      <c r="U54" s="44">
        <f>IFERROR(_xlfn.IFS($C54="1", 'Inputs-System'!$C$30*'Coincidence Factors'!$B$6*'Inputs-Proposals'!$K$17*'Inputs-Proposals'!$K$19*(VLOOKUP(P$3,'Non-Embedded Emissions'!$A$56:$D$90,2,FALSE)+VLOOKUP(P$3,'Non-Embedded Emissions'!$A$143:$D$174,2,FALSE)+VLOOKUP(P$3,'Non-Embedded Emissions'!$A$230:$D$259,2,FALSE)), $C54 = "2", 'Inputs-System'!$C$30*'Coincidence Factors'!$B$6*'Inputs-Proposals'!$K$23*'Inputs-Proposals'!$K$25*(VLOOKUP(P$3,'Non-Embedded Emissions'!$A$56:$D$90,2,FALSE)+VLOOKUP(P$3,'Non-Embedded Emissions'!$A$143:$D$174,2,FALSE)+VLOOKUP(P$3,'Non-Embedded Emissions'!$A$230:$D$259,2,FALSE)), $C54 = "3", 'Inputs-System'!$C$30*'Coincidence Factors'!$B$6*'Inputs-Proposals'!$K$29*'Inputs-Proposals'!$K$31*(VLOOKUP(P$3,'Non-Embedded Emissions'!$A$56:$D$90,2,FALSE)+VLOOKUP(P$3,'Non-Embedded Emissions'!$A$143:$D$174,2,FALSE)+VLOOKUP(P$3,'Non-Embedded Emissions'!$A$230:$D$259,2,FALSE)), $C54 = "0", 0), 0)</f>
        <v>0</v>
      </c>
      <c r="V54" s="347">
        <f>IFERROR(_xlfn.IFS($C54="1",('Inputs-System'!$C$30*'Coincidence Factors'!$B$6*(1+'Inputs-System'!$C$18)*(1+'Inputs-System'!$C$41)*('Inputs-Proposals'!$K$17*'Inputs-Proposals'!$K$19*(1-'Inputs-Proposals'!$K$20^(V$3-'Inputs-System'!$C$7)))*(VLOOKUP(V$3,Energy!$A$51:$K$83,5,FALSE))), $C54 = "2",('Inputs-System'!$C$30*'Coincidence Factors'!$B$6)*(1+'Inputs-System'!$C$18)*(1+'Inputs-System'!$C$41)*('Inputs-Proposals'!$K$23*'Inputs-Proposals'!$K$25*(1-'Inputs-Proposals'!$K$26^(V$3-'Inputs-System'!$C$7)))*(VLOOKUP(V$3,Energy!$A$51:$K$83,5,FALSE)), $C54= "3", ('Inputs-System'!$C$30*'Coincidence Factors'!$B$6*(1+'Inputs-System'!$C$18)*(1+'Inputs-System'!$C$41)*('Inputs-Proposals'!$K$29*'Inputs-Proposals'!$K$31*(1-'Inputs-Proposals'!$K$32^(V$3-'Inputs-System'!$C$7)))*(VLOOKUP(V$3,Energy!$A$51:$K$83,5,FALSE))), $C54= "0", 0), 0)</f>
        <v>0</v>
      </c>
      <c r="W54" s="44">
        <f>IFERROR(_xlfn.IFS($C54="1",('Inputs-System'!$C$30*'Coincidence Factors'!$B$6*(1+'Inputs-System'!$C$18)*(1+'Inputs-System'!$C$41))*'Inputs-Proposals'!$K$17*'Inputs-Proposals'!$K$19*(1-'Inputs-Proposals'!$K$20^(V$3-'Inputs-System'!$C$7))*(VLOOKUP(V$3,'Embedded Emissions'!$A$47:$B$78,2,FALSE)+VLOOKUP(V$3,'Embedded Emissions'!$A$129:$B$158,2,FALSE)), $C54 = "2",('Inputs-System'!$C$30*'Coincidence Factors'!$B$6*(1+'Inputs-System'!$C$18)*(1+'Inputs-System'!$C$41))*'Inputs-Proposals'!$K$23*'Inputs-Proposals'!$K$25*(1-'Inputs-Proposals'!$K$20^(V$3-'Inputs-System'!$C$7))*(VLOOKUP(V$3,'Embedded Emissions'!$A$47:$B$78,2,FALSE)+VLOOKUP(V$3,'Embedded Emissions'!$A$129:$B$158,2,FALSE)), $C54 = "3", ('Inputs-System'!$C$30*'Coincidence Factors'!$B$6*(1+'Inputs-System'!$C$18)*(1+'Inputs-System'!$C$41))*'Inputs-Proposals'!$K$29*'Inputs-Proposals'!$K$31*(1-'Inputs-Proposals'!$K$20^(V$3-'Inputs-System'!$C$7))*(VLOOKUP(V$3,'Embedded Emissions'!$A$47:$B$78,2,FALSE)+VLOOKUP(V$3,'Embedded Emissions'!$A$129:$B$158,2,FALSE)), $C54 = "0", 0), 0)</f>
        <v>0</v>
      </c>
      <c r="X54" s="44">
        <f>IFERROR(_xlfn.IFS($C54="1",( 'Inputs-System'!$C$30*'Coincidence Factors'!$B$6*(1+'Inputs-System'!$C$18)*(1+'Inputs-System'!$C$41))*('Inputs-Proposals'!$K$17*'Inputs-Proposals'!$K$19*(1-'Inputs-Proposals'!$K$20)^(V$3-'Inputs-System'!$C$7))*(VLOOKUP(V$3,DRIPE!$A$54:$I$82,5,FALSE)+VLOOKUP(V$3,DRIPE!$A$54:$I$82,9,FALSE))+ ('Inputs-System'!$C$26*'Coincidence Factors'!$B$6*(1+'Inputs-System'!$C$18)*(1+'Inputs-System'!$C$42))*'Inputs-Proposals'!$K$16*VLOOKUP(V$3,DRIPE!$A$54:$I$82,8,FALSE), $C54 = "2",( 'Inputs-System'!$C$30*'Coincidence Factors'!$B$6*(1+'Inputs-System'!$C$18)*(1+'Inputs-System'!$C$41))*('Inputs-Proposals'!$K$23*'Inputs-Proposals'!$K$25*(1-'Inputs-Proposals'!$K$26)^(V$3-'Inputs-System'!$C$7))*(VLOOKUP(V$3,DRIPE!$A$54:$I$82,5,FALSE)+VLOOKUP(V$3,DRIPE!$A$54:$I$82,9,FALSE))+ ('Inputs-System'!$C$26*'Coincidence Factors'!$B$6*(1+'Inputs-System'!$C$18)*(1+'Inputs-System'!$C$42))*'Inputs-Proposals'!$K$22*VLOOKUP(V$3,DRIPE!$A$54:$I$82,8,FALSE), $C54= "3", ( 'Inputs-System'!$C$30*'Coincidence Factors'!$B$6*(1+'Inputs-System'!$C$18)*(1+'Inputs-System'!$C$41))*('Inputs-Proposals'!$K$29*'Inputs-Proposals'!$K$31*(1-'Inputs-Proposals'!$K$32)^(V$3-'Inputs-System'!$C$7))*(VLOOKUP(V$3,DRIPE!$A$54:$I$82,5,FALSE)+VLOOKUP(V$3,DRIPE!$A$54:$I$82,9,FALSE))+ ('Inputs-System'!$C$26*'Coincidence Factors'!$B$6*(1+'Inputs-System'!$C$18)*(1+'Inputs-System'!$C$42))*'Inputs-Proposals'!$K$28*VLOOKUP(V$3,DRIPE!$A$54:$I$82,8,FALSE), $C54 = "0", 0), 0)</f>
        <v>0</v>
      </c>
      <c r="Y54" s="45">
        <f>IFERROR(_xlfn.IFS($C54="1",('Inputs-System'!$C$26*'Coincidence Factors'!$B$6*(1+'Inputs-System'!$C$18))*'Inputs-Proposals'!$K$16*(VLOOKUP(V$3,Capacity!$A$53:$E$85,4,FALSE)*(1+'Inputs-System'!$C$42)+VLOOKUP(V$3,Capacity!$A$53:$E$85,5,FALSE)*'Inputs-System'!$C$29*(1+'Inputs-System'!$C$43)), $C54 = "2", ('Inputs-System'!$C$26*'Coincidence Factors'!$B$6*(1+'Inputs-System'!$C$18))*'Inputs-Proposals'!$K$22*(VLOOKUP(V$3,Capacity!$A$53:$E$85,4,FALSE)*(1+'Inputs-System'!$C$42)+VLOOKUP(V$3,Capacity!$A$53:$E$85,5,FALSE)*'Inputs-System'!$C$29*(1+'Inputs-System'!$C$43)), $C54 = "3",('Inputs-System'!$C$26*'Coincidence Factors'!$B$6*(1+'Inputs-System'!$C$18))*'Inputs-Proposals'!$K$28*(VLOOKUP(V$3,Capacity!$A$53:$E$85,4,FALSE)*(1+'Inputs-System'!$C$42)+VLOOKUP(V$3,Capacity!$A$53:$E$85,5,FALSE)*'Inputs-System'!$C$29*(1+'Inputs-System'!$C$43)), $C54 = "0", 0), 0)</f>
        <v>0</v>
      </c>
      <c r="Z54" s="44">
        <v>0</v>
      </c>
      <c r="AA54" s="342">
        <f>IFERROR(_xlfn.IFS($C54="1", 'Inputs-System'!$C$30*'Coincidence Factors'!$B$6*'Inputs-Proposals'!$K$17*'Inputs-Proposals'!$K$19*(VLOOKUP(V$3,'Non-Embedded Emissions'!$A$56:$D$90,2,FALSE)+VLOOKUP(V$3,'Non-Embedded Emissions'!$A$143:$D$174,2,FALSE)+VLOOKUP(V$3,'Non-Embedded Emissions'!$A$230:$D$259,2,FALSE)), $C54 = "2", 'Inputs-System'!$C$30*'Coincidence Factors'!$B$6*'Inputs-Proposals'!$K$23*'Inputs-Proposals'!$K$25*(VLOOKUP(V$3,'Non-Embedded Emissions'!$A$56:$D$90,2,FALSE)+VLOOKUP(V$3,'Non-Embedded Emissions'!$A$143:$D$174,2,FALSE)+VLOOKUP(V$3,'Non-Embedded Emissions'!$A$230:$D$259,2,FALSE)), $C54 = "3", 'Inputs-System'!$C$30*'Coincidence Factors'!$B$6*'Inputs-Proposals'!$K$29*'Inputs-Proposals'!$K$31*(VLOOKUP(V$3,'Non-Embedded Emissions'!$A$56:$D$90,2,FALSE)+VLOOKUP(V$3,'Non-Embedded Emissions'!$A$143:$D$174,2,FALSE)+VLOOKUP(V$3,'Non-Embedded Emissions'!$A$230:$D$259,2,FALSE)), $C54 = "0", 0), 0)</f>
        <v>0</v>
      </c>
      <c r="AB54" s="347">
        <f>IFERROR(_xlfn.IFS($C54="1",('Inputs-System'!$C$30*'Coincidence Factors'!$B$6*(1+'Inputs-System'!$C$18)*(1+'Inputs-System'!$C$41)*('Inputs-Proposals'!$K$17*'Inputs-Proposals'!$K$19*(1-'Inputs-Proposals'!$K$20^(AB$3-'Inputs-System'!$C$7)))*(VLOOKUP(AB$3,Energy!$A$51:$K$83,5,FALSE))), $C54 = "2",('Inputs-System'!$C$30*'Coincidence Factors'!$B$6)*(1+'Inputs-System'!$C$18)*(1+'Inputs-System'!$C$41)*('Inputs-Proposals'!$K$23*'Inputs-Proposals'!$K$25*(1-'Inputs-Proposals'!$K$26^(AB$3-'Inputs-System'!$C$7)))*(VLOOKUP(AB$3,Energy!$A$51:$K$83,5,FALSE)), $C54= "3", ('Inputs-System'!$C$30*'Coincidence Factors'!$B$6*(1+'Inputs-System'!$C$18)*(1+'Inputs-System'!$C$41)*('Inputs-Proposals'!$K$29*'Inputs-Proposals'!$K$31*(1-'Inputs-Proposals'!$K$32^(AB$3-'Inputs-System'!$C$7)))*(VLOOKUP(AB$3,Energy!$A$51:$K$83,5,FALSE))), $C54= "0", 0), 0)</f>
        <v>0</v>
      </c>
      <c r="AC54" s="44">
        <f>IFERROR(_xlfn.IFS($C54="1",('Inputs-System'!$C$30*'Coincidence Factors'!$B$6*(1+'Inputs-System'!$C$18)*(1+'Inputs-System'!$C$41))*'Inputs-Proposals'!$K$17*'Inputs-Proposals'!$K$19*(1-'Inputs-Proposals'!$K$20^(AB$3-'Inputs-System'!$C$7))*(VLOOKUP(AB$3,'Embedded Emissions'!$A$47:$B$78,2,FALSE)+VLOOKUP(AB$3,'Embedded Emissions'!$A$129:$B$158,2,FALSE)), $C54 = "2",('Inputs-System'!$C$30*'Coincidence Factors'!$B$6*(1+'Inputs-System'!$C$18)*(1+'Inputs-System'!$C$41))*'Inputs-Proposals'!$K$23*'Inputs-Proposals'!$K$25*(1-'Inputs-Proposals'!$K$20^(AB$3-'Inputs-System'!$C$7))*(VLOOKUP(AB$3,'Embedded Emissions'!$A$47:$B$78,2,FALSE)+VLOOKUP(AB$3,'Embedded Emissions'!$A$129:$B$158,2,FALSE)), $C54 = "3", ('Inputs-System'!$C$30*'Coincidence Factors'!$B$6*(1+'Inputs-System'!$C$18)*(1+'Inputs-System'!$C$41))*'Inputs-Proposals'!$K$29*'Inputs-Proposals'!$K$31*(1-'Inputs-Proposals'!$K$20^(AB$3-'Inputs-System'!$C$7))*(VLOOKUP(AB$3,'Embedded Emissions'!$A$47:$B$78,2,FALSE)+VLOOKUP(AB$3,'Embedded Emissions'!$A$129:$B$158,2,FALSE)), $C54 = "0", 0), 0)</f>
        <v>0</v>
      </c>
      <c r="AD54" s="44">
        <f>IFERROR(_xlfn.IFS($C54="1",( 'Inputs-System'!$C$30*'Coincidence Factors'!$B$6*(1+'Inputs-System'!$C$18)*(1+'Inputs-System'!$C$41))*('Inputs-Proposals'!$K$17*'Inputs-Proposals'!$K$19*(1-'Inputs-Proposals'!$K$20)^(AB$3-'Inputs-System'!$C$7))*(VLOOKUP(AB$3,DRIPE!$A$54:$I$82,5,FALSE)+VLOOKUP(AB$3,DRIPE!$A$54:$I$82,9,FALSE))+ ('Inputs-System'!$C$26*'Coincidence Factors'!$B$6*(1+'Inputs-System'!$C$18)*(1+'Inputs-System'!$C$42))*'Inputs-Proposals'!$K$16*VLOOKUP(AB$3,DRIPE!$A$54:$I$82,8,FALSE), $C54 = "2",( 'Inputs-System'!$C$30*'Coincidence Factors'!$B$6*(1+'Inputs-System'!$C$18)*(1+'Inputs-System'!$C$41))*('Inputs-Proposals'!$K$23*'Inputs-Proposals'!$K$25*(1-'Inputs-Proposals'!$K$26)^(AB$3-'Inputs-System'!$C$7))*(VLOOKUP(AB$3,DRIPE!$A$54:$I$82,5,FALSE)+VLOOKUP(AB$3,DRIPE!$A$54:$I$82,9,FALSE))+ ('Inputs-System'!$C$26*'Coincidence Factors'!$B$6*(1+'Inputs-System'!$C$18)*(1+'Inputs-System'!$C$42))*'Inputs-Proposals'!$K$22*VLOOKUP(AB$3,DRIPE!$A$54:$I$82,8,FALSE), $C54= "3", ( 'Inputs-System'!$C$30*'Coincidence Factors'!$B$6*(1+'Inputs-System'!$C$18)*(1+'Inputs-System'!$C$41))*('Inputs-Proposals'!$K$29*'Inputs-Proposals'!$K$31*(1-'Inputs-Proposals'!$K$32)^(AB$3-'Inputs-System'!$C$7))*(VLOOKUP(AB$3,DRIPE!$A$54:$I$82,5,FALSE)+VLOOKUP(AB$3,DRIPE!$A$54:$I$82,9,FALSE))+ ('Inputs-System'!$C$26*'Coincidence Factors'!$B$6*(1+'Inputs-System'!$C$18)*(1+'Inputs-System'!$C$42))*'Inputs-Proposals'!$K$28*VLOOKUP(AB$3,DRIPE!$A$54:$I$82,8,FALSE), $C54 = "0", 0), 0)</f>
        <v>0</v>
      </c>
      <c r="AE54" s="45">
        <f>IFERROR(_xlfn.IFS($C54="1",('Inputs-System'!$C$26*'Coincidence Factors'!$B$6*(1+'Inputs-System'!$C$18))*'Inputs-Proposals'!$K$16*(VLOOKUP(AB$3,Capacity!$A$53:$E$85,4,FALSE)*(1+'Inputs-System'!$C$42)+VLOOKUP(AB$3,Capacity!$A$53:$E$85,5,FALSE)*'Inputs-System'!$C$29*(1+'Inputs-System'!$C$43)), $C54 = "2", ('Inputs-System'!$C$26*'Coincidence Factors'!$B$6*(1+'Inputs-System'!$C$18))*'Inputs-Proposals'!$K$22*(VLOOKUP(AB$3,Capacity!$A$53:$E$85,4,FALSE)*(1+'Inputs-System'!$C$42)+VLOOKUP(AB$3,Capacity!$A$53:$E$85,5,FALSE)*'Inputs-System'!$C$29*(1+'Inputs-System'!$C$43)), $C54 = "3",('Inputs-System'!$C$26*'Coincidence Factors'!$B$6*(1+'Inputs-System'!$C$18))*'Inputs-Proposals'!$K$28*(VLOOKUP(AB$3,Capacity!$A$53:$E$85,4,FALSE)*(1+'Inputs-System'!$C$42)+VLOOKUP(AB$3,Capacity!$A$53:$E$85,5,FALSE)*'Inputs-System'!$C$29*(1+'Inputs-System'!$C$43)), $C54 = "0", 0), 0)</f>
        <v>0</v>
      </c>
      <c r="AF54" s="44">
        <v>0</v>
      </c>
      <c r="AG54" s="342">
        <f>IFERROR(_xlfn.IFS($C54="1", 'Inputs-System'!$C$30*'Coincidence Factors'!$B$6*'Inputs-Proposals'!$K$17*'Inputs-Proposals'!$K$19*(VLOOKUP(AB$3,'Non-Embedded Emissions'!$A$56:$D$90,2,FALSE)+VLOOKUP(AB$3,'Non-Embedded Emissions'!$A$143:$D$174,2,FALSE)+VLOOKUP(AB$3,'Non-Embedded Emissions'!$A$230:$D$259,2,FALSE)), $C54 = "2", 'Inputs-System'!$C$30*'Coincidence Factors'!$B$6*'Inputs-Proposals'!$K$23*'Inputs-Proposals'!$K$25*(VLOOKUP(AB$3,'Non-Embedded Emissions'!$A$56:$D$90,2,FALSE)+VLOOKUP(AB$3,'Non-Embedded Emissions'!$A$143:$D$174,2,FALSE)+VLOOKUP(AB$3,'Non-Embedded Emissions'!$A$230:$D$259,2,FALSE)), $C54 = "3", 'Inputs-System'!$C$30*'Coincidence Factors'!$B$6*'Inputs-Proposals'!$K$29*'Inputs-Proposals'!$K$31*(VLOOKUP(AB$3,'Non-Embedded Emissions'!$A$56:$D$90,2,FALSE)+VLOOKUP(AB$3,'Non-Embedded Emissions'!$A$143:$D$174,2,FALSE)+VLOOKUP(AB$3,'Non-Embedded Emissions'!$A$230:$D$259,2,FALSE)), $C54 = "0", 0), 0)</f>
        <v>0</v>
      </c>
      <c r="AH54" s="347">
        <f>IFERROR(_xlfn.IFS($C54="1",('Inputs-System'!$C$30*'Coincidence Factors'!$B$6*(1+'Inputs-System'!$C$18)*(1+'Inputs-System'!$C$41)*('Inputs-Proposals'!$K$17*'Inputs-Proposals'!$K$19*(1-'Inputs-Proposals'!$K$20^(AH$3-'Inputs-System'!$C$7)))*(VLOOKUP(AH$3,Energy!$A$51:$K$83,5,FALSE))), $C54 = "2",('Inputs-System'!$C$30*'Coincidence Factors'!$B$6)*(1+'Inputs-System'!$C$18)*(1+'Inputs-System'!$C$41)*('Inputs-Proposals'!$K$23*'Inputs-Proposals'!$K$25*(1-'Inputs-Proposals'!$K$26^(AH$3-'Inputs-System'!$C$7)))*(VLOOKUP(AH$3,Energy!$A$51:$K$83,5,FALSE)), $C54= "3", ('Inputs-System'!$C$30*'Coincidence Factors'!$B$6*(1+'Inputs-System'!$C$18)*(1+'Inputs-System'!$C$41)*('Inputs-Proposals'!$K$29*'Inputs-Proposals'!$K$31*(1-'Inputs-Proposals'!$K$32^(AH$3-'Inputs-System'!$C$7)))*(VLOOKUP(AH$3,Energy!$A$51:$K$83,5,FALSE))), $C54= "0", 0), 0)</f>
        <v>0</v>
      </c>
      <c r="AI54" s="44">
        <f>IFERROR(_xlfn.IFS($C54="1",('Inputs-System'!$C$30*'Coincidence Factors'!$B$6*(1+'Inputs-System'!$C$18)*(1+'Inputs-System'!$C$41))*'Inputs-Proposals'!$K$17*'Inputs-Proposals'!$K$19*(1-'Inputs-Proposals'!$K$20^(AH$3-'Inputs-System'!$C$7))*(VLOOKUP(AH$3,'Embedded Emissions'!$A$47:$B$78,2,FALSE)+VLOOKUP(AH$3,'Embedded Emissions'!$A$129:$B$158,2,FALSE)), $C54 = "2",('Inputs-System'!$C$30*'Coincidence Factors'!$B$6*(1+'Inputs-System'!$C$18)*(1+'Inputs-System'!$C$41))*'Inputs-Proposals'!$K$23*'Inputs-Proposals'!$K$25*(1-'Inputs-Proposals'!$K$20^(AH$3-'Inputs-System'!$C$7))*(VLOOKUP(AH$3,'Embedded Emissions'!$A$47:$B$78,2,FALSE)+VLOOKUP(AH$3,'Embedded Emissions'!$A$129:$B$158,2,FALSE)), $C54 = "3", ('Inputs-System'!$C$30*'Coincidence Factors'!$B$6*(1+'Inputs-System'!$C$18)*(1+'Inputs-System'!$C$41))*'Inputs-Proposals'!$K$29*'Inputs-Proposals'!$K$31*(1-'Inputs-Proposals'!$K$20^(AH$3-'Inputs-System'!$C$7))*(VLOOKUP(AH$3,'Embedded Emissions'!$A$47:$B$78,2,FALSE)+VLOOKUP(AH$3,'Embedded Emissions'!$A$129:$B$158,2,FALSE)), $C54 = "0", 0), 0)</f>
        <v>0</v>
      </c>
      <c r="AJ54" s="44">
        <f>IFERROR(_xlfn.IFS($C54="1",( 'Inputs-System'!$C$30*'Coincidence Factors'!$B$6*(1+'Inputs-System'!$C$18)*(1+'Inputs-System'!$C$41))*('Inputs-Proposals'!$K$17*'Inputs-Proposals'!$K$19*(1-'Inputs-Proposals'!$K$20)^(AH$3-'Inputs-System'!$C$7))*(VLOOKUP(AH$3,DRIPE!$A$54:$I$82,5,FALSE)+VLOOKUP(AH$3,DRIPE!$A$54:$I$82,9,FALSE))+ ('Inputs-System'!$C$26*'Coincidence Factors'!$B$6*(1+'Inputs-System'!$C$18)*(1+'Inputs-System'!$C$42))*'Inputs-Proposals'!$K$16*VLOOKUP(AH$3,DRIPE!$A$54:$I$82,8,FALSE), $C54 = "2",( 'Inputs-System'!$C$30*'Coincidence Factors'!$B$6*(1+'Inputs-System'!$C$18)*(1+'Inputs-System'!$C$41))*('Inputs-Proposals'!$K$23*'Inputs-Proposals'!$K$25*(1-'Inputs-Proposals'!$K$26)^(AH$3-'Inputs-System'!$C$7))*(VLOOKUP(AH$3,DRIPE!$A$54:$I$82,5,FALSE)+VLOOKUP(AH$3,DRIPE!$A$54:$I$82,9,FALSE))+ ('Inputs-System'!$C$26*'Coincidence Factors'!$B$6*(1+'Inputs-System'!$C$18)*(1+'Inputs-System'!$C$42))*'Inputs-Proposals'!$K$22*VLOOKUP(AH$3,DRIPE!$A$54:$I$82,8,FALSE), $C54= "3", ( 'Inputs-System'!$C$30*'Coincidence Factors'!$B$6*(1+'Inputs-System'!$C$18)*(1+'Inputs-System'!$C$41))*('Inputs-Proposals'!$K$29*'Inputs-Proposals'!$K$31*(1-'Inputs-Proposals'!$K$32)^(AH$3-'Inputs-System'!$C$7))*(VLOOKUP(AH$3,DRIPE!$A$54:$I$82,5,FALSE)+VLOOKUP(AH$3,DRIPE!$A$54:$I$82,9,FALSE))+ ('Inputs-System'!$C$26*'Coincidence Factors'!$B$6*(1+'Inputs-System'!$C$18)*(1+'Inputs-System'!$C$42))*'Inputs-Proposals'!$K$28*VLOOKUP(AH$3,DRIPE!$A$54:$I$82,8,FALSE), $C54 = "0", 0), 0)</f>
        <v>0</v>
      </c>
      <c r="AK54" s="45">
        <f>IFERROR(_xlfn.IFS($C54="1",('Inputs-System'!$C$26*'Coincidence Factors'!$B$6*(1+'Inputs-System'!$C$18))*'Inputs-Proposals'!$K$16*(VLOOKUP(AH$3,Capacity!$A$53:$E$85,4,FALSE)*(1+'Inputs-System'!$C$42)+VLOOKUP(AH$3,Capacity!$A$53:$E$85,5,FALSE)*'Inputs-System'!$C$29*(1+'Inputs-System'!$C$43)), $C54 = "2", ('Inputs-System'!$C$26*'Coincidence Factors'!$B$6*(1+'Inputs-System'!$C$18))*'Inputs-Proposals'!$K$22*(VLOOKUP(AH$3,Capacity!$A$53:$E$85,4,FALSE)*(1+'Inputs-System'!$C$42)+VLOOKUP(AH$3,Capacity!$A$53:$E$85,5,FALSE)*'Inputs-System'!$C$29*(1+'Inputs-System'!$C$43)), $C54 = "3",('Inputs-System'!$C$26*'Coincidence Factors'!$B$6*(1+'Inputs-System'!$C$18))*'Inputs-Proposals'!$K$28*(VLOOKUP(AH$3,Capacity!$A$53:$E$85,4,FALSE)*(1+'Inputs-System'!$C$42)+VLOOKUP(AH$3,Capacity!$A$53:$E$85,5,FALSE)*'Inputs-System'!$C$29*(1+'Inputs-System'!$C$43)), $C54 = "0", 0), 0)</f>
        <v>0</v>
      </c>
      <c r="AL54" s="44">
        <v>0</v>
      </c>
      <c r="AM54" s="342">
        <f>IFERROR(_xlfn.IFS($C54="1", 'Inputs-System'!$C$30*'Coincidence Factors'!$B$6*'Inputs-Proposals'!$K$17*'Inputs-Proposals'!$K$19*(VLOOKUP(AH$3,'Non-Embedded Emissions'!$A$56:$D$90,2,FALSE)+VLOOKUP(AH$3,'Non-Embedded Emissions'!$A$143:$D$174,2,FALSE)+VLOOKUP(AH$3,'Non-Embedded Emissions'!$A$230:$D$259,2,FALSE)), $C54 = "2", 'Inputs-System'!$C$30*'Coincidence Factors'!$B$6*'Inputs-Proposals'!$K$23*'Inputs-Proposals'!$K$25*(VLOOKUP(AH$3,'Non-Embedded Emissions'!$A$56:$D$90,2,FALSE)+VLOOKUP(AH$3,'Non-Embedded Emissions'!$A$143:$D$174,2,FALSE)+VLOOKUP(AH$3,'Non-Embedded Emissions'!$A$230:$D$259,2,FALSE)), $C54 = "3", 'Inputs-System'!$C$30*'Coincidence Factors'!$B$6*'Inputs-Proposals'!$K$29*'Inputs-Proposals'!$K$31*(VLOOKUP(AH$3,'Non-Embedded Emissions'!$A$56:$D$90,2,FALSE)+VLOOKUP(AH$3,'Non-Embedded Emissions'!$A$143:$D$174,2,FALSE)+VLOOKUP(AH$3,'Non-Embedded Emissions'!$A$230:$D$259,2,FALSE)), $C54 = "0", 0), 0)</f>
        <v>0</v>
      </c>
      <c r="AN54" s="347">
        <f>IFERROR(_xlfn.IFS($C54="1",('Inputs-System'!$C$30*'Coincidence Factors'!$B$6*(1+'Inputs-System'!$C$18)*(1+'Inputs-System'!$C$41)*('Inputs-Proposals'!$K$17*'Inputs-Proposals'!$K$19*(1-'Inputs-Proposals'!$K$20^(AN$3-'Inputs-System'!$C$7)))*(VLOOKUP(AN$3,Energy!$A$51:$K$83,5,FALSE))), $C54 = "2",('Inputs-System'!$C$30*'Coincidence Factors'!$B$6)*(1+'Inputs-System'!$C$18)*(1+'Inputs-System'!$C$41)*('Inputs-Proposals'!$K$23*'Inputs-Proposals'!$K$25*(1-'Inputs-Proposals'!$K$26^(AN$3-'Inputs-System'!$C$7)))*(VLOOKUP(AN$3,Energy!$A$51:$K$83,5,FALSE)), $C54= "3", ('Inputs-System'!$C$30*'Coincidence Factors'!$B$6*(1+'Inputs-System'!$C$18)*(1+'Inputs-System'!$C$41)*('Inputs-Proposals'!$K$29*'Inputs-Proposals'!$K$31*(1-'Inputs-Proposals'!$K$32^(AN$3-'Inputs-System'!$C$7)))*(VLOOKUP(AN$3,Energy!$A$51:$K$83,5,FALSE))), $C54= "0", 0), 0)</f>
        <v>0</v>
      </c>
      <c r="AO54" s="44">
        <f>IFERROR(_xlfn.IFS($C54="1",('Inputs-System'!$C$30*'Coincidence Factors'!$B$6*(1+'Inputs-System'!$C$18)*(1+'Inputs-System'!$C$41))*'Inputs-Proposals'!$K$17*'Inputs-Proposals'!$K$19*(1-'Inputs-Proposals'!$K$20^(AN$3-'Inputs-System'!$C$7))*(VLOOKUP(AN$3,'Embedded Emissions'!$A$47:$B$78,2,FALSE)+VLOOKUP(AN$3,'Embedded Emissions'!$A$129:$B$158,2,FALSE)), $C54 = "2",('Inputs-System'!$C$30*'Coincidence Factors'!$B$6*(1+'Inputs-System'!$C$18)*(1+'Inputs-System'!$C$41))*'Inputs-Proposals'!$K$23*'Inputs-Proposals'!$K$25*(1-'Inputs-Proposals'!$K$20^(AN$3-'Inputs-System'!$C$7))*(VLOOKUP(AN$3,'Embedded Emissions'!$A$47:$B$78,2,FALSE)+VLOOKUP(AN$3,'Embedded Emissions'!$A$129:$B$158,2,FALSE)), $C54 = "3", ('Inputs-System'!$C$30*'Coincidence Factors'!$B$6*(1+'Inputs-System'!$C$18)*(1+'Inputs-System'!$C$41))*'Inputs-Proposals'!$K$29*'Inputs-Proposals'!$K$31*(1-'Inputs-Proposals'!$K$20^(AN$3-'Inputs-System'!$C$7))*(VLOOKUP(AN$3,'Embedded Emissions'!$A$47:$B$78,2,FALSE)+VLOOKUP(AN$3,'Embedded Emissions'!$A$129:$B$158,2,FALSE)), $C54 = "0", 0), 0)</f>
        <v>0</v>
      </c>
      <c r="AP54" s="44">
        <f>IFERROR(_xlfn.IFS($C54="1",( 'Inputs-System'!$C$30*'Coincidence Factors'!$B$6*(1+'Inputs-System'!$C$18)*(1+'Inputs-System'!$C$41))*('Inputs-Proposals'!$K$17*'Inputs-Proposals'!$K$19*(1-'Inputs-Proposals'!$K$20)^(AN$3-'Inputs-System'!$C$7))*(VLOOKUP(AN$3,DRIPE!$A$54:$I$82,5,FALSE)+VLOOKUP(AN$3,DRIPE!$A$54:$I$82,9,FALSE))+ ('Inputs-System'!$C$26*'Coincidence Factors'!$B$6*(1+'Inputs-System'!$C$18)*(1+'Inputs-System'!$C$42))*'Inputs-Proposals'!$K$16*VLOOKUP(AN$3,DRIPE!$A$54:$I$82,8,FALSE), $C54 = "2",( 'Inputs-System'!$C$30*'Coincidence Factors'!$B$6*(1+'Inputs-System'!$C$18)*(1+'Inputs-System'!$C$41))*('Inputs-Proposals'!$K$23*'Inputs-Proposals'!$K$25*(1-'Inputs-Proposals'!$K$26)^(AN$3-'Inputs-System'!$C$7))*(VLOOKUP(AN$3,DRIPE!$A$54:$I$82,5,FALSE)+VLOOKUP(AN$3,DRIPE!$A$54:$I$82,9,FALSE))+ ('Inputs-System'!$C$26*'Coincidence Factors'!$B$6*(1+'Inputs-System'!$C$18)*(1+'Inputs-System'!$C$42))*'Inputs-Proposals'!$K$22*VLOOKUP(AN$3,DRIPE!$A$54:$I$82,8,FALSE), $C54= "3", ( 'Inputs-System'!$C$30*'Coincidence Factors'!$B$6*(1+'Inputs-System'!$C$18)*(1+'Inputs-System'!$C$41))*('Inputs-Proposals'!$K$29*'Inputs-Proposals'!$K$31*(1-'Inputs-Proposals'!$K$32)^(AN$3-'Inputs-System'!$C$7))*(VLOOKUP(AN$3,DRIPE!$A$54:$I$82,5,FALSE)+VLOOKUP(AN$3,DRIPE!$A$54:$I$82,9,FALSE))+ ('Inputs-System'!$C$26*'Coincidence Factors'!$B$6*(1+'Inputs-System'!$C$18)*(1+'Inputs-System'!$C$42))*'Inputs-Proposals'!$K$28*VLOOKUP(AN$3,DRIPE!$A$54:$I$82,8,FALSE), $C54 = "0", 0), 0)</f>
        <v>0</v>
      </c>
      <c r="AQ54" s="45">
        <f>IFERROR(_xlfn.IFS($C54="1",('Inputs-System'!$C$26*'Coincidence Factors'!$B$6*(1+'Inputs-System'!$C$18))*'Inputs-Proposals'!$K$16*(VLOOKUP(AN$3,Capacity!$A$53:$E$85,4,FALSE)*(1+'Inputs-System'!$C$42)+VLOOKUP(AN$3,Capacity!$A$53:$E$85,5,FALSE)*'Inputs-System'!$C$29*(1+'Inputs-System'!$C$43)), $C54 = "2", ('Inputs-System'!$C$26*'Coincidence Factors'!$B$6*(1+'Inputs-System'!$C$18))*'Inputs-Proposals'!$K$22*(VLOOKUP(AN$3,Capacity!$A$53:$E$85,4,FALSE)*(1+'Inputs-System'!$C$42)+VLOOKUP(AN$3,Capacity!$A$53:$E$85,5,FALSE)*'Inputs-System'!$C$29*(1+'Inputs-System'!$C$43)), $C54 = "3",('Inputs-System'!$C$26*'Coincidence Factors'!$B$6*(1+'Inputs-System'!$C$18))*'Inputs-Proposals'!$K$28*(VLOOKUP(AN$3,Capacity!$A$53:$E$85,4,FALSE)*(1+'Inputs-System'!$C$42)+VLOOKUP(AN$3,Capacity!$A$53:$E$85,5,FALSE)*'Inputs-System'!$C$29*(1+'Inputs-System'!$C$43)), $C54 = "0", 0), 0)</f>
        <v>0</v>
      </c>
      <c r="AR54" s="44">
        <v>0</v>
      </c>
      <c r="AS54" s="342">
        <f>IFERROR(_xlfn.IFS($C54="1", 'Inputs-System'!$C$30*'Coincidence Factors'!$B$6*'Inputs-Proposals'!$K$17*'Inputs-Proposals'!$K$19*(VLOOKUP(AN$3,'Non-Embedded Emissions'!$A$56:$D$90,2,FALSE)+VLOOKUP(AN$3,'Non-Embedded Emissions'!$A$143:$D$174,2,FALSE)+VLOOKUP(AN$3,'Non-Embedded Emissions'!$A$230:$D$259,2,FALSE)), $C54 = "2", 'Inputs-System'!$C$30*'Coincidence Factors'!$B$6*'Inputs-Proposals'!$K$23*'Inputs-Proposals'!$K$25*(VLOOKUP(AN$3,'Non-Embedded Emissions'!$A$56:$D$90,2,FALSE)+VLOOKUP(AN$3,'Non-Embedded Emissions'!$A$143:$D$174,2,FALSE)+VLOOKUP(AN$3,'Non-Embedded Emissions'!$A$230:$D$259,2,FALSE)), $C54 = "3", 'Inputs-System'!$C$30*'Coincidence Factors'!$B$6*'Inputs-Proposals'!$K$29*'Inputs-Proposals'!$K$31*(VLOOKUP(AN$3,'Non-Embedded Emissions'!$A$56:$D$90,2,FALSE)+VLOOKUP(AN$3,'Non-Embedded Emissions'!$A$143:$D$174,2,FALSE)+VLOOKUP(AN$3,'Non-Embedded Emissions'!$A$230:$D$259,2,FALSE)), $C54 = "0", 0), 0)</f>
        <v>0</v>
      </c>
      <c r="AT54" s="347">
        <f>IFERROR(_xlfn.IFS($C54="1",('Inputs-System'!$C$30*'Coincidence Factors'!$B$6*(1+'Inputs-System'!$C$18)*(1+'Inputs-System'!$C$41)*('Inputs-Proposals'!$K$17*'Inputs-Proposals'!$K$19*(1-'Inputs-Proposals'!$K$20^(AT$3-'Inputs-System'!$C$7)))*(VLOOKUP(AT$3,Energy!$A$51:$K$83,5,FALSE))), $C54 = "2",('Inputs-System'!$C$30*'Coincidence Factors'!$B$6)*(1+'Inputs-System'!$C$18)*(1+'Inputs-System'!$C$41)*('Inputs-Proposals'!$K$23*'Inputs-Proposals'!$K$25*(1-'Inputs-Proposals'!$K$26^(AT$3-'Inputs-System'!$C$7)))*(VLOOKUP(AT$3,Energy!$A$51:$K$83,5,FALSE)), $C54= "3", ('Inputs-System'!$C$30*'Coincidence Factors'!$B$6*(1+'Inputs-System'!$C$18)*(1+'Inputs-System'!$C$41)*('Inputs-Proposals'!$K$29*'Inputs-Proposals'!$K$31*(1-'Inputs-Proposals'!$K$32^(AT$3-'Inputs-System'!$C$7)))*(VLOOKUP(AT$3,Energy!$A$51:$K$83,5,FALSE))), $C54= "0", 0), 0)</f>
        <v>0</v>
      </c>
      <c r="AU54" s="44">
        <f>IFERROR(_xlfn.IFS($C54="1",('Inputs-System'!$C$30*'Coincidence Factors'!$B$6*(1+'Inputs-System'!$C$18)*(1+'Inputs-System'!$C$41))*'Inputs-Proposals'!$K$17*'Inputs-Proposals'!$K$19*(1-'Inputs-Proposals'!$K$20^(AT$3-'Inputs-System'!$C$7))*(VLOOKUP(AT$3,'Embedded Emissions'!$A$47:$B$78,2,FALSE)+VLOOKUP(AT$3,'Embedded Emissions'!$A$129:$B$158,2,FALSE)), $C54 = "2",('Inputs-System'!$C$30*'Coincidence Factors'!$B$6*(1+'Inputs-System'!$C$18)*(1+'Inputs-System'!$C$41))*'Inputs-Proposals'!$K$23*'Inputs-Proposals'!$K$25*(1-'Inputs-Proposals'!$K$20^(AT$3-'Inputs-System'!$C$7))*(VLOOKUP(AT$3,'Embedded Emissions'!$A$47:$B$78,2,FALSE)+VLOOKUP(AT$3,'Embedded Emissions'!$A$129:$B$158,2,FALSE)), $C54 = "3", ('Inputs-System'!$C$30*'Coincidence Factors'!$B$6*(1+'Inputs-System'!$C$18)*(1+'Inputs-System'!$C$41))*'Inputs-Proposals'!$K$29*'Inputs-Proposals'!$K$31*(1-'Inputs-Proposals'!$K$20^(AT$3-'Inputs-System'!$C$7))*(VLOOKUP(AT$3,'Embedded Emissions'!$A$47:$B$78,2,FALSE)+VLOOKUP(AT$3,'Embedded Emissions'!$A$129:$B$158,2,FALSE)), $C54 = "0", 0), 0)</f>
        <v>0</v>
      </c>
      <c r="AV54" s="44">
        <f>IFERROR(_xlfn.IFS($C54="1",( 'Inputs-System'!$C$30*'Coincidence Factors'!$B$6*(1+'Inputs-System'!$C$18)*(1+'Inputs-System'!$C$41))*('Inputs-Proposals'!$K$17*'Inputs-Proposals'!$K$19*(1-'Inputs-Proposals'!$K$20)^(AT$3-'Inputs-System'!$C$7))*(VLOOKUP(AT$3,DRIPE!$A$54:$I$82,5,FALSE)+VLOOKUP(AT$3,DRIPE!$A$54:$I$82,9,FALSE))+ ('Inputs-System'!$C$26*'Coincidence Factors'!$B$6*(1+'Inputs-System'!$C$18)*(1+'Inputs-System'!$C$42))*'Inputs-Proposals'!$K$16*VLOOKUP(AT$3,DRIPE!$A$54:$I$82,8,FALSE), $C54 = "2",( 'Inputs-System'!$C$30*'Coincidence Factors'!$B$6*(1+'Inputs-System'!$C$18)*(1+'Inputs-System'!$C$41))*('Inputs-Proposals'!$K$23*'Inputs-Proposals'!$K$25*(1-'Inputs-Proposals'!$K$26)^(AT$3-'Inputs-System'!$C$7))*(VLOOKUP(AT$3,DRIPE!$A$54:$I$82,5,FALSE)+VLOOKUP(AT$3,DRIPE!$A$54:$I$82,9,FALSE))+ ('Inputs-System'!$C$26*'Coincidence Factors'!$B$6*(1+'Inputs-System'!$C$18)*(1+'Inputs-System'!$C$42))*'Inputs-Proposals'!$K$22*VLOOKUP(AT$3,DRIPE!$A$54:$I$82,8,FALSE), $C54= "3", ( 'Inputs-System'!$C$30*'Coincidence Factors'!$B$6*(1+'Inputs-System'!$C$18)*(1+'Inputs-System'!$C$41))*('Inputs-Proposals'!$K$29*'Inputs-Proposals'!$K$31*(1-'Inputs-Proposals'!$K$32)^(AT$3-'Inputs-System'!$C$7))*(VLOOKUP(AT$3,DRIPE!$A$54:$I$82,5,FALSE)+VLOOKUP(AT$3,DRIPE!$A$54:$I$82,9,FALSE))+ ('Inputs-System'!$C$26*'Coincidence Factors'!$B$6*(1+'Inputs-System'!$C$18)*(1+'Inputs-System'!$C$42))*'Inputs-Proposals'!$K$28*VLOOKUP(AT$3,DRIPE!$A$54:$I$82,8,FALSE), $C54 = "0", 0), 0)</f>
        <v>0</v>
      </c>
      <c r="AW54" s="45">
        <f>IFERROR(_xlfn.IFS($C54="1",('Inputs-System'!$C$26*'Coincidence Factors'!$B$6*(1+'Inputs-System'!$C$18))*'Inputs-Proposals'!$K$16*(VLOOKUP(AT$3,Capacity!$A$53:$E$85,4,FALSE)*(1+'Inputs-System'!$C$42)+VLOOKUP(AT$3,Capacity!$A$53:$E$85,5,FALSE)*'Inputs-System'!$C$29*(1+'Inputs-System'!$C$43)), $C54 = "2", ('Inputs-System'!$C$26*'Coincidence Factors'!$B$6*(1+'Inputs-System'!$C$18))*'Inputs-Proposals'!$K$22*(VLOOKUP(AT$3,Capacity!$A$53:$E$85,4,FALSE)*(1+'Inputs-System'!$C$42)+VLOOKUP(AT$3,Capacity!$A$53:$E$85,5,FALSE)*'Inputs-System'!$C$29*(1+'Inputs-System'!$C$43)), $C54 = "3",('Inputs-System'!$C$26*'Coincidence Factors'!$B$6*(1+'Inputs-System'!$C$18))*'Inputs-Proposals'!$K$28*(VLOOKUP(AT$3,Capacity!$A$53:$E$85,4,FALSE)*(1+'Inputs-System'!$C$42)+VLOOKUP(AT$3,Capacity!$A$53:$E$85,5,FALSE)*'Inputs-System'!$C$29*(1+'Inputs-System'!$C$43)), $C54 = "0", 0), 0)</f>
        <v>0</v>
      </c>
      <c r="AX54" s="44">
        <v>0</v>
      </c>
      <c r="AY54" s="342">
        <f>IFERROR(_xlfn.IFS($C54="1", 'Inputs-System'!$C$30*'Coincidence Factors'!$B$6*'Inputs-Proposals'!$K$17*'Inputs-Proposals'!$K$19*(VLOOKUP(AT$3,'Non-Embedded Emissions'!$A$56:$D$90,2,FALSE)+VLOOKUP(AT$3,'Non-Embedded Emissions'!$A$143:$D$174,2,FALSE)+VLOOKUP(AT$3,'Non-Embedded Emissions'!$A$230:$D$259,2,FALSE)), $C54 = "2", 'Inputs-System'!$C$30*'Coincidence Factors'!$B$6*'Inputs-Proposals'!$K$23*'Inputs-Proposals'!$K$25*(VLOOKUP(AT$3,'Non-Embedded Emissions'!$A$56:$D$90,2,FALSE)+VLOOKUP(AT$3,'Non-Embedded Emissions'!$A$143:$D$174,2,FALSE)+VLOOKUP(AT$3,'Non-Embedded Emissions'!$A$230:$D$259,2,FALSE)), $C54 = "3", 'Inputs-System'!$C$30*'Coincidence Factors'!$B$6*'Inputs-Proposals'!$K$29*'Inputs-Proposals'!$K$31*(VLOOKUP(AT$3,'Non-Embedded Emissions'!$A$56:$D$90,2,FALSE)+VLOOKUP(AT$3,'Non-Embedded Emissions'!$A$143:$D$174,2,FALSE)+VLOOKUP(AT$3,'Non-Embedded Emissions'!$A$230:$D$259,2,FALSE)), $C54 = "0", 0), 0)</f>
        <v>0</v>
      </c>
      <c r="AZ54" s="347">
        <f>IFERROR(_xlfn.IFS($C54="1",('Inputs-System'!$C$30*'Coincidence Factors'!$B$6*(1+'Inputs-System'!$C$18)*(1+'Inputs-System'!$C$41)*('Inputs-Proposals'!$K$17*'Inputs-Proposals'!$K$19*(1-'Inputs-Proposals'!$K$20^(AZ$3-'Inputs-System'!$C$7)))*(VLOOKUP(AZ$3,Energy!$A$51:$K$83,5,FALSE))), $C54 = "2",('Inputs-System'!$C$30*'Coincidence Factors'!$B$6)*(1+'Inputs-System'!$C$18)*(1+'Inputs-System'!$C$41)*('Inputs-Proposals'!$K$23*'Inputs-Proposals'!$K$25*(1-'Inputs-Proposals'!$K$26^(AZ$3-'Inputs-System'!$C$7)))*(VLOOKUP(AZ$3,Energy!$A$51:$K$83,5,FALSE)), $C54= "3", ('Inputs-System'!$C$30*'Coincidence Factors'!$B$6*(1+'Inputs-System'!$C$18)*(1+'Inputs-System'!$C$41)*('Inputs-Proposals'!$K$29*'Inputs-Proposals'!$K$31*(1-'Inputs-Proposals'!$K$32^(AZ$3-'Inputs-System'!$C$7)))*(VLOOKUP(AZ$3,Energy!$A$51:$K$83,5,FALSE))), $C54= "0", 0), 0)</f>
        <v>0</v>
      </c>
      <c r="BA54" s="44">
        <f>IFERROR(_xlfn.IFS($C54="1",('Inputs-System'!$C$30*'Coincidence Factors'!$B$6*(1+'Inputs-System'!$C$18)*(1+'Inputs-System'!$C$41))*'Inputs-Proposals'!$K$17*'Inputs-Proposals'!$K$19*(1-'Inputs-Proposals'!$K$20^(AZ$3-'Inputs-System'!$C$7))*(VLOOKUP(AZ$3,'Embedded Emissions'!$A$47:$B$78,2,FALSE)+VLOOKUP(AZ$3,'Embedded Emissions'!$A$129:$B$158,2,FALSE)), $C54 = "2",('Inputs-System'!$C$30*'Coincidence Factors'!$B$6*(1+'Inputs-System'!$C$18)*(1+'Inputs-System'!$C$41))*'Inputs-Proposals'!$K$23*'Inputs-Proposals'!$K$25*(1-'Inputs-Proposals'!$K$20^(AZ$3-'Inputs-System'!$C$7))*(VLOOKUP(AZ$3,'Embedded Emissions'!$A$47:$B$78,2,FALSE)+VLOOKUP(AZ$3,'Embedded Emissions'!$A$129:$B$158,2,FALSE)), $C54 = "3", ('Inputs-System'!$C$30*'Coincidence Factors'!$B$6*(1+'Inputs-System'!$C$18)*(1+'Inputs-System'!$C$41))*'Inputs-Proposals'!$K$29*'Inputs-Proposals'!$K$31*(1-'Inputs-Proposals'!$K$20^(AZ$3-'Inputs-System'!$C$7))*(VLOOKUP(AZ$3,'Embedded Emissions'!$A$47:$B$78,2,FALSE)+VLOOKUP(AZ$3,'Embedded Emissions'!$A$129:$B$158,2,FALSE)), $C54 = "0", 0), 0)</f>
        <v>0</v>
      </c>
      <c r="BB54" s="44">
        <f>IFERROR(_xlfn.IFS($C54="1",( 'Inputs-System'!$C$30*'Coincidence Factors'!$B$6*(1+'Inputs-System'!$C$18)*(1+'Inputs-System'!$C$41))*('Inputs-Proposals'!$K$17*'Inputs-Proposals'!$K$19*(1-'Inputs-Proposals'!$K$20)^(AZ$3-'Inputs-System'!$C$7))*(VLOOKUP(AZ$3,DRIPE!$A$54:$I$82,5,FALSE)+VLOOKUP(AZ$3,DRIPE!$A$54:$I$82,9,FALSE))+ ('Inputs-System'!$C$26*'Coincidence Factors'!$B$6*(1+'Inputs-System'!$C$18)*(1+'Inputs-System'!$C$42))*'Inputs-Proposals'!$K$16*VLOOKUP(AZ$3,DRIPE!$A$54:$I$82,8,FALSE), $C54 = "2",( 'Inputs-System'!$C$30*'Coincidence Factors'!$B$6*(1+'Inputs-System'!$C$18)*(1+'Inputs-System'!$C$41))*('Inputs-Proposals'!$K$23*'Inputs-Proposals'!$K$25*(1-'Inputs-Proposals'!$K$26)^(AZ$3-'Inputs-System'!$C$7))*(VLOOKUP(AZ$3,DRIPE!$A$54:$I$82,5,FALSE)+VLOOKUP(AZ$3,DRIPE!$A$54:$I$82,9,FALSE))+ ('Inputs-System'!$C$26*'Coincidence Factors'!$B$6*(1+'Inputs-System'!$C$18)*(1+'Inputs-System'!$C$42))*'Inputs-Proposals'!$K$22*VLOOKUP(AZ$3,DRIPE!$A$54:$I$82,8,FALSE), $C54= "3", ( 'Inputs-System'!$C$30*'Coincidence Factors'!$B$6*(1+'Inputs-System'!$C$18)*(1+'Inputs-System'!$C$41))*('Inputs-Proposals'!$K$29*'Inputs-Proposals'!$K$31*(1-'Inputs-Proposals'!$K$32)^(AZ$3-'Inputs-System'!$C$7))*(VLOOKUP(AZ$3,DRIPE!$A$54:$I$82,5,FALSE)+VLOOKUP(AZ$3,DRIPE!$A$54:$I$82,9,FALSE))+ ('Inputs-System'!$C$26*'Coincidence Factors'!$B$6*(1+'Inputs-System'!$C$18)*(1+'Inputs-System'!$C$42))*'Inputs-Proposals'!$K$28*VLOOKUP(AZ$3,DRIPE!$A$54:$I$82,8,FALSE), $C54 = "0", 0), 0)</f>
        <v>0</v>
      </c>
      <c r="BC54" s="45">
        <f>IFERROR(_xlfn.IFS($C54="1",('Inputs-System'!$C$26*'Coincidence Factors'!$B$6*(1+'Inputs-System'!$C$18))*'Inputs-Proposals'!$K$16*(VLOOKUP(AZ$3,Capacity!$A$53:$E$85,4,FALSE)*(1+'Inputs-System'!$C$42)+VLOOKUP(AZ$3,Capacity!$A$53:$E$85,5,FALSE)*'Inputs-System'!$C$29*(1+'Inputs-System'!$C$43)), $C54 = "2", ('Inputs-System'!$C$26*'Coincidence Factors'!$B$6*(1+'Inputs-System'!$C$18))*'Inputs-Proposals'!$K$22*(VLOOKUP(AZ$3,Capacity!$A$53:$E$85,4,FALSE)*(1+'Inputs-System'!$C$42)+VLOOKUP(AZ$3,Capacity!$A$53:$E$85,5,FALSE)*'Inputs-System'!$C$29*(1+'Inputs-System'!$C$43)), $C54 = "3",('Inputs-System'!$C$26*'Coincidence Factors'!$B$6*(1+'Inputs-System'!$C$18))*'Inputs-Proposals'!$K$28*(VLOOKUP(AZ$3,Capacity!$A$53:$E$85,4,FALSE)*(1+'Inputs-System'!$C$42)+VLOOKUP(AZ$3,Capacity!$A$53:$E$85,5,FALSE)*'Inputs-System'!$C$29*(1+'Inputs-System'!$C$43)), $C54 = "0", 0), 0)</f>
        <v>0</v>
      </c>
      <c r="BD54" s="44">
        <v>0</v>
      </c>
      <c r="BE54" s="342">
        <f>IFERROR(_xlfn.IFS($C54="1", 'Inputs-System'!$C$30*'Coincidence Factors'!$B$6*'Inputs-Proposals'!$K$17*'Inputs-Proposals'!$K$19*(VLOOKUP(AZ$3,'Non-Embedded Emissions'!$A$56:$D$90,2,FALSE)+VLOOKUP(AZ$3,'Non-Embedded Emissions'!$A$143:$D$174,2,FALSE)+VLOOKUP(AZ$3,'Non-Embedded Emissions'!$A$230:$D$259,2,FALSE)), $C54 = "2", 'Inputs-System'!$C$30*'Coincidence Factors'!$B$6*'Inputs-Proposals'!$K$23*'Inputs-Proposals'!$K$25*(VLOOKUP(AZ$3,'Non-Embedded Emissions'!$A$56:$D$90,2,FALSE)+VLOOKUP(AZ$3,'Non-Embedded Emissions'!$A$143:$D$174,2,FALSE)+VLOOKUP(AZ$3,'Non-Embedded Emissions'!$A$230:$D$259,2,FALSE)), $C54 = "3", 'Inputs-System'!$C$30*'Coincidence Factors'!$B$6*'Inputs-Proposals'!$K$29*'Inputs-Proposals'!$K$31*(VLOOKUP(AZ$3,'Non-Embedded Emissions'!$A$56:$D$90,2,FALSE)+VLOOKUP(AZ$3,'Non-Embedded Emissions'!$A$143:$D$174,2,FALSE)+VLOOKUP(AZ$3,'Non-Embedded Emissions'!$A$230:$D$259,2,FALSE)), $C54 = "0", 0), 0)</f>
        <v>0</v>
      </c>
      <c r="BF54" s="347">
        <f>IFERROR(_xlfn.IFS($C54="1",('Inputs-System'!$C$30*'Coincidence Factors'!$B$6*(1+'Inputs-System'!$C$18)*(1+'Inputs-System'!$C$41)*('Inputs-Proposals'!$K$17*'Inputs-Proposals'!$K$19*(1-'Inputs-Proposals'!$K$20^(BF$3-'Inputs-System'!$C$7)))*(VLOOKUP(BF$3,Energy!$A$51:$K$83,5,FALSE))), $C54 = "2",('Inputs-System'!$C$30*'Coincidence Factors'!$B$6)*(1+'Inputs-System'!$C$18)*(1+'Inputs-System'!$C$41)*('Inputs-Proposals'!$K$23*'Inputs-Proposals'!$K$25*(1-'Inputs-Proposals'!$K$26^(BF$3-'Inputs-System'!$C$7)))*(VLOOKUP(BF$3,Energy!$A$51:$K$83,5,FALSE)), $C54= "3", ('Inputs-System'!$C$30*'Coincidence Factors'!$B$6*(1+'Inputs-System'!$C$18)*(1+'Inputs-System'!$C$41)*('Inputs-Proposals'!$K$29*'Inputs-Proposals'!$K$31*(1-'Inputs-Proposals'!$K$32^(BF$3-'Inputs-System'!$C$7)))*(VLOOKUP(BF$3,Energy!$A$51:$K$83,5,FALSE))), $C54= "0", 0), 0)</f>
        <v>0</v>
      </c>
      <c r="BG54" s="44">
        <f>IFERROR(_xlfn.IFS($C54="1",('Inputs-System'!$C$30*'Coincidence Factors'!$B$6*(1+'Inputs-System'!$C$18)*(1+'Inputs-System'!$C$41))*'Inputs-Proposals'!$K$17*'Inputs-Proposals'!$K$19*(1-'Inputs-Proposals'!$K$20^(BF$3-'Inputs-System'!$C$7))*(VLOOKUP(BF$3,'Embedded Emissions'!$A$47:$B$78,2,FALSE)+VLOOKUP(BF$3,'Embedded Emissions'!$A$129:$B$158,2,FALSE)), $C54 = "2",('Inputs-System'!$C$30*'Coincidence Factors'!$B$6*(1+'Inputs-System'!$C$18)*(1+'Inputs-System'!$C$41))*'Inputs-Proposals'!$K$23*'Inputs-Proposals'!$K$25*(1-'Inputs-Proposals'!$K$20^(BF$3-'Inputs-System'!$C$7))*(VLOOKUP(BF$3,'Embedded Emissions'!$A$47:$B$78,2,FALSE)+VLOOKUP(BF$3,'Embedded Emissions'!$A$129:$B$158,2,FALSE)), $C54 = "3", ('Inputs-System'!$C$30*'Coincidence Factors'!$B$6*(1+'Inputs-System'!$C$18)*(1+'Inputs-System'!$C$41))*'Inputs-Proposals'!$K$29*'Inputs-Proposals'!$K$31*(1-'Inputs-Proposals'!$K$20^(BF$3-'Inputs-System'!$C$7))*(VLOOKUP(BF$3,'Embedded Emissions'!$A$47:$B$78,2,FALSE)+VLOOKUP(BF$3,'Embedded Emissions'!$A$129:$B$158,2,FALSE)), $C54 = "0", 0), 0)</f>
        <v>0</v>
      </c>
      <c r="BH54" s="44">
        <f>IFERROR(_xlfn.IFS($C54="1",( 'Inputs-System'!$C$30*'Coincidence Factors'!$B$6*(1+'Inputs-System'!$C$18)*(1+'Inputs-System'!$C$41))*('Inputs-Proposals'!$K$17*'Inputs-Proposals'!$K$19*(1-'Inputs-Proposals'!$K$20)^(BF$3-'Inputs-System'!$C$7))*(VLOOKUP(BF$3,DRIPE!$A$54:$I$82,5,FALSE)+VLOOKUP(BF$3,DRIPE!$A$54:$I$82,9,FALSE))+ ('Inputs-System'!$C$26*'Coincidence Factors'!$B$6*(1+'Inputs-System'!$C$18)*(1+'Inputs-System'!$C$42))*'Inputs-Proposals'!$K$16*VLOOKUP(BF$3,DRIPE!$A$54:$I$82,8,FALSE), $C54 = "2",( 'Inputs-System'!$C$30*'Coincidence Factors'!$B$6*(1+'Inputs-System'!$C$18)*(1+'Inputs-System'!$C$41))*('Inputs-Proposals'!$K$23*'Inputs-Proposals'!$K$25*(1-'Inputs-Proposals'!$K$26)^(BF$3-'Inputs-System'!$C$7))*(VLOOKUP(BF$3,DRIPE!$A$54:$I$82,5,FALSE)+VLOOKUP(BF$3,DRIPE!$A$54:$I$82,9,FALSE))+ ('Inputs-System'!$C$26*'Coincidence Factors'!$B$6*(1+'Inputs-System'!$C$18)*(1+'Inputs-System'!$C$42))*'Inputs-Proposals'!$K$22*VLOOKUP(BF$3,DRIPE!$A$54:$I$82,8,FALSE), $C54= "3", ( 'Inputs-System'!$C$30*'Coincidence Factors'!$B$6*(1+'Inputs-System'!$C$18)*(1+'Inputs-System'!$C$41))*('Inputs-Proposals'!$K$29*'Inputs-Proposals'!$K$31*(1-'Inputs-Proposals'!$K$32)^(BF$3-'Inputs-System'!$C$7))*(VLOOKUP(BF$3,DRIPE!$A$54:$I$82,5,FALSE)+VLOOKUP(BF$3,DRIPE!$A$54:$I$82,9,FALSE))+ ('Inputs-System'!$C$26*'Coincidence Factors'!$B$6*(1+'Inputs-System'!$C$18)*(1+'Inputs-System'!$C$42))*'Inputs-Proposals'!$K$28*VLOOKUP(BF$3,DRIPE!$A$54:$I$82,8,FALSE), $C54 = "0", 0), 0)</f>
        <v>0</v>
      </c>
      <c r="BI54" s="45">
        <f>IFERROR(_xlfn.IFS($C54="1",('Inputs-System'!$C$26*'Coincidence Factors'!$B$6*(1+'Inputs-System'!$C$18))*'Inputs-Proposals'!$K$16*(VLOOKUP(BF$3,Capacity!$A$53:$E$85,4,FALSE)*(1+'Inputs-System'!$C$42)+VLOOKUP(BF$3,Capacity!$A$53:$E$85,5,FALSE)*'Inputs-System'!$C$29*(1+'Inputs-System'!$C$43)), $C54 = "2", ('Inputs-System'!$C$26*'Coincidence Factors'!$B$6*(1+'Inputs-System'!$C$18))*'Inputs-Proposals'!$K$22*(VLOOKUP(BF$3,Capacity!$A$53:$E$85,4,FALSE)*(1+'Inputs-System'!$C$42)+VLOOKUP(BF$3,Capacity!$A$53:$E$85,5,FALSE)*'Inputs-System'!$C$29*(1+'Inputs-System'!$C$43)), $C54 = "3",('Inputs-System'!$C$26*'Coincidence Factors'!$B$6*(1+'Inputs-System'!$C$18))*'Inputs-Proposals'!$K$28*(VLOOKUP(BF$3,Capacity!$A$53:$E$85,4,FALSE)*(1+'Inputs-System'!$C$42)+VLOOKUP(BF$3,Capacity!$A$53:$E$85,5,FALSE)*'Inputs-System'!$C$29*(1+'Inputs-System'!$C$43)), $C54 = "0", 0), 0)</f>
        <v>0</v>
      </c>
      <c r="BJ54" s="44">
        <v>0</v>
      </c>
      <c r="BK54" s="342">
        <f>IFERROR(_xlfn.IFS($C54="1", 'Inputs-System'!$C$30*'Coincidence Factors'!$B$6*'Inputs-Proposals'!$K$17*'Inputs-Proposals'!$K$19*(VLOOKUP(BF$3,'Non-Embedded Emissions'!$A$56:$D$90,2,FALSE)+VLOOKUP(BF$3,'Non-Embedded Emissions'!$A$143:$D$174,2,FALSE)+VLOOKUP(BF$3,'Non-Embedded Emissions'!$A$230:$D$259,2,FALSE)), $C54 = "2", 'Inputs-System'!$C$30*'Coincidence Factors'!$B$6*'Inputs-Proposals'!$K$23*'Inputs-Proposals'!$K$25*(VLOOKUP(BF$3,'Non-Embedded Emissions'!$A$56:$D$90,2,FALSE)+VLOOKUP(BF$3,'Non-Embedded Emissions'!$A$143:$D$174,2,FALSE)+VLOOKUP(BF$3,'Non-Embedded Emissions'!$A$230:$D$259,2,FALSE)), $C54 = "3", 'Inputs-System'!$C$30*'Coincidence Factors'!$B$6*'Inputs-Proposals'!$K$29*'Inputs-Proposals'!$K$31*(VLOOKUP(BF$3,'Non-Embedded Emissions'!$A$56:$D$90,2,FALSE)+VLOOKUP(BF$3,'Non-Embedded Emissions'!$A$143:$D$174,2,FALSE)+VLOOKUP(BF$3,'Non-Embedded Emissions'!$A$230:$D$259,2,FALSE)), $C54 = "0", 0), 0)</f>
        <v>0</v>
      </c>
      <c r="BL54" s="347">
        <f>IFERROR(_xlfn.IFS($C54="1",('Inputs-System'!$C$30*'Coincidence Factors'!$B$6*(1+'Inputs-System'!$C$18)*(1+'Inputs-System'!$C$41)*('Inputs-Proposals'!$K$17*'Inputs-Proposals'!$K$19*(1-'Inputs-Proposals'!$K$20^(BL$3-'Inputs-System'!$C$7)))*(VLOOKUP(BL$3,Energy!$A$51:$K$83,5,FALSE))), $C54 = "2",('Inputs-System'!$C$30*'Coincidence Factors'!$B$6)*(1+'Inputs-System'!$C$18)*(1+'Inputs-System'!$C$41)*('Inputs-Proposals'!$K$23*'Inputs-Proposals'!$K$25*(1-'Inputs-Proposals'!$K$26^(BL$3-'Inputs-System'!$C$7)))*(VLOOKUP(BL$3,Energy!$A$51:$K$83,5,FALSE)), $C54= "3", ('Inputs-System'!$C$30*'Coincidence Factors'!$B$6*(1+'Inputs-System'!$C$18)*(1+'Inputs-System'!$C$41)*('Inputs-Proposals'!$K$29*'Inputs-Proposals'!$K$31*(1-'Inputs-Proposals'!$K$32^(BL$3-'Inputs-System'!$C$7)))*(VLOOKUP(BL$3,Energy!$A$51:$K$83,5,FALSE))), $C54= "0", 0), 0)</f>
        <v>0</v>
      </c>
      <c r="BM54" s="44">
        <f>IFERROR(_xlfn.IFS($C54="1",('Inputs-System'!$C$30*'Coincidence Factors'!$B$6*(1+'Inputs-System'!$C$18)*(1+'Inputs-System'!$C$41))*'Inputs-Proposals'!$K$17*'Inputs-Proposals'!$K$19*(1-'Inputs-Proposals'!$K$20^(BL$3-'Inputs-System'!$C$7))*(VLOOKUP(BL$3,'Embedded Emissions'!$A$47:$B$78,2,FALSE)+VLOOKUP(BL$3,'Embedded Emissions'!$A$129:$B$158,2,FALSE)), $C54 = "2",('Inputs-System'!$C$30*'Coincidence Factors'!$B$6*(1+'Inputs-System'!$C$18)*(1+'Inputs-System'!$C$41))*'Inputs-Proposals'!$K$23*'Inputs-Proposals'!$K$25*(1-'Inputs-Proposals'!$K$20^(BL$3-'Inputs-System'!$C$7))*(VLOOKUP(BL$3,'Embedded Emissions'!$A$47:$B$78,2,FALSE)+VLOOKUP(BL$3,'Embedded Emissions'!$A$129:$B$158,2,FALSE)), $C54 = "3", ('Inputs-System'!$C$30*'Coincidence Factors'!$B$6*(1+'Inputs-System'!$C$18)*(1+'Inputs-System'!$C$41))*'Inputs-Proposals'!$K$29*'Inputs-Proposals'!$K$31*(1-'Inputs-Proposals'!$K$20^(BL$3-'Inputs-System'!$C$7))*(VLOOKUP(BL$3,'Embedded Emissions'!$A$47:$B$78,2,FALSE)+VLOOKUP(BL$3,'Embedded Emissions'!$A$129:$B$158,2,FALSE)), $C54 = "0", 0), 0)</f>
        <v>0</v>
      </c>
      <c r="BN54" s="44">
        <f>IFERROR(_xlfn.IFS($C54="1",( 'Inputs-System'!$C$30*'Coincidence Factors'!$B$6*(1+'Inputs-System'!$C$18)*(1+'Inputs-System'!$C$41))*('Inputs-Proposals'!$K$17*'Inputs-Proposals'!$K$19*(1-'Inputs-Proposals'!$K$20)^(BL$3-'Inputs-System'!$C$7))*(VLOOKUP(BL$3,DRIPE!$A$54:$I$82,5,FALSE)+VLOOKUP(BL$3,DRIPE!$A$54:$I$82,9,FALSE))+ ('Inputs-System'!$C$26*'Coincidence Factors'!$B$6*(1+'Inputs-System'!$C$18)*(1+'Inputs-System'!$C$42))*'Inputs-Proposals'!$K$16*VLOOKUP(BL$3,DRIPE!$A$54:$I$82,8,FALSE), $C54 = "2",( 'Inputs-System'!$C$30*'Coincidence Factors'!$B$6*(1+'Inputs-System'!$C$18)*(1+'Inputs-System'!$C$41))*('Inputs-Proposals'!$K$23*'Inputs-Proposals'!$K$25*(1-'Inputs-Proposals'!$K$26)^(BL$3-'Inputs-System'!$C$7))*(VLOOKUP(BL$3,DRIPE!$A$54:$I$82,5,FALSE)+VLOOKUP(BL$3,DRIPE!$A$54:$I$82,9,FALSE))+ ('Inputs-System'!$C$26*'Coincidence Factors'!$B$6*(1+'Inputs-System'!$C$18)*(1+'Inputs-System'!$C$42))*'Inputs-Proposals'!$K$22*VLOOKUP(BL$3,DRIPE!$A$54:$I$82,8,FALSE), $C54= "3", ( 'Inputs-System'!$C$30*'Coincidence Factors'!$B$6*(1+'Inputs-System'!$C$18)*(1+'Inputs-System'!$C$41))*('Inputs-Proposals'!$K$29*'Inputs-Proposals'!$K$31*(1-'Inputs-Proposals'!$K$32)^(BL$3-'Inputs-System'!$C$7))*(VLOOKUP(BL$3,DRIPE!$A$54:$I$82,5,FALSE)+VLOOKUP(BL$3,DRIPE!$A$54:$I$82,9,FALSE))+ ('Inputs-System'!$C$26*'Coincidence Factors'!$B$6*(1+'Inputs-System'!$C$18)*(1+'Inputs-System'!$C$42))*'Inputs-Proposals'!$K$28*VLOOKUP(BL$3,DRIPE!$A$54:$I$82,8,FALSE), $C54 = "0", 0), 0)</f>
        <v>0</v>
      </c>
      <c r="BO54" s="45">
        <f>IFERROR(_xlfn.IFS($C54="1",('Inputs-System'!$C$26*'Coincidence Factors'!$B$6*(1+'Inputs-System'!$C$18))*'Inputs-Proposals'!$K$16*(VLOOKUP(BL$3,Capacity!$A$53:$E$85,4,FALSE)*(1+'Inputs-System'!$C$42)+VLOOKUP(BL$3,Capacity!$A$53:$E$85,5,FALSE)*'Inputs-System'!$C$29*(1+'Inputs-System'!$C$43)), $C54 = "2", ('Inputs-System'!$C$26*'Coincidence Factors'!$B$6*(1+'Inputs-System'!$C$18))*'Inputs-Proposals'!$K$22*(VLOOKUP(BL$3,Capacity!$A$53:$E$85,4,FALSE)*(1+'Inputs-System'!$C$42)+VLOOKUP(BL$3,Capacity!$A$53:$E$85,5,FALSE)*'Inputs-System'!$C$29*(1+'Inputs-System'!$C$43)), $C54 = "3",('Inputs-System'!$C$26*'Coincidence Factors'!$B$6*(1+'Inputs-System'!$C$18))*'Inputs-Proposals'!$K$28*(VLOOKUP(BL$3,Capacity!$A$53:$E$85,4,FALSE)*(1+'Inputs-System'!$C$42)+VLOOKUP(BL$3,Capacity!$A$53:$E$85,5,FALSE)*'Inputs-System'!$C$29*(1+'Inputs-System'!$C$43)), $C54 = "0", 0), 0)</f>
        <v>0</v>
      </c>
      <c r="BP54" s="44">
        <v>0</v>
      </c>
      <c r="BQ54" s="342">
        <f>IFERROR(_xlfn.IFS($C54="1", 'Inputs-System'!$C$30*'Coincidence Factors'!$B$6*'Inputs-Proposals'!$K$17*'Inputs-Proposals'!$K$19*(VLOOKUP(BL$3,'Non-Embedded Emissions'!$A$56:$D$90,2,FALSE)+VLOOKUP(BL$3,'Non-Embedded Emissions'!$A$143:$D$174,2,FALSE)+VLOOKUP(BL$3,'Non-Embedded Emissions'!$A$230:$D$259,2,FALSE)), $C54 = "2", 'Inputs-System'!$C$30*'Coincidence Factors'!$B$6*'Inputs-Proposals'!$K$23*'Inputs-Proposals'!$K$25*(VLOOKUP(BL$3,'Non-Embedded Emissions'!$A$56:$D$90,2,FALSE)+VLOOKUP(BL$3,'Non-Embedded Emissions'!$A$143:$D$174,2,FALSE)+VLOOKUP(BL$3,'Non-Embedded Emissions'!$A$230:$D$259,2,FALSE)), $C54 = "3", 'Inputs-System'!$C$30*'Coincidence Factors'!$B$6*'Inputs-Proposals'!$K$29*'Inputs-Proposals'!$K$31*(VLOOKUP(BL$3,'Non-Embedded Emissions'!$A$56:$D$90,2,FALSE)+VLOOKUP(BL$3,'Non-Embedded Emissions'!$A$143:$D$174,2,FALSE)+VLOOKUP(BL$3,'Non-Embedded Emissions'!$A$230:$D$259,2,FALSE)), $C54 = "0", 0), 0)</f>
        <v>0</v>
      </c>
      <c r="BR54" s="347">
        <f>IFERROR(_xlfn.IFS($C54="1",('Inputs-System'!$C$30*'Coincidence Factors'!$B$6*(1+'Inputs-System'!$C$18)*(1+'Inputs-System'!$C$41)*('Inputs-Proposals'!$K$17*'Inputs-Proposals'!$K$19*(1-'Inputs-Proposals'!$K$20^(BR$3-'Inputs-System'!$C$7)))*(VLOOKUP(BR$3,Energy!$A$51:$K$83,5,FALSE))), $C54 = "2",('Inputs-System'!$C$30*'Coincidence Factors'!$B$6)*(1+'Inputs-System'!$C$18)*(1+'Inputs-System'!$C$41)*('Inputs-Proposals'!$K$23*'Inputs-Proposals'!$K$25*(1-'Inputs-Proposals'!$K$26^(BR$3-'Inputs-System'!$C$7)))*(VLOOKUP(BR$3,Energy!$A$51:$K$83,5,FALSE)), $C54= "3", ('Inputs-System'!$C$30*'Coincidence Factors'!$B$6*(1+'Inputs-System'!$C$18)*(1+'Inputs-System'!$C$41)*('Inputs-Proposals'!$K$29*'Inputs-Proposals'!$K$31*(1-'Inputs-Proposals'!$K$32^(BR$3-'Inputs-System'!$C$7)))*(VLOOKUP(BR$3,Energy!$A$51:$K$83,5,FALSE))), $C54= "0", 0), 0)</f>
        <v>0</v>
      </c>
      <c r="BS54" s="44">
        <f>IFERROR(_xlfn.IFS($C54="1",('Inputs-System'!$C$30*'Coincidence Factors'!$B$6*(1+'Inputs-System'!$C$18)*(1+'Inputs-System'!$C$41))*'Inputs-Proposals'!$K$17*'Inputs-Proposals'!$K$19*(1-'Inputs-Proposals'!$K$20^(BR$3-'Inputs-System'!$C$7))*(VLOOKUP(BR$3,'Embedded Emissions'!$A$47:$B$78,2,FALSE)+VLOOKUP(BR$3,'Embedded Emissions'!$A$129:$B$158,2,FALSE)), $C54 = "2",('Inputs-System'!$C$30*'Coincidence Factors'!$B$6*(1+'Inputs-System'!$C$18)*(1+'Inputs-System'!$C$41))*'Inputs-Proposals'!$K$23*'Inputs-Proposals'!$K$25*(1-'Inputs-Proposals'!$K$20^(BR$3-'Inputs-System'!$C$7))*(VLOOKUP(BR$3,'Embedded Emissions'!$A$47:$B$78,2,FALSE)+VLOOKUP(BR$3,'Embedded Emissions'!$A$129:$B$158,2,FALSE)), $C54 = "3", ('Inputs-System'!$C$30*'Coincidence Factors'!$B$6*(1+'Inputs-System'!$C$18)*(1+'Inputs-System'!$C$41))*'Inputs-Proposals'!$K$29*'Inputs-Proposals'!$K$31*(1-'Inputs-Proposals'!$K$20^(BR$3-'Inputs-System'!$C$7))*(VLOOKUP(BR$3,'Embedded Emissions'!$A$47:$B$78,2,FALSE)+VLOOKUP(BR$3,'Embedded Emissions'!$A$129:$B$158,2,FALSE)), $C54 = "0", 0), 0)</f>
        <v>0</v>
      </c>
      <c r="BT54" s="44">
        <f>IFERROR(_xlfn.IFS($C54="1",( 'Inputs-System'!$C$30*'Coincidence Factors'!$B$6*(1+'Inputs-System'!$C$18)*(1+'Inputs-System'!$C$41))*('Inputs-Proposals'!$K$17*'Inputs-Proposals'!$K$19*(1-'Inputs-Proposals'!$K$20)^(BR$3-'Inputs-System'!$C$7))*(VLOOKUP(BR$3,DRIPE!$A$54:$I$82,5,FALSE)+VLOOKUP(BR$3,DRIPE!$A$54:$I$82,9,FALSE))+ ('Inputs-System'!$C$26*'Coincidence Factors'!$B$6*(1+'Inputs-System'!$C$18)*(1+'Inputs-System'!$C$42))*'Inputs-Proposals'!$K$16*VLOOKUP(BR$3,DRIPE!$A$54:$I$82,8,FALSE), $C54 = "2",( 'Inputs-System'!$C$30*'Coincidence Factors'!$B$6*(1+'Inputs-System'!$C$18)*(1+'Inputs-System'!$C$41))*('Inputs-Proposals'!$K$23*'Inputs-Proposals'!$K$25*(1-'Inputs-Proposals'!$K$26)^(BR$3-'Inputs-System'!$C$7))*(VLOOKUP(BR$3,DRIPE!$A$54:$I$82,5,FALSE)+VLOOKUP(BR$3,DRIPE!$A$54:$I$82,9,FALSE))+ ('Inputs-System'!$C$26*'Coincidence Factors'!$B$6*(1+'Inputs-System'!$C$18)*(1+'Inputs-System'!$C$42))*'Inputs-Proposals'!$K$22*VLOOKUP(BR$3,DRIPE!$A$54:$I$82,8,FALSE), $C54= "3", ( 'Inputs-System'!$C$30*'Coincidence Factors'!$B$6*(1+'Inputs-System'!$C$18)*(1+'Inputs-System'!$C$41))*('Inputs-Proposals'!$K$29*'Inputs-Proposals'!$K$31*(1-'Inputs-Proposals'!$K$32)^(BR$3-'Inputs-System'!$C$7))*(VLOOKUP(BR$3,DRIPE!$A$54:$I$82,5,FALSE)+VLOOKUP(BR$3,DRIPE!$A$54:$I$82,9,FALSE))+ ('Inputs-System'!$C$26*'Coincidence Factors'!$B$6*(1+'Inputs-System'!$C$18)*(1+'Inputs-System'!$C$42))*'Inputs-Proposals'!$K$28*VLOOKUP(BR$3,DRIPE!$A$54:$I$82,8,FALSE), $C54 = "0", 0), 0)</f>
        <v>0</v>
      </c>
      <c r="BU54" s="45">
        <f>IFERROR(_xlfn.IFS($C54="1",('Inputs-System'!$C$26*'Coincidence Factors'!$B$6*(1+'Inputs-System'!$C$18))*'Inputs-Proposals'!$K$16*(VLOOKUP(BR$3,Capacity!$A$53:$E$85,4,FALSE)*(1+'Inputs-System'!$C$42)+VLOOKUP(BR$3,Capacity!$A$53:$E$85,5,FALSE)*'Inputs-System'!$C$29*(1+'Inputs-System'!$C$43)), $C54 = "2", ('Inputs-System'!$C$26*'Coincidence Factors'!$B$6*(1+'Inputs-System'!$C$18))*'Inputs-Proposals'!$K$22*(VLOOKUP(BR$3,Capacity!$A$53:$E$85,4,FALSE)*(1+'Inputs-System'!$C$42)+VLOOKUP(BR$3,Capacity!$A$53:$E$85,5,FALSE)*'Inputs-System'!$C$29*(1+'Inputs-System'!$C$43)), $C54 = "3",('Inputs-System'!$C$26*'Coincidence Factors'!$B$6*(1+'Inputs-System'!$C$18))*'Inputs-Proposals'!$K$28*(VLOOKUP(BR$3,Capacity!$A$53:$E$85,4,FALSE)*(1+'Inputs-System'!$C$42)+VLOOKUP(BR$3,Capacity!$A$53:$E$85,5,FALSE)*'Inputs-System'!$C$29*(1+'Inputs-System'!$C$43)), $C54 = "0", 0), 0)</f>
        <v>0</v>
      </c>
      <c r="BV54" s="44">
        <v>0</v>
      </c>
      <c r="BW54" s="342">
        <f>IFERROR(_xlfn.IFS($C54="1", 'Inputs-System'!$C$30*'Coincidence Factors'!$B$6*'Inputs-Proposals'!$K$17*'Inputs-Proposals'!$K$19*(VLOOKUP(BR$3,'Non-Embedded Emissions'!$A$56:$D$90,2,FALSE)+VLOOKUP(BR$3,'Non-Embedded Emissions'!$A$143:$D$174,2,FALSE)+VLOOKUP(BR$3,'Non-Embedded Emissions'!$A$230:$D$259,2,FALSE)), $C54 = "2", 'Inputs-System'!$C$30*'Coincidence Factors'!$B$6*'Inputs-Proposals'!$K$23*'Inputs-Proposals'!$K$25*(VLOOKUP(BR$3,'Non-Embedded Emissions'!$A$56:$D$90,2,FALSE)+VLOOKUP(BR$3,'Non-Embedded Emissions'!$A$143:$D$174,2,FALSE)+VLOOKUP(BR$3,'Non-Embedded Emissions'!$A$230:$D$259,2,FALSE)), $C54 = "3", 'Inputs-System'!$C$30*'Coincidence Factors'!$B$6*'Inputs-Proposals'!$K$29*'Inputs-Proposals'!$K$31*(VLOOKUP(BR$3,'Non-Embedded Emissions'!$A$56:$D$90,2,FALSE)+VLOOKUP(BR$3,'Non-Embedded Emissions'!$A$143:$D$174,2,FALSE)+VLOOKUP(BR$3,'Non-Embedded Emissions'!$A$230:$D$259,2,FALSE)), $C54 = "0", 0), 0)</f>
        <v>0</v>
      </c>
      <c r="BX54" s="347">
        <f>IFERROR(_xlfn.IFS($C54="1",('Inputs-System'!$C$30*'Coincidence Factors'!$B$6*(1+'Inputs-System'!$C$18)*(1+'Inputs-System'!$C$41)*('Inputs-Proposals'!$K$17*'Inputs-Proposals'!$K$19*(1-'Inputs-Proposals'!$K$20^(BX$3-'Inputs-System'!$C$7)))*(VLOOKUP(BX$3,Energy!$A$51:$K$83,5,FALSE))), $C54 = "2",('Inputs-System'!$C$30*'Coincidence Factors'!$B$6)*(1+'Inputs-System'!$C$18)*(1+'Inputs-System'!$C$41)*('Inputs-Proposals'!$K$23*'Inputs-Proposals'!$K$25*(1-'Inputs-Proposals'!$K$26^(BX$3-'Inputs-System'!$C$7)))*(VLOOKUP(BX$3,Energy!$A$51:$K$83,5,FALSE)), $C54= "3", ('Inputs-System'!$C$30*'Coincidence Factors'!$B$6*(1+'Inputs-System'!$C$18)*(1+'Inputs-System'!$C$41)*('Inputs-Proposals'!$K$29*'Inputs-Proposals'!$K$31*(1-'Inputs-Proposals'!$K$32^(BX$3-'Inputs-System'!$C$7)))*(VLOOKUP(BX$3,Energy!$A$51:$K$83,5,FALSE))), $C54= "0", 0), 0)</f>
        <v>0</v>
      </c>
      <c r="BY54" s="44">
        <f>IFERROR(_xlfn.IFS($C54="1",('Inputs-System'!$C$30*'Coincidence Factors'!$B$6*(1+'Inputs-System'!$C$18)*(1+'Inputs-System'!$C$41))*'Inputs-Proposals'!$K$17*'Inputs-Proposals'!$K$19*(1-'Inputs-Proposals'!$K$20^(BX$3-'Inputs-System'!$C$7))*(VLOOKUP(BX$3,'Embedded Emissions'!$A$47:$B$78,2,FALSE)+VLOOKUP(BX$3,'Embedded Emissions'!$A$129:$B$158,2,FALSE)), $C54 = "2",('Inputs-System'!$C$30*'Coincidence Factors'!$B$6*(1+'Inputs-System'!$C$18)*(1+'Inputs-System'!$C$41))*'Inputs-Proposals'!$K$23*'Inputs-Proposals'!$K$25*(1-'Inputs-Proposals'!$K$20^(BX$3-'Inputs-System'!$C$7))*(VLOOKUP(BX$3,'Embedded Emissions'!$A$47:$B$78,2,FALSE)+VLOOKUP(BX$3,'Embedded Emissions'!$A$129:$B$158,2,FALSE)), $C54 = "3", ('Inputs-System'!$C$30*'Coincidence Factors'!$B$6*(1+'Inputs-System'!$C$18)*(1+'Inputs-System'!$C$41))*'Inputs-Proposals'!$K$29*'Inputs-Proposals'!$K$31*(1-'Inputs-Proposals'!$K$20^(BX$3-'Inputs-System'!$C$7))*(VLOOKUP(BX$3,'Embedded Emissions'!$A$47:$B$78,2,FALSE)+VLOOKUP(BX$3,'Embedded Emissions'!$A$129:$B$158,2,FALSE)), $C54 = "0", 0), 0)</f>
        <v>0</v>
      </c>
      <c r="BZ54" s="44">
        <f>IFERROR(_xlfn.IFS($C54="1",( 'Inputs-System'!$C$30*'Coincidence Factors'!$B$6*(1+'Inputs-System'!$C$18)*(1+'Inputs-System'!$C$41))*('Inputs-Proposals'!$K$17*'Inputs-Proposals'!$K$19*(1-'Inputs-Proposals'!$K$20)^(BX$3-'Inputs-System'!$C$7))*(VLOOKUP(BX$3,DRIPE!$A$54:$I$82,5,FALSE)+VLOOKUP(BX$3,DRIPE!$A$54:$I$82,9,FALSE))+ ('Inputs-System'!$C$26*'Coincidence Factors'!$B$6*(1+'Inputs-System'!$C$18)*(1+'Inputs-System'!$C$42))*'Inputs-Proposals'!$K$16*VLOOKUP(BX$3,DRIPE!$A$54:$I$82,8,FALSE), $C54 = "2",( 'Inputs-System'!$C$30*'Coincidence Factors'!$B$6*(1+'Inputs-System'!$C$18)*(1+'Inputs-System'!$C$41))*('Inputs-Proposals'!$K$23*'Inputs-Proposals'!$K$25*(1-'Inputs-Proposals'!$K$26)^(BX$3-'Inputs-System'!$C$7))*(VLOOKUP(BX$3,DRIPE!$A$54:$I$82,5,FALSE)+VLOOKUP(BX$3,DRIPE!$A$54:$I$82,9,FALSE))+ ('Inputs-System'!$C$26*'Coincidence Factors'!$B$6*(1+'Inputs-System'!$C$18)*(1+'Inputs-System'!$C$42))*'Inputs-Proposals'!$K$22*VLOOKUP(BX$3,DRIPE!$A$54:$I$82,8,FALSE), $C54= "3", ( 'Inputs-System'!$C$30*'Coincidence Factors'!$B$6*(1+'Inputs-System'!$C$18)*(1+'Inputs-System'!$C$41))*('Inputs-Proposals'!$K$29*'Inputs-Proposals'!$K$31*(1-'Inputs-Proposals'!$K$32)^(BX$3-'Inputs-System'!$C$7))*(VLOOKUP(BX$3,DRIPE!$A$54:$I$82,5,FALSE)+VLOOKUP(BX$3,DRIPE!$A$54:$I$82,9,FALSE))+ ('Inputs-System'!$C$26*'Coincidence Factors'!$B$6*(1+'Inputs-System'!$C$18)*(1+'Inputs-System'!$C$42))*'Inputs-Proposals'!$K$28*VLOOKUP(BX$3,DRIPE!$A$54:$I$82,8,FALSE), $C54 = "0", 0), 0)</f>
        <v>0</v>
      </c>
      <c r="CA54" s="45">
        <f>IFERROR(_xlfn.IFS($C54="1",('Inputs-System'!$C$26*'Coincidence Factors'!$B$6*(1+'Inputs-System'!$C$18))*'Inputs-Proposals'!$K$16*(VLOOKUP(BX$3,Capacity!$A$53:$E$85,4,FALSE)*(1+'Inputs-System'!$C$42)+VLOOKUP(BX$3,Capacity!$A$53:$E$85,5,FALSE)*'Inputs-System'!$C$29*(1+'Inputs-System'!$C$43)), $C54 = "2", ('Inputs-System'!$C$26*'Coincidence Factors'!$B$6*(1+'Inputs-System'!$C$18))*'Inputs-Proposals'!$K$22*(VLOOKUP(BX$3,Capacity!$A$53:$E$85,4,FALSE)*(1+'Inputs-System'!$C$42)+VLOOKUP(BX$3,Capacity!$A$53:$E$85,5,FALSE)*'Inputs-System'!$C$29*(1+'Inputs-System'!$C$43)), $C54 = "3",('Inputs-System'!$C$26*'Coincidence Factors'!$B$6*(1+'Inputs-System'!$C$18))*'Inputs-Proposals'!$K$28*(VLOOKUP(BX$3,Capacity!$A$53:$E$85,4,FALSE)*(1+'Inputs-System'!$C$42)+VLOOKUP(BX$3,Capacity!$A$53:$E$85,5,FALSE)*'Inputs-System'!$C$29*(1+'Inputs-System'!$C$43)), $C54 = "0", 0), 0)</f>
        <v>0</v>
      </c>
      <c r="CB54" s="44">
        <v>0</v>
      </c>
      <c r="CC54" s="342">
        <f>IFERROR(_xlfn.IFS($C54="1", 'Inputs-System'!$C$30*'Coincidence Factors'!$B$6*'Inputs-Proposals'!$K$17*'Inputs-Proposals'!$K$19*(VLOOKUP(BX$3,'Non-Embedded Emissions'!$A$56:$D$90,2,FALSE)+VLOOKUP(BX$3,'Non-Embedded Emissions'!$A$143:$D$174,2,FALSE)+VLOOKUP(BX$3,'Non-Embedded Emissions'!$A$230:$D$259,2,FALSE)), $C54 = "2", 'Inputs-System'!$C$30*'Coincidence Factors'!$B$6*'Inputs-Proposals'!$K$23*'Inputs-Proposals'!$K$25*(VLOOKUP(BX$3,'Non-Embedded Emissions'!$A$56:$D$90,2,FALSE)+VLOOKUP(BX$3,'Non-Embedded Emissions'!$A$143:$D$174,2,FALSE)+VLOOKUP(BX$3,'Non-Embedded Emissions'!$A$230:$D$259,2,FALSE)), $C54 = "3", 'Inputs-System'!$C$30*'Coincidence Factors'!$B$6*'Inputs-Proposals'!$K$29*'Inputs-Proposals'!$K$31*(VLOOKUP(BX$3,'Non-Embedded Emissions'!$A$56:$D$90,2,FALSE)+VLOOKUP(BX$3,'Non-Embedded Emissions'!$A$143:$D$174,2,FALSE)+VLOOKUP(BX$3,'Non-Embedded Emissions'!$A$230:$D$259,2,FALSE)), $C54 = "0", 0), 0)</f>
        <v>0</v>
      </c>
      <c r="CD54" s="347">
        <f>IFERROR(_xlfn.IFS($C54="1",('Inputs-System'!$C$30*'Coincidence Factors'!$B$6*(1+'Inputs-System'!$C$18)*(1+'Inputs-System'!$C$41)*('Inputs-Proposals'!$K$17*'Inputs-Proposals'!$K$19*(1-'Inputs-Proposals'!$K$20^(CD$3-'Inputs-System'!$C$7)))*(VLOOKUP(CD$3,Energy!$A$51:$K$83,5,FALSE))), $C54 = "2",('Inputs-System'!$C$30*'Coincidence Factors'!$B$6)*(1+'Inputs-System'!$C$18)*(1+'Inputs-System'!$C$41)*('Inputs-Proposals'!$K$23*'Inputs-Proposals'!$K$25*(1-'Inputs-Proposals'!$K$26^(CD$3-'Inputs-System'!$C$7)))*(VLOOKUP(CD$3,Energy!$A$51:$K$83,5,FALSE)), $C54= "3", ('Inputs-System'!$C$30*'Coincidence Factors'!$B$6*(1+'Inputs-System'!$C$18)*(1+'Inputs-System'!$C$41)*('Inputs-Proposals'!$K$29*'Inputs-Proposals'!$K$31*(1-'Inputs-Proposals'!$K$32^(CD$3-'Inputs-System'!$C$7)))*(VLOOKUP(CD$3,Energy!$A$51:$K$83,5,FALSE))), $C54= "0", 0), 0)</f>
        <v>0</v>
      </c>
      <c r="CE54" s="44">
        <f>IFERROR(_xlfn.IFS($C54="1",('Inputs-System'!$C$30*'Coincidence Factors'!$B$6*(1+'Inputs-System'!$C$18)*(1+'Inputs-System'!$C$41))*'Inputs-Proposals'!$K$17*'Inputs-Proposals'!$K$19*(1-'Inputs-Proposals'!$K$20^(CD$3-'Inputs-System'!$C$7))*(VLOOKUP(CD$3,'Embedded Emissions'!$A$47:$B$78,2,FALSE)+VLOOKUP(CD$3,'Embedded Emissions'!$A$129:$B$158,2,FALSE)), $C54 = "2",('Inputs-System'!$C$30*'Coincidence Factors'!$B$6*(1+'Inputs-System'!$C$18)*(1+'Inputs-System'!$C$41))*'Inputs-Proposals'!$K$23*'Inputs-Proposals'!$K$25*(1-'Inputs-Proposals'!$K$20^(CD$3-'Inputs-System'!$C$7))*(VLOOKUP(CD$3,'Embedded Emissions'!$A$47:$B$78,2,FALSE)+VLOOKUP(CD$3,'Embedded Emissions'!$A$129:$B$158,2,FALSE)), $C54 = "3", ('Inputs-System'!$C$30*'Coincidence Factors'!$B$6*(1+'Inputs-System'!$C$18)*(1+'Inputs-System'!$C$41))*'Inputs-Proposals'!$K$29*'Inputs-Proposals'!$K$31*(1-'Inputs-Proposals'!$K$20^(CD$3-'Inputs-System'!$C$7))*(VLOOKUP(CD$3,'Embedded Emissions'!$A$47:$B$78,2,FALSE)+VLOOKUP(CD$3,'Embedded Emissions'!$A$129:$B$158,2,FALSE)), $C54 = "0", 0), 0)</f>
        <v>0</v>
      </c>
      <c r="CF54" s="44">
        <f>IFERROR(_xlfn.IFS($C54="1",( 'Inputs-System'!$C$30*'Coincidence Factors'!$B$6*(1+'Inputs-System'!$C$18)*(1+'Inputs-System'!$C$41))*('Inputs-Proposals'!$K$17*'Inputs-Proposals'!$K$19*(1-'Inputs-Proposals'!$K$20)^(CD$3-'Inputs-System'!$C$7))*(VLOOKUP(CD$3,DRIPE!$A$54:$I$82,5,FALSE)+VLOOKUP(CD$3,DRIPE!$A$54:$I$82,9,FALSE))+ ('Inputs-System'!$C$26*'Coincidence Factors'!$B$6*(1+'Inputs-System'!$C$18)*(1+'Inputs-System'!$C$42))*'Inputs-Proposals'!$K$16*VLOOKUP(CD$3,DRIPE!$A$54:$I$82,8,FALSE), $C54 = "2",( 'Inputs-System'!$C$30*'Coincidence Factors'!$B$6*(1+'Inputs-System'!$C$18)*(1+'Inputs-System'!$C$41))*('Inputs-Proposals'!$K$23*'Inputs-Proposals'!$K$25*(1-'Inputs-Proposals'!$K$26)^(CD$3-'Inputs-System'!$C$7))*(VLOOKUP(CD$3,DRIPE!$A$54:$I$82,5,FALSE)+VLOOKUP(CD$3,DRIPE!$A$54:$I$82,9,FALSE))+ ('Inputs-System'!$C$26*'Coincidence Factors'!$B$6*(1+'Inputs-System'!$C$18)*(1+'Inputs-System'!$C$42))*'Inputs-Proposals'!$K$22*VLOOKUP(CD$3,DRIPE!$A$54:$I$82,8,FALSE), $C54= "3", ( 'Inputs-System'!$C$30*'Coincidence Factors'!$B$6*(1+'Inputs-System'!$C$18)*(1+'Inputs-System'!$C$41))*('Inputs-Proposals'!$K$29*'Inputs-Proposals'!$K$31*(1-'Inputs-Proposals'!$K$32)^(CD$3-'Inputs-System'!$C$7))*(VLOOKUP(CD$3,DRIPE!$A$54:$I$82,5,FALSE)+VLOOKUP(CD$3,DRIPE!$A$54:$I$82,9,FALSE))+ ('Inputs-System'!$C$26*'Coincidence Factors'!$B$6*(1+'Inputs-System'!$C$18)*(1+'Inputs-System'!$C$42))*'Inputs-Proposals'!$K$28*VLOOKUP(CD$3,DRIPE!$A$54:$I$82,8,FALSE), $C54 = "0", 0), 0)</f>
        <v>0</v>
      </c>
      <c r="CG54" s="45">
        <f>IFERROR(_xlfn.IFS($C54="1",('Inputs-System'!$C$26*'Coincidence Factors'!$B$6*(1+'Inputs-System'!$C$18))*'Inputs-Proposals'!$K$16*(VLOOKUP(CD$3,Capacity!$A$53:$E$85,4,FALSE)*(1+'Inputs-System'!$C$42)+VLOOKUP(CD$3,Capacity!$A$53:$E$85,5,FALSE)*'Inputs-System'!$C$29*(1+'Inputs-System'!$C$43)), $C54 = "2", ('Inputs-System'!$C$26*'Coincidence Factors'!$B$6*(1+'Inputs-System'!$C$18))*'Inputs-Proposals'!$K$22*(VLOOKUP(CD$3,Capacity!$A$53:$E$85,4,FALSE)*(1+'Inputs-System'!$C$42)+VLOOKUP(CD$3,Capacity!$A$53:$E$85,5,FALSE)*'Inputs-System'!$C$29*(1+'Inputs-System'!$C$43)), $C54 = "3",('Inputs-System'!$C$26*'Coincidence Factors'!$B$6*(1+'Inputs-System'!$C$18))*'Inputs-Proposals'!$K$28*(VLOOKUP(CD$3,Capacity!$A$53:$E$85,4,FALSE)*(1+'Inputs-System'!$C$42)+VLOOKUP(CD$3,Capacity!$A$53:$E$85,5,FALSE)*'Inputs-System'!$C$29*(1+'Inputs-System'!$C$43)), $C54 = "0", 0), 0)</f>
        <v>0</v>
      </c>
      <c r="CH54" s="44">
        <v>0</v>
      </c>
      <c r="CI54" s="342">
        <f>IFERROR(_xlfn.IFS($C54="1", 'Inputs-System'!$C$30*'Coincidence Factors'!$B$6*'Inputs-Proposals'!$K$17*'Inputs-Proposals'!$K$19*(VLOOKUP(CD$3,'Non-Embedded Emissions'!$A$56:$D$90,2,FALSE)+VLOOKUP(CD$3,'Non-Embedded Emissions'!$A$143:$D$174,2,FALSE)+VLOOKUP(CD$3,'Non-Embedded Emissions'!$A$230:$D$259,2,FALSE)), $C54 = "2", 'Inputs-System'!$C$30*'Coincidence Factors'!$B$6*'Inputs-Proposals'!$K$23*'Inputs-Proposals'!$K$25*(VLOOKUP(CD$3,'Non-Embedded Emissions'!$A$56:$D$90,2,FALSE)+VLOOKUP(CD$3,'Non-Embedded Emissions'!$A$143:$D$174,2,FALSE)+VLOOKUP(CD$3,'Non-Embedded Emissions'!$A$230:$D$259,2,FALSE)), $C54 = "3", 'Inputs-System'!$C$30*'Coincidence Factors'!$B$6*'Inputs-Proposals'!$K$29*'Inputs-Proposals'!$K$31*(VLOOKUP(CD$3,'Non-Embedded Emissions'!$A$56:$D$90,2,FALSE)+VLOOKUP(CD$3,'Non-Embedded Emissions'!$A$143:$D$174,2,FALSE)+VLOOKUP(CD$3,'Non-Embedded Emissions'!$A$230:$D$259,2,FALSE)), $C54 = "0", 0), 0)</f>
        <v>0</v>
      </c>
      <c r="CJ54" s="347">
        <f>IFERROR(_xlfn.IFS($C54="1",('Inputs-System'!$C$30*'Coincidence Factors'!$B$6*(1+'Inputs-System'!$C$18)*(1+'Inputs-System'!$C$41)*('Inputs-Proposals'!$K$17*'Inputs-Proposals'!$K$19*(1-'Inputs-Proposals'!$K$20^(CJ$3-'Inputs-System'!$C$7)))*(VLOOKUP(CJ$3,Energy!$A$51:$K$83,5,FALSE))), $C54 = "2",('Inputs-System'!$C$30*'Coincidence Factors'!$B$6)*(1+'Inputs-System'!$C$18)*(1+'Inputs-System'!$C$41)*('Inputs-Proposals'!$K$23*'Inputs-Proposals'!$K$25*(1-'Inputs-Proposals'!$K$26^(CJ$3-'Inputs-System'!$C$7)))*(VLOOKUP(CJ$3,Energy!$A$51:$K$83,5,FALSE)), $C54= "3", ('Inputs-System'!$C$30*'Coincidence Factors'!$B$6*(1+'Inputs-System'!$C$18)*(1+'Inputs-System'!$C$41)*('Inputs-Proposals'!$K$29*'Inputs-Proposals'!$K$31*(1-'Inputs-Proposals'!$K$32^(CJ$3-'Inputs-System'!$C$7)))*(VLOOKUP(CJ$3,Energy!$A$51:$K$83,5,FALSE))), $C54= "0", 0), 0)</f>
        <v>0</v>
      </c>
      <c r="CK54" s="44">
        <f>IFERROR(_xlfn.IFS($C54="1",('Inputs-System'!$C$30*'Coincidence Factors'!$B$6*(1+'Inputs-System'!$C$18)*(1+'Inputs-System'!$C$41))*'Inputs-Proposals'!$K$17*'Inputs-Proposals'!$K$19*(1-'Inputs-Proposals'!$K$20^(CJ$3-'Inputs-System'!$C$7))*(VLOOKUP(CJ$3,'Embedded Emissions'!$A$47:$B$78,2,FALSE)+VLOOKUP(CJ$3,'Embedded Emissions'!$A$129:$B$158,2,FALSE)), $C54 = "2",('Inputs-System'!$C$30*'Coincidence Factors'!$B$6*(1+'Inputs-System'!$C$18)*(1+'Inputs-System'!$C$41))*'Inputs-Proposals'!$K$23*'Inputs-Proposals'!$K$25*(1-'Inputs-Proposals'!$K$20^(CJ$3-'Inputs-System'!$C$7))*(VLOOKUP(CJ$3,'Embedded Emissions'!$A$47:$B$78,2,FALSE)+VLOOKUP(CJ$3,'Embedded Emissions'!$A$129:$B$158,2,FALSE)), $C54 = "3", ('Inputs-System'!$C$30*'Coincidence Factors'!$B$6*(1+'Inputs-System'!$C$18)*(1+'Inputs-System'!$C$41))*'Inputs-Proposals'!$K$29*'Inputs-Proposals'!$K$31*(1-'Inputs-Proposals'!$K$20^(CJ$3-'Inputs-System'!$C$7))*(VLOOKUP(CJ$3,'Embedded Emissions'!$A$47:$B$78,2,FALSE)+VLOOKUP(CJ$3,'Embedded Emissions'!$A$129:$B$158,2,FALSE)), $C54 = "0", 0), 0)</f>
        <v>0</v>
      </c>
      <c r="CL54" s="44">
        <f>IFERROR(_xlfn.IFS($C54="1",( 'Inputs-System'!$C$30*'Coincidence Factors'!$B$6*(1+'Inputs-System'!$C$18)*(1+'Inputs-System'!$C$41))*('Inputs-Proposals'!$K$17*'Inputs-Proposals'!$K$19*(1-'Inputs-Proposals'!$K$20)^(CJ$3-'Inputs-System'!$C$7))*(VLOOKUP(CJ$3,DRIPE!$A$54:$I$82,5,FALSE)+VLOOKUP(CJ$3,DRIPE!$A$54:$I$82,9,FALSE))+ ('Inputs-System'!$C$26*'Coincidence Factors'!$B$6*(1+'Inputs-System'!$C$18)*(1+'Inputs-System'!$C$42))*'Inputs-Proposals'!$K$16*VLOOKUP(CJ$3,DRIPE!$A$54:$I$82,8,FALSE), $C54 = "2",( 'Inputs-System'!$C$30*'Coincidence Factors'!$B$6*(1+'Inputs-System'!$C$18)*(1+'Inputs-System'!$C$41))*('Inputs-Proposals'!$K$23*'Inputs-Proposals'!$K$25*(1-'Inputs-Proposals'!$K$26)^(CJ$3-'Inputs-System'!$C$7))*(VLOOKUP(CJ$3,DRIPE!$A$54:$I$82,5,FALSE)+VLOOKUP(CJ$3,DRIPE!$A$54:$I$82,9,FALSE))+ ('Inputs-System'!$C$26*'Coincidence Factors'!$B$6*(1+'Inputs-System'!$C$18)*(1+'Inputs-System'!$C$42))*'Inputs-Proposals'!$K$22*VLOOKUP(CJ$3,DRIPE!$A$54:$I$82,8,FALSE), $C54= "3", ( 'Inputs-System'!$C$30*'Coincidence Factors'!$B$6*(1+'Inputs-System'!$C$18)*(1+'Inputs-System'!$C$41))*('Inputs-Proposals'!$K$29*'Inputs-Proposals'!$K$31*(1-'Inputs-Proposals'!$K$32)^(CJ$3-'Inputs-System'!$C$7))*(VLOOKUP(CJ$3,DRIPE!$A$54:$I$82,5,FALSE)+VLOOKUP(CJ$3,DRIPE!$A$54:$I$82,9,FALSE))+ ('Inputs-System'!$C$26*'Coincidence Factors'!$B$6*(1+'Inputs-System'!$C$18)*(1+'Inputs-System'!$C$42))*'Inputs-Proposals'!$K$28*VLOOKUP(CJ$3,DRIPE!$A$54:$I$82,8,FALSE), $C54 = "0", 0), 0)</f>
        <v>0</v>
      </c>
      <c r="CM54" s="45">
        <f>IFERROR(_xlfn.IFS($C54="1",('Inputs-System'!$C$26*'Coincidence Factors'!$B$6*(1+'Inputs-System'!$C$18))*'Inputs-Proposals'!$K$16*(VLOOKUP(CJ$3,Capacity!$A$53:$E$85,4,FALSE)*(1+'Inputs-System'!$C$42)+VLOOKUP(CJ$3,Capacity!$A$53:$E$85,5,FALSE)*'Inputs-System'!$C$29*(1+'Inputs-System'!$C$43)), $C54 = "2", ('Inputs-System'!$C$26*'Coincidence Factors'!$B$6*(1+'Inputs-System'!$C$18))*'Inputs-Proposals'!$K$22*(VLOOKUP(CJ$3,Capacity!$A$53:$E$85,4,FALSE)*(1+'Inputs-System'!$C$42)+VLOOKUP(CJ$3,Capacity!$A$53:$E$85,5,FALSE)*'Inputs-System'!$C$29*(1+'Inputs-System'!$C$43)), $C54 = "3",('Inputs-System'!$C$26*'Coincidence Factors'!$B$6*(1+'Inputs-System'!$C$18))*'Inputs-Proposals'!$K$28*(VLOOKUP(CJ$3,Capacity!$A$53:$E$85,4,FALSE)*(1+'Inputs-System'!$C$42)+VLOOKUP(CJ$3,Capacity!$A$53:$E$85,5,FALSE)*'Inputs-System'!$C$29*(1+'Inputs-System'!$C$43)), $C54 = "0", 0), 0)</f>
        <v>0</v>
      </c>
      <c r="CN54" s="44">
        <v>0</v>
      </c>
      <c r="CO54" s="342">
        <f>IFERROR(_xlfn.IFS($C54="1", 'Inputs-System'!$C$30*'Coincidence Factors'!$B$6*'Inputs-Proposals'!$K$17*'Inputs-Proposals'!$K$19*(VLOOKUP(CJ$3,'Non-Embedded Emissions'!$A$56:$D$90,2,FALSE)+VLOOKUP(CJ$3,'Non-Embedded Emissions'!$A$143:$D$174,2,FALSE)+VLOOKUP(CJ$3,'Non-Embedded Emissions'!$A$230:$D$259,2,FALSE)), $C54 = "2", 'Inputs-System'!$C$30*'Coincidence Factors'!$B$6*'Inputs-Proposals'!$K$23*'Inputs-Proposals'!$K$25*(VLOOKUP(CJ$3,'Non-Embedded Emissions'!$A$56:$D$90,2,FALSE)+VLOOKUP(CJ$3,'Non-Embedded Emissions'!$A$143:$D$174,2,FALSE)+VLOOKUP(CJ$3,'Non-Embedded Emissions'!$A$230:$D$259,2,FALSE)), $C54 = "3", 'Inputs-System'!$C$30*'Coincidence Factors'!$B$6*'Inputs-Proposals'!$K$29*'Inputs-Proposals'!$K$31*(VLOOKUP(CJ$3,'Non-Embedded Emissions'!$A$56:$D$90,2,FALSE)+VLOOKUP(CJ$3,'Non-Embedded Emissions'!$A$143:$D$174,2,FALSE)+VLOOKUP(CJ$3,'Non-Embedded Emissions'!$A$230:$D$259,2,FALSE)), $C54 = "0", 0), 0)</f>
        <v>0</v>
      </c>
      <c r="CP54" s="347">
        <f>IFERROR(_xlfn.IFS($C54="1",('Inputs-System'!$C$30*'Coincidence Factors'!$B$6*(1+'Inputs-System'!$C$18)*(1+'Inputs-System'!$C$41)*('Inputs-Proposals'!$K$17*'Inputs-Proposals'!$K$19*(1-'Inputs-Proposals'!$K$20^(CP$3-'Inputs-System'!$C$7)))*(VLOOKUP(CP$3,Energy!$A$51:$K$83,5,FALSE))), $C54 = "2",('Inputs-System'!$C$30*'Coincidence Factors'!$B$6)*(1+'Inputs-System'!$C$18)*(1+'Inputs-System'!$C$41)*('Inputs-Proposals'!$K$23*'Inputs-Proposals'!$K$25*(1-'Inputs-Proposals'!$K$26^(CP$3-'Inputs-System'!$C$7)))*(VLOOKUP(CP$3,Energy!$A$51:$K$83,5,FALSE)), $C54= "3", ('Inputs-System'!$C$30*'Coincidence Factors'!$B$6*(1+'Inputs-System'!$C$18)*(1+'Inputs-System'!$C$41)*('Inputs-Proposals'!$K$29*'Inputs-Proposals'!$K$31*(1-'Inputs-Proposals'!$K$32^(CP$3-'Inputs-System'!$C$7)))*(VLOOKUP(CP$3,Energy!$A$51:$K$83,5,FALSE))), $C54= "0", 0), 0)</f>
        <v>0</v>
      </c>
      <c r="CQ54" s="44">
        <f>IFERROR(_xlfn.IFS($C54="1",('Inputs-System'!$C$30*'Coincidence Factors'!$B$6*(1+'Inputs-System'!$C$18)*(1+'Inputs-System'!$C$41))*'Inputs-Proposals'!$K$17*'Inputs-Proposals'!$K$19*(1-'Inputs-Proposals'!$K$20^(CP$3-'Inputs-System'!$C$7))*(VLOOKUP(CP$3,'Embedded Emissions'!$A$47:$B$78,2,FALSE)+VLOOKUP(CP$3,'Embedded Emissions'!$A$129:$B$158,2,FALSE)), $C54 = "2",('Inputs-System'!$C$30*'Coincidence Factors'!$B$6*(1+'Inputs-System'!$C$18)*(1+'Inputs-System'!$C$41))*'Inputs-Proposals'!$K$23*'Inputs-Proposals'!$K$25*(1-'Inputs-Proposals'!$K$20^(CP$3-'Inputs-System'!$C$7))*(VLOOKUP(CP$3,'Embedded Emissions'!$A$47:$B$78,2,FALSE)+VLOOKUP(CP$3,'Embedded Emissions'!$A$129:$B$158,2,FALSE)), $C54 = "3", ('Inputs-System'!$C$30*'Coincidence Factors'!$B$6*(1+'Inputs-System'!$C$18)*(1+'Inputs-System'!$C$41))*'Inputs-Proposals'!$K$29*'Inputs-Proposals'!$K$31*(1-'Inputs-Proposals'!$K$20^(CP$3-'Inputs-System'!$C$7))*(VLOOKUP(CP$3,'Embedded Emissions'!$A$47:$B$78,2,FALSE)+VLOOKUP(CP$3,'Embedded Emissions'!$A$129:$B$158,2,FALSE)), $C54 = "0", 0), 0)</f>
        <v>0</v>
      </c>
      <c r="CR54" s="44">
        <f>IFERROR(_xlfn.IFS($C54="1",( 'Inputs-System'!$C$30*'Coincidence Factors'!$B$6*(1+'Inputs-System'!$C$18)*(1+'Inputs-System'!$C$41))*('Inputs-Proposals'!$K$17*'Inputs-Proposals'!$K$19*(1-'Inputs-Proposals'!$K$20)^(CP$3-'Inputs-System'!$C$7))*(VLOOKUP(CP$3,DRIPE!$A$54:$I$82,5,FALSE)+VLOOKUP(CP$3,DRIPE!$A$54:$I$82,9,FALSE))+ ('Inputs-System'!$C$26*'Coincidence Factors'!$B$6*(1+'Inputs-System'!$C$18)*(1+'Inputs-System'!$C$42))*'Inputs-Proposals'!$K$16*VLOOKUP(CP$3,DRIPE!$A$54:$I$82,8,FALSE), $C54 = "2",( 'Inputs-System'!$C$30*'Coincidence Factors'!$B$6*(1+'Inputs-System'!$C$18)*(1+'Inputs-System'!$C$41))*('Inputs-Proposals'!$K$23*'Inputs-Proposals'!$K$25*(1-'Inputs-Proposals'!$K$26)^(CP$3-'Inputs-System'!$C$7))*(VLOOKUP(CP$3,DRIPE!$A$54:$I$82,5,FALSE)+VLOOKUP(CP$3,DRIPE!$A$54:$I$82,9,FALSE))+ ('Inputs-System'!$C$26*'Coincidence Factors'!$B$6*(1+'Inputs-System'!$C$18)*(1+'Inputs-System'!$C$42))*'Inputs-Proposals'!$K$22*VLOOKUP(CP$3,DRIPE!$A$54:$I$82,8,FALSE), $C54= "3", ( 'Inputs-System'!$C$30*'Coincidence Factors'!$B$6*(1+'Inputs-System'!$C$18)*(1+'Inputs-System'!$C$41))*('Inputs-Proposals'!$K$29*'Inputs-Proposals'!$K$31*(1-'Inputs-Proposals'!$K$32)^(CP$3-'Inputs-System'!$C$7))*(VLOOKUP(CP$3,DRIPE!$A$54:$I$82,5,FALSE)+VLOOKUP(CP$3,DRIPE!$A$54:$I$82,9,FALSE))+ ('Inputs-System'!$C$26*'Coincidence Factors'!$B$6*(1+'Inputs-System'!$C$18)*(1+'Inputs-System'!$C$42))*'Inputs-Proposals'!$K$28*VLOOKUP(CP$3,DRIPE!$A$54:$I$82,8,FALSE), $C54 = "0", 0), 0)</f>
        <v>0</v>
      </c>
      <c r="CS54" s="45">
        <f>IFERROR(_xlfn.IFS($C54="1",('Inputs-System'!$C$26*'Coincidence Factors'!$B$6*(1+'Inputs-System'!$C$18))*'Inputs-Proposals'!$K$16*(VLOOKUP(CP$3,Capacity!$A$53:$E$85,4,FALSE)*(1+'Inputs-System'!$C$42)+VLOOKUP(CP$3,Capacity!$A$53:$E$85,5,FALSE)*'Inputs-System'!$C$29*(1+'Inputs-System'!$C$43)), $C54 = "2", ('Inputs-System'!$C$26*'Coincidence Factors'!$B$6*(1+'Inputs-System'!$C$18))*'Inputs-Proposals'!$K$22*(VLOOKUP(CP$3,Capacity!$A$53:$E$85,4,FALSE)*(1+'Inputs-System'!$C$42)+VLOOKUP(CP$3,Capacity!$A$53:$E$85,5,FALSE)*'Inputs-System'!$C$29*(1+'Inputs-System'!$C$43)), $C54 = "3",('Inputs-System'!$C$26*'Coincidence Factors'!$B$6*(1+'Inputs-System'!$C$18))*'Inputs-Proposals'!$K$28*(VLOOKUP(CP$3,Capacity!$A$53:$E$85,4,FALSE)*(1+'Inputs-System'!$C$42)+VLOOKUP(CP$3,Capacity!$A$53:$E$85,5,FALSE)*'Inputs-System'!$C$29*(1+'Inputs-System'!$C$43)), $C54 = "0", 0), 0)</f>
        <v>0</v>
      </c>
      <c r="CT54" s="44">
        <v>0</v>
      </c>
      <c r="CU54" s="342">
        <f>IFERROR(_xlfn.IFS($C54="1", 'Inputs-System'!$C$30*'Coincidence Factors'!$B$6*'Inputs-Proposals'!$K$17*'Inputs-Proposals'!$K$19*(VLOOKUP(CP$3,'Non-Embedded Emissions'!$A$56:$D$90,2,FALSE)+VLOOKUP(CP$3,'Non-Embedded Emissions'!$A$143:$D$174,2,FALSE)+VLOOKUP(CP$3,'Non-Embedded Emissions'!$A$230:$D$259,2,FALSE)), $C54 = "2", 'Inputs-System'!$C$30*'Coincidence Factors'!$B$6*'Inputs-Proposals'!$K$23*'Inputs-Proposals'!$K$25*(VLOOKUP(CP$3,'Non-Embedded Emissions'!$A$56:$D$90,2,FALSE)+VLOOKUP(CP$3,'Non-Embedded Emissions'!$A$143:$D$174,2,FALSE)+VLOOKUP(CP$3,'Non-Embedded Emissions'!$A$230:$D$259,2,FALSE)), $C54 = "3", 'Inputs-System'!$C$30*'Coincidence Factors'!$B$6*'Inputs-Proposals'!$K$29*'Inputs-Proposals'!$K$31*(VLOOKUP(CP$3,'Non-Embedded Emissions'!$A$56:$D$90,2,FALSE)+VLOOKUP(CP$3,'Non-Embedded Emissions'!$A$143:$D$174,2,FALSE)+VLOOKUP(CP$3,'Non-Embedded Emissions'!$A$230:$D$259,2,FALSE)), $C54 = "0", 0), 0)</f>
        <v>0</v>
      </c>
      <c r="CV54" s="347">
        <f>IFERROR(_xlfn.IFS($C54="1",('Inputs-System'!$C$30*'Coincidence Factors'!$B$6*(1+'Inputs-System'!$C$18)*(1+'Inputs-System'!$C$41)*('Inputs-Proposals'!$K$17*'Inputs-Proposals'!$K$19*(1-'Inputs-Proposals'!$K$20^(CV$3-'Inputs-System'!$C$7)))*(VLOOKUP(CV$3,Energy!$A$51:$K$83,5,FALSE))), $C54 = "2",('Inputs-System'!$C$30*'Coincidence Factors'!$B$6)*(1+'Inputs-System'!$C$18)*(1+'Inputs-System'!$C$41)*('Inputs-Proposals'!$K$23*'Inputs-Proposals'!$K$25*(1-'Inputs-Proposals'!$K$26^(CV$3-'Inputs-System'!$C$7)))*(VLOOKUP(CV$3,Energy!$A$51:$K$83,5,FALSE)), $C54= "3", ('Inputs-System'!$C$30*'Coincidence Factors'!$B$6*(1+'Inputs-System'!$C$18)*(1+'Inputs-System'!$C$41)*('Inputs-Proposals'!$K$29*'Inputs-Proposals'!$K$31*(1-'Inputs-Proposals'!$K$32^(CV$3-'Inputs-System'!$C$7)))*(VLOOKUP(CV$3,Energy!$A$51:$K$83,5,FALSE))), $C54= "0", 0), 0)</f>
        <v>0</v>
      </c>
      <c r="CW54" s="44">
        <f>IFERROR(_xlfn.IFS($C54="1",('Inputs-System'!$C$30*'Coincidence Factors'!$B$6*(1+'Inputs-System'!$C$18)*(1+'Inputs-System'!$C$41))*'Inputs-Proposals'!$K$17*'Inputs-Proposals'!$K$19*(1-'Inputs-Proposals'!$K$20^(CV$3-'Inputs-System'!$C$7))*(VLOOKUP(CV$3,'Embedded Emissions'!$A$47:$B$78,2,FALSE)+VLOOKUP(CV$3,'Embedded Emissions'!$A$129:$B$158,2,FALSE)), $C54 = "2",('Inputs-System'!$C$30*'Coincidence Factors'!$B$6*(1+'Inputs-System'!$C$18)*(1+'Inputs-System'!$C$41))*'Inputs-Proposals'!$K$23*'Inputs-Proposals'!$K$25*(1-'Inputs-Proposals'!$K$20^(CV$3-'Inputs-System'!$C$7))*(VLOOKUP(CV$3,'Embedded Emissions'!$A$47:$B$78,2,FALSE)+VLOOKUP(CV$3,'Embedded Emissions'!$A$129:$B$158,2,FALSE)), $C54 = "3", ('Inputs-System'!$C$30*'Coincidence Factors'!$B$6*(1+'Inputs-System'!$C$18)*(1+'Inputs-System'!$C$41))*'Inputs-Proposals'!$K$29*'Inputs-Proposals'!$K$31*(1-'Inputs-Proposals'!$K$20^(CV$3-'Inputs-System'!$C$7))*(VLOOKUP(CV$3,'Embedded Emissions'!$A$47:$B$78,2,FALSE)+VLOOKUP(CV$3,'Embedded Emissions'!$A$129:$B$158,2,FALSE)), $C54 = "0", 0), 0)</f>
        <v>0</v>
      </c>
      <c r="CX54" s="44">
        <f>IFERROR(_xlfn.IFS($C54="1",( 'Inputs-System'!$C$30*'Coincidence Factors'!$B$6*(1+'Inputs-System'!$C$18)*(1+'Inputs-System'!$C$41))*('Inputs-Proposals'!$K$17*'Inputs-Proposals'!$K$19*(1-'Inputs-Proposals'!$K$20)^(CV$3-'Inputs-System'!$C$7))*(VLOOKUP(CV$3,DRIPE!$A$54:$I$82,5,FALSE)+VLOOKUP(CV$3,DRIPE!$A$54:$I$82,9,FALSE))+ ('Inputs-System'!$C$26*'Coincidence Factors'!$B$6*(1+'Inputs-System'!$C$18)*(1+'Inputs-System'!$C$42))*'Inputs-Proposals'!$K$16*VLOOKUP(CV$3,DRIPE!$A$54:$I$82,8,FALSE), $C54 = "2",( 'Inputs-System'!$C$30*'Coincidence Factors'!$B$6*(1+'Inputs-System'!$C$18)*(1+'Inputs-System'!$C$41))*('Inputs-Proposals'!$K$23*'Inputs-Proposals'!$K$25*(1-'Inputs-Proposals'!$K$26)^(CV$3-'Inputs-System'!$C$7))*(VLOOKUP(CV$3,DRIPE!$A$54:$I$82,5,FALSE)+VLOOKUP(CV$3,DRIPE!$A$54:$I$82,9,FALSE))+ ('Inputs-System'!$C$26*'Coincidence Factors'!$B$6*(1+'Inputs-System'!$C$18)*(1+'Inputs-System'!$C$42))*'Inputs-Proposals'!$K$22*VLOOKUP(CV$3,DRIPE!$A$54:$I$82,8,FALSE), $C54= "3", ( 'Inputs-System'!$C$30*'Coincidence Factors'!$B$6*(1+'Inputs-System'!$C$18)*(1+'Inputs-System'!$C$41))*('Inputs-Proposals'!$K$29*'Inputs-Proposals'!$K$31*(1-'Inputs-Proposals'!$K$32)^(CV$3-'Inputs-System'!$C$7))*(VLOOKUP(CV$3,DRIPE!$A$54:$I$82,5,FALSE)+VLOOKUP(CV$3,DRIPE!$A$54:$I$82,9,FALSE))+ ('Inputs-System'!$C$26*'Coincidence Factors'!$B$6*(1+'Inputs-System'!$C$18)*(1+'Inputs-System'!$C$42))*'Inputs-Proposals'!$K$28*VLOOKUP(CV$3,DRIPE!$A$54:$I$82,8,FALSE), $C54 = "0", 0), 0)</f>
        <v>0</v>
      </c>
      <c r="CY54" s="45">
        <f>IFERROR(_xlfn.IFS($C54="1",('Inputs-System'!$C$26*'Coincidence Factors'!$B$6*(1+'Inputs-System'!$C$18))*'Inputs-Proposals'!$K$16*(VLOOKUP(CV$3,Capacity!$A$53:$E$85,4,FALSE)*(1+'Inputs-System'!$C$42)+VLOOKUP(CV$3,Capacity!$A$53:$E$85,5,FALSE)*'Inputs-System'!$C$29*(1+'Inputs-System'!$C$43)), $C54 = "2", ('Inputs-System'!$C$26*'Coincidence Factors'!$B$6*(1+'Inputs-System'!$C$18))*'Inputs-Proposals'!$K$22*(VLOOKUP(CV$3,Capacity!$A$53:$E$85,4,FALSE)*(1+'Inputs-System'!$C$42)+VLOOKUP(CV$3,Capacity!$A$53:$E$85,5,FALSE)*'Inputs-System'!$C$29*(1+'Inputs-System'!$C$43)), $C54 = "3",('Inputs-System'!$C$26*'Coincidence Factors'!$B$6*(1+'Inputs-System'!$C$18))*'Inputs-Proposals'!$K$28*(VLOOKUP(CV$3,Capacity!$A$53:$E$85,4,FALSE)*(1+'Inputs-System'!$C$42)+VLOOKUP(CV$3,Capacity!$A$53:$E$85,5,FALSE)*'Inputs-System'!$C$29*(1+'Inputs-System'!$C$43)), $C54 = "0", 0), 0)</f>
        <v>0</v>
      </c>
      <c r="CZ54" s="44">
        <v>0</v>
      </c>
      <c r="DA54" s="342">
        <f>IFERROR(_xlfn.IFS($C54="1", 'Inputs-System'!$C$30*'Coincidence Factors'!$B$6*'Inputs-Proposals'!$K$17*'Inputs-Proposals'!$K$19*(VLOOKUP(CV$3,'Non-Embedded Emissions'!$A$56:$D$90,2,FALSE)+VLOOKUP(CV$3,'Non-Embedded Emissions'!$A$143:$D$174,2,FALSE)+VLOOKUP(CV$3,'Non-Embedded Emissions'!$A$230:$D$259,2,FALSE)), $C54 = "2", 'Inputs-System'!$C$30*'Coincidence Factors'!$B$6*'Inputs-Proposals'!$K$23*'Inputs-Proposals'!$K$25*(VLOOKUP(CV$3,'Non-Embedded Emissions'!$A$56:$D$90,2,FALSE)+VLOOKUP(CV$3,'Non-Embedded Emissions'!$A$143:$D$174,2,FALSE)+VLOOKUP(CV$3,'Non-Embedded Emissions'!$A$230:$D$259,2,FALSE)), $C54 = "3", 'Inputs-System'!$C$30*'Coincidence Factors'!$B$6*'Inputs-Proposals'!$K$29*'Inputs-Proposals'!$K$31*(VLOOKUP(CV$3,'Non-Embedded Emissions'!$A$56:$D$90,2,FALSE)+VLOOKUP(CV$3,'Non-Embedded Emissions'!$A$143:$D$174,2,FALSE)+VLOOKUP(CV$3,'Non-Embedded Emissions'!$A$230:$D$259,2,FALSE)), $C54 = "0", 0), 0)</f>
        <v>0</v>
      </c>
      <c r="DB54" s="347">
        <f>IFERROR(_xlfn.IFS($C54="1",('Inputs-System'!$C$30*'Coincidence Factors'!$B$6*(1+'Inputs-System'!$C$18)*(1+'Inputs-System'!$C$41)*('Inputs-Proposals'!$K$17*'Inputs-Proposals'!$K$19*(1-'Inputs-Proposals'!$K$20^(DB$3-'Inputs-System'!$C$7)))*(VLOOKUP(DB$3,Energy!$A$51:$K$83,5,FALSE))), $C54 = "2",('Inputs-System'!$C$30*'Coincidence Factors'!$B$6)*(1+'Inputs-System'!$C$18)*(1+'Inputs-System'!$C$41)*('Inputs-Proposals'!$K$23*'Inputs-Proposals'!$K$25*(1-'Inputs-Proposals'!$K$26^(DB$3-'Inputs-System'!$C$7)))*(VLOOKUP(DB$3,Energy!$A$51:$K$83,5,FALSE)), $C54= "3", ('Inputs-System'!$C$30*'Coincidence Factors'!$B$6*(1+'Inputs-System'!$C$18)*(1+'Inputs-System'!$C$41)*('Inputs-Proposals'!$K$29*'Inputs-Proposals'!$K$31*(1-'Inputs-Proposals'!$K$32^(DB$3-'Inputs-System'!$C$7)))*(VLOOKUP(DB$3,Energy!$A$51:$K$83,5,FALSE))), $C54= "0", 0), 0)</f>
        <v>0</v>
      </c>
      <c r="DC54" s="44">
        <f>IFERROR(_xlfn.IFS($C54="1",('Inputs-System'!$C$30*'Coincidence Factors'!$B$6*(1+'Inputs-System'!$C$18)*(1+'Inputs-System'!$C$41))*'Inputs-Proposals'!$K$17*'Inputs-Proposals'!$K$19*(1-'Inputs-Proposals'!$K$20^(DB$3-'Inputs-System'!$C$7))*(VLOOKUP(DB$3,'Embedded Emissions'!$A$47:$B$78,2,FALSE)+VLOOKUP(DB$3,'Embedded Emissions'!$A$129:$B$158,2,FALSE)), $C54 = "2",('Inputs-System'!$C$30*'Coincidence Factors'!$B$6*(1+'Inputs-System'!$C$18)*(1+'Inputs-System'!$C$41))*'Inputs-Proposals'!$K$23*'Inputs-Proposals'!$K$25*(1-'Inputs-Proposals'!$K$20^(DB$3-'Inputs-System'!$C$7))*(VLOOKUP(DB$3,'Embedded Emissions'!$A$47:$B$78,2,FALSE)+VLOOKUP(DB$3,'Embedded Emissions'!$A$129:$B$158,2,FALSE)), $C54 = "3", ('Inputs-System'!$C$30*'Coincidence Factors'!$B$6*(1+'Inputs-System'!$C$18)*(1+'Inputs-System'!$C$41))*'Inputs-Proposals'!$K$29*'Inputs-Proposals'!$K$31*(1-'Inputs-Proposals'!$K$20^(DB$3-'Inputs-System'!$C$7))*(VLOOKUP(DB$3,'Embedded Emissions'!$A$47:$B$78,2,FALSE)+VLOOKUP(DB$3,'Embedded Emissions'!$A$129:$B$158,2,FALSE)), $C54 = "0", 0), 0)</f>
        <v>0</v>
      </c>
      <c r="DD54" s="44">
        <f>IFERROR(_xlfn.IFS($C54="1",( 'Inputs-System'!$C$30*'Coincidence Factors'!$B$6*(1+'Inputs-System'!$C$18)*(1+'Inputs-System'!$C$41))*('Inputs-Proposals'!$K$17*'Inputs-Proposals'!$K$19*(1-'Inputs-Proposals'!$K$20)^(DB$3-'Inputs-System'!$C$7))*(VLOOKUP(DB$3,DRIPE!$A$54:$I$82,5,FALSE)+VLOOKUP(DB$3,DRIPE!$A$54:$I$82,9,FALSE))+ ('Inputs-System'!$C$26*'Coincidence Factors'!$B$6*(1+'Inputs-System'!$C$18)*(1+'Inputs-System'!$C$42))*'Inputs-Proposals'!$K$16*VLOOKUP(DB$3,DRIPE!$A$54:$I$82,8,FALSE), $C54 = "2",( 'Inputs-System'!$C$30*'Coincidence Factors'!$B$6*(1+'Inputs-System'!$C$18)*(1+'Inputs-System'!$C$41))*('Inputs-Proposals'!$K$23*'Inputs-Proposals'!$K$25*(1-'Inputs-Proposals'!$K$26)^(DB$3-'Inputs-System'!$C$7))*(VLOOKUP(DB$3,DRIPE!$A$54:$I$82,5,FALSE)+VLOOKUP(DB$3,DRIPE!$A$54:$I$82,9,FALSE))+ ('Inputs-System'!$C$26*'Coincidence Factors'!$B$6*(1+'Inputs-System'!$C$18)*(1+'Inputs-System'!$C$42))*'Inputs-Proposals'!$K$22*VLOOKUP(DB$3,DRIPE!$A$54:$I$82,8,FALSE), $C54= "3", ( 'Inputs-System'!$C$30*'Coincidence Factors'!$B$6*(1+'Inputs-System'!$C$18)*(1+'Inputs-System'!$C$41))*('Inputs-Proposals'!$K$29*'Inputs-Proposals'!$K$31*(1-'Inputs-Proposals'!$K$32)^(DB$3-'Inputs-System'!$C$7))*(VLOOKUP(DB$3,DRIPE!$A$54:$I$82,5,FALSE)+VLOOKUP(DB$3,DRIPE!$A$54:$I$82,9,FALSE))+ ('Inputs-System'!$C$26*'Coincidence Factors'!$B$6*(1+'Inputs-System'!$C$18)*(1+'Inputs-System'!$C$42))*'Inputs-Proposals'!$K$28*VLOOKUP(DB$3,DRIPE!$A$54:$I$82,8,FALSE), $C54 = "0", 0), 0)</f>
        <v>0</v>
      </c>
      <c r="DE54" s="45">
        <f>IFERROR(_xlfn.IFS($C54="1",('Inputs-System'!$C$26*'Coincidence Factors'!$B$6*(1+'Inputs-System'!$C$18))*'Inputs-Proposals'!$K$16*(VLOOKUP(DB$3,Capacity!$A$53:$E$85,4,FALSE)*(1+'Inputs-System'!$C$42)+VLOOKUP(DB$3,Capacity!$A$53:$E$85,5,FALSE)*'Inputs-System'!$C$29*(1+'Inputs-System'!$C$43)), $C54 = "2", ('Inputs-System'!$C$26*'Coincidence Factors'!$B$6*(1+'Inputs-System'!$C$18))*'Inputs-Proposals'!$K$22*(VLOOKUP(DB$3,Capacity!$A$53:$E$85,4,FALSE)*(1+'Inputs-System'!$C$42)+VLOOKUP(DB$3,Capacity!$A$53:$E$85,5,FALSE)*'Inputs-System'!$C$29*(1+'Inputs-System'!$C$43)), $C54 = "3",('Inputs-System'!$C$26*'Coincidence Factors'!$B$6*(1+'Inputs-System'!$C$18))*'Inputs-Proposals'!$K$28*(VLOOKUP(DB$3,Capacity!$A$53:$E$85,4,FALSE)*(1+'Inputs-System'!$C$42)+VLOOKUP(DB$3,Capacity!$A$53:$E$85,5,FALSE)*'Inputs-System'!$C$29*(1+'Inputs-System'!$C$43)), $C54 = "0", 0), 0)</f>
        <v>0</v>
      </c>
      <c r="DF54" s="44">
        <v>0</v>
      </c>
      <c r="DG54" s="342">
        <f>IFERROR(_xlfn.IFS($C54="1", 'Inputs-System'!$C$30*'Coincidence Factors'!$B$6*'Inputs-Proposals'!$K$17*'Inputs-Proposals'!$K$19*(VLOOKUP(DB$3,'Non-Embedded Emissions'!$A$56:$D$90,2,FALSE)+VLOOKUP(DB$3,'Non-Embedded Emissions'!$A$143:$D$174,2,FALSE)+VLOOKUP(DB$3,'Non-Embedded Emissions'!$A$230:$D$259,2,FALSE)), $C54 = "2", 'Inputs-System'!$C$30*'Coincidence Factors'!$B$6*'Inputs-Proposals'!$K$23*'Inputs-Proposals'!$K$25*(VLOOKUP(DB$3,'Non-Embedded Emissions'!$A$56:$D$90,2,FALSE)+VLOOKUP(DB$3,'Non-Embedded Emissions'!$A$143:$D$174,2,FALSE)+VLOOKUP(DB$3,'Non-Embedded Emissions'!$A$230:$D$259,2,FALSE)), $C54 = "3", 'Inputs-System'!$C$30*'Coincidence Factors'!$B$6*'Inputs-Proposals'!$K$29*'Inputs-Proposals'!$K$31*(VLOOKUP(DB$3,'Non-Embedded Emissions'!$A$56:$D$90,2,FALSE)+VLOOKUP(DB$3,'Non-Embedded Emissions'!$A$143:$D$174,2,FALSE)+VLOOKUP(DB$3,'Non-Embedded Emissions'!$A$230:$D$259,2,FALSE)), $C54 = "0", 0), 0)</f>
        <v>0</v>
      </c>
      <c r="DH54" s="347">
        <f>IFERROR(_xlfn.IFS($C54="1",('Inputs-System'!$C$30*'Coincidence Factors'!$B$6*(1+'Inputs-System'!$C$18)*(1+'Inputs-System'!$C$41)*('Inputs-Proposals'!$K$17*'Inputs-Proposals'!$K$19*(1-'Inputs-Proposals'!$K$20^(DH$3-'Inputs-System'!$C$7)))*(VLOOKUP(DH$3,Energy!$A$51:$K$83,5,FALSE))), $C54 = "2",('Inputs-System'!$C$30*'Coincidence Factors'!$B$6)*(1+'Inputs-System'!$C$18)*(1+'Inputs-System'!$C$41)*('Inputs-Proposals'!$K$23*'Inputs-Proposals'!$K$25*(1-'Inputs-Proposals'!$K$26^(DH$3-'Inputs-System'!$C$7)))*(VLOOKUP(DH$3,Energy!$A$51:$K$83,5,FALSE)), $C54= "3", ('Inputs-System'!$C$30*'Coincidence Factors'!$B$6*(1+'Inputs-System'!$C$18)*(1+'Inputs-System'!$C$41)*('Inputs-Proposals'!$K$29*'Inputs-Proposals'!$K$31*(1-'Inputs-Proposals'!$K$32^(DH$3-'Inputs-System'!$C$7)))*(VLOOKUP(DH$3,Energy!$A$51:$K$83,5,FALSE))), $C54= "0", 0), 0)</f>
        <v>0</v>
      </c>
      <c r="DI54" s="44">
        <f>IFERROR(_xlfn.IFS($C54="1",('Inputs-System'!$C$30*'Coincidence Factors'!$B$6*(1+'Inputs-System'!$C$18)*(1+'Inputs-System'!$C$41))*'Inputs-Proposals'!$K$17*'Inputs-Proposals'!$K$19*(1-'Inputs-Proposals'!$K$20^(DH$3-'Inputs-System'!$C$7))*(VLOOKUP(DH$3,'Embedded Emissions'!$A$47:$B$78,2,FALSE)+VLOOKUP(DH$3,'Embedded Emissions'!$A$129:$B$158,2,FALSE)), $C54 = "2",('Inputs-System'!$C$30*'Coincidence Factors'!$B$6*(1+'Inputs-System'!$C$18)*(1+'Inputs-System'!$C$41))*'Inputs-Proposals'!$K$23*'Inputs-Proposals'!$K$25*(1-'Inputs-Proposals'!$K$20^(DH$3-'Inputs-System'!$C$7))*(VLOOKUP(DH$3,'Embedded Emissions'!$A$47:$B$78,2,FALSE)+VLOOKUP(DH$3,'Embedded Emissions'!$A$129:$B$158,2,FALSE)), $C54 = "3", ('Inputs-System'!$C$30*'Coincidence Factors'!$B$6*(1+'Inputs-System'!$C$18)*(1+'Inputs-System'!$C$41))*'Inputs-Proposals'!$K$29*'Inputs-Proposals'!$K$31*(1-'Inputs-Proposals'!$K$20^(DH$3-'Inputs-System'!$C$7))*(VLOOKUP(DH$3,'Embedded Emissions'!$A$47:$B$78,2,FALSE)+VLOOKUP(DH$3,'Embedded Emissions'!$A$129:$B$158,2,FALSE)), $C54 = "0", 0), 0)</f>
        <v>0</v>
      </c>
      <c r="DJ54" s="44">
        <f>IFERROR(_xlfn.IFS($C54="1",( 'Inputs-System'!$C$30*'Coincidence Factors'!$B$6*(1+'Inputs-System'!$C$18)*(1+'Inputs-System'!$C$41))*('Inputs-Proposals'!$K$17*'Inputs-Proposals'!$K$19*(1-'Inputs-Proposals'!$K$20)^(DH$3-'Inputs-System'!$C$7))*(VLOOKUP(DH$3,DRIPE!$A$54:$I$82,5,FALSE)+VLOOKUP(DH$3,DRIPE!$A$54:$I$82,9,FALSE))+ ('Inputs-System'!$C$26*'Coincidence Factors'!$B$6*(1+'Inputs-System'!$C$18)*(1+'Inputs-System'!$C$42))*'Inputs-Proposals'!$K$16*VLOOKUP(DH$3,DRIPE!$A$54:$I$82,8,FALSE), $C54 = "2",( 'Inputs-System'!$C$30*'Coincidence Factors'!$B$6*(1+'Inputs-System'!$C$18)*(1+'Inputs-System'!$C$41))*('Inputs-Proposals'!$K$23*'Inputs-Proposals'!$K$25*(1-'Inputs-Proposals'!$K$26)^(DH$3-'Inputs-System'!$C$7))*(VLOOKUP(DH$3,DRIPE!$A$54:$I$82,5,FALSE)+VLOOKUP(DH$3,DRIPE!$A$54:$I$82,9,FALSE))+ ('Inputs-System'!$C$26*'Coincidence Factors'!$B$6*(1+'Inputs-System'!$C$18)*(1+'Inputs-System'!$C$42))*'Inputs-Proposals'!$K$22*VLOOKUP(DH$3,DRIPE!$A$54:$I$82,8,FALSE), $C54= "3", ( 'Inputs-System'!$C$30*'Coincidence Factors'!$B$6*(1+'Inputs-System'!$C$18)*(1+'Inputs-System'!$C$41))*('Inputs-Proposals'!$K$29*'Inputs-Proposals'!$K$31*(1-'Inputs-Proposals'!$K$32)^(DH$3-'Inputs-System'!$C$7))*(VLOOKUP(DH$3,DRIPE!$A$54:$I$82,5,FALSE)+VLOOKUP(DH$3,DRIPE!$A$54:$I$82,9,FALSE))+ ('Inputs-System'!$C$26*'Coincidence Factors'!$B$6*(1+'Inputs-System'!$C$18)*(1+'Inputs-System'!$C$42))*'Inputs-Proposals'!$K$28*VLOOKUP(DH$3,DRIPE!$A$54:$I$82,8,FALSE), $C54 = "0", 0), 0)</f>
        <v>0</v>
      </c>
      <c r="DK54" s="45">
        <f>IFERROR(_xlfn.IFS($C54="1",('Inputs-System'!$C$26*'Coincidence Factors'!$B$6*(1+'Inputs-System'!$C$18))*'Inputs-Proposals'!$K$16*(VLOOKUP(DH$3,Capacity!$A$53:$E$85,4,FALSE)*(1+'Inputs-System'!$C$42)+VLOOKUP(DH$3,Capacity!$A$53:$E$85,5,FALSE)*'Inputs-System'!$C$29*(1+'Inputs-System'!$C$43)), $C54 = "2", ('Inputs-System'!$C$26*'Coincidence Factors'!$B$6*(1+'Inputs-System'!$C$18))*'Inputs-Proposals'!$K$22*(VLOOKUP(DH$3,Capacity!$A$53:$E$85,4,FALSE)*(1+'Inputs-System'!$C$42)+VLOOKUP(DH$3,Capacity!$A$53:$E$85,5,FALSE)*'Inputs-System'!$C$29*(1+'Inputs-System'!$C$43)), $C54 = "3",('Inputs-System'!$C$26*'Coincidence Factors'!$B$6*(1+'Inputs-System'!$C$18))*'Inputs-Proposals'!$K$28*(VLOOKUP(DH$3,Capacity!$A$53:$E$85,4,FALSE)*(1+'Inputs-System'!$C$42)+VLOOKUP(DH$3,Capacity!$A$53:$E$85,5,FALSE)*'Inputs-System'!$C$29*(1+'Inputs-System'!$C$43)), $C54 = "0", 0), 0)</f>
        <v>0</v>
      </c>
      <c r="DL54" s="44">
        <v>0</v>
      </c>
      <c r="DM54" s="342">
        <f>IFERROR(_xlfn.IFS($C54="1", 'Inputs-System'!$C$30*'Coincidence Factors'!$B$6*'Inputs-Proposals'!$K$17*'Inputs-Proposals'!$K$19*(VLOOKUP(DH$3,'Non-Embedded Emissions'!$A$56:$D$90,2,FALSE)+VLOOKUP(DH$3,'Non-Embedded Emissions'!$A$143:$D$174,2,FALSE)+VLOOKUP(DH$3,'Non-Embedded Emissions'!$A$230:$D$259,2,FALSE)), $C54 = "2", 'Inputs-System'!$C$30*'Coincidence Factors'!$B$6*'Inputs-Proposals'!$K$23*'Inputs-Proposals'!$K$25*(VLOOKUP(DH$3,'Non-Embedded Emissions'!$A$56:$D$90,2,FALSE)+VLOOKUP(DH$3,'Non-Embedded Emissions'!$A$143:$D$174,2,FALSE)+VLOOKUP(DH$3,'Non-Embedded Emissions'!$A$230:$D$259,2,FALSE)), $C54 = "3", 'Inputs-System'!$C$30*'Coincidence Factors'!$B$6*'Inputs-Proposals'!$K$29*'Inputs-Proposals'!$K$31*(VLOOKUP(DH$3,'Non-Embedded Emissions'!$A$56:$D$90,2,FALSE)+VLOOKUP(DH$3,'Non-Embedded Emissions'!$A$143:$D$174,2,FALSE)+VLOOKUP(DH$3,'Non-Embedded Emissions'!$A$230:$D$259,2,FALSE)), $C54 = "0", 0), 0)</f>
        <v>0</v>
      </c>
      <c r="DN54" s="347">
        <f>IFERROR(_xlfn.IFS($C54="1",('Inputs-System'!$C$30*'Coincidence Factors'!$B$6*(1+'Inputs-System'!$C$18)*(1+'Inputs-System'!$C$41)*('Inputs-Proposals'!$K$17*'Inputs-Proposals'!$K$19*(1-'Inputs-Proposals'!$K$20^(DN$3-'Inputs-System'!$C$7)))*(VLOOKUP(DN$3,Energy!$A$51:$K$83,5,FALSE))), $C54 = "2",('Inputs-System'!$C$30*'Coincidence Factors'!$B$6)*(1+'Inputs-System'!$C$18)*(1+'Inputs-System'!$C$41)*('Inputs-Proposals'!$K$23*'Inputs-Proposals'!$K$25*(1-'Inputs-Proposals'!$K$26^(DN$3-'Inputs-System'!$C$7)))*(VLOOKUP(DN$3,Energy!$A$51:$K$83,5,FALSE)), $C54= "3", ('Inputs-System'!$C$30*'Coincidence Factors'!$B$6*(1+'Inputs-System'!$C$18)*(1+'Inputs-System'!$C$41)*('Inputs-Proposals'!$K$29*'Inputs-Proposals'!$K$31*(1-'Inputs-Proposals'!$K$32^(DN$3-'Inputs-System'!$C$7)))*(VLOOKUP(DN$3,Energy!$A$51:$K$83,5,FALSE))), $C54= "0", 0), 0)</f>
        <v>0</v>
      </c>
      <c r="DO54" s="44">
        <f>IFERROR(_xlfn.IFS($C54="1",('Inputs-System'!$C$30*'Coincidence Factors'!$B$6*(1+'Inputs-System'!$C$18)*(1+'Inputs-System'!$C$41))*'Inputs-Proposals'!$K$17*'Inputs-Proposals'!$K$19*(1-'Inputs-Proposals'!$K$20^(DN$3-'Inputs-System'!$C$7))*(VLOOKUP(DN$3,'Embedded Emissions'!$A$47:$B$78,2,FALSE)+VLOOKUP(DN$3,'Embedded Emissions'!$A$129:$B$158,2,FALSE)), $C54 = "2",('Inputs-System'!$C$30*'Coincidence Factors'!$B$6*(1+'Inputs-System'!$C$18)*(1+'Inputs-System'!$C$41))*'Inputs-Proposals'!$K$23*'Inputs-Proposals'!$K$25*(1-'Inputs-Proposals'!$K$20^(DN$3-'Inputs-System'!$C$7))*(VLOOKUP(DN$3,'Embedded Emissions'!$A$47:$B$78,2,FALSE)+VLOOKUP(DN$3,'Embedded Emissions'!$A$129:$B$158,2,FALSE)), $C54 = "3", ('Inputs-System'!$C$30*'Coincidence Factors'!$B$6*(1+'Inputs-System'!$C$18)*(1+'Inputs-System'!$C$41))*'Inputs-Proposals'!$K$29*'Inputs-Proposals'!$K$31*(1-'Inputs-Proposals'!$K$20^(DN$3-'Inputs-System'!$C$7))*(VLOOKUP(DN$3,'Embedded Emissions'!$A$47:$B$78,2,FALSE)+VLOOKUP(DN$3,'Embedded Emissions'!$A$129:$B$158,2,FALSE)), $C54 = "0", 0), 0)</f>
        <v>0</v>
      </c>
      <c r="DP54" s="44">
        <f>IFERROR(_xlfn.IFS($C54="1",( 'Inputs-System'!$C$30*'Coincidence Factors'!$B$6*(1+'Inputs-System'!$C$18)*(1+'Inputs-System'!$C$41))*('Inputs-Proposals'!$K$17*'Inputs-Proposals'!$K$19*(1-'Inputs-Proposals'!$K$20)^(DN$3-'Inputs-System'!$C$7))*(VLOOKUP(DN$3,DRIPE!$A$54:$I$82,5,FALSE)+VLOOKUP(DN$3,DRIPE!$A$54:$I$82,9,FALSE))+ ('Inputs-System'!$C$26*'Coincidence Factors'!$B$6*(1+'Inputs-System'!$C$18)*(1+'Inputs-System'!$C$42))*'Inputs-Proposals'!$K$16*VLOOKUP(DN$3,DRIPE!$A$54:$I$82,8,FALSE), $C54 = "2",( 'Inputs-System'!$C$30*'Coincidence Factors'!$B$6*(1+'Inputs-System'!$C$18)*(1+'Inputs-System'!$C$41))*('Inputs-Proposals'!$K$23*'Inputs-Proposals'!$K$25*(1-'Inputs-Proposals'!$K$26)^(DN$3-'Inputs-System'!$C$7))*(VLOOKUP(DN$3,DRIPE!$A$54:$I$82,5,FALSE)+VLOOKUP(DN$3,DRIPE!$A$54:$I$82,9,FALSE))+ ('Inputs-System'!$C$26*'Coincidence Factors'!$B$6*(1+'Inputs-System'!$C$18)*(1+'Inputs-System'!$C$42))*'Inputs-Proposals'!$K$22*VLOOKUP(DN$3,DRIPE!$A$54:$I$82,8,FALSE), $C54= "3", ( 'Inputs-System'!$C$30*'Coincidence Factors'!$B$6*(1+'Inputs-System'!$C$18)*(1+'Inputs-System'!$C$41))*('Inputs-Proposals'!$K$29*'Inputs-Proposals'!$K$31*(1-'Inputs-Proposals'!$K$32)^(DN$3-'Inputs-System'!$C$7))*(VLOOKUP(DN$3,DRIPE!$A$54:$I$82,5,FALSE)+VLOOKUP(DN$3,DRIPE!$A$54:$I$82,9,FALSE))+ ('Inputs-System'!$C$26*'Coincidence Factors'!$B$6*(1+'Inputs-System'!$C$18)*(1+'Inputs-System'!$C$42))*'Inputs-Proposals'!$K$28*VLOOKUP(DN$3,DRIPE!$A$54:$I$82,8,FALSE), $C54 = "0", 0), 0)</f>
        <v>0</v>
      </c>
      <c r="DQ54" s="45">
        <f>IFERROR(_xlfn.IFS($C54="1",('Inputs-System'!$C$26*'Coincidence Factors'!$B$6*(1+'Inputs-System'!$C$18))*'Inputs-Proposals'!$K$16*(VLOOKUP(DN$3,Capacity!$A$53:$E$85,4,FALSE)*(1+'Inputs-System'!$C$42)+VLOOKUP(DN$3,Capacity!$A$53:$E$85,5,FALSE)*'Inputs-System'!$C$29*(1+'Inputs-System'!$C$43)), $C54 = "2", ('Inputs-System'!$C$26*'Coincidence Factors'!$B$6*(1+'Inputs-System'!$C$18))*'Inputs-Proposals'!$K$22*(VLOOKUP(DN$3,Capacity!$A$53:$E$85,4,FALSE)*(1+'Inputs-System'!$C$42)+VLOOKUP(DN$3,Capacity!$A$53:$E$85,5,FALSE)*'Inputs-System'!$C$29*(1+'Inputs-System'!$C$43)), $C54 = "3",('Inputs-System'!$C$26*'Coincidence Factors'!$B$6*(1+'Inputs-System'!$C$18))*'Inputs-Proposals'!$K$28*(VLOOKUP(DN$3,Capacity!$A$53:$E$85,4,FALSE)*(1+'Inputs-System'!$C$42)+VLOOKUP(DN$3,Capacity!$A$53:$E$85,5,FALSE)*'Inputs-System'!$C$29*(1+'Inputs-System'!$C$43)), $C54 = "0", 0), 0)</f>
        <v>0</v>
      </c>
      <c r="DR54" s="44">
        <v>0</v>
      </c>
      <c r="DS54" s="342">
        <f>IFERROR(_xlfn.IFS($C54="1", 'Inputs-System'!$C$30*'Coincidence Factors'!$B$6*'Inputs-Proposals'!$K$17*'Inputs-Proposals'!$K$19*(VLOOKUP(DN$3,'Non-Embedded Emissions'!$A$56:$D$90,2,FALSE)+VLOOKUP(DN$3,'Non-Embedded Emissions'!$A$143:$D$174,2,FALSE)+VLOOKUP(DN$3,'Non-Embedded Emissions'!$A$230:$D$259,2,FALSE)), $C54 = "2", 'Inputs-System'!$C$30*'Coincidence Factors'!$B$6*'Inputs-Proposals'!$K$23*'Inputs-Proposals'!$K$25*(VLOOKUP(DN$3,'Non-Embedded Emissions'!$A$56:$D$90,2,FALSE)+VLOOKUP(DN$3,'Non-Embedded Emissions'!$A$143:$D$174,2,FALSE)+VLOOKUP(DN$3,'Non-Embedded Emissions'!$A$230:$D$259,2,FALSE)), $C54 = "3", 'Inputs-System'!$C$30*'Coincidence Factors'!$B$6*'Inputs-Proposals'!$K$29*'Inputs-Proposals'!$K$31*(VLOOKUP(DN$3,'Non-Embedded Emissions'!$A$56:$D$90,2,FALSE)+VLOOKUP(DN$3,'Non-Embedded Emissions'!$A$143:$D$174,2,FALSE)+VLOOKUP(DN$3,'Non-Embedded Emissions'!$A$230:$D$259,2,FALSE)), $C54 = "0", 0), 0)</f>
        <v>0</v>
      </c>
      <c r="DT54" s="347">
        <f>IFERROR(_xlfn.IFS($C54="1",('Inputs-System'!$C$30*'Coincidence Factors'!$B$6*(1+'Inputs-System'!$C$18)*(1+'Inputs-System'!$C$41)*('Inputs-Proposals'!$K$17*'Inputs-Proposals'!$K$19*(1-'Inputs-Proposals'!$K$20^(DT$3-'Inputs-System'!$C$7)))*(VLOOKUP(DT$3,Energy!$A$51:$K$83,5,FALSE))), $C54 = "2",('Inputs-System'!$C$30*'Coincidence Factors'!$B$6)*(1+'Inputs-System'!$C$18)*(1+'Inputs-System'!$C$41)*('Inputs-Proposals'!$K$23*'Inputs-Proposals'!$K$25*(1-'Inputs-Proposals'!$K$26^(DT$3-'Inputs-System'!$C$7)))*(VLOOKUP(DT$3,Energy!$A$51:$K$83,5,FALSE)), $C54= "3", ('Inputs-System'!$C$30*'Coincidence Factors'!$B$6*(1+'Inputs-System'!$C$18)*(1+'Inputs-System'!$C$41)*('Inputs-Proposals'!$K$29*'Inputs-Proposals'!$K$31*(1-'Inputs-Proposals'!$K$32^(DT$3-'Inputs-System'!$C$7)))*(VLOOKUP(DT$3,Energy!$A$51:$K$83,5,FALSE))), $C54= "0", 0), 0)</f>
        <v>0</v>
      </c>
      <c r="DU54" s="44">
        <f>IFERROR(_xlfn.IFS($C54="1",('Inputs-System'!$C$30*'Coincidence Factors'!$B$6*(1+'Inputs-System'!$C$18)*(1+'Inputs-System'!$C$41))*'Inputs-Proposals'!$K$17*'Inputs-Proposals'!$K$19*(1-'Inputs-Proposals'!$K$20^(DT$3-'Inputs-System'!$C$7))*(VLOOKUP(DT$3,'Embedded Emissions'!$A$47:$B$78,2,FALSE)+VLOOKUP(DT$3,'Embedded Emissions'!$A$129:$B$158,2,FALSE)), $C54 = "2",('Inputs-System'!$C$30*'Coincidence Factors'!$B$6*(1+'Inputs-System'!$C$18)*(1+'Inputs-System'!$C$41))*'Inputs-Proposals'!$K$23*'Inputs-Proposals'!$K$25*(1-'Inputs-Proposals'!$K$20^(DT$3-'Inputs-System'!$C$7))*(VLOOKUP(DT$3,'Embedded Emissions'!$A$47:$B$78,2,FALSE)+VLOOKUP(DT$3,'Embedded Emissions'!$A$129:$B$158,2,FALSE)), $C54 = "3", ('Inputs-System'!$C$30*'Coincidence Factors'!$B$6*(1+'Inputs-System'!$C$18)*(1+'Inputs-System'!$C$41))*'Inputs-Proposals'!$K$29*'Inputs-Proposals'!$K$31*(1-'Inputs-Proposals'!$K$20^(DT$3-'Inputs-System'!$C$7))*(VLOOKUP(DT$3,'Embedded Emissions'!$A$47:$B$78,2,FALSE)+VLOOKUP(DT$3,'Embedded Emissions'!$A$129:$B$158,2,FALSE)), $C54 = "0", 0), 0)</f>
        <v>0</v>
      </c>
      <c r="DV54" s="44">
        <f>IFERROR(_xlfn.IFS($C54="1",( 'Inputs-System'!$C$30*'Coincidence Factors'!$B$6*(1+'Inputs-System'!$C$18)*(1+'Inputs-System'!$C$41))*('Inputs-Proposals'!$K$17*'Inputs-Proposals'!$K$19*(1-'Inputs-Proposals'!$K$20)^(DT$3-'Inputs-System'!$C$7))*(VLOOKUP(DT$3,DRIPE!$A$54:$I$82,5,FALSE)+VLOOKUP(DT$3,DRIPE!$A$54:$I$82,9,FALSE))+ ('Inputs-System'!$C$26*'Coincidence Factors'!$B$6*(1+'Inputs-System'!$C$18)*(1+'Inputs-System'!$C$42))*'Inputs-Proposals'!$K$16*VLOOKUP(DT$3,DRIPE!$A$54:$I$82,8,FALSE), $C54 = "2",( 'Inputs-System'!$C$30*'Coincidence Factors'!$B$6*(1+'Inputs-System'!$C$18)*(1+'Inputs-System'!$C$41))*('Inputs-Proposals'!$K$23*'Inputs-Proposals'!$K$25*(1-'Inputs-Proposals'!$K$26)^(DT$3-'Inputs-System'!$C$7))*(VLOOKUP(DT$3,DRIPE!$A$54:$I$82,5,FALSE)+VLOOKUP(DT$3,DRIPE!$A$54:$I$82,9,FALSE))+ ('Inputs-System'!$C$26*'Coincidence Factors'!$B$6*(1+'Inputs-System'!$C$18)*(1+'Inputs-System'!$C$42))*'Inputs-Proposals'!$K$22*VLOOKUP(DT$3,DRIPE!$A$54:$I$82,8,FALSE), $C54= "3", ( 'Inputs-System'!$C$30*'Coincidence Factors'!$B$6*(1+'Inputs-System'!$C$18)*(1+'Inputs-System'!$C$41))*('Inputs-Proposals'!$K$29*'Inputs-Proposals'!$K$31*(1-'Inputs-Proposals'!$K$32)^(DT$3-'Inputs-System'!$C$7))*(VLOOKUP(DT$3,DRIPE!$A$54:$I$82,5,FALSE)+VLOOKUP(DT$3,DRIPE!$A$54:$I$82,9,FALSE))+ ('Inputs-System'!$C$26*'Coincidence Factors'!$B$6*(1+'Inputs-System'!$C$18)*(1+'Inputs-System'!$C$42))*'Inputs-Proposals'!$K$28*VLOOKUP(DT$3,DRIPE!$A$54:$I$82,8,FALSE), $C54 = "0", 0), 0)</f>
        <v>0</v>
      </c>
      <c r="DW54" s="45">
        <f>IFERROR(_xlfn.IFS($C54="1",('Inputs-System'!$C$26*'Coincidence Factors'!$B$6*(1+'Inputs-System'!$C$18))*'Inputs-Proposals'!$K$16*(VLOOKUP(DT$3,Capacity!$A$53:$E$85,4,FALSE)*(1+'Inputs-System'!$C$42)+VLOOKUP(DT$3,Capacity!$A$53:$E$85,5,FALSE)*'Inputs-System'!$C$29*(1+'Inputs-System'!$C$43)), $C54 = "2", ('Inputs-System'!$C$26*'Coincidence Factors'!$B$6*(1+'Inputs-System'!$C$18))*'Inputs-Proposals'!$K$22*(VLOOKUP(DT$3,Capacity!$A$53:$E$85,4,FALSE)*(1+'Inputs-System'!$C$42)+VLOOKUP(DT$3,Capacity!$A$53:$E$85,5,FALSE)*'Inputs-System'!$C$29*(1+'Inputs-System'!$C$43)), $C54 = "3",('Inputs-System'!$C$26*'Coincidence Factors'!$B$6*(1+'Inputs-System'!$C$18))*'Inputs-Proposals'!$K$28*(VLOOKUP(DT$3,Capacity!$A$53:$E$85,4,FALSE)*(1+'Inputs-System'!$C$42)+VLOOKUP(DT$3,Capacity!$A$53:$E$85,5,FALSE)*'Inputs-System'!$C$29*(1+'Inputs-System'!$C$43)), $C54 = "0", 0), 0)</f>
        <v>0</v>
      </c>
      <c r="DX54" s="44">
        <v>0</v>
      </c>
      <c r="DY54" s="342">
        <f>IFERROR(_xlfn.IFS($C54="1", 'Inputs-System'!$C$30*'Coincidence Factors'!$B$6*'Inputs-Proposals'!$K$17*'Inputs-Proposals'!$K$19*(VLOOKUP(DT$3,'Non-Embedded Emissions'!$A$56:$D$90,2,FALSE)+VLOOKUP(DT$3,'Non-Embedded Emissions'!$A$143:$D$174,2,FALSE)+VLOOKUP(DT$3,'Non-Embedded Emissions'!$A$230:$D$259,2,FALSE)), $C54 = "2", 'Inputs-System'!$C$30*'Coincidence Factors'!$B$6*'Inputs-Proposals'!$K$23*'Inputs-Proposals'!$K$25*(VLOOKUP(DT$3,'Non-Embedded Emissions'!$A$56:$D$90,2,FALSE)+VLOOKUP(DT$3,'Non-Embedded Emissions'!$A$143:$D$174,2,FALSE)+VLOOKUP(DT$3,'Non-Embedded Emissions'!$A$230:$D$259,2,FALSE)), $C54 = "3", 'Inputs-System'!$C$30*'Coincidence Factors'!$B$6*'Inputs-Proposals'!$K$29*'Inputs-Proposals'!$K$31*(VLOOKUP(DT$3,'Non-Embedded Emissions'!$A$56:$D$90,2,FALSE)+VLOOKUP(DT$3,'Non-Embedded Emissions'!$A$143:$D$174,2,FALSE)+VLOOKUP(DT$3,'Non-Embedded Emissions'!$A$230:$D$259,2,FALSE)), $C54 = "0", 0), 0)</f>
        <v>0</v>
      </c>
      <c r="DZ54" s="347">
        <f>IFERROR(_xlfn.IFS($C54="1",('Inputs-System'!$C$30*'Coincidence Factors'!$B$6*(1+'Inputs-System'!$C$18)*(1+'Inputs-System'!$C$41)*('Inputs-Proposals'!$K$17*'Inputs-Proposals'!$K$19*(1-'Inputs-Proposals'!$K$20^(DZ$3-'Inputs-System'!$C$7)))*(VLOOKUP(DZ$3,Energy!$A$51:$K$83,5,FALSE))), $C54 = "2",('Inputs-System'!$C$30*'Coincidence Factors'!$B$6)*(1+'Inputs-System'!$C$18)*(1+'Inputs-System'!$C$41)*('Inputs-Proposals'!$K$23*'Inputs-Proposals'!$K$25*(1-'Inputs-Proposals'!$K$26^(DZ$3-'Inputs-System'!$C$7)))*(VLOOKUP(DZ$3,Energy!$A$51:$K$83,5,FALSE)), $C54= "3", ('Inputs-System'!$C$30*'Coincidence Factors'!$B$6*(1+'Inputs-System'!$C$18)*(1+'Inputs-System'!$C$41)*('Inputs-Proposals'!$K$29*'Inputs-Proposals'!$K$31*(1-'Inputs-Proposals'!$K$32^(DZ$3-'Inputs-System'!$C$7)))*(VLOOKUP(DZ$3,Energy!$A$51:$K$83,5,FALSE))), $C54= "0", 0), 0)</f>
        <v>0</v>
      </c>
      <c r="EA54" s="44">
        <f>IFERROR(_xlfn.IFS($C54="1",('Inputs-System'!$C$30*'Coincidence Factors'!$B$6*(1+'Inputs-System'!$C$18)*(1+'Inputs-System'!$C$41))*'Inputs-Proposals'!$K$17*'Inputs-Proposals'!$K$19*(1-'Inputs-Proposals'!$K$20^(DZ$3-'Inputs-System'!$C$7))*(VLOOKUP(DZ$3,'Embedded Emissions'!$A$47:$B$78,2,FALSE)+VLOOKUP(DZ$3,'Embedded Emissions'!$A$129:$B$158,2,FALSE)), $C54 = "2",('Inputs-System'!$C$30*'Coincidence Factors'!$B$6*(1+'Inputs-System'!$C$18)*(1+'Inputs-System'!$C$41))*'Inputs-Proposals'!$K$23*'Inputs-Proposals'!$K$25*(1-'Inputs-Proposals'!$K$20^(DZ$3-'Inputs-System'!$C$7))*(VLOOKUP(DZ$3,'Embedded Emissions'!$A$47:$B$78,2,FALSE)+VLOOKUP(DZ$3,'Embedded Emissions'!$A$129:$B$158,2,FALSE)), $C54 = "3", ('Inputs-System'!$C$30*'Coincidence Factors'!$B$6*(1+'Inputs-System'!$C$18)*(1+'Inputs-System'!$C$41))*'Inputs-Proposals'!$K$29*'Inputs-Proposals'!$K$31*(1-'Inputs-Proposals'!$K$20^(DZ$3-'Inputs-System'!$C$7))*(VLOOKUP(DZ$3,'Embedded Emissions'!$A$47:$B$78,2,FALSE)+VLOOKUP(DZ$3,'Embedded Emissions'!$A$129:$B$158,2,FALSE)), $C54 = "0", 0), 0)</f>
        <v>0</v>
      </c>
      <c r="EB54" s="44">
        <f>IFERROR(_xlfn.IFS($C54="1",( 'Inputs-System'!$C$30*'Coincidence Factors'!$B$6*(1+'Inputs-System'!$C$18)*(1+'Inputs-System'!$C$41))*('Inputs-Proposals'!$K$17*'Inputs-Proposals'!$K$19*(1-'Inputs-Proposals'!$K$20)^(DZ$3-'Inputs-System'!$C$7))*(VLOOKUP(DZ$3,DRIPE!$A$54:$I$82,5,FALSE)+VLOOKUP(DZ$3,DRIPE!$A$54:$I$82,9,FALSE))+ ('Inputs-System'!$C$26*'Coincidence Factors'!$B$6*(1+'Inputs-System'!$C$18)*(1+'Inputs-System'!$C$42))*'Inputs-Proposals'!$K$16*VLOOKUP(DZ$3,DRIPE!$A$54:$I$82,8,FALSE), $C54 = "2",( 'Inputs-System'!$C$30*'Coincidence Factors'!$B$6*(1+'Inputs-System'!$C$18)*(1+'Inputs-System'!$C$41))*('Inputs-Proposals'!$K$23*'Inputs-Proposals'!$K$25*(1-'Inputs-Proposals'!$K$26)^(DZ$3-'Inputs-System'!$C$7))*(VLOOKUP(DZ$3,DRIPE!$A$54:$I$82,5,FALSE)+VLOOKUP(DZ$3,DRIPE!$A$54:$I$82,9,FALSE))+ ('Inputs-System'!$C$26*'Coincidence Factors'!$B$6*(1+'Inputs-System'!$C$18)*(1+'Inputs-System'!$C$42))*'Inputs-Proposals'!$K$22*VLOOKUP(DZ$3,DRIPE!$A$54:$I$82,8,FALSE), $C54= "3", ( 'Inputs-System'!$C$30*'Coincidence Factors'!$B$6*(1+'Inputs-System'!$C$18)*(1+'Inputs-System'!$C$41))*('Inputs-Proposals'!$K$29*'Inputs-Proposals'!$K$31*(1-'Inputs-Proposals'!$K$32)^(DZ$3-'Inputs-System'!$C$7))*(VLOOKUP(DZ$3,DRIPE!$A$54:$I$82,5,FALSE)+VLOOKUP(DZ$3,DRIPE!$A$54:$I$82,9,FALSE))+ ('Inputs-System'!$C$26*'Coincidence Factors'!$B$6*(1+'Inputs-System'!$C$18)*(1+'Inputs-System'!$C$42))*'Inputs-Proposals'!$K$28*VLOOKUP(DZ$3,DRIPE!$A$54:$I$82,8,FALSE), $C54 = "0", 0), 0)</f>
        <v>0</v>
      </c>
      <c r="EC54" s="45">
        <f>IFERROR(_xlfn.IFS($C54="1",('Inputs-System'!$C$26*'Coincidence Factors'!$B$6*(1+'Inputs-System'!$C$18))*'Inputs-Proposals'!$K$16*(VLOOKUP(DZ$3,Capacity!$A$53:$E$85,4,FALSE)*(1+'Inputs-System'!$C$42)+VLOOKUP(DZ$3,Capacity!$A$53:$E$85,5,FALSE)*'Inputs-System'!$C$29*(1+'Inputs-System'!$C$43)), $C54 = "2", ('Inputs-System'!$C$26*'Coincidence Factors'!$B$6*(1+'Inputs-System'!$C$18))*'Inputs-Proposals'!$K$22*(VLOOKUP(DZ$3,Capacity!$A$53:$E$85,4,FALSE)*(1+'Inputs-System'!$C$42)+VLOOKUP(DZ$3,Capacity!$A$53:$E$85,5,FALSE)*'Inputs-System'!$C$29*(1+'Inputs-System'!$C$43)), $C54 = "3",('Inputs-System'!$C$26*'Coincidence Factors'!$B$6*(1+'Inputs-System'!$C$18))*'Inputs-Proposals'!$K$28*(VLOOKUP(DZ$3,Capacity!$A$53:$E$85,4,FALSE)*(1+'Inputs-System'!$C$42)+VLOOKUP(DZ$3,Capacity!$A$53:$E$85,5,FALSE)*'Inputs-System'!$C$29*(1+'Inputs-System'!$C$43)), $C54 = "0", 0), 0)</f>
        <v>0</v>
      </c>
      <c r="ED54" s="44">
        <v>0</v>
      </c>
      <c r="EE54" s="342">
        <f>IFERROR(_xlfn.IFS($C54="1", 'Inputs-System'!$C$30*'Coincidence Factors'!$B$6*'Inputs-Proposals'!$K$17*'Inputs-Proposals'!$K$19*(VLOOKUP(DZ$3,'Non-Embedded Emissions'!$A$56:$D$90,2,FALSE)+VLOOKUP(DZ$3,'Non-Embedded Emissions'!$A$143:$D$174,2,FALSE)+VLOOKUP(DZ$3,'Non-Embedded Emissions'!$A$230:$D$259,2,FALSE)), $C54 = "2", 'Inputs-System'!$C$30*'Coincidence Factors'!$B$6*'Inputs-Proposals'!$K$23*'Inputs-Proposals'!$K$25*(VLOOKUP(DZ$3,'Non-Embedded Emissions'!$A$56:$D$90,2,FALSE)+VLOOKUP(DZ$3,'Non-Embedded Emissions'!$A$143:$D$174,2,FALSE)+VLOOKUP(DZ$3,'Non-Embedded Emissions'!$A$230:$D$259,2,FALSE)), $C54 = "3", 'Inputs-System'!$C$30*'Coincidence Factors'!$B$6*'Inputs-Proposals'!$K$29*'Inputs-Proposals'!$K$31*(VLOOKUP(DZ$3,'Non-Embedded Emissions'!$A$56:$D$90,2,FALSE)+VLOOKUP(DZ$3,'Non-Embedded Emissions'!$A$143:$D$174,2,FALSE)+VLOOKUP(DZ$3,'Non-Embedded Emissions'!$A$230:$D$259,2,FALSE)), $C54 = "0", 0), 0)</f>
        <v>0</v>
      </c>
    </row>
    <row r="55" spans="1:135" x14ac:dyDescent="0.35">
      <c r="A55" s="708"/>
      <c r="B55" s="3" t="s">
        <v>159</v>
      </c>
      <c r="C55" s="3" t="str">
        <f>IFERROR(_xlfn.IFS('Benefits Calc'!B55='Inputs-Proposals'!$K$15, "1", 'Benefits Calc'!B55='Inputs-Proposals'!$K$21, "2", 'Benefits Calc'!B55='Inputs-Proposals'!$K$27, "3"), "0")</f>
        <v>0</v>
      </c>
      <c r="D55" s="323">
        <f t="shared" si="0"/>
        <v>0</v>
      </c>
      <c r="E55" s="44">
        <f t="shared" si="1"/>
        <v>0</v>
      </c>
      <c r="F55" s="44">
        <f t="shared" si="2"/>
        <v>0</v>
      </c>
      <c r="G55" s="44">
        <f t="shared" si="3"/>
        <v>0</v>
      </c>
      <c r="H55" s="44">
        <f t="shared" si="4"/>
        <v>0</v>
      </c>
      <c r="I55" s="44">
        <f t="shared" si="5"/>
        <v>0</v>
      </c>
      <c r="J55" s="323">
        <f>NPV('Inputs-System'!$C$20,P55+V55+AB55+AH55+AN55+AT55+AZ55+BF55+BL55+BR55+BX55+CD55+CJ55+CP55+CV55+DB55+DH55+DN55+DT55+DZ55)</f>
        <v>0</v>
      </c>
      <c r="K55" s="44">
        <f>NPV('Inputs-System'!$C$20,Q55+W55+AC55+AI55+AO55+AU55+BA55+BG55+BM55+BS55+BY55+CE55+CK55+CQ55+CW55+DC55+DI55+DO55+DU55+EA55)</f>
        <v>0</v>
      </c>
      <c r="L55" s="44">
        <f>NPV('Inputs-System'!$C$20,R55+X55+AD55+AJ55+AP55+AV55+BB55+BH55+BN55+BT55+BZ55+CF55+CL55+CR55+CX55+DD55+DJ55+DP55+DV55+EB55)</f>
        <v>0</v>
      </c>
      <c r="M55" s="44">
        <f>NPV('Inputs-System'!$C$20,S55+Y55+AE55+AK55+AQ55+AW55+BC55+BI55+BO55+BU55+CA55+CG55+CM55+CS55+CY55+DE55+DK55+DQ55+DW55+EC55)</f>
        <v>0</v>
      </c>
      <c r="N55" s="44">
        <f>NPV('Inputs-System'!$C$20,T55+Z55+AF55+AL55+AR55+AX55+BD55+BJ55+BP55+BV55+CB55+CH55+CN55+CT55+CZ55+DF55+DL55+DR55+DX55+ED55)</f>
        <v>0</v>
      </c>
      <c r="O55" s="119">
        <f>NPV('Inputs-System'!$C$20,U55+AA55+AG55+AM55+AS55+AY55+BE55+BK55+BQ55+BW55+CC55+CI55+CO55+CU55+DA55+DG55+DM55+DS55+DY55+EE55)</f>
        <v>0</v>
      </c>
      <c r="P55" s="45">
        <f>IFERROR(_xlfn.IFS($C55="1",('Inputs-System'!$C$30*'Coincidence Factors'!$B$7*(1+'Inputs-System'!$C$18)*(1+'Inputs-System'!$C$41)*('Inputs-Proposals'!$K$17*'Inputs-Proposals'!$K$19*('Inputs-Proposals'!$K$20))*(VLOOKUP(P$3,Energy!$A$51:$K$83,5,FALSE))), $C55 = "2",('Inputs-System'!$C$30*'Coincidence Factors'!$B$7)*(1+'Inputs-System'!$C$18)*(1+'Inputs-System'!$C$41)*('Inputs-Proposals'!$K$23*'Inputs-Proposals'!$K$25*('Inputs-Proposals'!$K$26))*(VLOOKUP(P$3,Energy!$A$51:$K$83,5,FALSE)), $C55= "3", ('Inputs-System'!$C$30*'Coincidence Factors'!$B$7*(1+'Inputs-System'!$C$18)*(1+'Inputs-System'!$C$41)*('Inputs-Proposals'!$K$29*'Inputs-Proposals'!$K$31*('Inputs-Proposals'!$K$32))*(VLOOKUP(P$3,Energy!$A$51:$K$83,5,FALSE))), $C55= "0", 0), 0)</f>
        <v>0</v>
      </c>
      <c r="Q55" s="44">
        <f>IFERROR(_xlfn.IFS($C55="1",'Inputs-System'!$C$30*'Coincidence Factors'!$B$7*(1+'Inputs-System'!$C$18)*(1+'Inputs-System'!$C$41)*'Inputs-Proposals'!$K$17*'Inputs-Proposals'!$K$19*('Inputs-Proposals'!$K$20)*(VLOOKUP(P$3,'Embedded Emissions'!$A$47:$B$78,2,FALSE)+VLOOKUP(P$3,'Embedded Emissions'!$A$129:$B$158,2,FALSE)), $C55 = "2",'Inputs-System'!$C$30*'Coincidence Factors'!$B$7*(1+'Inputs-System'!$C$18)*(1+'Inputs-System'!$C$41)*'Inputs-Proposals'!$K$23*'Inputs-Proposals'!$K$25*('Inputs-Proposals'!$K$20)*(VLOOKUP(P$3,'Embedded Emissions'!$A$47:$B$78,2,FALSE)+VLOOKUP(P$3,'Embedded Emissions'!$A$129:$B$158,2,FALSE)), $C55 = "3", 'Inputs-System'!$C$30*'Coincidence Factors'!$B$7*(1+'Inputs-System'!$C$18)*(1+'Inputs-System'!$C$41)*'Inputs-Proposals'!$K$29*'Inputs-Proposals'!$K$31*('Inputs-Proposals'!$K$20)*(VLOOKUP(P$3,'Embedded Emissions'!$A$47:$B$78,2,FALSE)+VLOOKUP(P$3,'Embedded Emissions'!$A$129:$B$158,2,FALSE)), $C55 = "0", 0), 0)</f>
        <v>0</v>
      </c>
      <c r="R55" s="44">
        <f>IFERROR(_xlfn.IFS($C55="1",( 'Inputs-System'!$C$30*'Coincidence Factors'!$B$7*(1+'Inputs-System'!$C$18)*(1+'Inputs-System'!$C$41))*('Inputs-Proposals'!$K$17*'Inputs-Proposals'!$K$19*('Inputs-Proposals'!$K$20))*(VLOOKUP(P$3,DRIPE!$A$54:$I$82,5,FALSE)+VLOOKUP(P$3,DRIPE!$A$54:$I$82,9,FALSE))+ ('Inputs-System'!$C$26*'Coincidence Factors'!$B$7*(1+'Inputs-System'!$C$18)*(1+'Inputs-System'!$C$42))*'Inputs-Proposals'!$K$16*VLOOKUP(P$3,DRIPE!$A$54:$I$82,8,FALSE), $C55 = "2",( 'Inputs-System'!$C$30*'Coincidence Factors'!$B$7*(1+'Inputs-System'!$C$18)*(1+'Inputs-System'!$C$41))*('Inputs-Proposals'!$K$23*'Inputs-Proposals'!$K$25*('Inputs-Proposals'!$K$26))*(VLOOKUP(P$3,DRIPE!$A$54:$I$82,5,FALSE)+VLOOKUP(P$3,DRIPE!$A$54:$I$82,12,FALSE))+ ('Inputs-System'!$C$26*'Coincidence Factors'!$B$7*(1+'Inputs-System'!$C$18)*(1+'Inputs-System'!$C$42))*'Inputs-Proposals'!$K$22*VLOOKUP(P$3,DRIPE!$A$54:$I$82,8,FALSE), $C55= "3", ( 'Inputs-System'!$C$30*'Coincidence Factors'!$B$7*(1+'Inputs-System'!$C$18)*(1+'Inputs-System'!$C$41))*('Inputs-Proposals'!$K$29*'Inputs-Proposals'!$K$31*('Inputs-Proposals'!$K$32))*(VLOOKUP(P$3,DRIPE!$A$54:$I$82,5,FALSE)+VLOOKUP(P$3,DRIPE!$A$54:$I$82,12,FALSE))+ ('Inputs-System'!$C$26*'Coincidence Factors'!$B$7*(1+'Inputs-System'!$C$18)*(1+'Inputs-System'!$C$42))*'Inputs-Proposals'!$K$28*VLOOKUP(P$3,DRIPE!$A$54:$I$82,8,FALSE), $C55 = "0", 0), 0)</f>
        <v>0</v>
      </c>
      <c r="S55" s="45">
        <f>IFERROR(_xlfn.IFS($C55="1",('Inputs-System'!$C$26*'Coincidence Factors'!$B$7*(1+'Inputs-System'!$C$18))*'Inputs-Proposals'!$K$16*(VLOOKUP(P$3,Capacity!$A$53:$E$85,4,FALSE)*(1+'Inputs-System'!$C$42)+VLOOKUP(P$3,Capacity!$A$53:$E$85,5,FALSE)*'Inputs-System'!$C$29*(1+'Inputs-System'!$C$43)), $C55 = "2", ('Inputs-System'!$C$26*'Coincidence Factors'!$B$7*(1+'Inputs-System'!$C$18))*'Inputs-Proposals'!$K$22*(VLOOKUP(P$3,Capacity!$A$53:$E$85,4,FALSE)*(1+'Inputs-System'!$C$42)+VLOOKUP(P$3,Capacity!$A$53:$E$85,5,FALSE)*'Inputs-System'!$C$29*(1+'Inputs-System'!$C$43)), $C55 = "3",('Inputs-System'!$C$26*'Coincidence Factors'!$B$7*(1+'Inputs-System'!$C$18))*'Inputs-Proposals'!$K$28*(VLOOKUP(P$3,Capacity!$A$53:$E$85,4,FALSE)*(1+'Inputs-System'!$C$42)+VLOOKUP(P$3,Capacity!$A$53:$E$85,5,FALSE)*'Inputs-System'!$C$29*(1+'Inputs-System'!$C$43)), $C55 = "0", 0), 0)</f>
        <v>0</v>
      </c>
      <c r="T55" s="44">
        <v>0</v>
      </c>
      <c r="U55" s="44">
        <f>IFERROR(_xlfn.IFS($C55="1", 'Inputs-System'!$C$30*'Coincidence Factors'!$B$7*'Inputs-Proposals'!$K$17*'Inputs-Proposals'!$K$19*(VLOOKUP(P$3,'Non-Embedded Emissions'!$A$56:$D$90,2,FALSE)+VLOOKUP(P$3,'Non-Embedded Emissions'!$A$143:$D$174,2,FALSE)+VLOOKUP(P$3,'Non-Embedded Emissions'!$A$230:$D$259,2,FALSE)), $C55 = "2", 'Inputs-System'!$C$30*'Coincidence Factors'!$B$7*'Inputs-Proposals'!$K$23*'Inputs-Proposals'!$K$25*(VLOOKUP(P$3,'Non-Embedded Emissions'!$A$56:$D$90,2,FALSE)+VLOOKUP(P$3,'Non-Embedded Emissions'!$A$143:$D$174,2,FALSE)+VLOOKUP(P$3,'Non-Embedded Emissions'!$A$230:$D$259,2,FALSE)), $C55 = "3", 'Inputs-System'!$C$30*'Coincidence Factors'!$B$7*'Inputs-Proposals'!$K$29*'Inputs-Proposals'!$K$31*(VLOOKUP(P$3,'Non-Embedded Emissions'!$A$56:$D$90,2,FALSE)+VLOOKUP(P$3,'Non-Embedded Emissions'!$A$143:$D$174,2,FALSE)+VLOOKUP(P$3,'Non-Embedded Emissions'!$A$230:$D$259,2,FALSE)), $C55 = "0", 0), 0)</f>
        <v>0</v>
      </c>
      <c r="V55" s="347">
        <f>IFERROR(_xlfn.IFS($C55="1",('Inputs-System'!$C$30*'Coincidence Factors'!$B$7*(1+'Inputs-System'!$C$18)*(1+'Inputs-System'!$C$41)*('Inputs-Proposals'!$K$17*'Inputs-Proposals'!$K$19*('Inputs-Proposals'!$K$20))*(VLOOKUP(V$3,Energy!$A$51:$K$83,5,FALSE))), $C55 = "2",('Inputs-System'!$C$30*'Coincidence Factors'!$B$7)*(1+'Inputs-System'!$C$18)*(1+'Inputs-System'!$C$41)*('Inputs-Proposals'!$K$23*'Inputs-Proposals'!$K$25*('Inputs-Proposals'!$K$26))*(VLOOKUP(V$3,Energy!$A$51:$K$83,5,FALSE)), $C55= "3", ('Inputs-System'!$C$30*'Coincidence Factors'!$B$7*(1+'Inputs-System'!$C$18)*(1+'Inputs-System'!$C$41)*('Inputs-Proposals'!$K$29*'Inputs-Proposals'!$K$31*('Inputs-Proposals'!$K$32))*(VLOOKUP(V$3,Energy!$A$51:$K$83,5,FALSE))), $C55= "0", 0), 0)</f>
        <v>0</v>
      </c>
      <c r="W55" s="44">
        <f>IFERROR(_xlfn.IFS($C55="1",'Inputs-System'!$C$30*'Coincidence Factors'!$B$7*(1+'Inputs-System'!$C$18)*(1+'Inputs-System'!$C$41)*'Inputs-Proposals'!$K$17*'Inputs-Proposals'!$K$19*('Inputs-Proposals'!$K$20)*(VLOOKUP(V$3,'Embedded Emissions'!$A$47:$B$78,2,FALSE)+VLOOKUP(V$3,'Embedded Emissions'!$A$129:$B$158,2,FALSE)), $C55 = "2",'Inputs-System'!$C$30*'Coincidence Factors'!$B$7*(1+'Inputs-System'!$C$18)*(1+'Inputs-System'!$C$41)*'Inputs-Proposals'!$K$23*'Inputs-Proposals'!$K$25*('Inputs-Proposals'!$K$20)*(VLOOKUP(V$3,'Embedded Emissions'!$A$47:$B$78,2,FALSE)+VLOOKUP(V$3,'Embedded Emissions'!$A$129:$B$158,2,FALSE)), $C55 = "3", 'Inputs-System'!$C$30*'Coincidence Factors'!$B$7*(1+'Inputs-System'!$C$18)*(1+'Inputs-System'!$C$41)*'Inputs-Proposals'!$K$29*'Inputs-Proposals'!$K$31*('Inputs-Proposals'!$K$20)*(VLOOKUP(V$3,'Embedded Emissions'!$A$47:$B$78,2,FALSE)+VLOOKUP(V$3,'Embedded Emissions'!$A$129:$B$158,2,FALSE)), $C55 = "0", 0), 0)</f>
        <v>0</v>
      </c>
      <c r="X55" s="44">
        <f>IFERROR(_xlfn.IFS($C55="1",( 'Inputs-System'!$C$30*'Coincidence Factors'!$B$7*(1+'Inputs-System'!$C$18)*(1+'Inputs-System'!$C$41))*('Inputs-Proposals'!$K$17*'Inputs-Proposals'!$K$19*('Inputs-Proposals'!$K$20))*(VLOOKUP(V$3,DRIPE!$A$54:$I$82,5,FALSE)+VLOOKUP(V$3,DRIPE!$A$54:$I$82,9,FALSE))+ ('Inputs-System'!$C$26*'Coincidence Factors'!$B$7*(1+'Inputs-System'!$C$18)*(1+'Inputs-System'!$C$42))*'Inputs-Proposals'!$K$16*VLOOKUP(V$3,DRIPE!$A$54:$I$82,8,FALSE), $C55 = "2",( 'Inputs-System'!$C$30*'Coincidence Factors'!$B$7*(1+'Inputs-System'!$C$18)*(1+'Inputs-System'!$C$41))*('Inputs-Proposals'!$K$23*'Inputs-Proposals'!$K$25*('Inputs-Proposals'!$K$26))*(VLOOKUP(V$3,DRIPE!$A$54:$I$82,5,FALSE)+VLOOKUP(V$3,DRIPE!$A$54:$I$82,12,FALSE))+ ('Inputs-System'!$C$26*'Coincidence Factors'!$B$7*(1+'Inputs-System'!$C$18)*(1+'Inputs-System'!$C$42))*'Inputs-Proposals'!$K$22*VLOOKUP(V$3,DRIPE!$A$54:$I$82,8,FALSE), $C55= "3", ( 'Inputs-System'!$C$30*'Coincidence Factors'!$B$7*(1+'Inputs-System'!$C$18)*(1+'Inputs-System'!$C$41))*('Inputs-Proposals'!$K$29*'Inputs-Proposals'!$K$31*('Inputs-Proposals'!$K$32))*(VLOOKUP(V$3,DRIPE!$A$54:$I$82,5,FALSE)+VLOOKUP(V$3,DRIPE!$A$54:$I$82,12,FALSE))+ ('Inputs-System'!$C$26*'Coincidence Factors'!$B$7*(1+'Inputs-System'!$C$18)*(1+'Inputs-System'!$C$42))*'Inputs-Proposals'!$K$28*VLOOKUP(V$3,DRIPE!$A$54:$I$82,8,FALSE), $C55 = "0", 0), 0)</f>
        <v>0</v>
      </c>
      <c r="Y55" s="45">
        <f>IFERROR(_xlfn.IFS($C55="1",('Inputs-System'!$C$26*'Coincidence Factors'!$B$7*(1+'Inputs-System'!$C$18))*'Inputs-Proposals'!$K$16*(VLOOKUP(V$3,Capacity!$A$53:$E$85,4,FALSE)*(1+'Inputs-System'!$C$42)+VLOOKUP(V$3,Capacity!$A$53:$E$85,5,FALSE)*'Inputs-System'!$C$29*(1+'Inputs-System'!$C$43)), $C55 = "2", ('Inputs-System'!$C$26*'Coincidence Factors'!$B$7*(1+'Inputs-System'!$C$18))*'Inputs-Proposals'!$K$22*(VLOOKUP(V$3,Capacity!$A$53:$E$85,4,FALSE)*(1+'Inputs-System'!$C$42)+VLOOKUP(V$3,Capacity!$A$53:$E$85,5,FALSE)*'Inputs-System'!$C$29*(1+'Inputs-System'!$C$43)), $C55 = "3",('Inputs-System'!$C$26*'Coincidence Factors'!$B$7*(1+'Inputs-System'!$C$18))*'Inputs-Proposals'!$K$28*(VLOOKUP(V$3,Capacity!$A$53:$E$85,4,FALSE)*(1+'Inputs-System'!$C$42)+VLOOKUP(V$3,Capacity!$A$53:$E$85,5,FALSE)*'Inputs-System'!$C$29*(1+'Inputs-System'!$C$43)), $C55 = "0", 0), 0)</f>
        <v>0</v>
      </c>
      <c r="Z55" s="44">
        <v>0</v>
      </c>
      <c r="AA55" s="342">
        <f>IFERROR(_xlfn.IFS($C55="1", 'Inputs-System'!$C$30*'Coincidence Factors'!$B$7*'Inputs-Proposals'!$K$17*'Inputs-Proposals'!$K$19*(VLOOKUP(V$3,'Non-Embedded Emissions'!$A$56:$D$90,2,FALSE)+VLOOKUP(V$3,'Non-Embedded Emissions'!$A$143:$D$174,2,FALSE)+VLOOKUP(V$3,'Non-Embedded Emissions'!$A$230:$D$259,2,FALSE)), $C55 = "2", 'Inputs-System'!$C$30*'Coincidence Factors'!$B$7*'Inputs-Proposals'!$K$23*'Inputs-Proposals'!$K$25*(VLOOKUP(V$3,'Non-Embedded Emissions'!$A$56:$D$90,2,FALSE)+VLOOKUP(V$3,'Non-Embedded Emissions'!$A$143:$D$174,2,FALSE)+VLOOKUP(V$3,'Non-Embedded Emissions'!$A$230:$D$259,2,FALSE)), $C55 = "3", 'Inputs-System'!$C$30*'Coincidence Factors'!$B$7*'Inputs-Proposals'!$K$29*'Inputs-Proposals'!$K$31*(VLOOKUP(V$3,'Non-Embedded Emissions'!$A$56:$D$90,2,FALSE)+VLOOKUP(V$3,'Non-Embedded Emissions'!$A$143:$D$174,2,FALSE)+VLOOKUP(V$3,'Non-Embedded Emissions'!$A$230:$D$259,2,FALSE)), $C55 = "0", 0), 0)</f>
        <v>0</v>
      </c>
      <c r="AB55" s="347">
        <f>IFERROR(_xlfn.IFS($C55="1",('Inputs-System'!$C$30*'Coincidence Factors'!$B$7*(1+'Inputs-System'!$C$18)*(1+'Inputs-System'!$C$41)*('Inputs-Proposals'!$K$17*'Inputs-Proposals'!$K$19*('Inputs-Proposals'!$K$20))*(VLOOKUP(AB$3,Energy!$A$51:$K$83,5,FALSE))), $C55 = "2",('Inputs-System'!$C$30*'Coincidence Factors'!$B$7)*(1+'Inputs-System'!$C$18)*(1+'Inputs-System'!$C$41)*('Inputs-Proposals'!$K$23*'Inputs-Proposals'!$K$25*('Inputs-Proposals'!$K$26))*(VLOOKUP(AB$3,Energy!$A$51:$K$83,5,FALSE)), $C55= "3", ('Inputs-System'!$C$30*'Coincidence Factors'!$B$7*(1+'Inputs-System'!$C$18)*(1+'Inputs-System'!$C$41)*('Inputs-Proposals'!$K$29*'Inputs-Proposals'!$K$31*('Inputs-Proposals'!$K$32))*(VLOOKUP(AB$3,Energy!$A$51:$K$83,5,FALSE))), $C55= "0", 0), 0)</f>
        <v>0</v>
      </c>
      <c r="AC55" s="44">
        <f>IFERROR(_xlfn.IFS($C55="1",'Inputs-System'!$C$30*'Coincidence Factors'!$B$7*(1+'Inputs-System'!$C$18)*(1+'Inputs-System'!$C$41)*'Inputs-Proposals'!$K$17*'Inputs-Proposals'!$K$19*('Inputs-Proposals'!$K$20)*(VLOOKUP(AB$3,'Embedded Emissions'!$A$47:$B$78,2,FALSE)+VLOOKUP(AB$3,'Embedded Emissions'!$A$129:$B$158,2,FALSE)), $C55 = "2",'Inputs-System'!$C$30*'Coincidence Factors'!$B$7*(1+'Inputs-System'!$C$18)*(1+'Inputs-System'!$C$41)*'Inputs-Proposals'!$K$23*'Inputs-Proposals'!$K$25*('Inputs-Proposals'!$K$20)*(VLOOKUP(AB$3,'Embedded Emissions'!$A$47:$B$78,2,FALSE)+VLOOKUP(AB$3,'Embedded Emissions'!$A$129:$B$158,2,FALSE)), $C55 = "3", 'Inputs-System'!$C$30*'Coincidence Factors'!$B$7*(1+'Inputs-System'!$C$18)*(1+'Inputs-System'!$C$41)*'Inputs-Proposals'!$K$29*'Inputs-Proposals'!$K$31*('Inputs-Proposals'!$K$20)*(VLOOKUP(AB$3,'Embedded Emissions'!$A$47:$B$78,2,FALSE)+VLOOKUP(AB$3,'Embedded Emissions'!$A$129:$B$158,2,FALSE)), $C55 = "0", 0), 0)</f>
        <v>0</v>
      </c>
      <c r="AD55" s="44">
        <f>IFERROR(_xlfn.IFS($C55="1",( 'Inputs-System'!$C$30*'Coincidence Factors'!$B$7*(1+'Inputs-System'!$C$18)*(1+'Inputs-System'!$C$41))*('Inputs-Proposals'!$K$17*'Inputs-Proposals'!$K$19*('Inputs-Proposals'!$K$20))*(VLOOKUP(AB$3,DRIPE!$A$54:$I$82,5,FALSE)+VLOOKUP(AB$3,DRIPE!$A$54:$I$82,9,FALSE))+ ('Inputs-System'!$C$26*'Coincidence Factors'!$B$7*(1+'Inputs-System'!$C$18)*(1+'Inputs-System'!$C$42))*'Inputs-Proposals'!$K$16*VLOOKUP(AB$3,DRIPE!$A$54:$I$82,8,FALSE), $C55 = "2",( 'Inputs-System'!$C$30*'Coincidence Factors'!$B$7*(1+'Inputs-System'!$C$18)*(1+'Inputs-System'!$C$41))*('Inputs-Proposals'!$K$23*'Inputs-Proposals'!$K$25*('Inputs-Proposals'!$K$26))*(VLOOKUP(AB$3,DRIPE!$A$54:$I$82,5,FALSE)+VLOOKUP(AB$3,DRIPE!$A$54:$I$82,12,FALSE))+ ('Inputs-System'!$C$26*'Coincidence Factors'!$B$7*(1+'Inputs-System'!$C$18)*(1+'Inputs-System'!$C$42))*'Inputs-Proposals'!$K$22*VLOOKUP(AB$3,DRIPE!$A$54:$I$82,8,FALSE), $C55= "3", ( 'Inputs-System'!$C$30*'Coincidence Factors'!$B$7*(1+'Inputs-System'!$C$18)*(1+'Inputs-System'!$C$41))*('Inputs-Proposals'!$K$29*'Inputs-Proposals'!$K$31*('Inputs-Proposals'!$K$32))*(VLOOKUP(AB$3,DRIPE!$A$54:$I$82,5,FALSE)+VLOOKUP(AB$3,DRIPE!$A$54:$I$82,12,FALSE))+ ('Inputs-System'!$C$26*'Coincidence Factors'!$B$7*(1+'Inputs-System'!$C$18)*(1+'Inputs-System'!$C$42))*'Inputs-Proposals'!$K$28*VLOOKUP(AB$3,DRIPE!$A$54:$I$82,8,FALSE), $C55 = "0", 0), 0)</f>
        <v>0</v>
      </c>
      <c r="AE55" s="45">
        <f>IFERROR(_xlfn.IFS($C55="1",('Inputs-System'!$C$26*'Coincidence Factors'!$B$7*(1+'Inputs-System'!$C$18))*'Inputs-Proposals'!$K$16*(VLOOKUP(AB$3,Capacity!$A$53:$E$85,4,FALSE)*(1+'Inputs-System'!$C$42)+VLOOKUP(AB$3,Capacity!$A$53:$E$85,5,FALSE)*'Inputs-System'!$C$29*(1+'Inputs-System'!$C$43)), $C55 = "2", ('Inputs-System'!$C$26*'Coincidence Factors'!$B$7*(1+'Inputs-System'!$C$18))*'Inputs-Proposals'!$K$22*(VLOOKUP(AB$3,Capacity!$A$53:$E$85,4,FALSE)*(1+'Inputs-System'!$C$42)+VLOOKUP(AB$3,Capacity!$A$53:$E$85,5,FALSE)*'Inputs-System'!$C$29*(1+'Inputs-System'!$C$43)), $C55 = "3",('Inputs-System'!$C$26*'Coincidence Factors'!$B$7*(1+'Inputs-System'!$C$18))*'Inputs-Proposals'!$K$28*(VLOOKUP(AB$3,Capacity!$A$53:$E$85,4,FALSE)*(1+'Inputs-System'!$C$42)+VLOOKUP(AB$3,Capacity!$A$53:$E$85,5,FALSE)*'Inputs-System'!$C$29*(1+'Inputs-System'!$C$43)), $C55 = "0", 0), 0)</f>
        <v>0</v>
      </c>
      <c r="AF55" s="44">
        <v>0</v>
      </c>
      <c r="AG55" s="342">
        <f>IFERROR(_xlfn.IFS($C55="1", 'Inputs-System'!$C$30*'Coincidence Factors'!$B$7*'Inputs-Proposals'!$K$17*'Inputs-Proposals'!$K$19*(VLOOKUP(AB$3,'Non-Embedded Emissions'!$A$56:$D$90,2,FALSE)+VLOOKUP(AB$3,'Non-Embedded Emissions'!$A$143:$D$174,2,FALSE)+VLOOKUP(AB$3,'Non-Embedded Emissions'!$A$230:$D$259,2,FALSE)), $C55 = "2", 'Inputs-System'!$C$30*'Coincidence Factors'!$B$7*'Inputs-Proposals'!$K$23*'Inputs-Proposals'!$K$25*(VLOOKUP(AB$3,'Non-Embedded Emissions'!$A$56:$D$90,2,FALSE)+VLOOKUP(AB$3,'Non-Embedded Emissions'!$A$143:$D$174,2,FALSE)+VLOOKUP(AB$3,'Non-Embedded Emissions'!$A$230:$D$259,2,FALSE)), $C55 = "3", 'Inputs-System'!$C$30*'Coincidence Factors'!$B$7*'Inputs-Proposals'!$K$29*'Inputs-Proposals'!$K$31*(VLOOKUP(AB$3,'Non-Embedded Emissions'!$A$56:$D$90,2,FALSE)+VLOOKUP(AB$3,'Non-Embedded Emissions'!$A$143:$D$174,2,FALSE)+VLOOKUP(AB$3,'Non-Embedded Emissions'!$A$230:$D$259,2,FALSE)), $C55 = "0", 0), 0)</f>
        <v>0</v>
      </c>
      <c r="AH55" s="347">
        <f>IFERROR(_xlfn.IFS($C55="1",('Inputs-System'!$C$30*'Coincidence Factors'!$B$7*(1+'Inputs-System'!$C$18)*(1+'Inputs-System'!$C$41)*('Inputs-Proposals'!$K$17*'Inputs-Proposals'!$K$19*('Inputs-Proposals'!$K$20))*(VLOOKUP(AH$3,Energy!$A$51:$K$83,5,FALSE))), $C55 = "2",('Inputs-System'!$C$30*'Coincidence Factors'!$B$7)*(1+'Inputs-System'!$C$18)*(1+'Inputs-System'!$C$41)*('Inputs-Proposals'!$K$23*'Inputs-Proposals'!$K$25*('Inputs-Proposals'!$K$26))*(VLOOKUP(AH$3,Energy!$A$51:$K$83,5,FALSE)), $C55= "3", ('Inputs-System'!$C$30*'Coincidence Factors'!$B$7*(1+'Inputs-System'!$C$18)*(1+'Inputs-System'!$C$41)*('Inputs-Proposals'!$K$29*'Inputs-Proposals'!$K$31*('Inputs-Proposals'!$K$32))*(VLOOKUP(AH$3,Energy!$A$51:$K$83,5,FALSE))), $C55= "0", 0), 0)</f>
        <v>0</v>
      </c>
      <c r="AI55" s="44">
        <f>IFERROR(_xlfn.IFS($C55="1",'Inputs-System'!$C$30*'Coincidence Factors'!$B$7*(1+'Inputs-System'!$C$18)*(1+'Inputs-System'!$C$41)*'Inputs-Proposals'!$K$17*'Inputs-Proposals'!$K$19*('Inputs-Proposals'!$K$20)*(VLOOKUP(AH$3,'Embedded Emissions'!$A$47:$B$78,2,FALSE)+VLOOKUP(AH$3,'Embedded Emissions'!$A$129:$B$158,2,FALSE)), $C55 = "2",'Inputs-System'!$C$30*'Coincidence Factors'!$B$7*(1+'Inputs-System'!$C$18)*(1+'Inputs-System'!$C$41)*'Inputs-Proposals'!$K$23*'Inputs-Proposals'!$K$25*('Inputs-Proposals'!$K$20)*(VLOOKUP(AH$3,'Embedded Emissions'!$A$47:$B$78,2,FALSE)+VLOOKUP(AH$3,'Embedded Emissions'!$A$129:$B$158,2,FALSE)), $C55 = "3", 'Inputs-System'!$C$30*'Coincidence Factors'!$B$7*(1+'Inputs-System'!$C$18)*(1+'Inputs-System'!$C$41)*'Inputs-Proposals'!$K$29*'Inputs-Proposals'!$K$31*('Inputs-Proposals'!$K$20)*(VLOOKUP(AH$3,'Embedded Emissions'!$A$47:$B$78,2,FALSE)+VLOOKUP(AH$3,'Embedded Emissions'!$A$129:$B$158,2,FALSE)), $C55 = "0", 0), 0)</f>
        <v>0</v>
      </c>
      <c r="AJ55" s="44">
        <f>IFERROR(_xlfn.IFS($C55="1",( 'Inputs-System'!$C$30*'Coincidence Factors'!$B$7*(1+'Inputs-System'!$C$18)*(1+'Inputs-System'!$C$41))*('Inputs-Proposals'!$K$17*'Inputs-Proposals'!$K$19*('Inputs-Proposals'!$K$20))*(VLOOKUP(AH$3,DRIPE!$A$54:$I$82,5,FALSE)+VLOOKUP(AH$3,DRIPE!$A$54:$I$82,9,FALSE))+ ('Inputs-System'!$C$26*'Coincidence Factors'!$B$7*(1+'Inputs-System'!$C$18)*(1+'Inputs-System'!$C$42))*'Inputs-Proposals'!$K$16*VLOOKUP(AH$3,DRIPE!$A$54:$I$82,8,FALSE), $C55 = "2",( 'Inputs-System'!$C$30*'Coincidence Factors'!$B$7*(1+'Inputs-System'!$C$18)*(1+'Inputs-System'!$C$41))*('Inputs-Proposals'!$K$23*'Inputs-Proposals'!$K$25*('Inputs-Proposals'!$K$26))*(VLOOKUP(AH$3,DRIPE!$A$54:$I$82,5,FALSE)+VLOOKUP(AH$3,DRIPE!$A$54:$I$82,12,FALSE))+ ('Inputs-System'!$C$26*'Coincidence Factors'!$B$7*(1+'Inputs-System'!$C$18)*(1+'Inputs-System'!$C$42))*'Inputs-Proposals'!$K$22*VLOOKUP(AH$3,DRIPE!$A$54:$I$82,8,FALSE), $C55= "3", ( 'Inputs-System'!$C$30*'Coincidence Factors'!$B$7*(1+'Inputs-System'!$C$18)*(1+'Inputs-System'!$C$41))*('Inputs-Proposals'!$K$29*'Inputs-Proposals'!$K$31*('Inputs-Proposals'!$K$32))*(VLOOKUP(AH$3,DRIPE!$A$54:$I$82,5,FALSE)+VLOOKUP(AH$3,DRIPE!$A$54:$I$82,12,FALSE))+ ('Inputs-System'!$C$26*'Coincidence Factors'!$B$7*(1+'Inputs-System'!$C$18)*(1+'Inputs-System'!$C$42))*'Inputs-Proposals'!$K$28*VLOOKUP(AH$3,DRIPE!$A$54:$I$82,8,FALSE), $C55 = "0", 0), 0)</f>
        <v>0</v>
      </c>
      <c r="AK55" s="45">
        <f>IFERROR(_xlfn.IFS($C55="1",('Inputs-System'!$C$26*'Coincidence Factors'!$B$7*(1+'Inputs-System'!$C$18))*'Inputs-Proposals'!$K$16*(VLOOKUP(AH$3,Capacity!$A$53:$E$85,4,FALSE)*(1+'Inputs-System'!$C$42)+VLOOKUP(AH$3,Capacity!$A$53:$E$85,5,FALSE)*'Inputs-System'!$C$29*(1+'Inputs-System'!$C$43)), $C55 = "2", ('Inputs-System'!$C$26*'Coincidence Factors'!$B$7*(1+'Inputs-System'!$C$18))*'Inputs-Proposals'!$K$22*(VLOOKUP(AH$3,Capacity!$A$53:$E$85,4,FALSE)*(1+'Inputs-System'!$C$42)+VLOOKUP(AH$3,Capacity!$A$53:$E$85,5,FALSE)*'Inputs-System'!$C$29*(1+'Inputs-System'!$C$43)), $C55 = "3",('Inputs-System'!$C$26*'Coincidence Factors'!$B$7*(1+'Inputs-System'!$C$18))*'Inputs-Proposals'!$K$28*(VLOOKUP(AH$3,Capacity!$A$53:$E$85,4,FALSE)*(1+'Inputs-System'!$C$42)+VLOOKUP(AH$3,Capacity!$A$53:$E$85,5,FALSE)*'Inputs-System'!$C$29*(1+'Inputs-System'!$C$43)), $C55 = "0", 0), 0)</f>
        <v>0</v>
      </c>
      <c r="AL55" s="44">
        <v>0</v>
      </c>
      <c r="AM55" s="342">
        <f>IFERROR(_xlfn.IFS($C55="1", 'Inputs-System'!$C$30*'Coincidence Factors'!$B$7*'Inputs-Proposals'!$K$17*'Inputs-Proposals'!$K$19*(VLOOKUP(AH$3,'Non-Embedded Emissions'!$A$56:$D$90,2,FALSE)+VLOOKUP(AH$3,'Non-Embedded Emissions'!$A$143:$D$174,2,FALSE)+VLOOKUP(AH$3,'Non-Embedded Emissions'!$A$230:$D$259,2,FALSE)), $C55 = "2", 'Inputs-System'!$C$30*'Coincidence Factors'!$B$7*'Inputs-Proposals'!$K$23*'Inputs-Proposals'!$K$25*(VLOOKUP(AH$3,'Non-Embedded Emissions'!$A$56:$D$90,2,FALSE)+VLOOKUP(AH$3,'Non-Embedded Emissions'!$A$143:$D$174,2,FALSE)+VLOOKUP(AH$3,'Non-Embedded Emissions'!$A$230:$D$259,2,FALSE)), $C55 = "3", 'Inputs-System'!$C$30*'Coincidence Factors'!$B$7*'Inputs-Proposals'!$K$29*'Inputs-Proposals'!$K$31*(VLOOKUP(AH$3,'Non-Embedded Emissions'!$A$56:$D$90,2,FALSE)+VLOOKUP(AH$3,'Non-Embedded Emissions'!$A$143:$D$174,2,FALSE)+VLOOKUP(AH$3,'Non-Embedded Emissions'!$A$230:$D$259,2,FALSE)), $C55 = "0", 0), 0)</f>
        <v>0</v>
      </c>
      <c r="AN55" s="347">
        <f>IFERROR(_xlfn.IFS($C55="1",('Inputs-System'!$C$30*'Coincidence Factors'!$B$7*(1+'Inputs-System'!$C$18)*(1+'Inputs-System'!$C$41)*('Inputs-Proposals'!$K$17*'Inputs-Proposals'!$K$19*('Inputs-Proposals'!$K$20))*(VLOOKUP(AN$3,Energy!$A$51:$K$83,5,FALSE))), $C55 = "2",('Inputs-System'!$C$30*'Coincidence Factors'!$B$7)*(1+'Inputs-System'!$C$18)*(1+'Inputs-System'!$C$41)*('Inputs-Proposals'!$K$23*'Inputs-Proposals'!$K$25*('Inputs-Proposals'!$K$26))*(VLOOKUP(AN$3,Energy!$A$51:$K$83,5,FALSE)), $C55= "3", ('Inputs-System'!$C$30*'Coincidence Factors'!$B$7*(1+'Inputs-System'!$C$18)*(1+'Inputs-System'!$C$41)*('Inputs-Proposals'!$K$29*'Inputs-Proposals'!$K$31*('Inputs-Proposals'!$K$32))*(VLOOKUP(AN$3,Energy!$A$51:$K$83,5,FALSE))), $C55= "0", 0), 0)</f>
        <v>0</v>
      </c>
      <c r="AO55" s="44">
        <f>IFERROR(_xlfn.IFS($C55="1",'Inputs-System'!$C$30*'Coincidence Factors'!$B$7*(1+'Inputs-System'!$C$18)*(1+'Inputs-System'!$C$41)*'Inputs-Proposals'!$K$17*'Inputs-Proposals'!$K$19*('Inputs-Proposals'!$K$20)*(VLOOKUP(AN$3,'Embedded Emissions'!$A$47:$B$78,2,FALSE)+VLOOKUP(AN$3,'Embedded Emissions'!$A$129:$B$158,2,FALSE)), $C55 = "2",'Inputs-System'!$C$30*'Coincidence Factors'!$B$7*(1+'Inputs-System'!$C$18)*(1+'Inputs-System'!$C$41)*'Inputs-Proposals'!$K$23*'Inputs-Proposals'!$K$25*('Inputs-Proposals'!$K$20)*(VLOOKUP(AN$3,'Embedded Emissions'!$A$47:$B$78,2,FALSE)+VLOOKUP(AN$3,'Embedded Emissions'!$A$129:$B$158,2,FALSE)), $C55 = "3", 'Inputs-System'!$C$30*'Coincidence Factors'!$B$7*(1+'Inputs-System'!$C$18)*(1+'Inputs-System'!$C$41)*'Inputs-Proposals'!$K$29*'Inputs-Proposals'!$K$31*('Inputs-Proposals'!$K$20)*(VLOOKUP(AN$3,'Embedded Emissions'!$A$47:$B$78,2,FALSE)+VLOOKUP(AN$3,'Embedded Emissions'!$A$129:$B$158,2,FALSE)), $C55 = "0", 0), 0)</f>
        <v>0</v>
      </c>
      <c r="AP55" s="44">
        <f>IFERROR(_xlfn.IFS($C55="1",( 'Inputs-System'!$C$30*'Coincidence Factors'!$B$7*(1+'Inputs-System'!$C$18)*(1+'Inputs-System'!$C$41))*('Inputs-Proposals'!$K$17*'Inputs-Proposals'!$K$19*('Inputs-Proposals'!$K$20))*(VLOOKUP(AN$3,DRIPE!$A$54:$I$82,5,FALSE)+VLOOKUP(AN$3,DRIPE!$A$54:$I$82,9,FALSE))+ ('Inputs-System'!$C$26*'Coincidence Factors'!$B$7*(1+'Inputs-System'!$C$18)*(1+'Inputs-System'!$C$42))*'Inputs-Proposals'!$K$16*VLOOKUP(AN$3,DRIPE!$A$54:$I$82,8,FALSE), $C55 = "2",( 'Inputs-System'!$C$30*'Coincidence Factors'!$B$7*(1+'Inputs-System'!$C$18)*(1+'Inputs-System'!$C$41))*('Inputs-Proposals'!$K$23*'Inputs-Proposals'!$K$25*('Inputs-Proposals'!$K$26))*(VLOOKUP(AN$3,DRIPE!$A$54:$I$82,5,FALSE)+VLOOKUP(AN$3,DRIPE!$A$54:$I$82,12,FALSE))+ ('Inputs-System'!$C$26*'Coincidence Factors'!$B$7*(1+'Inputs-System'!$C$18)*(1+'Inputs-System'!$C$42))*'Inputs-Proposals'!$K$22*VLOOKUP(AN$3,DRIPE!$A$54:$I$82,8,FALSE), $C55= "3", ( 'Inputs-System'!$C$30*'Coincidence Factors'!$B$7*(1+'Inputs-System'!$C$18)*(1+'Inputs-System'!$C$41))*('Inputs-Proposals'!$K$29*'Inputs-Proposals'!$K$31*('Inputs-Proposals'!$K$32))*(VLOOKUP(AN$3,DRIPE!$A$54:$I$82,5,FALSE)+VLOOKUP(AN$3,DRIPE!$A$54:$I$82,12,FALSE))+ ('Inputs-System'!$C$26*'Coincidence Factors'!$B$7*(1+'Inputs-System'!$C$18)*(1+'Inputs-System'!$C$42))*'Inputs-Proposals'!$K$28*VLOOKUP(AN$3,DRIPE!$A$54:$I$82,8,FALSE), $C55 = "0", 0), 0)</f>
        <v>0</v>
      </c>
      <c r="AQ55" s="45">
        <f>IFERROR(_xlfn.IFS($C55="1",('Inputs-System'!$C$26*'Coincidence Factors'!$B$7*(1+'Inputs-System'!$C$18))*'Inputs-Proposals'!$K$16*(VLOOKUP(AN$3,Capacity!$A$53:$E$85,4,FALSE)*(1+'Inputs-System'!$C$42)+VLOOKUP(AN$3,Capacity!$A$53:$E$85,5,FALSE)*'Inputs-System'!$C$29*(1+'Inputs-System'!$C$43)), $C55 = "2", ('Inputs-System'!$C$26*'Coincidence Factors'!$B$7*(1+'Inputs-System'!$C$18))*'Inputs-Proposals'!$K$22*(VLOOKUP(AN$3,Capacity!$A$53:$E$85,4,FALSE)*(1+'Inputs-System'!$C$42)+VLOOKUP(AN$3,Capacity!$A$53:$E$85,5,FALSE)*'Inputs-System'!$C$29*(1+'Inputs-System'!$C$43)), $C55 = "3",('Inputs-System'!$C$26*'Coincidence Factors'!$B$7*(1+'Inputs-System'!$C$18))*'Inputs-Proposals'!$K$28*(VLOOKUP(AN$3,Capacity!$A$53:$E$85,4,FALSE)*(1+'Inputs-System'!$C$42)+VLOOKUP(AN$3,Capacity!$A$53:$E$85,5,FALSE)*'Inputs-System'!$C$29*(1+'Inputs-System'!$C$43)), $C55 = "0", 0), 0)</f>
        <v>0</v>
      </c>
      <c r="AR55" s="44">
        <v>0</v>
      </c>
      <c r="AS55" s="342">
        <f>IFERROR(_xlfn.IFS($C55="1", 'Inputs-System'!$C$30*'Coincidence Factors'!$B$7*'Inputs-Proposals'!$K$17*'Inputs-Proposals'!$K$19*(VLOOKUP(AN$3,'Non-Embedded Emissions'!$A$56:$D$90,2,FALSE)+VLOOKUP(AN$3,'Non-Embedded Emissions'!$A$143:$D$174,2,FALSE)+VLOOKUP(AN$3,'Non-Embedded Emissions'!$A$230:$D$259,2,FALSE)), $C55 = "2", 'Inputs-System'!$C$30*'Coincidence Factors'!$B$7*'Inputs-Proposals'!$K$23*'Inputs-Proposals'!$K$25*(VLOOKUP(AN$3,'Non-Embedded Emissions'!$A$56:$D$90,2,FALSE)+VLOOKUP(AN$3,'Non-Embedded Emissions'!$A$143:$D$174,2,FALSE)+VLOOKUP(AN$3,'Non-Embedded Emissions'!$A$230:$D$259,2,FALSE)), $C55 = "3", 'Inputs-System'!$C$30*'Coincidence Factors'!$B$7*'Inputs-Proposals'!$K$29*'Inputs-Proposals'!$K$31*(VLOOKUP(AN$3,'Non-Embedded Emissions'!$A$56:$D$90,2,FALSE)+VLOOKUP(AN$3,'Non-Embedded Emissions'!$A$143:$D$174,2,FALSE)+VLOOKUP(AN$3,'Non-Embedded Emissions'!$A$230:$D$259,2,FALSE)), $C55 = "0", 0), 0)</f>
        <v>0</v>
      </c>
      <c r="AT55" s="347">
        <f>IFERROR(_xlfn.IFS($C55="1",('Inputs-System'!$C$30*'Coincidence Factors'!$B$7*(1+'Inputs-System'!$C$18)*(1+'Inputs-System'!$C$41)*('Inputs-Proposals'!$K$17*'Inputs-Proposals'!$K$19*('Inputs-Proposals'!$K$20))*(VLOOKUP(AT$3,Energy!$A$51:$K$83,5,FALSE))), $C55 = "2",('Inputs-System'!$C$30*'Coincidence Factors'!$B$7)*(1+'Inputs-System'!$C$18)*(1+'Inputs-System'!$C$41)*('Inputs-Proposals'!$K$23*'Inputs-Proposals'!$K$25*('Inputs-Proposals'!$K$26))*(VLOOKUP(AT$3,Energy!$A$51:$K$83,5,FALSE)), $C55= "3", ('Inputs-System'!$C$30*'Coincidence Factors'!$B$7*(1+'Inputs-System'!$C$18)*(1+'Inputs-System'!$C$41)*('Inputs-Proposals'!$K$29*'Inputs-Proposals'!$K$31*('Inputs-Proposals'!$K$32))*(VLOOKUP(AT$3,Energy!$A$51:$K$83,5,FALSE))), $C55= "0", 0), 0)</f>
        <v>0</v>
      </c>
      <c r="AU55" s="44">
        <f>IFERROR(_xlfn.IFS($C55="1",'Inputs-System'!$C$30*'Coincidence Factors'!$B$7*(1+'Inputs-System'!$C$18)*(1+'Inputs-System'!$C$41)*'Inputs-Proposals'!$K$17*'Inputs-Proposals'!$K$19*('Inputs-Proposals'!$K$20)*(VLOOKUP(AT$3,'Embedded Emissions'!$A$47:$B$78,2,FALSE)+VLOOKUP(AT$3,'Embedded Emissions'!$A$129:$B$158,2,FALSE)), $C55 = "2",'Inputs-System'!$C$30*'Coincidence Factors'!$B$7*(1+'Inputs-System'!$C$18)*(1+'Inputs-System'!$C$41)*'Inputs-Proposals'!$K$23*'Inputs-Proposals'!$K$25*('Inputs-Proposals'!$K$20)*(VLOOKUP(AT$3,'Embedded Emissions'!$A$47:$B$78,2,FALSE)+VLOOKUP(AT$3,'Embedded Emissions'!$A$129:$B$158,2,FALSE)), $C55 = "3", 'Inputs-System'!$C$30*'Coincidence Factors'!$B$7*(1+'Inputs-System'!$C$18)*(1+'Inputs-System'!$C$41)*'Inputs-Proposals'!$K$29*'Inputs-Proposals'!$K$31*('Inputs-Proposals'!$K$20)*(VLOOKUP(AT$3,'Embedded Emissions'!$A$47:$B$78,2,FALSE)+VLOOKUP(AT$3,'Embedded Emissions'!$A$129:$B$158,2,FALSE)), $C55 = "0", 0), 0)</f>
        <v>0</v>
      </c>
      <c r="AV55" s="44">
        <f>IFERROR(_xlfn.IFS($C55="1",( 'Inputs-System'!$C$30*'Coincidence Factors'!$B$7*(1+'Inputs-System'!$C$18)*(1+'Inputs-System'!$C$41))*('Inputs-Proposals'!$K$17*'Inputs-Proposals'!$K$19*('Inputs-Proposals'!$K$20))*(VLOOKUP(AT$3,DRIPE!$A$54:$I$82,5,FALSE)+VLOOKUP(AT$3,DRIPE!$A$54:$I$82,9,FALSE))+ ('Inputs-System'!$C$26*'Coincidence Factors'!$B$7*(1+'Inputs-System'!$C$18)*(1+'Inputs-System'!$C$42))*'Inputs-Proposals'!$K$16*VLOOKUP(AT$3,DRIPE!$A$54:$I$82,8,FALSE), $C55 = "2",( 'Inputs-System'!$C$30*'Coincidence Factors'!$B$7*(1+'Inputs-System'!$C$18)*(1+'Inputs-System'!$C$41))*('Inputs-Proposals'!$K$23*'Inputs-Proposals'!$K$25*('Inputs-Proposals'!$K$26))*(VLOOKUP(AT$3,DRIPE!$A$54:$I$82,5,FALSE)+VLOOKUP(AT$3,DRIPE!$A$54:$I$82,12,FALSE))+ ('Inputs-System'!$C$26*'Coincidence Factors'!$B$7*(1+'Inputs-System'!$C$18)*(1+'Inputs-System'!$C$42))*'Inputs-Proposals'!$K$22*VLOOKUP(AT$3,DRIPE!$A$54:$I$82,8,FALSE), $C55= "3", ( 'Inputs-System'!$C$30*'Coincidence Factors'!$B$7*(1+'Inputs-System'!$C$18)*(1+'Inputs-System'!$C$41))*('Inputs-Proposals'!$K$29*'Inputs-Proposals'!$K$31*('Inputs-Proposals'!$K$32))*(VLOOKUP(AT$3,DRIPE!$A$54:$I$82,5,FALSE)+VLOOKUP(AT$3,DRIPE!$A$54:$I$82,12,FALSE))+ ('Inputs-System'!$C$26*'Coincidence Factors'!$B$7*(1+'Inputs-System'!$C$18)*(1+'Inputs-System'!$C$42))*'Inputs-Proposals'!$K$28*VLOOKUP(AT$3,DRIPE!$A$54:$I$82,8,FALSE), $C55 = "0", 0), 0)</f>
        <v>0</v>
      </c>
      <c r="AW55" s="45">
        <f>IFERROR(_xlfn.IFS($C55="1",('Inputs-System'!$C$26*'Coincidence Factors'!$B$7*(1+'Inputs-System'!$C$18))*'Inputs-Proposals'!$K$16*(VLOOKUP(AT$3,Capacity!$A$53:$E$85,4,FALSE)*(1+'Inputs-System'!$C$42)+VLOOKUP(AT$3,Capacity!$A$53:$E$85,5,FALSE)*'Inputs-System'!$C$29*(1+'Inputs-System'!$C$43)), $C55 = "2", ('Inputs-System'!$C$26*'Coincidence Factors'!$B$7*(1+'Inputs-System'!$C$18))*'Inputs-Proposals'!$K$22*(VLOOKUP(AT$3,Capacity!$A$53:$E$85,4,FALSE)*(1+'Inputs-System'!$C$42)+VLOOKUP(AT$3,Capacity!$A$53:$E$85,5,FALSE)*'Inputs-System'!$C$29*(1+'Inputs-System'!$C$43)), $C55 = "3",('Inputs-System'!$C$26*'Coincidence Factors'!$B$7*(1+'Inputs-System'!$C$18))*'Inputs-Proposals'!$K$28*(VLOOKUP(AT$3,Capacity!$A$53:$E$85,4,FALSE)*(1+'Inputs-System'!$C$42)+VLOOKUP(AT$3,Capacity!$A$53:$E$85,5,FALSE)*'Inputs-System'!$C$29*(1+'Inputs-System'!$C$43)), $C55 = "0", 0), 0)</f>
        <v>0</v>
      </c>
      <c r="AX55" s="44">
        <v>0</v>
      </c>
      <c r="AY55" s="342">
        <f>IFERROR(_xlfn.IFS($C55="1", 'Inputs-System'!$C$30*'Coincidence Factors'!$B$7*'Inputs-Proposals'!$K$17*'Inputs-Proposals'!$K$19*(VLOOKUP(AT$3,'Non-Embedded Emissions'!$A$56:$D$90,2,FALSE)+VLOOKUP(AT$3,'Non-Embedded Emissions'!$A$143:$D$174,2,FALSE)+VLOOKUP(AT$3,'Non-Embedded Emissions'!$A$230:$D$259,2,FALSE)), $C55 = "2", 'Inputs-System'!$C$30*'Coincidence Factors'!$B$7*'Inputs-Proposals'!$K$23*'Inputs-Proposals'!$K$25*(VLOOKUP(AT$3,'Non-Embedded Emissions'!$A$56:$D$90,2,FALSE)+VLOOKUP(AT$3,'Non-Embedded Emissions'!$A$143:$D$174,2,FALSE)+VLOOKUP(AT$3,'Non-Embedded Emissions'!$A$230:$D$259,2,FALSE)), $C55 = "3", 'Inputs-System'!$C$30*'Coincidence Factors'!$B$7*'Inputs-Proposals'!$K$29*'Inputs-Proposals'!$K$31*(VLOOKUP(AT$3,'Non-Embedded Emissions'!$A$56:$D$90,2,FALSE)+VLOOKUP(AT$3,'Non-Embedded Emissions'!$A$143:$D$174,2,FALSE)+VLOOKUP(AT$3,'Non-Embedded Emissions'!$A$230:$D$259,2,FALSE)), $C55 = "0", 0), 0)</f>
        <v>0</v>
      </c>
      <c r="AZ55" s="347">
        <f>IFERROR(_xlfn.IFS($C55="1",('Inputs-System'!$C$30*'Coincidence Factors'!$B$7*(1+'Inputs-System'!$C$18)*(1+'Inputs-System'!$C$41)*('Inputs-Proposals'!$K$17*'Inputs-Proposals'!$K$19*('Inputs-Proposals'!$K$20))*(VLOOKUP(AZ$3,Energy!$A$51:$K$83,5,FALSE))), $C55 = "2",('Inputs-System'!$C$30*'Coincidence Factors'!$B$7)*(1+'Inputs-System'!$C$18)*(1+'Inputs-System'!$C$41)*('Inputs-Proposals'!$K$23*'Inputs-Proposals'!$K$25*('Inputs-Proposals'!$K$26))*(VLOOKUP(AZ$3,Energy!$A$51:$K$83,5,FALSE)), $C55= "3", ('Inputs-System'!$C$30*'Coincidence Factors'!$B$7*(1+'Inputs-System'!$C$18)*(1+'Inputs-System'!$C$41)*('Inputs-Proposals'!$K$29*'Inputs-Proposals'!$K$31*('Inputs-Proposals'!$K$32))*(VLOOKUP(AZ$3,Energy!$A$51:$K$83,5,FALSE))), $C55= "0", 0), 0)</f>
        <v>0</v>
      </c>
      <c r="BA55" s="44">
        <f>IFERROR(_xlfn.IFS($C55="1",'Inputs-System'!$C$30*'Coincidence Factors'!$B$7*(1+'Inputs-System'!$C$18)*(1+'Inputs-System'!$C$41)*'Inputs-Proposals'!$K$17*'Inputs-Proposals'!$K$19*('Inputs-Proposals'!$K$20)*(VLOOKUP(AZ$3,'Embedded Emissions'!$A$47:$B$78,2,FALSE)+VLOOKUP(AZ$3,'Embedded Emissions'!$A$129:$B$158,2,FALSE)), $C55 = "2",'Inputs-System'!$C$30*'Coincidence Factors'!$B$7*(1+'Inputs-System'!$C$18)*(1+'Inputs-System'!$C$41)*'Inputs-Proposals'!$K$23*'Inputs-Proposals'!$K$25*('Inputs-Proposals'!$K$20)*(VLOOKUP(AZ$3,'Embedded Emissions'!$A$47:$B$78,2,FALSE)+VLOOKUP(AZ$3,'Embedded Emissions'!$A$129:$B$158,2,FALSE)), $C55 = "3", 'Inputs-System'!$C$30*'Coincidence Factors'!$B$7*(1+'Inputs-System'!$C$18)*(1+'Inputs-System'!$C$41)*'Inputs-Proposals'!$K$29*'Inputs-Proposals'!$K$31*('Inputs-Proposals'!$K$20)*(VLOOKUP(AZ$3,'Embedded Emissions'!$A$47:$B$78,2,FALSE)+VLOOKUP(AZ$3,'Embedded Emissions'!$A$129:$B$158,2,FALSE)), $C55 = "0", 0), 0)</f>
        <v>0</v>
      </c>
      <c r="BB55" s="44">
        <f>IFERROR(_xlfn.IFS($C55="1",( 'Inputs-System'!$C$30*'Coincidence Factors'!$B$7*(1+'Inputs-System'!$C$18)*(1+'Inputs-System'!$C$41))*('Inputs-Proposals'!$K$17*'Inputs-Proposals'!$K$19*('Inputs-Proposals'!$K$20))*(VLOOKUP(AZ$3,DRIPE!$A$54:$I$82,5,FALSE)+VLOOKUP(AZ$3,DRIPE!$A$54:$I$82,9,FALSE))+ ('Inputs-System'!$C$26*'Coincidence Factors'!$B$7*(1+'Inputs-System'!$C$18)*(1+'Inputs-System'!$C$42))*'Inputs-Proposals'!$K$16*VLOOKUP(AZ$3,DRIPE!$A$54:$I$82,8,FALSE), $C55 = "2",( 'Inputs-System'!$C$30*'Coincidence Factors'!$B$7*(1+'Inputs-System'!$C$18)*(1+'Inputs-System'!$C$41))*('Inputs-Proposals'!$K$23*'Inputs-Proposals'!$K$25*('Inputs-Proposals'!$K$26))*(VLOOKUP(AZ$3,DRIPE!$A$54:$I$82,5,FALSE)+VLOOKUP(AZ$3,DRIPE!$A$54:$I$82,12,FALSE))+ ('Inputs-System'!$C$26*'Coincidence Factors'!$B$7*(1+'Inputs-System'!$C$18)*(1+'Inputs-System'!$C$42))*'Inputs-Proposals'!$K$22*VLOOKUP(AZ$3,DRIPE!$A$54:$I$82,8,FALSE), $C55= "3", ( 'Inputs-System'!$C$30*'Coincidence Factors'!$B$7*(1+'Inputs-System'!$C$18)*(1+'Inputs-System'!$C$41))*('Inputs-Proposals'!$K$29*'Inputs-Proposals'!$K$31*('Inputs-Proposals'!$K$32))*(VLOOKUP(AZ$3,DRIPE!$A$54:$I$82,5,FALSE)+VLOOKUP(AZ$3,DRIPE!$A$54:$I$82,12,FALSE))+ ('Inputs-System'!$C$26*'Coincidence Factors'!$B$7*(1+'Inputs-System'!$C$18)*(1+'Inputs-System'!$C$42))*'Inputs-Proposals'!$K$28*VLOOKUP(AZ$3,DRIPE!$A$54:$I$82,8,FALSE), $C55 = "0", 0), 0)</f>
        <v>0</v>
      </c>
      <c r="BC55" s="45">
        <f>IFERROR(_xlfn.IFS($C55="1",('Inputs-System'!$C$26*'Coincidence Factors'!$B$7*(1+'Inputs-System'!$C$18))*'Inputs-Proposals'!$K$16*(VLOOKUP(AZ$3,Capacity!$A$53:$E$85,4,FALSE)*(1+'Inputs-System'!$C$42)+VLOOKUP(AZ$3,Capacity!$A$53:$E$85,5,FALSE)*'Inputs-System'!$C$29*(1+'Inputs-System'!$C$43)), $C55 = "2", ('Inputs-System'!$C$26*'Coincidence Factors'!$B$7*(1+'Inputs-System'!$C$18))*'Inputs-Proposals'!$K$22*(VLOOKUP(AZ$3,Capacity!$A$53:$E$85,4,FALSE)*(1+'Inputs-System'!$C$42)+VLOOKUP(AZ$3,Capacity!$A$53:$E$85,5,FALSE)*'Inputs-System'!$C$29*(1+'Inputs-System'!$C$43)), $C55 = "3",('Inputs-System'!$C$26*'Coincidence Factors'!$B$7*(1+'Inputs-System'!$C$18))*'Inputs-Proposals'!$K$28*(VLOOKUP(AZ$3,Capacity!$A$53:$E$85,4,FALSE)*(1+'Inputs-System'!$C$42)+VLOOKUP(AZ$3,Capacity!$A$53:$E$85,5,FALSE)*'Inputs-System'!$C$29*(1+'Inputs-System'!$C$43)), $C55 = "0", 0), 0)</f>
        <v>0</v>
      </c>
      <c r="BD55" s="44">
        <v>0</v>
      </c>
      <c r="BE55" s="342">
        <f>IFERROR(_xlfn.IFS($C55="1", 'Inputs-System'!$C$30*'Coincidence Factors'!$B$7*'Inputs-Proposals'!$K$17*'Inputs-Proposals'!$K$19*(VLOOKUP(AZ$3,'Non-Embedded Emissions'!$A$56:$D$90,2,FALSE)+VLOOKUP(AZ$3,'Non-Embedded Emissions'!$A$143:$D$174,2,FALSE)+VLOOKUP(AZ$3,'Non-Embedded Emissions'!$A$230:$D$259,2,FALSE)), $C55 = "2", 'Inputs-System'!$C$30*'Coincidence Factors'!$B$7*'Inputs-Proposals'!$K$23*'Inputs-Proposals'!$K$25*(VLOOKUP(AZ$3,'Non-Embedded Emissions'!$A$56:$D$90,2,FALSE)+VLOOKUP(AZ$3,'Non-Embedded Emissions'!$A$143:$D$174,2,FALSE)+VLOOKUP(AZ$3,'Non-Embedded Emissions'!$A$230:$D$259,2,FALSE)), $C55 = "3", 'Inputs-System'!$C$30*'Coincidence Factors'!$B$7*'Inputs-Proposals'!$K$29*'Inputs-Proposals'!$K$31*(VLOOKUP(AZ$3,'Non-Embedded Emissions'!$A$56:$D$90,2,FALSE)+VLOOKUP(AZ$3,'Non-Embedded Emissions'!$A$143:$D$174,2,FALSE)+VLOOKUP(AZ$3,'Non-Embedded Emissions'!$A$230:$D$259,2,FALSE)), $C55 = "0", 0), 0)</f>
        <v>0</v>
      </c>
      <c r="BF55" s="347">
        <f>IFERROR(_xlfn.IFS($C55="1",('Inputs-System'!$C$30*'Coincidence Factors'!$B$7*(1+'Inputs-System'!$C$18)*(1+'Inputs-System'!$C$41)*('Inputs-Proposals'!$K$17*'Inputs-Proposals'!$K$19*('Inputs-Proposals'!$K$20))*(VLOOKUP(BF$3,Energy!$A$51:$K$83,5,FALSE))), $C55 = "2",('Inputs-System'!$C$30*'Coincidence Factors'!$B$7)*(1+'Inputs-System'!$C$18)*(1+'Inputs-System'!$C$41)*('Inputs-Proposals'!$K$23*'Inputs-Proposals'!$K$25*('Inputs-Proposals'!$K$26))*(VLOOKUP(BF$3,Energy!$A$51:$K$83,5,FALSE)), $C55= "3", ('Inputs-System'!$C$30*'Coincidence Factors'!$B$7*(1+'Inputs-System'!$C$18)*(1+'Inputs-System'!$C$41)*('Inputs-Proposals'!$K$29*'Inputs-Proposals'!$K$31*('Inputs-Proposals'!$K$32))*(VLOOKUP(BF$3,Energy!$A$51:$K$83,5,FALSE))), $C55= "0", 0), 0)</f>
        <v>0</v>
      </c>
      <c r="BG55" s="44">
        <f>IFERROR(_xlfn.IFS($C55="1",'Inputs-System'!$C$30*'Coincidence Factors'!$B$7*(1+'Inputs-System'!$C$18)*(1+'Inputs-System'!$C$41)*'Inputs-Proposals'!$K$17*'Inputs-Proposals'!$K$19*('Inputs-Proposals'!$K$20)*(VLOOKUP(BF$3,'Embedded Emissions'!$A$47:$B$78,2,FALSE)+VLOOKUP(BF$3,'Embedded Emissions'!$A$129:$B$158,2,FALSE)), $C55 = "2",'Inputs-System'!$C$30*'Coincidence Factors'!$B$7*(1+'Inputs-System'!$C$18)*(1+'Inputs-System'!$C$41)*'Inputs-Proposals'!$K$23*'Inputs-Proposals'!$K$25*('Inputs-Proposals'!$K$20)*(VLOOKUP(BF$3,'Embedded Emissions'!$A$47:$B$78,2,FALSE)+VLOOKUP(BF$3,'Embedded Emissions'!$A$129:$B$158,2,FALSE)), $C55 = "3", 'Inputs-System'!$C$30*'Coincidence Factors'!$B$7*(1+'Inputs-System'!$C$18)*(1+'Inputs-System'!$C$41)*'Inputs-Proposals'!$K$29*'Inputs-Proposals'!$K$31*('Inputs-Proposals'!$K$20)*(VLOOKUP(BF$3,'Embedded Emissions'!$A$47:$B$78,2,FALSE)+VLOOKUP(BF$3,'Embedded Emissions'!$A$129:$B$158,2,FALSE)), $C55 = "0", 0), 0)</f>
        <v>0</v>
      </c>
      <c r="BH55" s="44">
        <f>IFERROR(_xlfn.IFS($C55="1",( 'Inputs-System'!$C$30*'Coincidence Factors'!$B$7*(1+'Inputs-System'!$C$18)*(1+'Inputs-System'!$C$41))*('Inputs-Proposals'!$K$17*'Inputs-Proposals'!$K$19*('Inputs-Proposals'!$K$20))*(VLOOKUP(BF$3,DRIPE!$A$54:$I$82,5,FALSE)+VLOOKUP(BF$3,DRIPE!$A$54:$I$82,9,FALSE))+ ('Inputs-System'!$C$26*'Coincidence Factors'!$B$7*(1+'Inputs-System'!$C$18)*(1+'Inputs-System'!$C$42))*'Inputs-Proposals'!$K$16*VLOOKUP(BF$3,DRIPE!$A$54:$I$82,8,FALSE), $C55 = "2",( 'Inputs-System'!$C$30*'Coincidence Factors'!$B$7*(1+'Inputs-System'!$C$18)*(1+'Inputs-System'!$C$41))*('Inputs-Proposals'!$K$23*'Inputs-Proposals'!$K$25*('Inputs-Proposals'!$K$26))*(VLOOKUP(BF$3,DRIPE!$A$54:$I$82,5,FALSE)+VLOOKUP(BF$3,DRIPE!$A$54:$I$82,12,FALSE))+ ('Inputs-System'!$C$26*'Coincidence Factors'!$B$7*(1+'Inputs-System'!$C$18)*(1+'Inputs-System'!$C$42))*'Inputs-Proposals'!$K$22*VLOOKUP(BF$3,DRIPE!$A$54:$I$82,8,FALSE), $C55= "3", ( 'Inputs-System'!$C$30*'Coincidence Factors'!$B$7*(1+'Inputs-System'!$C$18)*(1+'Inputs-System'!$C$41))*('Inputs-Proposals'!$K$29*'Inputs-Proposals'!$K$31*('Inputs-Proposals'!$K$32))*(VLOOKUP(BF$3,DRIPE!$A$54:$I$82,5,FALSE)+VLOOKUP(BF$3,DRIPE!$A$54:$I$82,12,FALSE))+ ('Inputs-System'!$C$26*'Coincidence Factors'!$B$7*(1+'Inputs-System'!$C$18)*(1+'Inputs-System'!$C$42))*'Inputs-Proposals'!$K$28*VLOOKUP(BF$3,DRIPE!$A$54:$I$82,8,FALSE), $C55 = "0", 0), 0)</f>
        <v>0</v>
      </c>
      <c r="BI55" s="45">
        <f>IFERROR(_xlfn.IFS($C55="1",('Inputs-System'!$C$26*'Coincidence Factors'!$B$7*(1+'Inputs-System'!$C$18))*'Inputs-Proposals'!$K$16*(VLOOKUP(BF$3,Capacity!$A$53:$E$85,4,FALSE)*(1+'Inputs-System'!$C$42)+VLOOKUP(BF$3,Capacity!$A$53:$E$85,5,FALSE)*'Inputs-System'!$C$29*(1+'Inputs-System'!$C$43)), $C55 = "2", ('Inputs-System'!$C$26*'Coincidence Factors'!$B$7*(1+'Inputs-System'!$C$18))*'Inputs-Proposals'!$K$22*(VLOOKUP(BF$3,Capacity!$A$53:$E$85,4,FALSE)*(1+'Inputs-System'!$C$42)+VLOOKUP(BF$3,Capacity!$A$53:$E$85,5,FALSE)*'Inputs-System'!$C$29*(1+'Inputs-System'!$C$43)), $C55 = "3",('Inputs-System'!$C$26*'Coincidence Factors'!$B$7*(1+'Inputs-System'!$C$18))*'Inputs-Proposals'!$K$28*(VLOOKUP(BF$3,Capacity!$A$53:$E$85,4,FALSE)*(1+'Inputs-System'!$C$42)+VLOOKUP(BF$3,Capacity!$A$53:$E$85,5,FALSE)*'Inputs-System'!$C$29*(1+'Inputs-System'!$C$43)), $C55 = "0", 0), 0)</f>
        <v>0</v>
      </c>
      <c r="BJ55" s="44">
        <v>0</v>
      </c>
      <c r="BK55" s="342">
        <f>IFERROR(_xlfn.IFS($C55="1", 'Inputs-System'!$C$30*'Coincidence Factors'!$B$7*'Inputs-Proposals'!$K$17*'Inputs-Proposals'!$K$19*(VLOOKUP(BF$3,'Non-Embedded Emissions'!$A$56:$D$90,2,FALSE)+VLOOKUP(BF$3,'Non-Embedded Emissions'!$A$143:$D$174,2,FALSE)+VLOOKUP(BF$3,'Non-Embedded Emissions'!$A$230:$D$259,2,FALSE)), $C55 = "2", 'Inputs-System'!$C$30*'Coincidence Factors'!$B$7*'Inputs-Proposals'!$K$23*'Inputs-Proposals'!$K$25*(VLOOKUP(BF$3,'Non-Embedded Emissions'!$A$56:$D$90,2,FALSE)+VLOOKUP(BF$3,'Non-Embedded Emissions'!$A$143:$D$174,2,FALSE)+VLOOKUP(BF$3,'Non-Embedded Emissions'!$A$230:$D$259,2,FALSE)), $C55 = "3", 'Inputs-System'!$C$30*'Coincidence Factors'!$B$7*'Inputs-Proposals'!$K$29*'Inputs-Proposals'!$K$31*(VLOOKUP(BF$3,'Non-Embedded Emissions'!$A$56:$D$90,2,FALSE)+VLOOKUP(BF$3,'Non-Embedded Emissions'!$A$143:$D$174,2,FALSE)+VLOOKUP(BF$3,'Non-Embedded Emissions'!$A$230:$D$259,2,FALSE)), $C55 = "0", 0), 0)</f>
        <v>0</v>
      </c>
      <c r="BL55" s="347">
        <f>IFERROR(_xlfn.IFS($C55="1",('Inputs-System'!$C$30*'Coincidence Factors'!$B$7*(1+'Inputs-System'!$C$18)*(1+'Inputs-System'!$C$41)*('Inputs-Proposals'!$K$17*'Inputs-Proposals'!$K$19*('Inputs-Proposals'!$K$20))*(VLOOKUP(BL$3,Energy!$A$51:$K$83,5,FALSE))), $C55 = "2",('Inputs-System'!$C$30*'Coincidence Factors'!$B$7)*(1+'Inputs-System'!$C$18)*(1+'Inputs-System'!$C$41)*('Inputs-Proposals'!$K$23*'Inputs-Proposals'!$K$25*('Inputs-Proposals'!$K$26))*(VLOOKUP(BL$3,Energy!$A$51:$K$83,5,FALSE)), $C55= "3", ('Inputs-System'!$C$30*'Coincidence Factors'!$B$7*(1+'Inputs-System'!$C$18)*(1+'Inputs-System'!$C$41)*('Inputs-Proposals'!$K$29*'Inputs-Proposals'!$K$31*('Inputs-Proposals'!$K$32))*(VLOOKUP(BL$3,Energy!$A$51:$K$83,5,FALSE))), $C55= "0", 0), 0)</f>
        <v>0</v>
      </c>
      <c r="BM55" s="44">
        <f>IFERROR(_xlfn.IFS($C55="1",'Inputs-System'!$C$30*'Coincidence Factors'!$B$7*(1+'Inputs-System'!$C$18)*(1+'Inputs-System'!$C$41)*'Inputs-Proposals'!$K$17*'Inputs-Proposals'!$K$19*('Inputs-Proposals'!$K$20)*(VLOOKUP(BL$3,'Embedded Emissions'!$A$47:$B$78,2,FALSE)+VLOOKUP(BL$3,'Embedded Emissions'!$A$129:$B$158,2,FALSE)), $C55 = "2",'Inputs-System'!$C$30*'Coincidence Factors'!$B$7*(1+'Inputs-System'!$C$18)*(1+'Inputs-System'!$C$41)*'Inputs-Proposals'!$K$23*'Inputs-Proposals'!$K$25*('Inputs-Proposals'!$K$20)*(VLOOKUP(BL$3,'Embedded Emissions'!$A$47:$B$78,2,FALSE)+VLOOKUP(BL$3,'Embedded Emissions'!$A$129:$B$158,2,FALSE)), $C55 = "3", 'Inputs-System'!$C$30*'Coincidence Factors'!$B$7*(1+'Inputs-System'!$C$18)*(1+'Inputs-System'!$C$41)*'Inputs-Proposals'!$K$29*'Inputs-Proposals'!$K$31*('Inputs-Proposals'!$K$20)*(VLOOKUP(BL$3,'Embedded Emissions'!$A$47:$B$78,2,FALSE)+VLOOKUP(BL$3,'Embedded Emissions'!$A$129:$B$158,2,FALSE)), $C55 = "0", 0), 0)</f>
        <v>0</v>
      </c>
      <c r="BN55" s="44">
        <f>IFERROR(_xlfn.IFS($C55="1",( 'Inputs-System'!$C$30*'Coincidence Factors'!$B$7*(1+'Inputs-System'!$C$18)*(1+'Inputs-System'!$C$41))*('Inputs-Proposals'!$K$17*'Inputs-Proposals'!$K$19*('Inputs-Proposals'!$K$20))*(VLOOKUP(BL$3,DRIPE!$A$54:$I$82,5,FALSE)+VLOOKUP(BL$3,DRIPE!$A$54:$I$82,9,FALSE))+ ('Inputs-System'!$C$26*'Coincidence Factors'!$B$7*(1+'Inputs-System'!$C$18)*(1+'Inputs-System'!$C$42))*'Inputs-Proposals'!$K$16*VLOOKUP(BL$3,DRIPE!$A$54:$I$82,8,FALSE), $C55 = "2",( 'Inputs-System'!$C$30*'Coincidence Factors'!$B$7*(1+'Inputs-System'!$C$18)*(1+'Inputs-System'!$C$41))*('Inputs-Proposals'!$K$23*'Inputs-Proposals'!$K$25*('Inputs-Proposals'!$K$26))*(VLOOKUP(BL$3,DRIPE!$A$54:$I$82,5,FALSE)+VLOOKUP(BL$3,DRIPE!$A$54:$I$82,12,FALSE))+ ('Inputs-System'!$C$26*'Coincidence Factors'!$B$7*(1+'Inputs-System'!$C$18)*(1+'Inputs-System'!$C$42))*'Inputs-Proposals'!$K$22*VLOOKUP(BL$3,DRIPE!$A$54:$I$82,8,FALSE), $C55= "3", ( 'Inputs-System'!$C$30*'Coincidence Factors'!$B$7*(1+'Inputs-System'!$C$18)*(1+'Inputs-System'!$C$41))*('Inputs-Proposals'!$K$29*'Inputs-Proposals'!$K$31*('Inputs-Proposals'!$K$32))*(VLOOKUP(BL$3,DRIPE!$A$54:$I$82,5,FALSE)+VLOOKUP(BL$3,DRIPE!$A$54:$I$82,12,FALSE))+ ('Inputs-System'!$C$26*'Coincidence Factors'!$B$7*(1+'Inputs-System'!$C$18)*(1+'Inputs-System'!$C$42))*'Inputs-Proposals'!$K$28*VLOOKUP(BL$3,DRIPE!$A$54:$I$82,8,FALSE), $C55 = "0", 0), 0)</f>
        <v>0</v>
      </c>
      <c r="BO55" s="45">
        <f>IFERROR(_xlfn.IFS($C55="1",('Inputs-System'!$C$26*'Coincidence Factors'!$B$7*(1+'Inputs-System'!$C$18))*'Inputs-Proposals'!$K$16*(VLOOKUP(BL$3,Capacity!$A$53:$E$85,4,FALSE)*(1+'Inputs-System'!$C$42)+VLOOKUP(BL$3,Capacity!$A$53:$E$85,5,FALSE)*'Inputs-System'!$C$29*(1+'Inputs-System'!$C$43)), $C55 = "2", ('Inputs-System'!$C$26*'Coincidence Factors'!$B$7*(1+'Inputs-System'!$C$18))*'Inputs-Proposals'!$K$22*(VLOOKUP(BL$3,Capacity!$A$53:$E$85,4,FALSE)*(1+'Inputs-System'!$C$42)+VLOOKUP(BL$3,Capacity!$A$53:$E$85,5,FALSE)*'Inputs-System'!$C$29*(1+'Inputs-System'!$C$43)), $C55 = "3",('Inputs-System'!$C$26*'Coincidence Factors'!$B$7*(1+'Inputs-System'!$C$18))*'Inputs-Proposals'!$K$28*(VLOOKUP(BL$3,Capacity!$A$53:$E$85,4,FALSE)*(1+'Inputs-System'!$C$42)+VLOOKUP(BL$3,Capacity!$A$53:$E$85,5,FALSE)*'Inputs-System'!$C$29*(1+'Inputs-System'!$C$43)), $C55 = "0", 0), 0)</f>
        <v>0</v>
      </c>
      <c r="BP55" s="44">
        <v>0</v>
      </c>
      <c r="BQ55" s="342">
        <f>IFERROR(_xlfn.IFS($C55="1", 'Inputs-System'!$C$30*'Coincidence Factors'!$B$7*'Inputs-Proposals'!$K$17*'Inputs-Proposals'!$K$19*(VLOOKUP(BL$3,'Non-Embedded Emissions'!$A$56:$D$90,2,FALSE)+VLOOKUP(BL$3,'Non-Embedded Emissions'!$A$143:$D$174,2,FALSE)+VLOOKUP(BL$3,'Non-Embedded Emissions'!$A$230:$D$259,2,FALSE)), $C55 = "2", 'Inputs-System'!$C$30*'Coincidence Factors'!$B$7*'Inputs-Proposals'!$K$23*'Inputs-Proposals'!$K$25*(VLOOKUP(BL$3,'Non-Embedded Emissions'!$A$56:$D$90,2,FALSE)+VLOOKUP(BL$3,'Non-Embedded Emissions'!$A$143:$D$174,2,FALSE)+VLOOKUP(BL$3,'Non-Embedded Emissions'!$A$230:$D$259,2,FALSE)), $C55 = "3", 'Inputs-System'!$C$30*'Coincidence Factors'!$B$7*'Inputs-Proposals'!$K$29*'Inputs-Proposals'!$K$31*(VLOOKUP(BL$3,'Non-Embedded Emissions'!$A$56:$D$90,2,FALSE)+VLOOKUP(BL$3,'Non-Embedded Emissions'!$A$143:$D$174,2,FALSE)+VLOOKUP(BL$3,'Non-Embedded Emissions'!$A$230:$D$259,2,FALSE)), $C55 = "0", 0), 0)</f>
        <v>0</v>
      </c>
      <c r="BR55" s="347">
        <f>IFERROR(_xlfn.IFS($C55="1",('Inputs-System'!$C$30*'Coincidence Factors'!$B$7*(1+'Inputs-System'!$C$18)*(1+'Inputs-System'!$C$41)*('Inputs-Proposals'!$K$17*'Inputs-Proposals'!$K$19*('Inputs-Proposals'!$K$20))*(VLOOKUP(BR$3,Energy!$A$51:$K$83,5,FALSE))), $C55 = "2",('Inputs-System'!$C$30*'Coincidence Factors'!$B$7)*(1+'Inputs-System'!$C$18)*(1+'Inputs-System'!$C$41)*('Inputs-Proposals'!$K$23*'Inputs-Proposals'!$K$25*('Inputs-Proposals'!$K$26))*(VLOOKUP(BR$3,Energy!$A$51:$K$83,5,FALSE)), $C55= "3", ('Inputs-System'!$C$30*'Coincidence Factors'!$B$7*(1+'Inputs-System'!$C$18)*(1+'Inputs-System'!$C$41)*('Inputs-Proposals'!$K$29*'Inputs-Proposals'!$K$31*('Inputs-Proposals'!$K$32))*(VLOOKUP(BR$3,Energy!$A$51:$K$83,5,FALSE))), $C55= "0", 0), 0)</f>
        <v>0</v>
      </c>
      <c r="BS55" s="44">
        <f>IFERROR(_xlfn.IFS($C55="1",'Inputs-System'!$C$30*'Coincidence Factors'!$B$7*(1+'Inputs-System'!$C$18)*(1+'Inputs-System'!$C$41)*'Inputs-Proposals'!$K$17*'Inputs-Proposals'!$K$19*('Inputs-Proposals'!$K$20)*(VLOOKUP(BR$3,'Embedded Emissions'!$A$47:$B$78,2,FALSE)+VLOOKUP(BR$3,'Embedded Emissions'!$A$129:$B$158,2,FALSE)), $C55 = "2",'Inputs-System'!$C$30*'Coincidence Factors'!$B$7*(1+'Inputs-System'!$C$18)*(1+'Inputs-System'!$C$41)*'Inputs-Proposals'!$K$23*'Inputs-Proposals'!$K$25*('Inputs-Proposals'!$K$20)*(VLOOKUP(BR$3,'Embedded Emissions'!$A$47:$B$78,2,FALSE)+VLOOKUP(BR$3,'Embedded Emissions'!$A$129:$B$158,2,FALSE)), $C55 = "3", 'Inputs-System'!$C$30*'Coincidence Factors'!$B$7*(1+'Inputs-System'!$C$18)*(1+'Inputs-System'!$C$41)*'Inputs-Proposals'!$K$29*'Inputs-Proposals'!$K$31*('Inputs-Proposals'!$K$20)*(VLOOKUP(BR$3,'Embedded Emissions'!$A$47:$B$78,2,FALSE)+VLOOKUP(BR$3,'Embedded Emissions'!$A$129:$B$158,2,FALSE)), $C55 = "0", 0), 0)</f>
        <v>0</v>
      </c>
      <c r="BT55" s="44">
        <f>IFERROR(_xlfn.IFS($C55="1",( 'Inputs-System'!$C$30*'Coincidence Factors'!$B$7*(1+'Inputs-System'!$C$18)*(1+'Inputs-System'!$C$41))*('Inputs-Proposals'!$K$17*'Inputs-Proposals'!$K$19*('Inputs-Proposals'!$K$20))*(VLOOKUP(BR$3,DRIPE!$A$54:$I$82,5,FALSE)+VLOOKUP(BR$3,DRIPE!$A$54:$I$82,9,FALSE))+ ('Inputs-System'!$C$26*'Coincidence Factors'!$B$7*(1+'Inputs-System'!$C$18)*(1+'Inputs-System'!$C$42))*'Inputs-Proposals'!$K$16*VLOOKUP(BR$3,DRIPE!$A$54:$I$82,8,FALSE), $C55 = "2",( 'Inputs-System'!$C$30*'Coincidence Factors'!$B$7*(1+'Inputs-System'!$C$18)*(1+'Inputs-System'!$C$41))*('Inputs-Proposals'!$K$23*'Inputs-Proposals'!$K$25*('Inputs-Proposals'!$K$26))*(VLOOKUP(BR$3,DRIPE!$A$54:$I$82,5,FALSE)+VLOOKUP(BR$3,DRIPE!$A$54:$I$82,12,FALSE))+ ('Inputs-System'!$C$26*'Coincidence Factors'!$B$7*(1+'Inputs-System'!$C$18)*(1+'Inputs-System'!$C$42))*'Inputs-Proposals'!$K$22*VLOOKUP(BR$3,DRIPE!$A$54:$I$82,8,FALSE), $C55= "3", ( 'Inputs-System'!$C$30*'Coincidence Factors'!$B$7*(1+'Inputs-System'!$C$18)*(1+'Inputs-System'!$C$41))*('Inputs-Proposals'!$K$29*'Inputs-Proposals'!$K$31*('Inputs-Proposals'!$K$32))*(VLOOKUP(BR$3,DRIPE!$A$54:$I$82,5,FALSE)+VLOOKUP(BR$3,DRIPE!$A$54:$I$82,12,FALSE))+ ('Inputs-System'!$C$26*'Coincidence Factors'!$B$7*(1+'Inputs-System'!$C$18)*(1+'Inputs-System'!$C$42))*'Inputs-Proposals'!$K$28*VLOOKUP(BR$3,DRIPE!$A$54:$I$82,8,FALSE), $C55 = "0", 0), 0)</f>
        <v>0</v>
      </c>
      <c r="BU55" s="45">
        <f>IFERROR(_xlfn.IFS($C55="1",('Inputs-System'!$C$26*'Coincidence Factors'!$B$7*(1+'Inputs-System'!$C$18))*'Inputs-Proposals'!$K$16*(VLOOKUP(BR$3,Capacity!$A$53:$E$85,4,FALSE)*(1+'Inputs-System'!$C$42)+VLOOKUP(BR$3,Capacity!$A$53:$E$85,5,FALSE)*'Inputs-System'!$C$29*(1+'Inputs-System'!$C$43)), $C55 = "2", ('Inputs-System'!$C$26*'Coincidence Factors'!$B$7*(1+'Inputs-System'!$C$18))*'Inputs-Proposals'!$K$22*(VLOOKUP(BR$3,Capacity!$A$53:$E$85,4,FALSE)*(1+'Inputs-System'!$C$42)+VLOOKUP(BR$3,Capacity!$A$53:$E$85,5,FALSE)*'Inputs-System'!$C$29*(1+'Inputs-System'!$C$43)), $C55 = "3",('Inputs-System'!$C$26*'Coincidence Factors'!$B$7*(1+'Inputs-System'!$C$18))*'Inputs-Proposals'!$K$28*(VLOOKUP(BR$3,Capacity!$A$53:$E$85,4,FALSE)*(1+'Inputs-System'!$C$42)+VLOOKUP(BR$3,Capacity!$A$53:$E$85,5,FALSE)*'Inputs-System'!$C$29*(1+'Inputs-System'!$C$43)), $C55 = "0", 0), 0)</f>
        <v>0</v>
      </c>
      <c r="BV55" s="44">
        <v>0</v>
      </c>
      <c r="BW55" s="342">
        <f>IFERROR(_xlfn.IFS($C55="1", 'Inputs-System'!$C$30*'Coincidence Factors'!$B$7*'Inputs-Proposals'!$K$17*'Inputs-Proposals'!$K$19*(VLOOKUP(BR$3,'Non-Embedded Emissions'!$A$56:$D$90,2,FALSE)+VLOOKUP(BR$3,'Non-Embedded Emissions'!$A$143:$D$174,2,FALSE)+VLOOKUP(BR$3,'Non-Embedded Emissions'!$A$230:$D$259,2,FALSE)), $C55 = "2", 'Inputs-System'!$C$30*'Coincidence Factors'!$B$7*'Inputs-Proposals'!$K$23*'Inputs-Proposals'!$K$25*(VLOOKUP(BR$3,'Non-Embedded Emissions'!$A$56:$D$90,2,FALSE)+VLOOKUP(BR$3,'Non-Embedded Emissions'!$A$143:$D$174,2,FALSE)+VLOOKUP(BR$3,'Non-Embedded Emissions'!$A$230:$D$259,2,FALSE)), $C55 = "3", 'Inputs-System'!$C$30*'Coincidence Factors'!$B$7*'Inputs-Proposals'!$K$29*'Inputs-Proposals'!$K$31*(VLOOKUP(BR$3,'Non-Embedded Emissions'!$A$56:$D$90,2,FALSE)+VLOOKUP(BR$3,'Non-Embedded Emissions'!$A$143:$D$174,2,FALSE)+VLOOKUP(BR$3,'Non-Embedded Emissions'!$A$230:$D$259,2,FALSE)), $C55 = "0", 0), 0)</f>
        <v>0</v>
      </c>
      <c r="BX55" s="347">
        <f>IFERROR(_xlfn.IFS($C55="1",('Inputs-System'!$C$30*'Coincidence Factors'!$B$7*(1+'Inputs-System'!$C$18)*(1+'Inputs-System'!$C$41)*('Inputs-Proposals'!$K$17*'Inputs-Proposals'!$K$19*('Inputs-Proposals'!$K$20))*(VLOOKUP(BX$3,Energy!$A$51:$K$83,5,FALSE))), $C55 = "2",('Inputs-System'!$C$30*'Coincidence Factors'!$B$7)*(1+'Inputs-System'!$C$18)*(1+'Inputs-System'!$C$41)*('Inputs-Proposals'!$K$23*'Inputs-Proposals'!$K$25*('Inputs-Proposals'!$K$26))*(VLOOKUP(BX$3,Energy!$A$51:$K$83,5,FALSE)), $C55= "3", ('Inputs-System'!$C$30*'Coincidence Factors'!$B$7*(1+'Inputs-System'!$C$18)*(1+'Inputs-System'!$C$41)*('Inputs-Proposals'!$K$29*'Inputs-Proposals'!$K$31*('Inputs-Proposals'!$K$32))*(VLOOKUP(BX$3,Energy!$A$51:$K$83,5,FALSE))), $C55= "0", 0), 0)</f>
        <v>0</v>
      </c>
      <c r="BY55" s="44">
        <f>IFERROR(_xlfn.IFS($C55="1",'Inputs-System'!$C$30*'Coincidence Factors'!$B$7*(1+'Inputs-System'!$C$18)*(1+'Inputs-System'!$C$41)*'Inputs-Proposals'!$K$17*'Inputs-Proposals'!$K$19*('Inputs-Proposals'!$K$20)*(VLOOKUP(BX$3,'Embedded Emissions'!$A$47:$B$78,2,FALSE)+VLOOKUP(BX$3,'Embedded Emissions'!$A$129:$B$158,2,FALSE)), $C55 = "2",'Inputs-System'!$C$30*'Coincidence Factors'!$B$7*(1+'Inputs-System'!$C$18)*(1+'Inputs-System'!$C$41)*'Inputs-Proposals'!$K$23*'Inputs-Proposals'!$K$25*('Inputs-Proposals'!$K$20)*(VLOOKUP(BX$3,'Embedded Emissions'!$A$47:$B$78,2,FALSE)+VLOOKUP(BX$3,'Embedded Emissions'!$A$129:$B$158,2,FALSE)), $C55 = "3", 'Inputs-System'!$C$30*'Coincidence Factors'!$B$7*(1+'Inputs-System'!$C$18)*(1+'Inputs-System'!$C$41)*'Inputs-Proposals'!$K$29*'Inputs-Proposals'!$K$31*('Inputs-Proposals'!$K$20)*(VLOOKUP(BX$3,'Embedded Emissions'!$A$47:$B$78,2,FALSE)+VLOOKUP(BX$3,'Embedded Emissions'!$A$129:$B$158,2,FALSE)), $C55 = "0", 0), 0)</f>
        <v>0</v>
      </c>
      <c r="BZ55" s="44">
        <f>IFERROR(_xlfn.IFS($C55="1",( 'Inputs-System'!$C$30*'Coincidence Factors'!$B$7*(1+'Inputs-System'!$C$18)*(1+'Inputs-System'!$C$41))*('Inputs-Proposals'!$K$17*'Inputs-Proposals'!$K$19*('Inputs-Proposals'!$K$20))*(VLOOKUP(BX$3,DRIPE!$A$54:$I$82,5,FALSE)+VLOOKUP(BX$3,DRIPE!$A$54:$I$82,9,FALSE))+ ('Inputs-System'!$C$26*'Coincidence Factors'!$B$7*(1+'Inputs-System'!$C$18)*(1+'Inputs-System'!$C$42))*'Inputs-Proposals'!$K$16*VLOOKUP(BX$3,DRIPE!$A$54:$I$82,8,FALSE), $C55 = "2",( 'Inputs-System'!$C$30*'Coincidence Factors'!$B$7*(1+'Inputs-System'!$C$18)*(1+'Inputs-System'!$C$41))*('Inputs-Proposals'!$K$23*'Inputs-Proposals'!$K$25*('Inputs-Proposals'!$K$26))*(VLOOKUP(BX$3,DRIPE!$A$54:$I$82,5,FALSE)+VLOOKUP(BX$3,DRIPE!$A$54:$I$82,12,FALSE))+ ('Inputs-System'!$C$26*'Coincidence Factors'!$B$7*(1+'Inputs-System'!$C$18)*(1+'Inputs-System'!$C$42))*'Inputs-Proposals'!$K$22*VLOOKUP(BX$3,DRIPE!$A$54:$I$82,8,FALSE), $C55= "3", ( 'Inputs-System'!$C$30*'Coincidence Factors'!$B$7*(1+'Inputs-System'!$C$18)*(1+'Inputs-System'!$C$41))*('Inputs-Proposals'!$K$29*'Inputs-Proposals'!$K$31*('Inputs-Proposals'!$K$32))*(VLOOKUP(BX$3,DRIPE!$A$54:$I$82,5,FALSE)+VLOOKUP(BX$3,DRIPE!$A$54:$I$82,12,FALSE))+ ('Inputs-System'!$C$26*'Coincidence Factors'!$B$7*(1+'Inputs-System'!$C$18)*(1+'Inputs-System'!$C$42))*'Inputs-Proposals'!$K$28*VLOOKUP(BX$3,DRIPE!$A$54:$I$82,8,FALSE), $C55 = "0", 0), 0)</f>
        <v>0</v>
      </c>
      <c r="CA55" s="45">
        <f>IFERROR(_xlfn.IFS($C55="1",('Inputs-System'!$C$26*'Coincidence Factors'!$B$7*(1+'Inputs-System'!$C$18))*'Inputs-Proposals'!$K$16*(VLOOKUP(BX$3,Capacity!$A$53:$E$85,4,FALSE)*(1+'Inputs-System'!$C$42)+VLOOKUP(BX$3,Capacity!$A$53:$E$85,5,FALSE)*'Inputs-System'!$C$29*(1+'Inputs-System'!$C$43)), $C55 = "2", ('Inputs-System'!$C$26*'Coincidence Factors'!$B$7*(1+'Inputs-System'!$C$18))*'Inputs-Proposals'!$K$22*(VLOOKUP(BX$3,Capacity!$A$53:$E$85,4,FALSE)*(1+'Inputs-System'!$C$42)+VLOOKUP(BX$3,Capacity!$A$53:$E$85,5,FALSE)*'Inputs-System'!$C$29*(1+'Inputs-System'!$C$43)), $C55 = "3",('Inputs-System'!$C$26*'Coincidence Factors'!$B$7*(1+'Inputs-System'!$C$18))*'Inputs-Proposals'!$K$28*(VLOOKUP(BX$3,Capacity!$A$53:$E$85,4,FALSE)*(1+'Inputs-System'!$C$42)+VLOOKUP(BX$3,Capacity!$A$53:$E$85,5,FALSE)*'Inputs-System'!$C$29*(1+'Inputs-System'!$C$43)), $C55 = "0", 0), 0)</f>
        <v>0</v>
      </c>
      <c r="CB55" s="44">
        <v>0</v>
      </c>
      <c r="CC55" s="342">
        <f>IFERROR(_xlfn.IFS($C55="1", 'Inputs-System'!$C$30*'Coincidence Factors'!$B$7*'Inputs-Proposals'!$K$17*'Inputs-Proposals'!$K$19*(VLOOKUP(BX$3,'Non-Embedded Emissions'!$A$56:$D$90,2,FALSE)+VLOOKUP(BX$3,'Non-Embedded Emissions'!$A$143:$D$174,2,FALSE)+VLOOKUP(BX$3,'Non-Embedded Emissions'!$A$230:$D$259,2,FALSE)), $C55 = "2", 'Inputs-System'!$C$30*'Coincidence Factors'!$B$7*'Inputs-Proposals'!$K$23*'Inputs-Proposals'!$K$25*(VLOOKUP(BX$3,'Non-Embedded Emissions'!$A$56:$D$90,2,FALSE)+VLOOKUP(BX$3,'Non-Embedded Emissions'!$A$143:$D$174,2,FALSE)+VLOOKUP(BX$3,'Non-Embedded Emissions'!$A$230:$D$259,2,FALSE)), $C55 = "3", 'Inputs-System'!$C$30*'Coincidence Factors'!$B$7*'Inputs-Proposals'!$K$29*'Inputs-Proposals'!$K$31*(VLOOKUP(BX$3,'Non-Embedded Emissions'!$A$56:$D$90,2,FALSE)+VLOOKUP(BX$3,'Non-Embedded Emissions'!$A$143:$D$174,2,FALSE)+VLOOKUP(BX$3,'Non-Embedded Emissions'!$A$230:$D$259,2,FALSE)), $C55 = "0", 0), 0)</f>
        <v>0</v>
      </c>
      <c r="CD55" s="347">
        <f>IFERROR(_xlfn.IFS($C55="1",('Inputs-System'!$C$30*'Coincidence Factors'!$B$7*(1+'Inputs-System'!$C$18)*(1+'Inputs-System'!$C$41)*('Inputs-Proposals'!$K$17*'Inputs-Proposals'!$K$19*('Inputs-Proposals'!$K$20))*(VLOOKUP(CD$3,Energy!$A$51:$K$83,5,FALSE))), $C55 = "2",('Inputs-System'!$C$30*'Coincidence Factors'!$B$7)*(1+'Inputs-System'!$C$18)*(1+'Inputs-System'!$C$41)*('Inputs-Proposals'!$K$23*'Inputs-Proposals'!$K$25*('Inputs-Proposals'!$K$26))*(VLOOKUP(CD$3,Energy!$A$51:$K$83,5,FALSE)), $C55= "3", ('Inputs-System'!$C$30*'Coincidence Factors'!$B$7*(1+'Inputs-System'!$C$18)*(1+'Inputs-System'!$C$41)*('Inputs-Proposals'!$K$29*'Inputs-Proposals'!$K$31*('Inputs-Proposals'!$K$32))*(VLOOKUP(CD$3,Energy!$A$51:$K$83,5,FALSE))), $C55= "0", 0), 0)</f>
        <v>0</v>
      </c>
      <c r="CE55" s="44">
        <f>IFERROR(_xlfn.IFS($C55="1",'Inputs-System'!$C$30*'Coincidence Factors'!$B$7*(1+'Inputs-System'!$C$18)*(1+'Inputs-System'!$C$41)*'Inputs-Proposals'!$K$17*'Inputs-Proposals'!$K$19*('Inputs-Proposals'!$K$20)*(VLOOKUP(CD$3,'Embedded Emissions'!$A$47:$B$78,2,FALSE)+VLOOKUP(CD$3,'Embedded Emissions'!$A$129:$B$158,2,FALSE)), $C55 = "2",'Inputs-System'!$C$30*'Coincidence Factors'!$B$7*(1+'Inputs-System'!$C$18)*(1+'Inputs-System'!$C$41)*'Inputs-Proposals'!$K$23*'Inputs-Proposals'!$K$25*('Inputs-Proposals'!$K$20)*(VLOOKUP(CD$3,'Embedded Emissions'!$A$47:$B$78,2,FALSE)+VLOOKUP(CD$3,'Embedded Emissions'!$A$129:$B$158,2,FALSE)), $C55 = "3", 'Inputs-System'!$C$30*'Coincidence Factors'!$B$7*(1+'Inputs-System'!$C$18)*(1+'Inputs-System'!$C$41)*'Inputs-Proposals'!$K$29*'Inputs-Proposals'!$K$31*('Inputs-Proposals'!$K$20)*(VLOOKUP(CD$3,'Embedded Emissions'!$A$47:$B$78,2,FALSE)+VLOOKUP(CD$3,'Embedded Emissions'!$A$129:$B$158,2,FALSE)), $C55 = "0", 0), 0)</f>
        <v>0</v>
      </c>
      <c r="CF55" s="44">
        <f>IFERROR(_xlfn.IFS($C55="1",( 'Inputs-System'!$C$30*'Coincidence Factors'!$B$7*(1+'Inputs-System'!$C$18)*(1+'Inputs-System'!$C$41))*('Inputs-Proposals'!$K$17*'Inputs-Proposals'!$K$19*('Inputs-Proposals'!$K$20))*(VLOOKUP(CD$3,DRIPE!$A$54:$I$82,5,FALSE)+VLOOKUP(CD$3,DRIPE!$A$54:$I$82,9,FALSE))+ ('Inputs-System'!$C$26*'Coincidence Factors'!$B$7*(1+'Inputs-System'!$C$18)*(1+'Inputs-System'!$C$42))*'Inputs-Proposals'!$K$16*VLOOKUP(CD$3,DRIPE!$A$54:$I$82,8,FALSE), $C55 = "2",( 'Inputs-System'!$C$30*'Coincidence Factors'!$B$7*(1+'Inputs-System'!$C$18)*(1+'Inputs-System'!$C$41))*('Inputs-Proposals'!$K$23*'Inputs-Proposals'!$K$25*('Inputs-Proposals'!$K$26))*(VLOOKUP(CD$3,DRIPE!$A$54:$I$82,5,FALSE)+VLOOKUP(CD$3,DRIPE!$A$54:$I$82,12,FALSE))+ ('Inputs-System'!$C$26*'Coincidence Factors'!$B$7*(1+'Inputs-System'!$C$18)*(1+'Inputs-System'!$C$42))*'Inputs-Proposals'!$K$22*VLOOKUP(CD$3,DRIPE!$A$54:$I$82,8,FALSE), $C55= "3", ( 'Inputs-System'!$C$30*'Coincidence Factors'!$B$7*(1+'Inputs-System'!$C$18)*(1+'Inputs-System'!$C$41))*('Inputs-Proposals'!$K$29*'Inputs-Proposals'!$K$31*('Inputs-Proposals'!$K$32))*(VLOOKUP(CD$3,DRIPE!$A$54:$I$82,5,FALSE)+VLOOKUP(CD$3,DRIPE!$A$54:$I$82,12,FALSE))+ ('Inputs-System'!$C$26*'Coincidence Factors'!$B$7*(1+'Inputs-System'!$C$18)*(1+'Inputs-System'!$C$42))*'Inputs-Proposals'!$K$28*VLOOKUP(CD$3,DRIPE!$A$54:$I$82,8,FALSE), $C55 = "0", 0), 0)</f>
        <v>0</v>
      </c>
      <c r="CG55" s="45">
        <f>IFERROR(_xlfn.IFS($C55="1",('Inputs-System'!$C$26*'Coincidence Factors'!$B$7*(1+'Inputs-System'!$C$18))*'Inputs-Proposals'!$K$16*(VLOOKUP(CD$3,Capacity!$A$53:$E$85,4,FALSE)*(1+'Inputs-System'!$C$42)+VLOOKUP(CD$3,Capacity!$A$53:$E$85,5,FALSE)*'Inputs-System'!$C$29*(1+'Inputs-System'!$C$43)), $C55 = "2", ('Inputs-System'!$C$26*'Coincidence Factors'!$B$7*(1+'Inputs-System'!$C$18))*'Inputs-Proposals'!$K$22*(VLOOKUP(CD$3,Capacity!$A$53:$E$85,4,FALSE)*(1+'Inputs-System'!$C$42)+VLOOKUP(CD$3,Capacity!$A$53:$E$85,5,FALSE)*'Inputs-System'!$C$29*(1+'Inputs-System'!$C$43)), $C55 = "3",('Inputs-System'!$C$26*'Coincidence Factors'!$B$7*(1+'Inputs-System'!$C$18))*'Inputs-Proposals'!$K$28*(VLOOKUP(CD$3,Capacity!$A$53:$E$85,4,FALSE)*(1+'Inputs-System'!$C$42)+VLOOKUP(CD$3,Capacity!$A$53:$E$85,5,FALSE)*'Inputs-System'!$C$29*(1+'Inputs-System'!$C$43)), $C55 = "0", 0), 0)</f>
        <v>0</v>
      </c>
      <c r="CH55" s="44">
        <v>0</v>
      </c>
      <c r="CI55" s="342">
        <f>IFERROR(_xlfn.IFS($C55="1", 'Inputs-System'!$C$30*'Coincidence Factors'!$B$7*'Inputs-Proposals'!$K$17*'Inputs-Proposals'!$K$19*(VLOOKUP(CD$3,'Non-Embedded Emissions'!$A$56:$D$90,2,FALSE)+VLOOKUP(CD$3,'Non-Embedded Emissions'!$A$143:$D$174,2,FALSE)+VLOOKUP(CD$3,'Non-Embedded Emissions'!$A$230:$D$259,2,FALSE)), $C55 = "2", 'Inputs-System'!$C$30*'Coincidence Factors'!$B$7*'Inputs-Proposals'!$K$23*'Inputs-Proposals'!$K$25*(VLOOKUP(CD$3,'Non-Embedded Emissions'!$A$56:$D$90,2,FALSE)+VLOOKUP(CD$3,'Non-Embedded Emissions'!$A$143:$D$174,2,FALSE)+VLOOKUP(CD$3,'Non-Embedded Emissions'!$A$230:$D$259,2,FALSE)), $C55 = "3", 'Inputs-System'!$C$30*'Coincidence Factors'!$B$7*'Inputs-Proposals'!$K$29*'Inputs-Proposals'!$K$31*(VLOOKUP(CD$3,'Non-Embedded Emissions'!$A$56:$D$90,2,FALSE)+VLOOKUP(CD$3,'Non-Embedded Emissions'!$A$143:$D$174,2,FALSE)+VLOOKUP(CD$3,'Non-Embedded Emissions'!$A$230:$D$259,2,FALSE)), $C55 = "0", 0), 0)</f>
        <v>0</v>
      </c>
      <c r="CJ55" s="347">
        <f>IFERROR(_xlfn.IFS($C55="1",('Inputs-System'!$C$30*'Coincidence Factors'!$B$7*(1+'Inputs-System'!$C$18)*(1+'Inputs-System'!$C$41)*('Inputs-Proposals'!$K$17*'Inputs-Proposals'!$K$19*('Inputs-Proposals'!$K$20))*(VLOOKUP(CJ$3,Energy!$A$51:$K$83,5,FALSE))), $C55 = "2",('Inputs-System'!$C$30*'Coincidence Factors'!$B$7)*(1+'Inputs-System'!$C$18)*(1+'Inputs-System'!$C$41)*('Inputs-Proposals'!$K$23*'Inputs-Proposals'!$K$25*('Inputs-Proposals'!$K$26))*(VLOOKUP(CJ$3,Energy!$A$51:$K$83,5,FALSE)), $C55= "3", ('Inputs-System'!$C$30*'Coincidence Factors'!$B$7*(1+'Inputs-System'!$C$18)*(1+'Inputs-System'!$C$41)*('Inputs-Proposals'!$K$29*'Inputs-Proposals'!$K$31*('Inputs-Proposals'!$K$32))*(VLOOKUP(CJ$3,Energy!$A$51:$K$83,5,FALSE))), $C55= "0", 0), 0)</f>
        <v>0</v>
      </c>
      <c r="CK55" s="44">
        <f>IFERROR(_xlfn.IFS($C55="1",'Inputs-System'!$C$30*'Coincidence Factors'!$B$7*(1+'Inputs-System'!$C$18)*(1+'Inputs-System'!$C$41)*'Inputs-Proposals'!$K$17*'Inputs-Proposals'!$K$19*('Inputs-Proposals'!$K$20)*(VLOOKUP(CJ$3,'Embedded Emissions'!$A$47:$B$78,2,FALSE)+VLOOKUP(CJ$3,'Embedded Emissions'!$A$129:$B$158,2,FALSE)), $C55 = "2",'Inputs-System'!$C$30*'Coincidence Factors'!$B$7*(1+'Inputs-System'!$C$18)*(1+'Inputs-System'!$C$41)*'Inputs-Proposals'!$K$23*'Inputs-Proposals'!$K$25*('Inputs-Proposals'!$K$20)*(VLOOKUP(CJ$3,'Embedded Emissions'!$A$47:$B$78,2,FALSE)+VLOOKUP(CJ$3,'Embedded Emissions'!$A$129:$B$158,2,FALSE)), $C55 = "3", 'Inputs-System'!$C$30*'Coincidence Factors'!$B$7*(1+'Inputs-System'!$C$18)*(1+'Inputs-System'!$C$41)*'Inputs-Proposals'!$K$29*'Inputs-Proposals'!$K$31*('Inputs-Proposals'!$K$20)*(VLOOKUP(CJ$3,'Embedded Emissions'!$A$47:$B$78,2,FALSE)+VLOOKUP(CJ$3,'Embedded Emissions'!$A$129:$B$158,2,FALSE)), $C55 = "0", 0), 0)</f>
        <v>0</v>
      </c>
      <c r="CL55" s="44">
        <f>IFERROR(_xlfn.IFS($C55="1",( 'Inputs-System'!$C$30*'Coincidence Factors'!$B$7*(1+'Inputs-System'!$C$18)*(1+'Inputs-System'!$C$41))*('Inputs-Proposals'!$K$17*'Inputs-Proposals'!$K$19*('Inputs-Proposals'!$K$20))*(VLOOKUP(CJ$3,DRIPE!$A$54:$I$82,5,FALSE)+VLOOKUP(CJ$3,DRIPE!$A$54:$I$82,9,FALSE))+ ('Inputs-System'!$C$26*'Coincidence Factors'!$B$7*(1+'Inputs-System'!$C$18)*(1+'Inputs-System'!$C$42))*'Inputs-Proposals'!$K$16*VLOOKUP(CJ$3,DRIPE!$A$54:$I$82,8,FALSE), $C55 = "2",( 'Inputs-System'!$C$30*'Coincidence Factors'!$B$7*(1+'Inputs-System'!$C$18)*(1+'Inputs-System'!$C$41))*('Inputs-Proposals'!$K$23*'Inputs-Proposals'!$K$25*('Inputs-Proposals'!$K$26))*(VLOOKUP(CJ$3,DRIPE!$A$54:$I$82,5,FALSE)+VLOOKUP(CJ$3,DRIPE!$A$54:$I$82,12,FALSE))+ ('Inputs-System'!$C$26*'Coincidence Factors'!$B$7*(1+'Inputs-System'!$C$18)*(1+'Inputs-System'!$C$42))*'Inputs-Proposals'!$K$22*VLOOKUP(CJ$3,DRIPE!$A$54:$I$82,8,FALSE), $C55= "3", ( 'Inputs-System'!$C$30*'Coincidence Factors'!$B$7*(1+'Inputs-System'!$C$18)*(1+'Inputs-System'!$C$41))*('Inputs-Proposals'!$K$29*'Inputs-Proposals'!$K$31*('Inputs-Proposals'!$K$32))*(VLOOKUP(CJ$3,DRIPE!$A$54:$I$82,5,FALSE)+VLOOKUP(CJ$3,DRIPE!$A$54:$I$82,12,FALSE))+ ('Inputs-System'!$C$26*'Coincidence Factors'!$B$7*(1+'Inputs-System'!$C$18)*(1+'Inputs-System'!$C$42))*'Inputs-Proposals'!$K$28*VLOOKUP(CJ$3,DRIPE!$A$54:$I$82,8,FALSE), $C55 = "0", 0), 0)</f>
        <v>0</v>
      </c>
      <c r="CM55" s="45">
        <f>IFERROR(_xlfn.IFS($C55="1",('Inputs-System'!$C$26*'Coincidence Factors'!$B$7*(1+'Inputs-System'!$C$18))*'Inputs-Proposals'!$K$16*(VLOOKUP(CJ$3,Capacity!$A$53:$E$85,4,FALSE)*(1+'Inputs-System'!$C$42)+VLOOKUP(CJ$3,Capacity!$A$53:$E$85,5,FALSE)*'Inputs-System'!$C$29*(1+'Inputs-System'!$C$43)), $C55 = "2", ('Inputs-System'!$C$26*'Coincidence Factors'!$B$7*(1+'Inputs-System'!$C$18))*'Inputs-Proposals'!$K$22*(VLOOKUP(CJ$3,Capacity!$A$53:$E$85,4,FALSE)*(1+'Inputs-System'!$C$42)+VLOOKUP(CJ$3,Capacity!$A$53:$E$85,5,FALSE)*'Inputs-System'!$C$29*(1+'Inputs-System'!$C$43)), $C55 = "3",('Inputs-System'!$C$26*'Coincidence Factors'!$B$7*(1+'Inputs-System'!$C$18))*'Inputs-Proposals'!$K$28*(VLOOKUP(CJ$3,Capacity!$A$53:$E$85,4,FALSE)*(1+'Inputs-System'!$C$42)+VLOOKUP(CJ$3,Capacity!$A$53:$E$85,5,FALSE)*'Inputs-System'!$C$29*(1+'Inputs-System'!$C$43)), $C55 = "0", 0), 0)</f>
        <v>0</v>
      </c>
      <c r="CN55" s="44">
        <v>0</v>
      </c>
      <c r="CO55" s="342">
        <f>IFERROR(_xlfn.IFS($C55="1", 'Inputs-System'!$C$30*'Coincidence Factors'!$B$7*'Inputs-Proposals'!$K$17*'Inputs-Proposals'!$K$19*(VLOOKUP(CJ$3,'Non-Embedded Emissions'!$A$56:$D$90,2,FALSE)+VLOOKUP(CJ$3,'Non-Embedded Emissions'!$A$143:$D$174,2,FALSE)+VLOOKUP(CJ$3,'Non-Embedded Emissions'!$A$230:$D$259,2,FALSE)), $C55 = "2", 'Inputs-System'!$C$30*'Coincidence Factors'!$B$7*'Inputs-Proposals'!$K$23*'Inputs-Proposals'!$K$25*(VLOOKUP(CJ$3,'Non-Embedded Emissions'!$A$56:$D$90,2,FALSE)+VLOOKUP(CJ$3,'Non-Embedded Emissions'!$A$143:$D$174,2,FALSE)+VLOOKUP(CJ$3,'Non-Embedded Emissions'!$A$230:$D$259,2,FALSE)), $C55 = "3", 'Inputs-System'!$C$30*'Coincidence Factors'!$B$7*'Inputs-Proposals'!$K$29*'Inputs-Proposals'!$K$31*(VLOOKUP(CJ$3,'Non-Embedded Emissions'!$A$56:$D$90,2,FALSE)+VLOOKUP(CJ$3,'Non-Embedded Emissions'!$A$143:$D$174,2,FALSE)+VLOOKUP(CJ$3,'Non-Embedded Emissions'!$A$230:$D$259,2,FALSE)), $C55 = "0", 0), 0)</f>
        <v>0</v>
      </c>
      <c r="CP55" s="347">
        <f>IFERROR(_xlfn.IFS($C55="1",('Inputs-System'!$C$30*'Coincidence Factors'!$B$7*(1+'Inputs-System'!$C$18)*(1+'Inputs-System'!$C$41)*('Inputs-Proposals'!$K$17*'Inputs-Proposals'!$K$19*('Inputs-Proposals'!$K$20))*(VLOOKUP(CP$3,Energy!$A$51:$K$83,5,FALSE))), $C55 = "2",('Inputs-System'!$C$30*'Coincidence Factors'!$B$7)*(1+'Inputs-System'!$C$18)*(1+'Inputs-System'!$C$41)*('Inputs-Proposals'!$K$23*'Inputs-Proposals'!$K$25*('Inputs-Proposals'!$K$26))*(VLOOKUP(CP$3,Energy!$A$51:$K$83,5,FALSE)), $C55= "3", ('Inputs-System'!$C$30*'Coincidence Factors'!$B$7*(1+'Inputs-System'!$C$18)*(1+'Inputs-System'!$C$41)*('Inputs-Proposals'!$K$29*'Inputs-Proposals'!$K$31*('Inputs-Proposals'!$K$32))*(VLOOKUP(CP$3,Energy!$A$51:$K$83,5,FALSE))), $C55= "0", 0), 0)</f>
        <v>0</v>
      </c>
      <c r="CQ55" s="44">
        <f>IFERROR(_xlfn.IFS($C55="1",'Inputs-System'!$C$30*'Coincidence Factors'!$B$7*(1+'Inputs-System'!$C$18)*(1+'Inputs-System'!$C$41)*'Inputs-Proposals'!$K$17*'Inputs-Proposals'!$K$19*('Inputs-Proposals'!$K$20)*(VLOOKUP(CP$3,'Embedded Emissions'!$A$47:$B$78,2,FALSE)+VLOOKUP(CP$3,'Embedded Emissions'!$A$129:$B$158,2,FALSE)), $C55 = "2",'Inputs-System'!$C$30*'Coincidence Factors'!$B$7*(1+'Inputs-System'!$C$18)*(1+'Inputs-System'!$C$41)*'Inputs-Proposals'!$K$23*'Inputs-Proposals'!$K$25*('Inputs-Proposals'!$K$20)*(VLOOKUP(CP$3,'Embedded Emissions'!$A$47:$B$78,2,FALSE)+VLOOKUP(CP$3,'Embedded Emissions'!$A$129:$B$158,2,FALSE)), $C55 = "3", 'Inputs-System'!$C$30*'Coincidence Factors'!$B$7*(1+'Inputs-System'!$C$18)*(1+'Inputs-System'!$C$41)*'Inputs-Proposals'!$K$29*'Inputs-Proposals'!$K$31*('Inputs-Proposals'!$K$20)*(VLOOKUP(CP$3,'Embedded Emissions'!$A$47:$B$78,2,FALSE)+VLOOKUP(CP$3,'Embedded Emissions'!$A$129:$B$158,2,FALSE)), $C55 = "0", 0), 0)</f>
        <v>0</v>
      </c>
      <c r="CR55" s="44">
        <f>IFERROR(_xlfn.IFS($C55="1",( 'Inputs-System'!$C$30*'Coincidence Factors'!$B$7*(1+'Inputs-System'!$C$18)*(1+'Inputs-System'!$C$41))*('Inputs-Proposals'!$K$17*'Inputs-Proposals'!$K$19*('Inputs-Proposals'!$K$20))*(VLOOKUP(CP$3,DRIPE!$A$54:$I$82,5,FALSE)+VLOOKUP(CP$3,DRIPE!$A$54:$I$82,9,FALSE))+ ('Inputs-System'!$C$26*'Coincidence Factors'!$B$7*(1+'Inputs-System'!$C$18)*(1+'Inputs-System'!$C$42))*'Inputs-Proposals'!$K$16*VLOOKUP(CP$3,DRIPE!$A$54:$I$82,8,FALSE), $C55 = "2",( 'Inputs-System'!$C$30*'Coincidence Factors'!$B$7*(1+'Inputs-System'!$C$18)*(1+'Inputs-System'!$C$41))*('Inputs-Proposals'!$K$23*'Inputs-Proposals'!$K$25*('Inputs-Proposals'!$K$26))*(VLOOKUP(CP$3,DRIPE!$A$54:$I$82,5,FALSE)+VLOOKUP(CP$3,DRIPE!$A$54:$I$82,12,FALSE))+ ('Inputs-System'!$C$26*'Coincidence Factors'!$B$7*(1+'Inputs-System'!$C$18)*(1+'Inputs-System'!$C$42))*'Inputs-Proposals'!$K$22*VLOOKUP(CP$3,DRIPE!$A$54:$I$82,8,FALSE), $C55= "3", ( 'Inputs-System'!$C$30*'Coincidence Factors'!$B$7*(1+'Inputs-System'!$C$18)*(1+'Inputs-System'!$C$41))*('Inputs-Proposals'!$K$29*'Inputs-Proposals'!$K$31*('Inputs-Proposals'!$K$32))*(VLOOKUP(CP$3,DRIPE!$A$54:$I$82,5,FALSE)+VLOOKUP(CP$3,DRIPE!$A$54:$I$82,12,FALSE))+ ('Inputs-System'!$C$26*'Coincidence Factors'!$B$7*(1+'Inputs-System'!$C$18)*(1+'Inputs-System'!$C$42))*'Inputs-Proposals'!$K$28*VLOOKUP(CP$3,DRIPE!$A$54:$I$82,8,FALSE), $C55 = "0", 0), 0)</f>
        <v>0</v>
      </c>
      <c r="CS55" s="45">
        <f>IFERROR(_xlfn.IFS($C55="1",('Inputs-System'!$C$26*'Coincidence Factors'!$B$7*(1+'Inputs-System'!$C$18))*'Inputs-Proposals'!$K$16*(VLOOKUP(CP$3,Capacity!$A$53:$E$85,4,FALSE)*(1+'Inputs-System'!$C$42)+VLOOKUP(CP$3,Capacity!$A$53:$E$85,5,FALSE)*'Inputs-System'!$C$29*(1+'Inputs-System'!$C$43)), $C55 = "2", ('Inputs-System'!$C$26*'Coincidence Factors'!$B$7*(1+'Inputs-System'!$C$18))*'Inputs-Proposals'!$K$22*(VLOOKUP(CP$3,Capacity!$A$53:$E$85,4,FALSE)*(1+'Inputs-System'!$C$42)+VLOOKUP(CP$3,Capacity!$A$53:$E$85,5,FALSE)*'Inputs-System'!$C$29*(1+'Inputs-System'!$C$43)), $C55 = "3",('Inputs-System'!$C$26*'Coincidence Factors'!$B$7*(1+'Inputs-System'!$C$18))*'Inputs-Proposals'!$K$28*(VLOOKUP(CP$3,Capacity!$A$53:$E$85,4,FALSE)*(1+'Inputs-System'!$C$42)+VLOOKUP(CP$3,Capacity!$A$53:$E$85,5,FALSE)*'Inputs-System'!$C$29*(1+'Inputs-System'!$C$43)), $C55 = "0", 0), 0)</f>
        <v>0</v>
      </c>
      <c r="CT55" s="44">
        <v>0</v>
      </c>
      <c r="CU55" s="342">
        <f>IFERROR(_xlfn.IFS($C55="1", 'Inputs-System'!$C$30*'Coincidence Factors'!$B$7*'Inputs-Proposals'!$K$17*'Inputs-Proposals'!$K$19*(VLOOKUP(CP$3,'Non-Embedded Emissions'!$A$56:$D$90,2,FALSE)+VLOOKUP(CP$3,'Non-Embedded Emissions'!$A$143:$D$174,2,FALSE)+VLOOKUP(CP$3,'Non-Embedded Emissions'!$A$230:$D$259,2,FALSE)), $C55 = "2", 'Inputs-System'!$C$30*'Coincidence Factors'!$B$7*'Inputs-Proposals'!$K$23*'Inputs-Proposals'!$K$25*(VLOOKUP(CP$3,'Non-Embedded Emissions'!$A$56:$D$90,2,FALSE)+VLOOKUP(CP$3,'Non-Embedded Emissions'!$A$143:$D$174,2,FALSE)+VLOOKUP(CP$3,'Non-Embedded Emissions'!$A$230:$D$259,2,FALSE)), $C55 = "3", 'Inputs-System'!$C$30*'Coincidence Factors'!$B$7*'Inputs-Proposals'!$K$29*'Inputs-Proposals'!$K$31*(VLOOKUP(CP$3,'Non-Embedded Emissions'!$A$56:$D$90,2,FALSE)+VLOOKUP(CP$3,'Non-Embedded Emissions'!$A$143:$D$174,2,FALSE)+VLOOKUP(CP$3,'Non-Embedded Emissions'!$A$230:$D$259,2,FALSE)), $C55 = "0", 0), 0)</f>
        <v>0</v>
      </c>
      <c r="CV55" s="347">
        <f>IFERROR(_xlfn.IFS($C55="1",('Inputs-System'!$C$30*'Coincidence Factors'!$B$7*(1+'Inputs-System'!$C$18)*(1+'Inputs-System'!$C$41)*('Inputs-Proposals'!$K$17*'Inputs-Proposals'!$K$19*('Inputs-Proposals'!$K$20))*(VLOOKUP(CV$3,Energy!$A$51:$K$83,5,FALSE))), $C55 = "2",('Inputs-System'!$C$30*'Coincidence Factors'!$B$7)*(1+'Inputs-System'!$C$18)*(1+'Inputs-System'!$C$41)*('Inputs-Proposals'!$K$23*'Inputs-Proposals'!$K$25*('Inputs-Proposals'!$K$26))*(VLOOKUP(CV$3,Energy!$A$51:$K$83,5,FALSE)), $C55= "3", ('Inputs-System'!$C$30*'Coincidence Factors'!$B$7*(1+'Inputs-System'!$C$18)*(1+'Inputs-System'!$C$41)*('Inputs-Proposals'!$K$29*'Inputs-Proposals'!$K$31*('Inputs-Proposals'!$K$32))*(VLOOKUP(CV$3,Energy!$A$51:$K$83,5,FALSE))), $C55= "0", 0), 0)</f>
        <v>0</v>
      </c>
      <c r="CW55" s="44">
        <f>IFERROR(_xlfn.IFS($C55="1",'Inputs-System'!$C$30*'Coincidence Factors'!$B$7*(1+'Inputs-System'!$C$18)*(1+'Inputs-System'!$C$41)*'Inputs-Proposals'!$K$17*'Inputs-Proposals'!$K$19*('Inputs-Proposals'!$K$20)*(VLOOKUP(CV$3,'Embedded Emissions'!$A$47:$B$78,2,FALSE)+VLOOKUP(CV$3,'Embedded Emissions'!$A$129:$B$158,2,FALSE)), $C55 = "2",'Inputs-System'!$C$30*'Coincidence Factors'!$B$7*(1+'Inputs-System'!$C$18)*(1+'Inputs-System'!$C$41)*'Inputs-Proposals'!$K$23*'Inputs-Proposals'!$K$25*('Inputs-Proposals'!$K$20)*(VLOOKUP(CV$3,'Embedded Emissions'!$A$47:$B$78,2,FALSE)+VLOOKUP(CV$3,'Embedded Emissions'!$A$129:$B$158,2,FALSE)), $C55 = "3", 'Inputs-System'!$C$30*'Coincidence Factors'!$B$7*(1+'Inputs-System'!$C$18)*(1+'Inputs-System'!$C$41)*'Inputs-Proposals'!$K$29*'Inputs-Proposals'!$K$31*('Inputs-Proposals'!$K$20)*(VLOOKUP(CV$3,'Embedded Emissions'!$A$47:$B$78,2,FALSE)+VLOOKUP(CV$3,'Embedded Emissions'!$A$129:$B$158,2,FALSE)), $C55 = "0", 0), 0)</f>
        <v>0</v>
      </c>
      <c r="CX55" s="44">
        <f>IFERROR(_xlfn.IFS($C55="1",( 'Inputs-System'!$C$30*'Coincidence Factors'!$B$7*(1+'Inputs-System'!$C$18)*(1+'Inputs-System'!$C$41))*('Inputs-Proposals'!$K$17*'Inputs-Proposals'!$K$19*('Inputs-Proposals'!$K$20))*(VLOOKUP(CV$3,DRIPE!$A$54:$I$82,5,FALSE)+VLOOKUP(CV$3,DRIPE!$A$54:$I$82,9,FALSE))+ ('Inputs-System'!$C$26*'Coincidence Factors'!$B$7*(1+'Inputs-System'!$C$18)*(1+'Inputs-System'!$C$42))*'Inputs-Proposals'!$K$16*VLOOKUP(CV$3,DRIPE!$A$54:$I$82,8,FALSE), $C55 = "2",( 'Inputs-System'!$C$30*'Coincidence Factors'!$B$7*(1+'Inputs-System'!$C$18)*(1+'Inputs-System'!$C$41))*('Inputs-Proposals'!$K$23*'Inputs-Proposals'!$K$25*('Inputs-Proposals'!$K$26))*(VLOOKUP(CV$3,DRIPE!$A$54:$I$82,5,FALSE)+VLOOKUP(CV$3,DRIPE!$A$54:$I$82,12,FALSE))+ ('Inputs-System'!$C$26*'Coincidence Factors'!$B$7*(1+'Inputs-System'!$C$18)*(1+'Inputs-System'!$C$42))*'Inputs-Proposals'!$K$22*VLOOKUP(CV$3,DRIPE!$A$54:$I$82,8,FALSE), $C55= "3", ( 'Inputs-System'!$C$30*'Coincidence Factors'!$B$7*(1+'Inputs-System'!$C$18)*(1+'Inputs-System'!$C$41))*('Inputs-Proposals'!$K$29*'Inputs-Proposals'!$K$31*('Inputs-Proposals'!$K$32))*(VLOOKUP(CV$3,DRIPE!$A$54:$I$82,5,FALSE)+VLOOKUP(CV$3,DRIPE!$A$54:$I$82,12,FALSE))+ ('Inputs-System'!$C$26*'Coincidence Factors'!$B$7*(1+'Inputs-System'!$C$18)*(1+'Inputs-System'!$C$42))*'Inputs-Proposals'!$K$28*VLOOKUP(CV$3,DRIPE!$A$54:$I$82,8,FALSE), $C55 = "0", 0), 0)</f>
        <v>0</v>
      </c>
      <c r="CY55" s="45">
        <f>IFERROR(_xlfn.IFS($C55="1",('Inputs-System'!$C$26*'Coincidence Factors'!$B$7*(1+'Inputs-System'!$C$18))*'Inputs-Proposals'!$K$16*(VLOOKUP(CV$3,Capacity!$A$53:$E$85,4,FALSE)*(1+'Inputs-System'!$C$42)+VLOOKUP(CV$3,Capacity!$A$53:$E$85,5,FALSE)*'Inputs-System'!$C$29*(1+'Inputs-System'!$C$43)), $C55 = "2", ('Inputs-System'!$C$26*'Coincidence Factors'!$B$7*(1+'Inputs-System'!$C$18))*'Inputs-Proposals'!$K$22*(VLOOKUP(CV$3,Capacity!$A$53:$E$85,4,FALSE)*(1+'Inputs-System'!$C$42)+VLOOKUP(CV$3,Capacity!$A$53:$E$85,5,FALSE)*'Inputs-System'!$C$29*(1+'Inputs-System'!$C$43)), $C55 = "3",('Inputs-System'!$C$26*'Coincidence Factors'!$B$7*(1+'Inputs-System'!$C$18))*'Inputs-Proposals'!$K$28*(VLOOKUP(CV$3,Capacity!$A$53:$E$85,4,FALSE)*(1+'Inputs-System'!$C$42)+VLOOKUP(CV$3,Capacity!$A$53:$E$85,5,FALSE)*'Inputs-System'!$C$29*(1+'Inputs-System'!$C$43)), $C55 = "0", 0), 0)</f>
        <v>0</v>
      </c>
      <c r="CZ55" s="44">
        <v>0</v>
      </c>
      <c r="DA55" s="342">
        <f>IFERROR(_xlfn.IFS($C55="1", 'Inputs-System'!$C$30*'Coincidence Factors'!$B$7*'Inputs-Proposals'!$K$17*'Inputs-Proposals'!$K$19*(VLOOKUP(CV$3,'Non-Embedded Emissions'!$A$56:$D$90,2,FALSE)+VLOOKUP(CV$3,'Non-Embedded Emissions'!$A$143:$D$174,2,FALSE)+VLOOKUP(CV$3,'Non-Embedded Emissions'!$A$230:$D$259,2,FALSE)), $C55 = "2", 'Inputs-System'!$C$30*'Coincidence Factors'!$B$7*'Inputs-Proposals'!$K$23*'Inputs-Proposals'!$K$25*(VLOOKUP(CV$3,'Non-Embedded Emissions'!$A$56:$D$90,2,FALSE)+VLOOKUP(CV$3,'Non-Embedded Emissions'!$A$143:$D$174,2,FALSE)+VLOOKUP(CV$3,'Non-Embedded Emissions'!$A$230:$D$259,2,FALSE)), $C55 = "3", 'Inputs-System'!$C$30*'Coincidence Factors'!$B$7*'Inputs-Proposals'!$K$29*'Inputs-Proposals'!$K$31*(VLOOKUP(CV$3,'Non-Embedded Emissions'!$A$56:$D$90,2,FALSE)+VLOOKUP(CV$3,'Non-Embedded Emissions'!$A$143:$D$174,2,FALSE)+VLOOKUP(CV$3,'Non-Embedded Emissions'!$A$230:$D$259,2,FALSE)), $C55 = "0", 0), 0)</f>
        <v>0</v>
      </c>
      <c r="DB55" s="347">
        <f>IFERROR(_xlfn.IFS($C55="1",('Inputs-System'!$C$30*'Coincidence Factors'!$B$7*(1+'Inputs-System'!$C$18)*(1+'Inputs-System'!$C$41)*('Inputs-Proposals'!$K$17*'Inputs-Proposals'!$K$19*('Inputs-Proposals'!$K$20))*(VLOOKUP(DB$3,Energy!$A$51:$K$83,5,FALSE))), $C55 = "2",('Inputs-System'!$C$30*'Coincidence Factors'!$B$7)*(1+'Inputs-System'!$C$18)*(1+'Inputs-System'!$C$41)*('Inputs-Proposals'!$K$23*'Inputs-Proposals'!$K$25*('Inputs-Proposals'!$K$26))*(VLOOKUP(DB$3,Energy!$A$51:$K$83,5,FALSE)), $C55= "3", ('Inputs-System'!$C$30*'Coincidence Factors'!$B$7*(1+'Inputs-System'!$C$18)*(1+'Inputs-System'!$C$41)*('Inputs-Proposals'!$K$29*'Inputs-Proposals'!$K$31*('Inputs-Proposals'!$K$32))*(VLOOKUP(DB$3,Energy!$A$51:$K$83,5,FALSE))), $C55= "0", 0), 0)</f>
        <v>0</v>
      </c>
      <c r="DC55" s="44">
        <f>IFERROR(_xlfn.IFS($C55="1",'Inputs-System'!$C$30*'Coincidence Factors'!$B$7*(1+'Inputs-System'!$C$18)*(1+'Inputs-System'!$C$41)*'Inputs-Proposals'!$K$17*'Inputs-Proposals'!$K$19*('Inputs-Proposals'!$K$20)*(VLOOKUP(DB$3,'Embedded Emissions'!$A$47:$B$78,2,FALSE)+VLOOKUP(DB$3,'Embedded Emissions'!$A$129:$B$158,2,FALSE)), $C55 = "2",'Inputs-System'!$C$30*'Coincidence Factors'!$B$7*(1+'Inputs-System'!$C$18)*(1+'Inputs-System'!$C$41)*'Inputs-Proposals'!$K$23*'Inputs-Proposals'!$K$25*('Inputs-Proposals'!$K$20)*(VLOOKUP(DB$3,'Embedded Emissions'!$A$47:$B$78,2,FALSE)+VLOOKUP(DB$3,'Embedded Emissions'!$A$129:$B$158,2,FALSE)), $C55 = "3", 'Inputs-System'!$C$30*'Coincidence Factors'!$B$7*(1+'Inputs-System'!$C$18)*(1+'Inputs-System'!$C$41)*'Inputs-Proposals'!$K$29*'Inputs-Proposals'!$K$31*('Inputs-Proposals'!$K$20)*(VLOOKUP(DB$3,'Embedded Emissions'!$A$47:$B$78,2,FALSE)+VLOOKUP(DB$3,'Embedded Emissions'!$A$129:$B$158,2,FALSE)), $C55 = "0", 0), 0)</f>
        <v>0</v>
      </c>
      <c r="DD55" s="44">
        <f>IFERROR(_xlfn.IFS($C55="1",( 'Inputs-System'!$C$30*'Coincidence Factors'!$B$7*(1+'Inputs-System'!$C$18)*(1+'Inputs-System'!$C$41))*('Inputs-Proposals'!$K$17*'Inputs-Proposals'!$K$19*('Inputs-Proposals'!$K$20))*(VLOOKUP(DB$3,DRIPE!$A$54:$I$82,5,FALSE)+VLOOKUP(DB$3,DRIPE!$A$54:$I$82,9,FALSE))+ ('Inputs-System'!$C$26*'Coincidence Factors'!$B$7*(1+'Inputs-System'!$C$18)*(1+'Inputs-System'!$C$42))*'Inputs-Proposals'!$K$16*VLOOKUP(DB$3,DRIPE!$A$54:$I$82,8,FALSE), $C55 = "2",( 'Inputs-System'!$C$30*'Coincidence Factors'!$B$7*(1+'Inputs-System'!$C$18)*(1+'Inputs-System'!$C$41))*('Inputs-Proposals'!$K$23*'Inputs-Proposals'!$K$25*('Inputs-Proposals'!$K$26))*(VLOOKUP(DB$3,DRIPE!$A$54:$I$82,5,FALSE)+VLOOKUP(DB$3,DRIPE!$A$54:$I$82,12,FALSE))+ ('Inputs-System'!$C$26*'Coincidence Factors'!$B$7*(1+'Inputs-System'!$C$18)*(1+'Inputs-System'!$C$42))*'Inputs-Proposals'!$K$22*VLOOKUP(DB$3,DRIPE!$A$54:$I$82,8,FALSE), $C55= "3", ( 'Inputs-System'!$C$30*'Coincidence Factors'!$B$7*(1+'Inputs-System'!$C$18)*(1+'Inputs-System'!$C$41))*('Inputs-Proposals'!$K$29*'Inputs-Proposals'!$K$31*('Inputs-Proposals'!$K$32))*(VLOOKUP(DB$3,DRIPE!$A$54:$I$82,5,FALSE)+VLOOKUP(DB$3,DRIPE!$A$54:$I$82,12,FALSE))+ ('Inputs-System'!$C$26*'Coincidence Factors'!$B$7*(1+'Inputs-System'!$C$18)*(1+'Inputs-System'!$C$42))*'Inputs-Proposals'!$K$28*VLOOKUP(DB$3,DRIPE!$A$54:$I$82,8,FALSE), $C55 = "0", 0), 0)</f>
        <v>0</v>
      </c>
      <c r="DE55" s="45">
        <f>IFERROR(_xlfn.IFS($C55="1",('Inputs-System'!$C$26*'Coincidence Factors'!$B$7*(1+'Inputs-System'!$C$18))*'Inputs-Proposals'!$K$16*(VLOOKUP(DB$3,Capacity!$A$53:$E$85,4,FALSE)*(1+'Inputs-System'!$C$42)+VLOOKUP(DB$3,Capacity!$A$53:$E$85,5,FALSE)*'Inputs-System'!$C$29*(1+'Inputs-System'!$C$43)), $C55 = "2", ('Inputs-System'!$C$26*'Coincidence Factors'!$B$7*(1+'Inputs-System'!$C$18))*'Inputs-Proposals'!$K$22*(VLOOKUP(DB$3,Capacity!$A$53:$E$85,4,FALSE)*(1+'Inputs-System'!$C$42)+VLOOKUP(DB$3,Capacity!$A$53:$E$85,5,FALSE)*'Inputs-System'!$C$29*(1+'Inputs-System'!$C$43)), $C55 = "3",('Inputs-System'!$C$26*'Coincidence Factors'!$B$7*(1+'Inputs-System'!$C$18))*'Inputs-Proposals'!$K$28*(VLOOKUP(DB$3,Capacity!$A$53:$E$85,4,FALSE)*(1+'Inputs-System'!$C$42)+VLOOKUP(DB$3,Capacity!$A$53:$E$85,5,FALSE)*'Inputs-System'!$C$29*(1+'Inputs-System'!$C$43)), $C55 = "0", 0), 0)</f>
        <v>0</v>
      </c>
      <c r="DF55" s="44">
        <v>0</v>
      </c>
      <c r="DG55" s="342">
        <f>IFERROR(_xlfn.IFS($C55="1", 'Inputs-System'!$C$30*'Coincidence Factors'!$B$7*'Inputs-Proposals'!$K$17*'Inputs-Proposals'!$K$19*(VLOOKUP(DB$3,'Non-Embedded Emissions'!$A$56:$D$90,2,FALSE)+VLOOKUP(DB$3,'Non-Embedded Emissions'!$A$143:$D$174,2,FALSE)+VLOOKUP(DB$3,'Non-Embedded Emissions'!$A$230:$D$259,2,FALSE)), $C55 = "2", 'Inputs-System'!$C$30*'Coincidence Factors'!$B$7*'Inputs-Proposals'!$K$23*'Inputs-Proposals'!$K$25*(VLOOKUP(DB$3,'Non-Embedded Emissions'!$A$56:$D$90,2,FALSE)+VLOOKUP(DB$3,'Non-Embedded Emissions'!$A$143:$D$174,2,FALSE)+VLOOKUP(DB$3,'Non-Embedded Emissions'!$A$230:$D$259,2,FALSE)), $C55 = "3", 'Inputs-System'!$C$30*'Coincidence Factors'!$B$7*'Inputs-Proposals'!$K$29*'Inputs-Proposals'!$K$31*(VLOOKUP(DB$3,'Non-Embedded Emissions'!$A$56:$D$90,2,FALSE)+VLOOKUP(DB$3,'Non-Embedded Emissions'!$A$143:$D$174,2,FALSE)+VLOOKUP(DB$3,'Non-Embedded Emissions'!$A$230:$D$259,2,FALSE)), $C55 = "0", 0), 0)</f>
        <v>0</v>
      </c>
      <c r="DH55" s="347">
        <f>IFERROR(_xlfn.IFS($C55="1",('Inputs-System'!$C$30*'Coincidence Factors'!$B$7*(1+'Inputs-System'!$C$18)*(1+'Inputs-System'!$C$41)*('Inputs-Proposals'!$K$17*'Inputs-Proposals'!$K$19*('Inputs-Proposals'!$K$20))*(VLOOKUP(DH$3,Energy!$A$51:$K$83,5,FALSE))), $C55 = "2",('Inputs-System'!$C$30*'Coincidence Factors'!$B$7)*(1+'Inputs-System'!$C$18)*(1+'Inputs-System'!$C$41)*('Inputs-Proposals'!$K$23*'Inputs-Proposals'!$K$25*('Inputs-Proposals'!$K$26))*(VLOOKUP(DH$3,Energy!$A$51:$K$83,5,FALSE)), $C55= "3", ('Inputs-System'!$C$30*'Coincidence Factors'!$B$7*(1+'Inputs-System'!$C$18)*(1+'Inputs-System'!$C$41)*('Inputs-Proposals'!$K$29*'Inputs-Proposals'!$K$31*('Inputs-Proposals'!$K$32))*(VLOOKUP(DH$3,Energy!$A$51:$K$83,5,FALSE))), $C55= "0", 0), 0)</f>
        <v>0</v>
      </c>
      <c r="DI55" s="44">
        <f>IFERROR(_xlfn.IFS($C55="1",'Inputs-System'!$C$30*'Coincidence Factors'!$B$7*(1+'Inputs-System'!$C$18)*(1+'Inputs-System'!$C$41)*'Inputs-Proposals'!$K$17*'Inputs-Proposals'!$K$19*('Inputs-Proposals'!$K$20)*(VLOOKUP(DH$3,'Embedded Emissions'!$A$47:$B$78,2,FALSE)+VLOOKUP(DH$3,'Embedded Emissions'!$A$129:$B$158,2,FALSE)), $C55 = "2",'Inputs-System'!$C$30*'Coincidence Factors'!$B$7*(1+'Inputs-System'!$C$18)*(1+'Inputs-System'!$C$41)*'Inputs-Proposals'!$K$23*'Inputs-Proposals'!$K$25*('Inputs-Proposals'!$K$20)*(VLOOKUP(DH$3,'Embedded Emissions'!$A$47:$B$78,2,FALSE)+VLOOKUP(DH$3,'Embedded Emissions'!$A$129:$B$158,2,FALSE)), $C55 = "3", 'Inputs-System'!$C$30*'Coincidence Factors'!$B$7*(1+'Inputs-System'!$C$18)*(1+'Inputs-System'!$C$41)*'Inputs-Proposals'!$K$29*'Inputs-Proposals'!$K$31*('Inputs-Proposals'!$K$20)*(VLOOKUP(DH$3,'Embedded Emissions'!$A$47:$B$78,2,FALSE)+VLOOKUP(DH$3,'Embedded Emissions'!$A$129:$B$158,2,FALSE)), $C55 = "0", 0), 0)</f>
        <v>0</v>
      </c>
      <c r="DJ55" s="44">
        <f>IFERROR(_xlfn.IFS($C55="1",( 'Inputs-System'!$C$30*'Coincidence Factors'!$B$7*(1+'Inputs-System'!$C$18)*(1+'Inputs-System'!$C$41))*('Inputs-Proposals'!$K$17*'Inputs-Proposals'!$K$19*('Inputs-Proposals'!$K$20))*(VLOOKUP(DH$3,DRIPE!$A$54:$I$82,5,FALSE)+VLOOKUP(DH$3,DRIPE!$A$54:$I$82,9,FALSE))+ ('Inputs-System'!$C$26*'Coincidence Factors'!$B$7*(1+'Inputs-System'!$C$18)*(1+'Inputs-System'!$C$42))*'Inputs-Proposals'!$K$16*VLOOKUP(DH$3,DRIPE!$A$54:$I$82,8,FALSE), $C55 = "2",( 'Inputs-System'!$C$30*'Coincidence Factors'!$B$7*(1+'Inputs-System'!$C$18)*(1+'Inputs-System'!$C$41))*('Inputs-Proposals'!$K$23*'Inputs-Proposals'!$K$25*('Inputs-Proposals'!$K$26))*(VLOOKUP(DH$3,DRIPE!$A$54:$I$82,5,FALSE)+VLOOKUP(DH$3,DRIPE!$A$54:$I$82,12,FALSE))+ ('Inputs-System'!$C$26*'Coincidence Factors'!$B$7*(1+'Inputs-System'!$C$18)*(1+'Inputs-System'!$C$42))*'Inputs-Proposals'!$K$22*VLOOKUP(DH$3,DRIPE!$A$54:$I$82,8,FALSE), $C55= "3", ( 'Inputs-System'!$C$30*'Coincidence Factors'!$B$7*(1+'Inputs-System'!$C$18)*(1+'Inputs-System'!$C$41))*('Inputs-Proposals'!$K$29*'Inputs-Proposals'!$K$31*('Inputs-Proposals'!$K$32))*(VLOOKUP(DH$3,DRIPE!$A$54:$I$82,5,FALSE)+VLOOKUP(DH$3,DRIPE!$A$54:$I$82,12,FALSE))+ ('Inputs-System'!$C$26*'Coincidence Factors'!$B$7*(1+'Inputs-System'!$C$18)*(1+'Inputs-System'!$C$42))*'Inputs-Proposals'!$K$28*VLOOKUP(DH$3,DRIPE!$A$54:$I$82,8,FALSE), $C55 = "0", 0), 0)</f>
        <v>0</v>
      </c>
      <c r="DK55" s="45">
        <f>IFERROR(_xlfn.IFS($C55="1",('Inputs-System'!$C$26*'Coincidence Factors'!$B$7*(1+'Inputs-System'!$C$18))*'Inputs-Proposals'!$K$16*(VLOOKUP(DH$3,Capacity!$A$53:$E$85,4,FALSE)*(1+'Inputs-System'!$C$42)+VLOOKUP(DH$3,Capacity!$A$53:$E$85,5,FALSE)*'Inputs-System'!$C$29*(1+'Inputs-System'!$C$43)), $C55 = "2", ('Inputs-System'!$C$26*'Coincidence Factors'!$B$7*(1+'Inputs-System'!$C$18))*'Inputs-Proposals'!$K$22*(VLOOKUP(DH$3,Capacity!$A$53:$E$85,4,FALSE)*(1+'Inputs-System'!$C$42)+VLOOKUP(DH$3,Capacity!$A$53:$E$85,5,FALSE)*'Inputs-System'!$C$29*(1+'Inputs-System'!$C$43)), $C55 = "3",('Inputs-System'!$C$26*'Coincidence Factors'!$B$7*(1+'Inputs-System'!$C$18))*'Inputs-Proposals'!$K$28*(VLOOKUP(DH$3,Capacity!$A$53:$E$85,4,FALSE)*(1+'Inputs-System'!$C$42)+VLOOKUP(DH$3,Capacity!$A$53:$E$85,5,FALSE)*'Inputs-System'!$C$29*(1+'Inputs-System'!$C$43)), $C55 = "0", 0), 0)</f>
        <v>0</v>
      </c>
      <c r="DL55" s="44">
        <v>0</v>
      </c>
      <c r="DM55" s="342">
        <f>IFERROR(_xlfn.IFS($C55="1", 'Inputs-System'!$C$30*'Coincidence Factors'!$B$7*'Inputs-Proposals'!$K$17*'Inputs-Proposals'!$K$19*(VLOOKUP(DH$3,'Non-Embedded Emissions'!$A$56:$D$90,2,FALSE)+VLOOKUP(DH$3,'Non-Embedded Emissions'!$A$143:$D$174,2,FALSE)+VLOOKUP(DH$3,'Non-Embedded Emissions'!$A$230:$D$259,2,FALSE)), $C55 = "2", 'Inputs-System'!$C$30*'Coincidence Factors'!$B$7*'Inputs-Proposals'!$K$23*'Inputs-Proposals'!$K$25*(VLOOKUP(DH$3,'Non-Embedded Emissions'!$A$56:$D$90,2,FALSE)+VLOOKUP(DH$3,'Non-Embedded Emissions'!$A$143:$D$174,2,FALSE)+VLOOKUP(DH$3,'Non-Embedded Emissions'!$A$230:$D$259,2,FALSE)), $C55 = "3", 'Inputs-System'!$C$30*'Coincidence Factors'!$B$7*'Inputs-Proposals'!$K$29*'Inputs-Proposals'!$K$31*(VLOOKUP(DH$3,'Non-Embedded Emissions'!$A$56:$D$90,2,FALSE)+VLOOKUP(DH$3,'Non-Embedded Emissions'!$A$143:$D$174,2,FALSE)+VLOOKUP(DH$3,'Non-Embedded Emissions'!$A$230:$D$259,2,FALSE)), $C55 = "0", 0), 0)</f>
        <v>0</v>
      </c>
      <c r="DN55" s="347">
        <f>IFERROR(_xlfn.IFS($C55="1",('Inputs-System'!$C$30*'Coincidence Factors'!$B$7*(1+'Inputs-System'!$C$18)*(1+'Inputs-System'!$C$41)*('Inputs-Proposals'!$K$17*'Inputs-Proposals'!$K$19*('Inputs-Proposals'!$K$20))*(VLOOKUP(DN$3,Energy!$A$51:$K$83,5,FALSE))), $C55 = "2",('Inputs-System'!$C$30*'Coincidence Factors'!$B$7)*(1+'Inputs-System'!$C$18)*(1+'Inputs-System'!$C$41)*('Inputs-Proposals'!$K$23*'Inputs-Proposals'!$K$25*('Inputs-Proposals'!$K$26))*(VLOOKUP(DN$3,Energy!$A$51:$K$83,5,FALSE)), $C55= "3", ('Inputs-System'!$C$30*'Coincidence Factors'!$B$7*(1+'Inputs-System'!$C$18)*(1+'Inputs-System'!$C$41)*('Inputs-Proposals'!$K$29*'Inputs-Proposals'!$K$31*('Inputs-Proposals'!$K$32))*(VLOOKUP(DN$3,Energy!$A$51:$K$83,5,FALSE))), $C55= "0", 0), 0)</f>
        <v>0</v>
      </c>
      <c r="DO55" s="44">
        <f>IFERROR(_xlfn.IFS($C55="1",'Inputs-System'!$C$30*'Coincidence Factors'!$B$7*(1+'Inputs-System'!$C$18)*(1+'Inputs-System'!$C$41)*'Inputs-Proposals'!$K$17*'Inputs-Proposals'!$K$19*('Inputs-Proposals'!$K$20)*(VLOOKUP(DN$3,'Embedded Emissions'!$A$47:$B$78,2,FALSE)+VLOOKUP(DN$3,'Embedded Emissions'!$A$129:$B$158,2,FALSE)), $C55 = "2",'Inputs-System'!$C$30*'Coincidence Factors'!$B$7*(1+'Inputs-System'!$C$18)*(1+'Inputs-System'!$C$41)*'Inputs-Proposals'!$K$23*'Inputs-Proposals'!$K$25*('Inputs-Proposals'!$K$20)*(VLOOKUP(DN$3,'Embedded Emissions'!$A$47:$B$78,2,FALSE)+VLOOKUP(DN$3,'Embedded Emissions'!$A$129:$B$158,2,FALSE)), $C55 = "3", 'Inputs-System'!$C$30*'Coincidence Factors'!$B$7*(1+'Inputs-System'!$C$18)*(1+'Inputs-System'!$C$41)*'Inputs-Proposals'!$K$29*'Inputs-Proposals'!$K$31*('Inputs-Proposals'!$K$20)*(VLOOKUP(DN$3,'Embedded Emissions'!$A$47:$B$78,2,FALSE)+VLOOKUP(DN$3,'Embedded Emissions'!$A$129:$B$158,2,FALSE)), $C55 = "0", 0), 0)</f>
        <v>0</v>
      </c>
      <c r="DP55" s="44">
        <f>IFERROR(_xlfn.IFS($C55="1",( 'Inputs-System'!$C$30*'Coincidence Factors'!$B$7*(1+'Inputs-System'!$C$18)*(1+'Inputs-System'!$C$41))*('Inputs-Proposals'!$K$17*'Inputs-Proposals'!$K$19*('Inputs-Proposals'!$K$20))*(VLOOKUP(DN$3,DRIPE!$A$54:$I$82,5,FALSE)+VLOOKUP(DN$3,DRIPE!$A$54:$I$82,9,FALSE))+ ('Inputs-System'!$C$26*'Coincidence Factors'!$B$7*(1+'Inputs-System'!$C$18)*(1+'Inputs-System'!$C$42))*'Inputs-Proposals'!$K$16*VLOOKUP(DN$3,DRIPE!$A$54:$I$82,8,FALSE), $C55 = "2",( 'Inputs-System'!$C$30*'Coincidence Factors'!$B$7*(1+'Inputs-System'!$C$18)*(1+'Inputs-System'!$C$41))*('Inputs-Proposals'!$K$23*'Inputs-Proposals'!$K$25*('Inputs-Proposals'!$K$26))*(VLOOKUP(DN$3,DRIPE!$A$54:$I$82,5,FALSE)+VLOOKUP(DN$3,DRIPE!$A$54:$I$82,12,FALSE))+ ('Inputs-System'!$C$26*'Coincidence Factors'!$B$7*(1+'Inputs-System'!$C$18)*(1+'Inputs-System'!$C$42))*'Inputs-Proposals'!$K$22*VLOOKUP(DN$3,DRIPE!$A$54:$I$82,8,FALSE), $C55= "3", ( 'Inputs-System'!$C$30*'Coincidence Factors'!$B$7*(1+'Inputs-System'!$C$18)*(1+'Inputs-System'!$C$41))*('Inputs-Proposals'!$K$29*'Inputs-Proposals'!$K$31*('Inputs-Proposals'!$K$32))*(VLOOKUP(DN$3,DRIPE!$A$54:$I$82,5,FALSE)+VLOOKUP(DN$3,DRIPE!$A$54:$I$82,12,FALSE))+ ('Inputs-System'!$C$26*'Coincidence Factors'!$B$7*(1+'Inputs-System'!$C$18)*(1+'Inputs-System'!$C$42))*'Inputs-Proposals'!$K$28*VLOOKUP(DN$3,DRIPE!$A$54:$I$82,8,FALSE), $C55 = "0", 0), 0)</f>
        <v>0</v>
      </c>
      <c r="DQ55" s="45">
        <f>IFERROR(_xlfn.IFS($C55="1",('Inputs-System'!$C$26*'Coincidence Factors'!$B$7*(1+'Inputs-System'!$C$18))*'Inputs-Proposals'!$K$16*(VLOOKUP(DN$3,Capacity!$A$53:$E$85,4,FALSE)*(1+'Inputs-System'!$C$42)+VLOOKUP(DN$3,Capacity!$A$53:$E$85,5,FALSE)*'Inputs-System'!$C$29*(1+'Inputs-System'!$C$43)), $C55 = "2", ('Inputs-System'!$C$26*'Coincidence Factors'!$B$7*(1+'Inputs-System'!$C$18))*'Inputs-Proposals'!$K$22*(VLOOKUP(DN$3,Capacity!$A$53:$E$85,4,FALSE)*(1+'Inputs-System'!$C$42)+VLOOKUP(DN$3,Capacity!$A$53:$E$85,5,FALSE)*'Inputs-System'!$C$29*(1+'Inputs-System'!$C$43)), $C55 = "3",('Inputs-System'!$C$26*'Coincidence Factors'!$B$7*(1+'Inputs-System'!$C$18))*'Inputs-Proposals'!$K$28*(VLOOKUP(DN$3,Capacity!$A$53:$E$85,4,FALSE)*(1+'Inputs-System'!$C$42)+VLOOKUP(DN$3,Capacity!$A$53:$E$85,5,FALSE)*'Inputs-System'!$C$29*(1+'Inputs-System'!$C$43)), $C55 = "0", 0), 0)</f>
        <v>0</v>
      </c>
      <c r="DR55" s="44">
        <v>0</v>
      </c>
      <c r="DS55" s="342">
        <f>IFERROR(_xlfn.IFS($C55="1", 'Inputs-System'!$C$30*'Coincidence Factors'!$B$7*'Inputs-Proposals'!$K$17*'Inputs-Proposals'!$K$19*(VLOOKUP(DN$3,'Non-Embedded Emissions'!$A$56:$D$90,2,FALSE)+VLOOKUP(DN$3,'Non-Embedded Emissions'!$A$143:$D$174,2,FALSE)+VLOOKUP(DN$3,'Non-Embedded Emissions'!$A$230:$D$259,2,FALSE)), $C55 = "2", 'Inputs-System'!$C$30*'Coincidence Factors'!$B$7*'Inputs-Proposals'!$K$23*'Inputs-Proposals'!$K$25*(VLOOKUP(DN$3,'Non-Embedded Emissions'!$A$56:$D$90,2,FALSE)+VLOOKUP(DN$3,'Non-Embedded Emissions'!$A$143:$D$174,2,FALSE)+VLOOKUP(DN$3,'Non-Embedded Emissions'!$A$230:$D$259,2,FALSE)), $C55 = "3", 'Inputs-System'!$C$30*'Coincidence Factors'!$B$7*'Inputs-Proposals'!$K$29*'Inputs-Proposals'!$K$31*(VLOOKUP(DN$3,'Non-Embedded Emissions'!$A$56:$D$90,2,FALSE)+VLOOKUP(DN$3,'Non-Embedded Emissions'!$A$143:$D$174,2,FALSE)+VLOOKUP(DN$3,'Non-Embedded Emissions'!$A$230:$D$259,2,FALSE)), $C55 = "0", 0), 0)</f>
        <v>0</v>
      </c>
      <c r="DT55" s="347">
        <f>IFERROR(_xlfn.IFS($C55="1",('Inputs-System'!$C$30*'Coincidence Factors'!$B$7*(1+'Inputs-System'!$C$18)*(1+'Inputs-System'!$C$41)*('Inputs-Proposals'!$K$17*'Inputs-Proposals'!$K$19*('Inputs-Proposals'!$K$20))*(VLOOKUP(DT$3,Energy!$A$51:$K$83,5,FALSE))), $C55 = "2",('Inputs-System'!$C$30*'Coincidence Factors'!$B$7)*(1+'Inputs-System'!$C$18)*(1+'Inputs-System'!$C$41)*('Inputs-Proposals'!$K$23*'Inputs-Proposals'!$K$25*('Inputs-Proposals'!$K$26))*(VLOOKUP(DT$3,Energy!$A$51:$K$83,5,FALSE)), $C55= "3", ('Inputs-System'!$C$30*'Coincidence Factors'!$B$7*(1+'Inputs-System'!$C$18)*(1+'Inputs-System'!$C$41)*('Inputs-Proposals'!$K$29*'Inputs-Proposals'!$K$31*('Inputs-Proposals'!$K$32))*(VLOOKUP(DT$3,Energy!$A$51:$K$83,5,FALSE))), $C55= "0", 0), 0)</f>
        <v>0</v>
      </c>
      <c r="DU55" s="44">
        <f>IFERROR(_xlfn.IFS($C55="1",'Inputs-System'!$C$30*'Coincidence Factors'!$B$7*(1+'Inputs-System'!$C$18)*(1+'Inputs-System'!$C$41)*'Inputs-Proposals'!$K$17*'Inputs-Proposals'!$K$19*('Inputs-Proposals'!$K$20)*(VLOOKUP(DT$3,'Embedded Emissions'!$A$47:$B$78,2,FALSE)+VLOOKUP(DT$3,'Embedded Emissions'!$A$129:$B$158,2,FALSE)), $C55 = "2",'Inputs-System'!$C$30*'Coincidence Factors'!$B$7*(1+'Inputs-System'!$C$18)*(1+'Inputs-System'!$C$41)*'Inputs-Proposals'!$K$23*'Inputs-Proposals'!$K$25*('Inputs-Proposals'!$K$20)*(VLOOKUP(DT$3,'Embedded Emissions'!$A$47:$B$78,2,FALSE)+VLOOKUP(DT$3,'Embedded Emissions'!$A$129:$B$158,2,FALSE)), $C55 = "3", 'Inputs-System'!$C$30*'Coincidence Factors'!$B$7*(1+'Inputs-System'!$C$18)*(1+'Inputs-System'!$C$41)*'Inputs-Proposals'!$K$29*'Inputs-Proposals'!$K$31*('Inputs-Proposals'!$K$20)*(VLOOKUP(DT$3,'Embedded Emissions'!$A$47:$B$78,2,FALSE)+VLOOKUP(DT$3,'Embedded Emissions'!$A$129:$B$158,2,FALSE)), $C55 = "0", 0), 0)</f>
        <v>0</v>
      </c>
      <c r="DV55" s="44">
        <f>IFERROR(_xlfn.IFS($C55="1",( 'Inputs-System'!$C$30*'Coincidence Factors'!$B$7*(1+'Inputs-System'!$C$18)*(1+'Inputs-System'!$C$41))*('Inputs-Proposals'!$K$17*'Inputs-Proposals'!$K$19*('Inputs-Proposals'!$K$20))*(VLOOKUP(DT$3,DRIPE!$A$54:$I$82,5,FALSE)+VLOOKUP(DT$3,DRIPE!$A$54:$I$82,9,FALSE))+ ('Inputs-System'!$C$26*'Coincidence Factors'!$B$7*(1+'Inputs-System'!$C$18)*(1+'Inputs-System'!$C$42))*'Inputs-Proposals'!$K$16*VLOOKUP(DT$3,DRIPE!$A$54:$I$82,8,FALSE), $C55 = "2",( 'Inputs-System'!$C$30*'Coincidence Factors'!$B$7*(1+'Inputs-System'!$C$18)*(1+'Inputs-System'!$C$41))*('Inputs-Proposals'!$K$23*'Inputs-Proposals'!$K$25*('Inputs-Proposals'!$K$26))*(VLOOKUP(DT$3,DRIPE!$A$54:$I$82,5,FALSE)+VLOOKUP(DT$3,DRIPE!$A$54:$I$82,12,FALSE))+ ('Inputs-System'!$C$26*'Coincidence Factors'!$B$7*(1+'Inputs-System'!$C$18)*(1+'Inputs-System'!$C$42))*'Inputs-Proposals'!$K$22*VLOOKUP(DT$3,DRIPE!$A$54:$I$82,8,FALSE), $C55= "3", ( 'Inputs-System'!$C$30*'Coincidence Factors'!$B$7*(1+'Inputs-System'!$C$18)*(1+'Inputs-System'!$C$41))*('Inputs-Proposals'!$K$29*'Inputs-Proposals'!$K$31*('Inputs-Proposals'!$K$32))*(VLOOKUP(DT$3,DRIPE!$A$54:$I$82,5,FALSE)+VLOOKUP(DT$3,DRIPE!$A$54:$I$82,12,FALSE))+ ('Inputs-System'!$C$26*'Coincidence Factors'!$B$7*(1+'Inputs-System'!$C$18)*(1+'Inputs-System'!$C$42))*'Inputs-Proposals'!$K$28*VLOOKUP(DT$3,DRIPE!$A$54:$I$82,8,FALSE), $C55 = "0", 0), 0)</f>
        <v>0</v>
      </c>
      <c r="DW55" s="45">
        <f>IFERROR(_xlfn.IFS($C55="1",('Inputs-System'!$C$26*'Coincidence Factors'!$B$7*(1+'Inputs-System'!$C$18))*'Inputs-Proposals'!$K$16*(VLOOKUP(DT$3,Capacity!$A$53:$E$85,4,FALSE)*(1+'Inputs-System'!$C$42)+VLOOKUP(DT$3,Capacity!$A$53:$E$85,5,FALSE)*'Inputs-System'!$C$29*(1+'Inputs-System'!$C$43)), $C55 = "2", ('Inputs-System'!$C$26*'Coincidence Factors'!$B$7*(1+'Inputs-System'!$C$18))*'Inputs-Proposals'!$K$22*(VLOOKUP(DT$3,Capacity!$A$53:$E$85,4,FALSE)*(1+'Inputs-System'!$C$42)+VLOOKUP(DT$3,Capacity!$A$53:$E$85,5,FALSE)*'Inputs-System'!$C$29*(1+'Inputs-System'!$C$43)), $C55 = "3",('Inputs-System'!$C$26*'Coincidence Factors'!$B$7*(1+'Inputs-System'!$C$18))*'Inputs-Proposals'!$K$28*(VLOOKUP(DT$3,Capacity!$A$53:$E$85,4,FALSE)*(1+'Inputs-System'!$C$42)+VLOOKUP(DT$3,Capacity!$A$53:$E$85,5,FALSE)*'Inputs-System'!$C$29*(1+'Inputs-System'!$C$43)), $C55 = "0", 0), 0)</f>
        <v>0</v>
      </c>
      <c r="DX55" s="44">
        <v>0</v>
      </c>
      <c r="DY55" s="342">
        <f>IFERROR(_xlfn.IFS($C55="1", 'Inputs-System'!$C$30*'Coincidence Factors'!$B$7*'Inputs-Proposals'!$K$17*'Inputs-Proposals'!$K$19*(VLOOKUP(DT$3,'Non-Embedded Emissions'!$A$56:$D$90,2,FALSE)+VLOOKUP(DT$3,'Non-Embedded Emissions'!$A$143:$D$174,2,FALSE)+VLOOKUP(DT$3,'Non-Embedded Emissions'!$A$230:$D$259,2,FALSE)), $C55 = "2", 'Inputs-System'!$C$30*'Coincidence Factors'!$B$7*'Inputs-Proposals'!$K$23*'Inputs-Proposals'!$K$25*(VLOOKUP(DT$3,'Non-Embedded Emissions'!$A$56:$D$90,2,FALSE)+VLOOKUP(DT$3,'Non-Embedded Emissions'!$A$143:$D$174,2,FALSE)+VLOOKUP(DT$3,'Non-Embedded Emissions'!$A$230:$D$259,2,FALSE)), $C55 = "3", 'Inputs-System'!$C$30*'Coincidence Factors'!$B$7*'Inputs-Proposals'!$K$29*'Inputs-Proposals'!$K$31*(VLOOKUP(DT$3,'Non-Embedded Emissions'!$A$56:$D$90,2,FALSE)+VLOOKUP(DT$3,'Non-Embedded Emissions'!$A$143:$D$174,2,FALSE)+VLOOKUP(DT$3,'Non-Embedded Emissions'!$A$230:$D$259,2,FALSE)), $C55 = "0", 0), 0)</f>
        <v>0</v>
      </c>
      <c r="DZ55" s="347">
        <f>IFERROR(_xlfn.IFS($C55="1",('Inputs-System'!$C$30*'Coincidence Factors'!$B$7*(1+'Inputs-System'!$C$18)*(1+'Inputs-System'!$C$41)*('Inputs-Proposals'!$K$17*'Inputs-Proposals'!$K$19*('Inputs-Proposals'!$K$20))*(VLOOKUP(DZ$3,Energy!$A$51:$K$83,5,FALSE))), $C55 = "2",('Inputs-System'!$C$30*'Coincidence Factors'!$B$7)*(1+'Inputs-System'!$C$18)*(1+'Inputs-System'!$C$41)*('Inputs-Proposals'!$K$23*'Inputs-Proposals'!$K$25*('Inputs-Proposals'!$K$26))*(VLOOKUP(DZ$3,Energy!$A$51:$K$83,5,FALSE)), $C55= "3", ('Inputs-System'!$C$30*'Coincidence Factors'!$B$7*(1+'Inputs-System'!$C$18)*(1+'Inputs-System'!$C$41)*('Inputs-Proposals'!$K$29*'Inputs-Proposals'!$K$31*('Inputs-Proposals'!$K$32))*(VLOOKUP(DZ$3,Energy!$A$51:$K$83,5,FALSE))), $C55= "0", 0), 0)</f>
        <v>0</v>
      </c>
      <c r="EA55" s="44">
        <f>IFERROR(_xlfn.IFS($C55="1",'Inputs-System'!$C$30*'Coincidence Factors'!$B$7*(1+'Inputs-System'!$C$18)*(1+'Inputs-System'!$C$41)*'Inputs-Proposals'!$K$17*'Inputs-Proposals'!$K$19*('Inputs-Proposals'!$K$20)*(VLOOKUP(DZ$3,'Embedded Emissions'!$A$47:$B$78,2,FALSE)+VLOOKUP(DZ$3,'Embedded Emissions'!$A$129:$B$158,2,FALSE)), $C55 = "2",'Inputs-System'!$C$30*'Coincidence Factors'!$B$7*(1+'Inputs-System'!$C$18)*(1+'Inputs-System'!$C$41)*'Inputs-Proposals'!$K$23*'Inputs-Proposals'!$K$25*('Inputs-Proposals'!$K$20)*(VLOOKUP(DZ$3,'Embedded Emissions'!$A$47:$B$78,2,FALSE)+VLOOKUP(DZ$3,'Embedded Emissions'!$A$129:$B$158,2,FALSE)), $C55 = "3", 'Inputs-System'!$C$30*'Coincidence Factors'!$B$7*(1+'Inputs-System'!$C$18)*(1+'Inputs-System'!$C$41)*'Inputs-Proposals'!$K$29*'Inputs-Proposals'!$K$31*('Inputs-Proposals'!$K$20)*(VLOOKUP(DZ$3,'Embedded Emissions'!$A$47:$B$78,2,FALSE)+VLOOKUP(DZ$3,'Embedded Emissions'!$A$129:$B$158,2,FALSE)), $C55 = "0", 0), 0)</f>
        <v>0</v>
      </c>
      <c r="EB55" s="44">
        <f>IFERROR(_xlfn.IFS($C55="1",( 'Inputs-System'!$C$30*'Coincidence Factors'!$B$7*(1+'Inputs-System'!$C$18)*(1+'Inputs-System'!$C$41))*('Inputs-Proposals'!$K$17*'Inputs-Proposals'!$K$19*('Inputs-Proposals'!$K$20))*(VLOOKUP(DZ$3,DRIPE!$A$54:$I$82,5,FALSE)+VLOOKUP(DZ$3,DRIPE!$A$54:$I$82,9,FALSE))+ ('Inputs-System'!$C$26*'Coincidence Factors'!$B$7*(1+'Inputs-System'!$C$18)*(1+'Inputs-System'!$C$42))*'Inputs-Proposals'!$K$16*VLOOKUP(DZ$3,DRIPE!$A$54:$I$82,8,FALSE), $C55 = "2",( 'Inputs-System'!$C$30*'Coincidence Factors'!$B$7*(1+'Inputs-System'!$C$18)*(1+'Inputs-System'!$C$41))*('Inputs-Proposals'!$K$23*'Inputs-Proposals'!$K$25*('Inputs-Proposals'!$K$26))*(VLOOKUP(DZ$3,DRIPE!$A$54:$I$82,5,FALSE)+VLOOKUP(DZ$3,DRIPE!$A$54:$I$82,12,FALSE))+ ('Inputs-System'!$C$26*'Coincidence Factors'!$B$7*(1+'Inputs-System'!$C$18)*(1+'Inputs-System'!$C$42))*'Inputs-Proposals'!$K$22*VLOOKUP(DZ$3,DRIPE!$A$54:$I$82,8,FALSE), $C55= "3", ( 'Inputs-System'!$C$30*'Coincidence Factors'!$B$7*(1+'Inputs-System'!$C$18)*(1+'Inputs-System'!$C$41))*('Inputs-Proposals'!$K$29*'Inputs-Proposals'!$K$31*('Inputs-Proposals'!$K$32))*(VLOOKUP(DZ$3,DRIPE!$A$54:$I$82,5,FALSE)+VLOOKUP(DZ$3,DRIPE!$A$54:$I$82,12,FALSE))+ ('Inputs-System'!$C$26*'Coincidence Factors'!$B$7*(1+'Inputs-System'!$C$18)*(1+'Inputs-System'!$C$42))*'Inputs-Proposals'!$K$28*VLOOKUP(DZ$3,DRIPE!$A$54:$I$82,8,FALSE), $C55 = "0", 0), 0)</f>
        <v>0</v>
      </c>
      <c r="EC55" s="45">
        <f>IFERROR(_xlfn.IFS($C55="1",('Inputs-System'!$C$26*'Coincidence Factors'!$B$7*(1+'Inputs-System'!$C$18))*'Inputs-Proposals'!$K$16*(VLOOKUP(DZ$3,Capacity!$A$53:$E$85,4,FALSE)*(1+'Inputs-System'!$C$42)+VLOOKUP(DZ$3,Capacity!$A$53:$E$85,5,FALSE)*'Inputs-System'!$C$29*(1+'Inputs-System'!$C$43)), $C55 = "2", ('Inputs-System'!$C$26*'Coincidence Factors'!$B$7*(1+'Inputs-System'!$C$18))*'Inputs-Proposals'!$K$22*(VLOOKUP(DZ$3,Capacity!$A$53:$E$85,4,FALSE)*(1+'Inputs-System'!$C$42)+VLOOKUP(DZ$3,Capacity!$A$53:$E$85,5,FALSE)*'Inputs-System'!$C$29*(1+'Inputs-System'!$C$43)), $C55 = "3",('Inputs-System'!$C$26*'Coincidence Factors'!$B$7*(1+'Inputs-System'!$C$18))*'Inputs-Proposals'!$K$28*(VLOOKUP(DZ$3,Capacity!$A$53:$E$85,4,FALSE)*(1+'Inputs-System'!$C$42)+VLOOKUP(DZ$3,Capacity!$A$53:$E$85,5,FALSE)*'Inputs-System'!$C$29*(1+'Inputs-System'!$C$43)), $C55 = "0", 0), 0)</f>
        <v>0</v>
      </c>
      <c r="ED55" s="44">
        <v>0</v>
      </c>
      <c r="EE55" s="342">
        <f>IFERROR(_xlfn.IFS($C55="1", 'Inputs-System'!$C$30*'Coincidence Factors'!$B$7*'Inputs-Proposals'!$K$17*'Inputs-Proposals'!$K$19*(VLOOKUP(DZ$3,'Non-Embedded Emissions'!$A$56:$D$90,2,FALSE)+VLOOKUP(DZ$3,'Non-Embedded Emissions'!$A$143:$D$174,2,FALSE)+VLOOKUP(DZ$3,'Non-Embedded Emissions'!$A$230:$D$259,2,FALSE)), $C55 = "2", 'Inputs-System'!$C$30*'Coincidence Factors'!$B$7*'Inputs-Proposals'!$K$23*'Inputs-Proposals'!$K$25*(VLOOKUP(DZ$3,'Non-Embedded Emissions'!$A$56:$D$90,2,FALSE)+VLOOKUP(DZ$3,'Non-Embedded Emissions'!$A$143:$D$174,2,FALSE)+VLOOKUP(DZ$3,'Non-Embedded Emissions'!$A$230:$D$259,2,FALSE)), $C55 = "3", 'Inputs-System'!$C$30*'Coincidence Factors'!$B$7*'Inputs-Proposals'!$K$29*'Inputs-Proposals'!$K$31*(VLOOKUP(DZ$3,'Non-Embedded Emissions'!$A$56:$D$90,2,FALSE)+VLOOKUP(DZ$3,'Non-Embedded Emissions'!$A$143:$D$174,2,FALSE)+VLOOKUP(DZ$3,'Non-Embedded Emissions'!$A$230:$D$259,2,FALSE)), $C55 = "0", 0), 0)</f>
        <v>0</v>
      </c>
    </row>
    <row r="56" spans="1:135" x14ac:dyDescent="0.35">
      <c r="A56" s="708"/>
      <c r="B56" s="3" t="s">
        <v>160</v>
      </c>
      <c r="C56" s="3" t="str">
        <f>IFERROR(_xlfn.IFS('Benefits Calc'!B56='Inputs-Proposals'!$K$15, "1", 'Benefits Calc'!B56='Inputs-Proposals'!$K$21, "2", 'Benefits Calc'!B56='Inputs-Proposals'!$K$27, "3"), "0")</f>
        <v>0</v>
      </c>
      <c r="D56" s="323">
        <f t="shared" si="0"/>
        <v>0</v>
      </c>
      <c r="E56" s="44">
        <f t="shared" si="1"/>
        <v>0</v>
      </c>
      <c r="F56" s="44">
        <f t="shared" si="2"/>
        <v>0</v>
      </c>
      <c r="G56" s="44">
        <f t="shared" si="3"/>
        <v>0</v>
      </c>
      <c r="H56" s="44">
        <f t="shared" si="4"/>
        <v>0</v>
      </c>
      <c r="I56" s="44">
        <f t="shared" si="5"/>
        <v>0</v>
      </c>
      <c r="J56" s="323">
        <f>NPV('Inputs-System'!$C$20,P56+V56+AB56+AH56+AN56+AT56+AZ56+BF56+BL56+BR56+BX56+CD56+CJ56+CP56+CV56+DB56+DH56+DN56+DT56+DZ56)</f>
        <v>0</v>
      </c>
      <c r="K56" s="44">
        <f>NPV('Inputs-System'!$C$20,Q56+W56+AC56+AI56+AO56+AU56+BA56+BG56+BM56+BS56+BY56+CE56+CK56+CQ56+CW56+DC56+DI56+DO56+DU56+EA56)</f>
        <v>0</v>
      </c>
      <c r="L56" s="44">
        <f>NPV('Inputs-System'!$C$20,R56+X56+AD56+AJ56+AP56+AV56+BB56+BH56+BN56+BT56+BZ56+CF56+CL56+CR56+CX56+DD56+DJ56+DP56+DV56+EB56)</f>
        <v>0</v>
      </c>
      <c r="M56" s="44">
        <f>NPV('Inputs-System'!$C$20,S56+Y56+AE56+AK56+AQ56+AW56+BC56+BI56+BO56+BU56+CA56+CG56+CM56+CS56+CY56+DE56+DK56+DQ56+DW56+EC56)</f>
        <v>0</v>
      </c>
      <c r="N56" s="44">
        <f>NPV('Inputs-System'!$C$20,T56+Z56+AF56+AL56+AR56+AX56+BD56+BJ56+BP56+BV56+CB56+CH56+CN56+CT56+CZ56+DF56+DL56+DR56+DX56+ED56)</f>
        <v>0</v>
      </c>
      <c r="O56" s="119">
        <f>NPV('Inputs-System'!$C$20,U56+AA56+AG56+AM56+AS56+AY56+BE56+BK56+BQ56+BW56+CC56+CI56+CO56+CU56+DA56+DG56+DM56+DS56+DY56+EE56)</f>
        <v>0</v>
      </c>
      <c r="P56" s="45">
        <f>IFERROR(_xlfn.IFS($C56="1",('Inputs-System'!$C$30*'Coincidence Factors'!$B$8*(1+'Inputs-System'!$C$18)*(1+'Inputs-System'!$C$41)*('Inputs-Proposals'!$K$17*'Inputs-Proposals'!$K$19*('Inputs-Proposals'!$K$20))*(VLOOKUP(P$3,Energy!$A$51:$K$83,5,FALSE))), $C56 = "2",('Inputs-System'!$C$30*'Coincidence Factors'!$B$8)*(1+'Inputs-System'!$C$18)*(1+'Inputs-System'!$C$41)*('Inputs-Proposals'!$K$23*'Inputs-Proposals'!$K$25*('Inputs-Proposals'!$K$26))*(VLOOKUP(P$3,Energy!$A$51:$K$83,5,FALSE)), $C56= "3", ('Inputs-System'!$C$30*'Coincidence Factors'!$B$8*(1+'Inputs-System'!$C$18)*(1+'Inputs-System'!$C$41)*('Inputs-Proposals'!$K$29*'Inputs-Proposals'!$K$31*('Inputs-Proposals'!$K$32))*(VLOOKUP(P$3,Energy!$A$51:$K$83,5,FALSE))), $C56= "0", 0), 0)</f>
        <v>0</v>
      </c>
      <c r="Q56" s="44">
        <f>IFERROR(_xlfn.IFS($C56="1",'Inputs-System'!$C$30*'Coincidence Factors'!$B$8*(1+'Inputs-System'!$C$18)*(1+'Inputs-System'!$C$41)*'Inputs-Proposals'!$K$17*'Inputs-Proposals'!$K$19*('Inputs-Proposals'!$K$20)*(VLOOKUP(P$3,'Embedded Emissions'!$A$47:$B$78,2,FALSE)+VLOOKUP(P$3,'Embedded Emissions'!$A$129:$B$158,2,FALSE)), $C56 = "2", 'Inputs-System'!$C$30*'Coincidence Factors'!$B$8*(1+'Inputs-System'!$C$18)*(1+'Inputs-System'!$C$41)*'Inputs-Proposals'!$K$23*'Inputs-Proposals'!$K$25*('Inputs-Proposals'!$K$20)*(VLOOKUP(P$3,'Embedded Emissions'!$A$47:$B$78,2,FALSE)+VLOOKUP(P$3,'Embedded Emissions'!$A$129:$B$158,2,FALSE)), $C56 = "3",'Inputs-System'!$C$30*'Coincidence Factors'!$B$8*(1+'Inputs-System'!$C$18)*(1+'Inputs-System'!$C$41)*'Inputs-Proposals'!$K$29*'Inputs-Proposals'!$K$31*('Inputs-Proposals'!$K$20)*(VLOOKUP(P$3,'Embedded Emissions'!$A$47:$B$78,2,FALSE)+VLOOKUP(P$3,'Embedded Emissions'!$A$129:$B$158,2,FALSE)), $C56 = "0", 0), 0)</f>
        <v>0</v>
      </c>
      <c r="R56" s="44">
        <f>IFERROR(_xlfn.IFS($C56="1",( 'Inputs-System'!$C$30*'Coincidence Factors'!$B$8*(1+'Inputs-System'!$C$18)*(1+'Inputs-System'!$C$41))*('Inputs-Proposals'!$K$17*'Inputs-Proposals'!$K$19*('Inputs-Proposals'!$K$20))*(VLOOKUP(P$3,DRIPE!$A$54:$I$82,5,FALSE)+VLOOKUP(P$3,DRIPE!$A$54:$I$82,9,FALSE))+ ('Inputs-System'!$C$26*'Coincidence Factors'!$B$8*(1+'Inputs-System'!$C$18)*(1+'Inputs-System'!$C$42))*'Inputs-Proposals'!$K$16*VLOOKUP(P$3,DRIPE!$A$54:$I$82,8,FALSE), $C56 = "2",( 'Inputs-System'!$C$30*'Coincidence Factors'!$B$8*(1+'Inputs-System'!$C$18)*(1+'Inputs-System'!$C$41))*('Inputs-Proposals'!$K$23*'Inputs-Proposals'!$K$25*('Inputs-Proposals'!$K$26))*(VLOOKUP(P$3,DRIPE!$A$54:$I$82,5,FALSE)+VLOOKUP(P$3,DRIPE!$A$54:$I$82,9,FALSE))+  ('Inputs-System'!$C$26*'Coincidence Factors'!$B$8*(1+'Inputs-System'!$C$18)*(1+'Inputs-System'!$C$42))*'Inputs-Proposals'!$K$22*VLOOKUP(P$3,DRIPE!$A$54:$I$82,8,FALSE), $C56= "3", ( 'Inputs-System'!$C$30*'Coincidence Factors'!$B$8*(1+'Inputs-System'!$C$18)*(1+'Inputs-System'!$C$41))*('Inputs-Proposals'!$K$29*'Inputs-Proposals'!$K$31*('Inputs-Proposals'!$K$32))*(VLOOKUP(P$3,DRIPE!$A$54:$I$82,5,FALSE)+VLOOKUP(P$3,DRIPE!$A$54:$I$82,9,FALSE))+  ('Inputs-System'!$C$26*'Coincidence Factors'!$B$8*(1+'Inputs-System'!$C$18)*(1+'Inputs-System'!$C$42))*'Inputs-Proposals'!$K$28*VLOOKUP(P$3,DRIPE!$A$54:$I$82,8,FALSE), $C56 = "0", 0), 0)</f>
        <v>0</v>
      </c>
      <c r="S56" s="45">
        <f>IFERROR(_xlfn.IFS($C56="1",('Inputs-System'!$C$30*'Coincidence Factors'!$B$8*(1+'Inputs-System'!$C$18))*'Inputs-Proposals'!$K$16*(VLOOKUP(P$3,Capacity!$A$53:$E$85,4,FALSE)*(1+'Inputs-System'!$C$42)+VLOOKUP(P$3,Capacity!$A$53:$E$85,5,FALSE)*'Inputs-System'!$C$29*(1+'Inputs-System'!$C$43)), $C56 = "2", ('Inputs-System'!$C$30*'Coincidence Factors'!$B$8*(1+'Inputs-System'!$C$18))*'Inputs-Proposals'!$K$22*(VLOOKUP(P$3,Capacity!$A$53:$E$85,4,FALSE)*(1+'Inputs-System'!$C$42)+VLOOKUP(P$3,Capacity!$A$53:$E$85,5,FALSE)*'Inputs-System'!$C$29*(1+'Inputs-System'!$C$43)), $C56 = "3",('Inputs-System'!$C$30*'Coincidence Factors'!$B$8*(1+'Inputs-System'!$C$18))*'Inputs-Proposals'!$K$28*(VLOOKUP(P$3,Capacity!$A$53:$E$85,4,FALSE)*(1+'Inputs-System'!$C$42)+VLOOKUP(P$3,Capacity!$A$53:$E$85,5,FALSE)*'Inputs-System'!$C$29*(1+'Inputs-System'!$C$43)), $C56 = "0", 0), 0)</f>
        <v>0</v>
      </c>
      <c r="T56" s="44">
        <v>0</v>
      </c>
      <c r="U56" s="44">
        <f>IFERROR(_xlfn.IFS($C56="1", 'Inputs-System'!$C$30*'Coincidence Factors'!$B$8*'Inputs-Proposals'!$K$17*'Inputs-Proposals'!$K$19*(VLOOKUP(P$3,'Non-Embedded Emissions'!$A$56:$D$90,2,FALSE)+VLOOKUP(P$3,'Non-Embedded Emissions'!$A$143:$D$174,2,FALSE)+VLOOKUP(P$3,'Non-Embedded Emissions'!$A$230:$D$259,2,FALSE)), $C56 = "2", 'Inputs-System'!$C$30*'Coincidence Factors'!$B$8*'Inputs-Proposals'!$K$23*'Inputs-Proposals'!$K$25*(VLOOKUP(P$3,'Non-Embedded Emissions'!$A$56:$D$90,2,FALSE)+VLOOKUP(P$3,'Non-Embedded Emissions'!$A$143:$D$174,2,FALSE)+VLOOKUP(P$3,'Non-Embedded Emissions'!$A$230:$D$259,2,FALSE)), $C56 = "3", 'Inputs-System'!$C$30*'Coincidence Factors'!$B$8*'Inputs-Proposals'!$K$29*'Inputs-Proposals'!$K$31*(VLOOKUP(P$3,'Non-Embedded Emissions'!$A$56:$D$90,2,FALSE)+VLOOKUP(P$3,'Non-Embedded Emissions'!$A$143:$D$174,2,FALSE)+VLOOKUP(P$3,'Non-Embedded Emissions'!$A$230:$D$259,2,FALSE)), $C56 = "0", 0), 0)</f>
        <v>0</v>
      </c>
      <c r="V56" s="347">
        <f>IFERROR(_xlfn.IFS($C56="1",('Inputs-System'!$C$30*'Coincidence Factors'!$B$8*(1+'Inputs-System'!$C$18)*(1+'Inputs-System'!$C$41)*('Inputs-Proposals'!$K$17*'Inputs-Proposals'!$K$19*('Inputs-Proposals'!$K$20))*(VLOOKUP(V$3,Energy!$A$51:$K$83,5,FALSE))), $C56 = "2",('Inputs-System'!$C$30*'Coincidence Factors'!$B$8)*(1+'Inputs-System'!$C$18)*(1+'Inputs-System'!$C$41)*('Inputs-Proposals'!$K$23*'Inputs-Proposals'!$K$25*('Inputs-Proposals'!$K$26))*(VLOOKUP(V$3,Energy!$A$51:$K$83,5,FALSE)), $C56= "3", ('Inputs-System'!$C$30*'Coincidence Factors'!$B$8*(1+'Inputs-System'!$C$18)*(1+'Inputs-System'!$C$41)*('Inputs-Proposals'!$K$29*'Inputs-Proposals'!$K$31*('Inputs-Proposals'!$K$32))*(VLOOKUP(V$3,Energy!$A$51:$K$83,5,FALSE))), $C56= "0", 0), 0)</f>
        <v>0</v>
      </c>
      <c r="W56" s="44">
        <f>IFERROR(_xlfn.IFS($C56="1",'Inputs-System'!$C$30*'Coincidence Factors'!$B$8*(1+'Inputs-System'!$C$18)*(1+'Inputs-System'!$C$41)*'Inputs-Proposals'!$K$17*'Inputs-Proposals'!$K$19*('Inputs-Proposals'!$K$20)*(VLOOKUP(V$3,'Embedded Emissions'!$A$47:$B$78,2,FALSE)+VLOOKUP(V$3,'Embedded Emissions'!$A$129:$B$158,2,FALSE)), $C56 = "2", 'Inputs-System'!$C$30*'Coincidence Factors'!$B$8*(1+'Inputs-System'!$C$18)*(1+'Inputs-System'!$C$41)*'Inputs-Proposals'!$K$23*'Inputs-Proposals'!$K$25*('Inputs-Proposals'!$K$20)*(VLOOKUP(V$3,'Embedded Emissions'!$A$47:$B$78,2,FALSE)+VLOOKUP(V$3,'Embedded Emissions'!$A$129:$B$158,2,FALSE)), $C56 = "3",'Inputs-System'!$C$30*'Coincidence Factors'!$B$8*(1+'Inputs-System'!$C$18)*(1+'Inputs-System'!$C$41)*'Inputs-Proposals'!$K$29*'Inputs-Proposals'!$K$31*('Inputs-Proposals'!$K$20)*(VLOOKUP(V$3,'Embedded Emissions'!$A$47:$B$78,2,FALSE)+VLOOKUP(V$3,'Embedded Emissions'!$A$129:$B$158,2,FALSE)), $C56 = "0", 0), 0)</f>
        <v>0</v>
      </c>
      <c r="X56" s="44">
        <f>IFERROR(_xlfn.IFS($C56="1",( 'Inputs-System'!$C$30*'Coincidence Factors'!$B$8*(1+'Inputs-System'!$C$18)*(1+'Inputs-System'!$C$41))*('Inputs-Proposals'!$K$17*'Inputs-Proposals'!$K$19*('Inputs-Proposals'!$K$20))*(VLOOKUP(V$3,DRIPE!$A$54:$I$82,5,FALSE)+VLOOKUP(V$3,DRIPE!$A$54:$I$82,9,FALSE))+ ('Inputs-System'!$C$26*'Coincidence Factors'!$B$8*(1+'Inputs-System'!$C$18)*(1+'Inputs-System'!$C$42))*'Inputs-Proposals'!$K$16*VLOOKUP(V$3,DRIPE!$A$54:$I$82,8,FALSE), $C56 = "2",( 'Inputs-System'!$C$30*'Coincidence Factors'!$B$8*(1+'Inputs-System'!$C$18)*(1+'Inputs-System'!$C$41))*('Inputs-Proposals'!$K$23*'Inputs-Proposals'!$K$25*('Inputs-Proposals'!$K$26))*(VLOOKUP(V$3,DRIPE!$A$54:$I$82,5,FALSE)+VLOOKUP(V$3,DRIPE!$A$54:$I$82,9,FALSE))+  ('Inputs-System'!$C$26*'Coincidence Factors'!$B$8*(1+'Inputs-System'!$C$18)*(1+'Inputs-System'!$C$42))*'Inputs-Proposals'!$K$22*VLOOKUP(V$3,DRIPE!$A$54:$I$82,8,FALSE), $C56= "3", ( 'Inputs-System'!$C$30*'Coincidence Factors'!$B$8*(1+'Inputs-System'!$C$18)*(1+'Inputs-System'!$C$41))*('Inputs-Proposals'!$K$29*'Inputs-Proposals'!$K$31*('Inputs-Proposals'!$K$32))*(VLOOKUP(V$3,DRIPE!$A$54:$I$82,5,FALSE)+VLOOKUP(V$3,DRIPE!$A$54:$I$82,9,FALSE))+  ('Inputs-System'!$C$26*'Coincidence Factors'!$B$8*(1+'Inputs-System'!$C$18)*(1+'Inputs-System'!$C$42))*'Inputs-Proposals'!$K$28*VLOOKUP(V$3,DRIPE!$A$54:$I$82,8,FALSE), $C56 = "0", 0), 0)</f>
        <v>0</v>
      </c>
      <c r="Y56" s="45">
        <f>IFERROR(_xlfn.IFS($C56="1",('Inputs-System'!$C$30*'Coincidence Factors'!$B$8*(1+'Inputs-System'!$C$18))*'Inputs-Proposals'!$K$16*(VLOOKUP(V$3,Capacity!$A$53:$E$85,4,FALSE)*(1+'Inputs-System'!$C$42)+VLOOKUP(V$3,Capacity!$A$53:$E$85,5,FALSE)*'Inputs-System'!$C$29*(1+'Inputs-System'!$C$43)), $C56 = "2", ('Inputs-System'!$C$30*'Coincidence Factors'!$B$8*(1+'Inputs-System'!$C$18))*'Inputs-Proposals'!$K$22*(VLOOKUP(V$3,Capacity!$A$53:$E$85,4,FALSE)*(1+'Inputs-System'!$C$42)+VLOOKUP(V$3,Capacity!$A$53:$E$85,5,FALSE)*'Inputs-System'!$C$29*(1+'Inputs-System'!$C$43)), $C56 = "3",('Inputs-System'!$C$30*'Coincidence Factors'!$B$8*(1+'Inputs-System'!$C$18))*'Inputs-Proposals'!$K$28*(VLOOKUP(V$3,Capacity!$A$53:$E$85,4,FALSE)*(1+'Inputs-System'!$C$42)+VLOOKUP(V$3,Capacity!$A$53:$E$85,5,FALSE)*'Inputs-System'!$C$29*(1+'Inputs-System'!$C$43)), $C56 = "0", 0), 0)</f>
        <v>0</v>
      </c>
      <c r="Z56" s="44">
        <v>0</v>
      </c>
      <c r="AA56" s="342">
        <f>IFERROR(_xlfn.IFS($C56="1", 'Inputs-System'!$C$30*'Coincidence Factors'!$B$8*'Inputs-Proposals'!$K$17*'Inputs-Proposals'!$K$19*(VLOOKUP(V$3,'Non-Embedded Emissions'!$A$56:$D$90,2,FALSE)+VLOOKUP(V$3,'Non-Embedded Emissions'!$A$143:$D$174,2,FALSE)+VLOOKUP(V$3,'Non-Embedded Emissions'!$A$230:$D$259,2,FALSE)), $C56 = "2", 'Inputs-System'!$C$30*'Coincidence Factors'!$B$8*'Inputs-Proposals'!$K$23*'Inputs-Proposals'!$K$25*(VLOOKUP(V$3,'Non-Embedded Emissions'!$A$56:$D$90,2,FALSE)+VLOOKUP(V$3,'Non-Embedded Emissions'!$A$143:$D$174,2,FALSE)+VLOOKUP(V$3,'Non-Embedded Emissions'!$A$230:$D$259,2,FALSE)), $C56 = "3", 'Inputs-System'!$C$30*'Coincidence Factors'!$B$8*'Inputs-Proposals'!$K$29*'Inputs-Proposals'!$K$31*(VLOOKUP(V$3,'Non-Embedded Emissions'!$A$56:$D$90,2,FALSE)+VLOOKUP(V$3,'Non-Embedded Emissions'!$A$143:$D$174,2,FALSE)+VLOOKUP(V$3,'Non-Embedded Emissions'!$A$230:$D$259,2,FALSE)), $C56 = "0", 0), 0)</f>
        <v>0</v>
      </c>
      <c r="AB56" s="347">
        <f>IFERROR(_xlfn.IFS($C56="1",('Inputs-System'!$C$30*'Coincidence Factors'!$B$8*(1+'Inputs-System'!$C$18)*(1+'Inputs-System'!$C$41)*('Inputs-Proposals'!$K$17*'Inputs-Proposals'!$K$19*('Inputs-Proposals'!$K$20))*(VLOOKUP(AB$3,Energy!$A$51:$K$83,5,FALSE))), $C56 = "2",('Inputs-System'!$C$30*'Coincidence Factors'!$B$8)*(1+'Inputs-System'!$C$18)*(1+'Inputs-System'!$C$41)*('Inputs-Proposals'!$K$23*'Inputs-Proposals'!$K$25*('Inputs-Proposals'!$K$26))*(VLOOKUP(AB$3,Energy!$A$51:$K$83,5,FALSE)), $C56= "3", ('Inputs-System'!$C$30*'Coincidence Factors'!$B$8*(1+'Inputs-System'!$C$18)*(1+'Inputs-System'!$C$41)*('Inputs-Proposals'!$K$29*'Inputs-Proposals'!$K$31*('Inputs-Proposals'!$K$32))*(VLOOKUP(AB$3,Energy!$A$51:$K$83,5,FALSE))), $C56= "0", 0), 0)</f>
        <v>0</v>
      </c>
      <c r="AC56" s="44">
        <f>IFERROR(_xlfn.IFS($C56="1",'Inputs-System'!$C$30*'Coincidence Factors'!$B$8*(1+'Inputs-System'!$C$18)*(1+'Inputs-System'!$C$41)*'Inputs-Proposals'!$K$17*'Inputs-Proposals'!$K$19*('Inputs-Proposals'!$K$20)*(VLOOKUP(AB$3,'Embedded Emissions'!$A$47:$B$78,2,FALSE)+VLOOKUP(AB$3,'Embedded Emissions'!$A$129:$B$158,2,FALSE)), $C56 = "2", 'Inputs-System'!$C$30*'Coincidence Factors'!$B$8*(1+'Inputs-System'!$C$18)*(1+'Inputs-System'!$C$41)*'Inputs-Proposals'!$K$23*'Inputs-Proposals'!$K$25*('Inputs-Proposals'!$K$20)*(VLOOKUP(AB$3,'Embedded Emissions'!$A$47:$B$78,2,FALSE)+VLOOKUP(AB$3,'Embedded Emissions'!$A$129:$B$158,2,FALSE)), $C56 = "3",'Inputs-System'!$C$30*'Coincidence Factors'!$B$8*(1+'Inputs-System'!$C$18)*(1+'Inputs-System'!$C$41)*'Inputs-Proposals'!$K$29*'Inputs-Proposals'!$K$31*('Inputs-Proposals'!$K$20)*(VLOOKUP(AB$3,'Embedded Emissions'!$A$47:$B$78,2,FALSE)+VLOOKUP(AB$3,'Embedded Emissions'!$A$129:$B$158,2,FALSE)), $C56 = "0", 0), 0)</f>
        <v>0</v>
      </c>
      <c r="AD56" s="44">
        <f>IFERROR(_xlfn.IFS($C56="1",( 'Inputs-System'!$C$30*'Coincidence Factors'!$B$8*(1+'Inputs-System'!$C$18)*(1+'Inputs-System'!$C$41))*('Inputs-Proposals'!$K$17*'Inputs-Proposals'!$K$19*('Inputs-Proposals'!$K$20))*(VLOOKUP(AB$3,DRIPE!$A$54:$I$82,5,FALSE)+VLOOKUP(AB$3,DRIPE!$A$54:$I$82,9,FALSE))+ ('Inputs-System'!$C$26*'Coincidence Factors'!$B$8*(1+'Inputs-System'!$C$18)*(1+'Inputs-System'!$C$42))*'Inputs-Proposals'!$K$16*VLOOKUP(AB$3,DRIPE!$A$54:$I$82,8,FALSE), $C56 = "2",( 'Inputs-System'!$C$30*'Coincidence Factors'!$B$8*(1+'Inputs-System'!$C$18)*(1+'Inputs-System'!$C$41))*('Inputs-Proposals'!$K$23*'Inputs-Proposals'!$K$25*('Inputs-Proposals'!$K$26))*(VLOOKUP(AB$3,DRIPE!$A$54:$I$82,5,FALSE)+VLOOKUP(AB$3,DRIPE!$A$54:$I$82,9,FALSE))+  ('Inputs-System'!$C$26*'Coincidence Factors'!$B$8*(1+'Inputs-System'!$C$18)*(1+'Inputs-System'!$C$42))*'Inputs-Proposals'!$K$22*VLOOKUP(AB$3,DRIPE!$A$54:$I$82,8,FALSE), $C56= "3", ( 'Inputs-System'!$C$30*'Coincidence Factors'!$B$8*(1+'Inputs-System'!$C$18)*(1+'Inputs-System'!$C$41))*('Inputs-Proposals'!$K$29*'Inputs-Proposals'!$K$31*('Inputs-Proposals'!$K$32))*(VLOOKUP(AB$3,DRIPE!$A$54:$I$82,5,FALSE)+VLOOKUP(AB$3,DRIPE!$A$54:$I$82,9,FALSE))+  ('Inputs-System'!$C$26*'Coincidence Factors'!$B$8*(1+'Inputs-System'!$C$18)*(1+'Inputs-System'!$C$42))*'Inputs-Proposals'!$K$28*VLOOKUP(AB$3,DRIPE!$A$54:$I$82,8,FALSE), $C56 = "0", 0), 0)</f>
        <v>0</v>
      </c>
      <c r="AE56" s="45">
        <f>IFERROR(_xlfn.IFS($C56="1",('Inputs-System'!$C$30*'Coincidence Factors'!$B$8*(1+'Inputs-System'!$C$18))*'Inputs-Proposals'!$K$16*(VLOOKUP(AB$3,Capacity!$A$53:$E$85,4,FALSE)*(1+'Inputs-System'!$C$42)+VLOOKUP(AB$3,Capacity!$A$53:$E$85,5,FALSE)*'Inputs-System'!$C$29*(1+'Inputs-System'!$C$43)), $C56 = "2", ('Inputs-System'!$C$30*'Coincidence Factors'!$B$8*(1+'Inputs-System'!$C$18))*'Inputs-Proposals'!$K$22*(VLOOKUP(AB$3,Capacity!$A$53:$E$85,4,FALSE)*(1+'Inputs-System'!$C$42)+VLOOKUP(AB$3,Capacity!$A$53:$E$85,5,FALSE)*'Inputs-System'!$C$29*(1+'Inputs-System'!$C$43)), $C56 = "3",('Inputs-System'!$C$30*'Coincidence Factors'!$B$8*(1+'Inputs-System'!$C$18))*'Inputs-Proposals'!$K$28*(VLOOKUP(AB$3,Capacity!$A$53:$E$85,4,FALSE)*(1+'Inputs-System'!$C$42)+VLOOKUP(AB$3,Capacity!$A$53:$E$85,5,FALSE)*'Inputs-System'!$C$29*(1+'Inputs-System'!$C$43)), $C56 = "0", 0), 0)</f>
        <v>0</v>
      </c>
      <c r="AF56" s="44">
        <v>0</v>
      </c>
      <c r="AG56" s="342">
        <f>IFERROR(_xlfn.IFS($C56="1", 'Inputs-System'!$C$30*'Coincidence Factors'!$B$8*'Inputs-Proposals'!$K$17*'Inputs-Proposals'!$K$19*(VLOOKUP(AB$3,'Non-Embedded Emissions'!$A$56:$D$90,2,FALSE)+VLOOKUP(AB$3,'Non-Embedded Emissions'!$A$143:$D$174,2,FALSE)+VLOOKUP(AB$3,'Non-Embedded Emissions'!$A$230:$D$259,2,FALSE)), $C56 = "2", 'Inputs-System'!$C$30*'Coincidence Factors'!$B$8*'Inputs-Proposals'!$K$23*'Inputs-Proposals'!$K$25*(VLOOKUP(AB$3,'Non-Embedded Emissions'!$A$56:$D$90,2,FALSE)+VLOOKUP(AB$3,'Non-Embedded Emissions'!$A$143:$D$174,2,FALSE)+VLOOKUP(AB$3,'Non-Embedded Emissions'!$A$230:$D$259,2,FALSE)), $C56 = "3", 'Inputs-System'!$C$30*'Coincidence Factors'!$B$8*'Inputs-Proposals'!$K$29*'Inputs-Proposals'!$K$31*(VLOOKUP(AB$3,'Non-Embedded Emissions'!$A$56:$D$90,2,FALSE)+VLOOKUP(AB$3,'Non-Embedded Emissions'!$A$143:$D$174,2,FALSE)+VLOOKUP(AB$3,'Non-Embedded Emissions'!$A$230:$D$259,2,FALSE)), $C56 = "0", 0), 0)</f>
        <v>0</v>
      </c>
      <c r="AH56" s="347">
        <f>IFERROR(_xlfn.IFS($C56="1",('Inputs-System'!$C$30*'Coincidence Factors'!$B$8*(1+'Inputs-System'!$C$18)*(1+'Inputs-System'!$C$41)*('Inputs-Proposals'!$K$17*'Inputs-Proposals'!$K$19*('Inputs-Proposals'!$K$20))*(VLOOKUP(AH$3,Energy!$A$51:$K$83,5,FALSE))), $C56 = "2",('Inputs-System'!$C$30*'Coincidence Factors'!$B$8)*(1+'Inputs-System'!$C$18)*(1+'Inputs-System'!$C$41)*('Inputs-Proposals'!$K$23*'Inputs-Proposals'!$K$25*('Inputs-Proposals'!$K$26))*(VLOOKUP(AH$3,Energy!$A$51:$K$83,5,FALSE)), $C56= "3", ('Inputs-System'!$C$30*'Coincidence Factors'!$B$8*(1+'Inputs-System'!$C$18)*(1+'Inputs-System'!$C$41)*('Inputs-Proposals'!$K$29*'Inputs-Proposals'!$K$31*('Inputs-Proposals'!$K$32))*(VLOOKUP(AH$3,Energy!$A$51:$K$83,5,FALSE))), $C56= "0", 0), 0)</f>
        <v>0</v>
      </c>
      <c r="AI56" s="44">
        <f>IFERROR(_xlfn.IFS($C56="1",'Inputs-System'!$C$30*'Coincidence Factors'!$B$8*(1+'Inputs-System'!$C$18)*(1+'Inputs-System'!$C$41)*'Inputs-Proposals'!$K$17*'Inputs-Proposals'!$K$19*('Inputs-Proposals'!$K$20)*(VLOOKUP(AH$3,'Embedded Emissions'!$A$47:$B$78,2,FALSE)+VLOOKUP(AH$3,'Embedded Emissions'!$A$129:$B$158,2,FALSE)), $C56 = "2", 'Inputs-System'!$C$30*'Coincidence Factors'!$B$8*(1+'Inputs-System'!$C$18)*(1+'Inputs-System'!$C$41)*'Inputs-Proposals'!$K$23*'Inputs-Proposals'!$K$25*('Inputs-Proposals'!$K$20)*(VLOOKUP(AH$3,'Embedded Emissions'!$A$47:$B$78,2,FALSE)+VLOOKUP(AH$3,'Embedded Emissions'!$A$129:$B$158,2,FALSE)), $C56 = "3",'Inputs-System'!$C$30*'Coincidence Factors'!$B$8*(1+'Inputs-System'!$C$18)*(1+'Inputs-System'!$C$41)*'Inputs-Proposals'!$K$29*'Inputs-Proposals'!$K$31*('Inputs-Proposals'!$K$20)*(VLOOKUP(AH$3,'Embedded Emissions'!$A$47:$B$78,2,FALSE)+VLOOKUP(AH$3,'Embedded Emissions'!$A$129:$B$158,2,FALSE)), $C56 = "0", 0), 0)</f>
        <v>0</v>
      </c>
      <c r="AJ56" s="44">
        <f>IFERROR(_xlfn.IFS($C56="1",( 'Inputs-System'!$C$30*'Coincidence Factors'!$B$8*(1+'Inputs-System'!$C$18)*(1+'Inputs-System'!$C$41))*('Inputs-Proposals'!$K$17*'Inputs-Proposals'!$K$19*('Inputs-Proposals'!$K$20))*(VLOOKUP(AH$3,DRIPE!$A$54:$I$82,5,FALSE)+VLOOKUP(AH$3,DRIPE!$A$54:$I$82,9,FALSE))+ ('Inputs-System'!$C$26*'Coincidence Factors'!$B$8*(1+'Inputs-System'!$C$18)*(1+'Inputs-System'!$C$42))*'Inputs-Proposals'!$K$16*VLOOKUP(AH$3,DRIPE!$A$54:$I$82,8,FALSE), $C56 = "2",( 'Inputs-System'!$C$30*'Coincidence Factors'!$B$8*(1+'Inputs-System'!$C$18)*(1+'Inputs-System'!$C$41))*('Inputs-Proposals'!$K$23*'Inputs-Proposals'!$K$25*('Inputs-Proposals'!$K$26))*(VLOOKUP(AH$3,DRIPE!$A$54:$I$82,5,FALSE)+VLOOKUP(AH$3,DRIPE!$A$54:$I$82,9,FALSE))+  ('Inputs-System'!$C$26*'Coincidence Factors'!$B$8*(1+'Inputs-System'!$C$18)*(1+'Inputs-System'!$C$42))*'Inputs-Proposals'!$K$22*VLOOKUP(AH$3,DRIPE!$A$54:$I$82,8,FALSE), $C56= "3", ( 'Inputs-System'!$C$30*'Coincidence Factors'!$B$8*(1+'Inputs-System'!$C$18)*(1+'Inputs-System'!$C$41))*('Inputs-Proposals'!$K$29*'Inputs-Proposals'!$K$31*('Inputs-Proposals'!$K$32))*(VLOOKUP(AH$3,DRIPE!$A$54:$I$82,5,FALSE)+VLOOKUP(AH$3,DRIPE!$A$54:$I$82,9,FALSE))+  ('Inputs-System'!$C$26*'Coincidence Factors'!$B$8*(1+'Inputs-System'!$C$18)*(1+'Inputs-System'!$C$42))*'Inputs-Proposals'!$K$28*VLOOKUP(AH$3,DRIPE!$A$54:$I$82,8,FALSE), $C56 = "0", 0), 0)</f>
        <v>0</v>
      </c>
      <c r="AK56" s="45">
        <f>IFERROR(_xlfn.IFS($C56="1",('Inputs-System'!$C$30*'Coincidence Factors'!$B$8*(1+'Inputs-System'!$C$18))*'Inputs-Proposals'!$K$16*(VLOOKUP(AH$3,Capacity!$A$53:$E$85,4,FALSE)*(1+'Inputs-System'!$C$42)+VLOOKUP(AH$3,Capacity!$A$53:$E$85,5,FALSE)*'Inputs-System'!$C$29*(1+'Inputs-System'!$C$43)), $C56 = "2", ('Inputs-System'!$C$30*'Coincidence Factors'!$B$8*(1+'Inputs-System'!$C$18))*'Inputs-Proposals'!$K$22*(VLOOKUP(AH$3,Capacity!$A$53:$E$85,4,FALSE)*(1+'Inputs-System'!$C$42)+VLOOKUP(AH$3,Capacity!$A$53:$E$85,5,FALSE)*'Inputs-System'!$C$29*(1+'Inputs-System'!$C$43)), $C56 = "3",('Inputs-System'!$C$30*'Coincidence Factors'!$B$8*(1+'Inputs-System'!$C$18))*'Inputs-Proposals'!$K$28*(VLOOKUP(AH$3,Capacity!$A$53:$E$85,4,FALSE)*(1+'Inputs-System'!$C$42)+VLOOKUP(AH$3,Capacity!$A$53:$E$85,5,FALSE)*'Inputs-System'!$C$29*(1+'Inputs-System'!$C$43)), $C56 = "0", 0), 0)</f>
        <v>0</v>
      </c>
      <c r="AL56" s="44">
        <v>0</v>
      </c>
      <c r="AM56" s="342">
        <f>IFERROR(_xlfn.IFS($C56="1", 'Inputs-System'!$C$30*'Coincidence Factors'!$B$8*'Inputs-Proposals'!$K$17*'Inputs-Proposals'!$K$19*(VLOOKUP(AH$3,'Non-Embedded Emissions'!$A$56:$D$90,2,FALSE)+VLOOKUP(AH$3,'Non-Embedded Emissions'!$A$143:$D$174,2,FALSE)+VLOOKUP(AH$3,'Non-Embedded Emissions'!$A$230:$D$259,2,FALSE)), $C56 = "2", 'Inputs-System'!$C$30*'Coincidence Factors'!$B$8*'Inputs-Proposals'!$K$23*'Inputs-Proposals'!$K$25*(VLOOKUP(AH$3,'Non-Embedded Emissions'!$A$56:$D$90,2,FALSE)+VLOOKUP(AH$3,'Non-Embedded Emissions'!$A$143:$D$174,2,FALSE)+VLOOKUP(AH$3,'Non-Embedded Emissions'!$A$230:$D$259,2,FALSE)), $C56 = "3", 'Inputs-System'!$C$30*'Coincidence Factors'!$B$8*'Inputs-Proposals'!$K$29*'Inputs-Proposals'!$K$31*(VLOOKUP(AH$3,'Non-Embedded Emissions'!$A$56:$D$90,2,FALSE)+VLOOKUP(AH$3,'Non-Embedded Emissions'!$A$143:$D$174,2,FALSE)+VLOOKUP(AH$3,'Non-Embedded Emissions'!$A$230:$D$259,2,FALSE)), $C56 = "0", 0), 0)</f>
        <v>0</v>
      </c>
      <c r="AN56" s="347">
        <f>IFERROR(_xlfn.IFS($C56="1",('Inputs-System'!$C$30*'Coincidence Factors'!$B$8*(1+'Inputs-System'!$C$18)*(1+'Inputs-System'!$C$41)*('Inputs-Proposals'!$K$17*'Inputs-Proposals'!$K$19*('Inputs-Proposals'!$K$20))*(VLOOKUP(AN$3,Energy!$A$51:$K$83,5,FALSE))), $C56 = "2",('Inputs-System'!$C$30*'Coincidence Factors'!$B$8)*(1+'Inputs-System'!$C$18)*(1+'Inputs-System'!$C$41)*('Inputs-Proposals'!$K$23*'Inputs-Proposals'!$K$25*('Inputs-Proposals'!$K$26))*(VLOOKUP(AN$3,Energy!$A$51:$K$83,5,FALSE)), $C56= "3", ('Inputs-System'!$C$30*'Coincidence Factors'!$B$8*(1+'Inputs-System'!$C$18)*(1+'Inputs-System'!$C$41)*('Inputs-Proposals'!$K$29*'Inputs-Proposals'!$K$31*('Inputs-Proposals'!$K$32))*(VLOOKUP(AN$3,Energy!$A$51:$K$83,5,FALSE))), $C56= "0", 0), 0)</f>
        <v>0</v>
      </c>
      <c r="AO56" s="44">
        <f>IFERROR(_xlfn.IFS($C56="1",'Inputs-System'!$C$30*'Coincidence Factors'!$B$8*(1+'Inputs-System'!$C$18)*(1+'Inputs-System'!$C$41)*'Inputs-Proposals'!$K$17*'Inputs-Proposals'!$K$19*('Inputs-Proposals'!$K$20)*(VLOOKUP(AN$3,'Embedded Emissions'!$A$47:$B$78,2,FALSE)+VLOOKUP(AN$3,'Embedded Emissions'!$A$129:$B$158,2,FALSE)), $C56 = "2", 'Inputs-System'!$C$30*'Coincidence Factors'!$B$8*(1+'Inputs-System'!$C$18)*(1+'Inputs-System'!$C$41)*'Inputs-Proposals'!$K$23*'Inputs-Proposals'!$K$25*('Inputs-Proposals'!$K$20)*(VLOOKUP(AN$3,'Embedded Emissions'!$A$47:$B$78,2,FALSE)+VLOOKUP(AN$3,'Embedded Emissions'!$A$129:$B$158,2,FALSE)), $C56 = "3",'Inputs-System'!$C$30*'Coincidence Factors'!$B$8*(1+'Inputs-System'!$C$18)*(1+'Inputs-System'!$C$41)*'Inputs-Proposals'!$K$29*'Inputs-Proposals'!$K$31*('Inputs-Proposals'!$K$20)*(VLOOKUP(AN$3,'Embedded Emissions'!$A$47:$B$78,2,FALSE)+VLOOKUP(AN$3,'Embedded Emissions'!$A$129:$B$158,2,FALSE)), $C56 = "0", 0), 0)</f>
        <v>0</v>
      </c>
      <c r="AP56" s="44">
        <f>IFERROR(_xlfn.IFS($C56="1",( 'Inputs-System'!$C$30*'Coincidence Factors'!$B$8*(1+'Inputs-System'!$C$18)*(1+'Inputs-System'!$C$41))*('Inputs-Proposals'!$K$17*'Inputs-Proposals'!$K$19*('Inputs-Proposals'!$K$20))*(VLOOKUP(AN$3,DRIPE!$A$54:$I$82,5,FALSE)+VLOOKUP(AN$3,DRIPE!$A$54:$I$82,9,FALSE))+ ('Inputs-System'!$C$26*'Coincidence Factors'!$B$8*(1+'Inputs-System'!$C$18)*(1+'Inputs-System'!$C$42))*'Inputs-Proposals'!$K$16*VLOOKUP(AN$3,DRIPE!$A$54:$I$82,8,FALSE), $C56 = "2",( 'Inputs-System'!$C$30*'Coincidence Factors'!$B$8*(1+'Inputs-System'!$C$18)*(1+'Inputs-System'!$C$41))*('Inputs-Proposals'!$K$23*'Inputs-Proposals'!$K$25*('Inputs-Proposals'!$K$26))*(VLOOKUP(AN$3,DRIPE!$A$54:$I$82,5,FALSE)+VLOOKUP(AN$3,DRIPE!$A$54:$I$82,9,FALSE))+  ('Inputs-System'!$C$26*'Coincidence Factors'!$B$8*(1+'Inputs-System'!$C$18)*(1+'Inputs-System'!$C$42))*'Inputs-Proposals'!$K$22*VLOOKUP(AN$3,DRIPE!$A$54:$I$82,8,FALSE), $C56= "3", ( 'Inputs-System'!$C$30*'Coincidence Factors'!$B$8*(1+'Inputs-System'!$C$18)*(1+'Inputs-System'!$C$41))*('Inputs-Proposals'!$K$29*'Inputs-Proposals'!$K$31*('Inputs-Proposals'!$K$32))*(VLOOKUP(AN$3,DRIPE!$A$54:$I$82,5,FALSE)+VLOOKUP(AN$3,DRIPE!$A$54:$I$82,9,FALSE))+  ('Inputs-System'!$C$26*'Coincidence Factors'!$B$8*(1+'Inputs-System'!$C$18)*(1+'Inputs-System'!$C$42))*'Inputs-Proposals'!$K$28*VLOOKUP(AN$3,DRIPE!$A$54:$I$82,8,FALSE), $C56 = "0", 0), 0)</f>
        <v>0</v>
      </c>
      <c r="AQ56" s="45">
        <f>IFERROR(_xlfn.IFS($C56="1",('Inputs-System'!$C$30*'Coincidence Factors'!$B$8*(1+'Inputs-System'!$C$18))*'Inputs-Proposals'!$K$16*(VLOOKUP(AN$3,Capacity!$A$53:$E$85,4,FALSE)*(1+'Inputs-System'!$C$42)+VLOOKUP(AN$3,Capacity!$A$53:$E$85,5,FALSE)*'Inputs-System'!$C$29*(1+'Inputs-System'!$C$43)), $C56 = "2", ('Inputs-System'!$C$30*'Coincidence Factors'!$B$8*(1+'Inputs-System'!$C$18))*'Inputs-Proposals'!$K$22*(VLOOKUP(AN$3,Capacity!$A$53:$E$85,4,FALSE)*(1+'Inputs-System'!$C$42)+VLOOKUP(AN$3,Capacity!$A$53:$E$85,5,FALSE)*'Inputs-System'!$C$29*(1+'Inputs-System'!$C$43)), $C56 = "3",('Inputs-System'!$C$30*'Coincidence Factors'!$B$8*(1+'Inputs-System'!$C$18))*'Inputs-Proposals'!$K$28*(VLOOKUP(AN$3,Capacity!$A$53:$E$85,4,FALSE)*(1+'Inputs-System'!$C$42)+VLOOKUP(AN$3,Capacity!$A$53:$E$85,5,FALSE)*'Inputs-System'!$C$29*(1+'Inputs-System'!$C$43)), $C56 = "0", 0), 0)</f>
        <v>0</v>
      </c>
      <c r="AR56" s="44">
        <v>0</v>
      </c>
      <c r="AS56" s="342">
        <f>IFERROR(_xlfn.IFS($C56="1", 'Inputs-System'!$C$30*'Coincidence Factors'!$B$8*'Inputs-Proposals'!$K$17*'Inputs-Proposals'!$K$19*(VLOOKUP(AN$3,'Non-Embedded Emissions'!$A$56:$D$90,2,FALSE)+VLOOKUP(AN$3,'Non-Embedded Emissions'!$A$143:$D$174,2,FALSE)+VLOOKUP(AN$3,'Non-Embedded Emissions'!$A$230:$D$259,2,FALSE)), $C56 = "2", 'Inputs-System'!$C$30*'Coincidence Factors'!$B$8*'Inputs-Proposals'!$K$23*'Inputs-Proposals'!$K$25*(VLOOKUP(AN$3,'Non-Embedded Emissions'!$A$56:$D$90,2,FALSE)+VLOOKUP(AN$3,'Non-Embedded Emissions'!$A$143:$D$174,2,FALSE)+VLOOKUP(AN$3,'Non-Embedded Emissions'!$A$230:$D$259,2,FALSE)), $C56 = "3", 'Inputs-System'!$C$30*'Coincidence Factors'!$B$8*'Inputs-Proposals'!$K$29*'Inputs-Proposals'!$K$31*(VLOOKUP(AN$3,'Non-Embedded Emissions'!$A$56:$D$90,2,FALSE)+VLOOKUP(AN$3,'Non-Embedded Emissions'!$A$143:$D$174,2,FALSE)+VLOOKUP(AN$3,'Non-Embedded Emissions'!$A$230:$D$259,2,FALSE)), $C56 = "0", 0), 0)</f>
        <v>0</v>
      </c>
      <c r="AT56" s="347">
        <f>IFERROR(_xlfn.IFS($C56="1",('Inputs-System'!$C$30*'Coincidence Factors'!$B$8*(1+'Inputs-System'!$C$18)*(1+'Inputs-System'!$C$41)*('Inputs-Proposals'!$K$17*'Inputs-Proposals'!$K$19*('Inputs-Proposals'!$K$20))*(VLOOKUP(AT$3,Energy!$A$51:$K$83,5,FALSE))), $C56 = "2",('Inputs-System'!$C$30*'Coincidence Factors'!$B$8)*(1+'Inputs-System'!$C$18)*(1+'Inputs-System'!$C$41)*('Inputs-Proposals'!$K$23*'Inputs-Proposals'!$K$25*('Inputs-Proposals'!$K$26))*(VLOOKUP(AT$3,Energy!$A$51:$K$83,5,FALSE)), $C56= "3", ('Inputs-System'!$C$30*'Coincidence Factors'!$B$8*(1+'Inputs-System'!$C$18)*(1+'Inputs-System'!$C$41)*('Inputs-Proposals'!$K$29*'Inputs-Proposals'!$K$31*('Inputs-Proposals'!$K$32))*(VLOOKUP(AT$3,Energy!$A$51:$K$83,5,FALSE))), $C56= "0", 0), 0)</f>
        <v>0</v>
      </c>
      <c r="AU56" s="44">
        <f>IFERROR(_xlfn.IFS($C56="1",'Inputs-System'!$C$30*'Coincidence Factors'!$B$8*(1+'Inputs-System'!$C$18)*(1+'Inputs-System'!$C$41)*'Inputs-Proposals'!$K$17*'Inputs-Proposals'!$K$19*('Inputs-Proposals'!$K$20)*(VLOOKUP(AT$3,'Embedded Emissions'!$A$47:$B$78,2,FALSE)+VLOOKUP(AT$3,'Embedded Emissions'!$A$129:$B$158,2,FALSE)), $C56 = "2", 'Inputs-System'!$C$30*'Coincidence Factors'!$B$8*(1+'Inputs-System'!$C$18)*(1+'Inputs-System'!$C$41)*'Inputs-Proposals'!$K$23*'Inputs-Proposals'!$K$25*('Inputs-Proposals'!$K$20)*(VLOOKUP(AT$3,'Embedded Emissions'!$A$47:$B$78,2,FALSE)+VLOOKUP(AT$3,'Embedded Emissions'!$A$129:$B$158,2,FALSE)), $C56 = "3",'Inputs-System'!$C$30*'Coincidence Factors'!$B$8*(1+'Inputs-System'!$C$18)*(1+'Inputs-System'!$C$41)*'Inputs-Proposals'!$K$29*'Inputs-Proposals'!$K$31*('Inputs-Proposals'!$K$20)*(VLOOKUP(AT$3,'Embedded Emissions'!$A$47:$B$78,2,FALSE)+VLOOKUP(AT$3,'Embedded Emissions'!$A$129:$B$158,2,FALSE)), $C56 = "0", 0), 0)</f>
        <v>0</v>
      </c>
      <c r="AV56" s="44">
        <f>IFERROR(_xlfn.IFS($C56="1",( 'Inputs-System'!$C$30*'Coincidence Factors'!$B$8*(1+'Inputs-System'!$C$18)*(1+'Inputs-System'!$C$41))*('Inputs-Proposals'!$K$17*'Inputs-Proposals'!$K$19*('Inputs-Proposals'!$K$20))*(VLOOKUP(AT$3,DRIPE!$A$54:$I$82,5,FALSE)+VLOOKUP(AT$3,DRIPE!$A$54:$I$82,9,FALSE))+ ('Inputs-System'!$C$26*'Coincidence Factors'!$B$8*(1+'Inputs-System'!$C$18)*(1+'Inputs-System'!$C$42))*'Inputs-Proposals'!$K$16*VLOOKUP(AT$3,DRIPE!$A$54:$I$82,8,FALSE), $C56 = "2",( 'Inputs-System'!$C$30*'Coincidence Factors'!$B$8*(1+'Inputs-System'!$C$18)*(1+'Inputs-System'!$C$41))*('Inputs-Proposals'!$K$23*'Inputs-Proposals'!$K$25*('Inputs-Proposals'!$K$26))*(VLOOKUP(AT$3,DRIPE!$A$54:$I$82,5,FALSE)+VLOOKUP(AT$3,DRIPE!$A$54:$I$82,9,FALSE))+  ('Inputs-System'!$C$26*'Coincidence Factors'!$B$8*(1+'Inputs-System'!$C$18)*(1+'Inputs-System'!$C$42))*'Inputs-Proposals'!$K$22*VLOOKUP(AT$3,DRIPE!$A$54:$I$82,8,FALSE), $C56= "3", ( 'Inputs-System'!$C$30*'Coincidence Factors'!$B$8*(1+'Inputs-System'!$C$18)*(1+'Inputs-System'!$C$41))*('Inputs-Proposals'!$K$29*'Inputs-Proposals'!$K$31*('Inputs-Proposals'!$K$32))*(VLOOKUP(AT$3,DRIPE!$A$54:$I$82,5,FALSE)+VLOOKUP(AT$3,DRIPE!$A$54:$I$82,9,FALSE))+  ('Inputs-System'!$C$26*'Coincidence Factors'!$B$8*(1+'Inputs-System'!$C$18)*(1+'Inputs-System'!$C$42))*'Inputs-Proposals'!$K$28*VLOOKUP(AT$3,DRIPE!$A$54:$I$82,8,FALSE), $C56 = "0", 0), 0)</f>
        <v>0</v>
      </c>
      <c r="AW56" s="45">
        <f>IFERROR(_xlfn.IFS($C56="1",('Inputs-System'!$C$30*'Coincidence Factors'!$B$8*(1+'Inputs-System'!$C$18))*'Inputs-Proposals'!$K$16*(VLOOKUP(AT$3,Capacity!$A$53:$E$85,4,FALSE)*(1+'Inputs-System'!$C$42)+VLOOKUP(AT$3,Capacity!$A$53:$E$85,5,FALSE)*'Inputs-System'!$C$29*(1+'Inputs-System'!$C$43)), $C56 = "2", ('Inputs-System'!$C$30*'Coincidence Factors'!$B$8*(1+'Inputs-System'!$C$18))*'Inputs-Proposals'!$K$22*(VLOOKUP(AT$3,Capacity!$A$53:$E$85,4,FALSE)*(1+'Inputs-System'!$C$42)+VLOOKUP(AT$3,Capacity!$A$53:$E$85,5,FALSE)*'Inputs-System'!$C$29*(1+'Inputs-System'!$C$43)), $C56 = "3",('Inputs-System'!$C$30*'Coincidence Factors'!$B$8*(1+'Inputs-System'!$C$18))*'Inputs-Proposals'!$K$28*(VLOOKUP(AT$3,Capacity!$A$53:$E$85,4,FALSE)*(1+'Inputs-System'!$C$42)+VLOOKUP(AT$3,Capacity!$A$53:$E$85,5,FALSE)*'Inputs-System'!$C$29*(1+'Inputs-System'!$C$43)), $C56 = "0", 0), 0)</f>
        <v>0</v>
      </c>
      <c r="AX56" s="44">
        <v>0</v>
      </c>
      <c r="AY56" s="342">
        <f>IFERROR(_xlfn.IFS($C56="1", 'Inputs-System'!$C$30*'Coincidence Factors'!$B$8*'Inputs-Proposals'!$K$17*'Inputs-Proposals'!$K$19*(VLOOKUP(AT$3,'Non-Embedded Emissions'!$A$56:$D$90,2,FALSE)+VLOOKUP(AT$3,'Non-Embedded Emissions'!$A$143:$D$174,2,FALSE)+VLOOKUP(AT$3,'Non-Embedded Emissions'!$A$230:$D$259,2,FALSE)), $C56 = "2", 'Inputs-System'!$C$30*'Coincidence Factors'!$B$8*'Inputs-Proposals'!$K$23*'Inputs-Proposals'!$K$25*(VLOOKUP(AT$3,'Non-Embedded Emissions'!$A$56:$D$90,2,FALSE)+VLOOKUP(AT$3,'Non-Embedded Emissions'!$A$143:$D$174,2,FALSE)+VLOOKUP(AT$3,'Non-Embedded Emissions'!$A$230:$D$259,2,FALSE)), $C56 = "3", 'Inputs-System'!$C$30*'Coincidence Factors'!$B$8*'Inputs-Proposals'!$K$29*'Inputs-Proposals'!$K$31*(VLOOKUP(AT$3,'Non-Embedded Emissions'!$A$56:$D$90,2,FALSE)+VLOOKUP(AT$3,'Non-Embedded Emissions'!$A$143:$D$174,2,FALSE)+VLOOKUP(AT$3,'Non-Embedded Emissions'!$A$230:$D$259,2,FALSE)), $C56 = "0", 0), 0)</f>
        <v>0</v>
      </c>
      <c r="AZ56" s="347">
        <f>IFERROR(_xlfn.IFS($C56="1",('Inputs-System'!$C$30*'Coincidence Factors'!$B$8*(1+'Inputs-System'!$C$18)*(1+'Inputs-System'!$C$41)*('Inputs-Proposals'!$K$17*'Inputs-Proposals'!$K$19*('Inputs-Proposals'!$K$20))*(VLOOKUP(AZ$3,Energy!$A$51:$K$83,5,FALSE))), $C56 = "2",('Inputs-System'!$C$30*'Coincidence Factors'!$B$8)*(1+'Inputs-System'!$C$18)*(1+'Inputs-System'!$C$41)*('Inputs-Proposals'!$K$23*'Inputs-Proposals'!$K$25*('Inputs-Proposals'!$K$26))*(VLOOKUP(AZ$3,Energy!$A$51:$K$83,5,FALSE)), $C56= "3", ('Inputs-System'!$C$30*'Coincidence Factors'!$B$8*(1+'Inputs-System'!$C$18)*(1+'Inputs-System'!$C$41)*('Inputs-Proposals'!$K$29*'Inputs-Proposals'!$K$31*('Inputs-Proposals'!$K$32))*(VLOOKUP(AZ$3,Energy!$A$51:$K$83,5,FALSE))), $C56= "0", 0), 0)</f>
        <v>0</v>
      </c>
      <c r="BA56" s="44">
        <f>IFERROR(_xlfn.IFS($C56="1",'Inputs-System'!$C$30*'Coincidence Factors'!$B$8*(1+'Inputs-System'!$C$18)*(1+'Inputs-System'!$C$41)*'Inputs-Proposals'!$K$17*'Inputs-Proposals'!$K$19*('Inputs-Proposals'!$K$20)*(VLOOKUP(AZ$3,'Embedded Emissions'!$A$47:$B$78,2,FALSE)+VLOOKUP(AZ$3,'Embedded Emissions'!$A$129:$B$158,2,FALSE)), $C56 = "2", 'Inputs-System'!$C$30*'Coincidence Factors'!$B$8*(1+'Inputs-System'!$C$18)*(1+'Inputs-System'!$C$41)*'Inputs-Proposals'!$K$23*'Inputs-Proposals'!$K$25*('Inputs-Proposals'!$K$20)*(VLOOKUP(AZ$3,'Embedded Emissions'!$A$47:$B$78,2,FALSE)+VLOOKUP(AZ$3,'Embedded Emissions'!$A$129:$B$158,2,FALSE)), $C56 = "3",'Inputs-System'!$C$30*'Coincidence Factors'!$B$8*(1+'Inputs-System'!$C$18)*(1+'Inputs-System'!$C$41)*'Inputs-Proposals'!$K$29*'Inputs-Proposals'!$K$31*('Inputs-Proposals'!$K$20)*(VLOOKUP(AZ$3,'Embedded Emissions'!$A$47:$B$78,2,FALSE)+VLOOKUP(AZ$3,'Embedded Emissions'!$A$129:$B$158,2,FALSE)), $C56 = "0", 0), 0)</f>
        <v>0</v>
      </c>
      <c r="BB56" s="44">
        <f>IFERROR(_xlfn.IFS($C56="1",( 'Inputs-System'!$C$30*'Coincidence Factors'!$B$8*(1+'Inputs-System'!$C$18)*(1+'Inputs-System'!$C$41))*('Inputs-Proposals'!$K$17*'Inputs-Proposals'!$K$19*('Inputs-Proposals'!$K$20))*(VLOOKUP(AZ$3,DRIPE!$A$54:$I$82,5,FALSE)+VLOOKUP(AZ$3,DRIPE!$A$54:$I$82,9,FALSE))+ ('Inputs-System'!$C$26*'Coincidence Factors'!$B$8*(1+'Inputs-System'!$C$18)*(1+'Inputs-System'!$C$42))*'Inputs-Proposals'!$K$16*VLOOKUP(AZ$3,DRIPE!$A$54:$I$82,8,FALSE), $C56 = "2",( 'Inputs-System'!$C$30*'Coincidence Factors'!$B$8*(1+'Inputs-System'!$C$18)*(1+'Inputs-System'!$C$41))*('Inputs-Proposals'!$K$23*'Inputs-Proposals'!$K$25*('Inputs-Proposals'!$K$26))*(VLOOKUP(AZ$3,DRIPE!$A$54:$I$82,5,FALSE)+VLOOKUP(AZ$3,DRIPE!$A$54:$I$82,9,FALSE))+  ('Inputs-System'!$C$26*'Coincidence Factors'!$B$8*(1+'Inputs-System'!$C$18)*(1+'Inputs-System'!$C$42))*'Inputs-Proposals'!$K$22*VLOOKUP(AZ$3,DRIPE!$A$54:$I$82,8,FALSE), $C56= "3", ( 'Inputs-System'!$C$30*'Coincidence Factors'!$B$8*(1+'Inputs-System'!$C$18)*(1+'Inputs-System'!$C$41))*('Inputs-Proposals'!$K$29*'Inputs-Proposals'!$K$31*('Inputs-Proposals'!$K$32))*(VLOOKUP(AZ$3,DRIPE!$A$54:$I$82,5,FALSE)+VLOOKUP(AZ$3,DRIPE!$A$54:$I$82,9,FALSE))+  ('Inputs-System'!$C$26*'Coincidence Factors'!$B$8*(1+'Inputs-System'!$C$18)*(1+'Inputs-System'!$C$42))*'Inputs-Proposals'!$K$28*VLOOKUP(AZ$3,DRIPE!$A$54:$I$82,8,FALSE), $C56 = "0", 0), 0)</f>
        <v>0</v>
      </c>
      <c r="BC56" s="45">
        <f>IFERROR(_xlfn.IFS($C56="1",('Inputs-System'!$C$30*'Coincidence Factors'!$B$8*(1+'Inputs-System'!$C$18))*'Inputs-Proposals'!$K$16*(VLOOKUP(AZ$3,Capacity!$A$53:$E$85,4,FALSE)*(1+'Inputs-System'!$C$42)+VLOOKUP(AZ$3,Capacity!$A$53:$E$85,5,FALSE)*'Inputs-System'!$C$29*(1+'Inputs-System'!$C$43)), $C56 = "2", ('Inputs-System'!$C$30*'Coincidence Factors'!$B$8*(1+'Inputs-System'!$C$18))*'Inputs-Proposals'!$K$22*(VLOOKUP(AZ$3,Capacity!$A$53:$E$85,4,FALSE)*(1+'Inputs-System'!$C$42)+VLOOKUP(AZ$3,Capacity!$A$53:$E$85,5,FALSE)*'Inputs-System'!$C$29*(1+'Inputs-System'!$C$43)), $C56 = "3",('Inputs-System'!$C$30*'Coincidence Factors'!$B$8*(1+'Inputs-System'!$C$18))*'Inputs-Proposals'!$K$28*(VLOOKUP(AZ$3,Capacity!$A$53:$E$85,4,FALSE)*(1+'Inputs-System'!$C$42)+VLOOKUP(AZ$3,Capacity!$A$53:$E$85,5,FALSE)*'Inputs-System'!$C$29*(1+'Inputs-System'!$C$43)), $C56 = "0", 0), 0)</f>
        <v>0</v>
      </c>
      <c r="BD56" s="44">
        <v>0</v>
      </c>
      <c r="BE56" s="342">
        <f>IFERROR(_xlfn.IFS($C56="1", 'Inputs-System'!$C$30*'Coincidence Factors'!$B$8*'Inputs-Proposals'!$K$17*'Inputs-Proposals'!$K$19*(VLOOKUP(AZ$3,'Non-Embedded Emissions'!$A$56:$D$90,2,FALSE)+VLOOKUP(AZ$3,'Non-Embedded Emissions'!$A$143:$D$174,2,FALSE)+VLOOKUP(AZ$3,'Non-Embedded Emissions'!$A$230:$D$259,2,FALSE)), $C56 = "2", 'Inputs-System'!$C$30*'Coincidence Factors'!$B$8*'Inputs-Proposals'!$K$23*'Inputs-Proposals'!$K$25*(VLOOKUP(AZ$3,'Non-Embedded Emissions'!$A$56:$D$90,2,FALSE)+VLOOKUP(AZ$3,'Non-Embedded Emissions'!$A$143:$D$174,2,FALSE)+VLOOKUP(AZ$3,'Non-Embedded Emissions'!$A$230:$D$259,2,FALSE)), $C56 = "3", 'Inputs-System'!$C$30*'Coincidence Factors'!$B$8*'Inputs-Proposals'!$K$29*'Inputs-Proposals'!$K$31*(VLOOKUP(AZ$3,'Non-Embedded Emissions'!$A$56:$D$90,2,FALSE)+VLOOKUP(AZ$3,'Non-Embedded Emissions'!$A$143:$D$174,2,FALSE)+VLOOKUP(AZ$3,'Non-Embedded Emissions'!$A$230:$D$259,2,FALSE)), $C56 = "0", 0), 0)</f>
        <v>0</v>
      </c>
      <c r="BF56" s="347">
        <f>IFERROR(_xlfn.IFS($C56="1",('Inputs-System'!$C$30*'Coincidence Factors'!$B$8*(1+'Inputs-System'!$C$18)*(1+'Inputs-System'!$C$41)*('Inputs-Proposals'!$K$17*'Inputs-Proposals'!$K$19*('Inputs-Proposals'!$K$20))*(VLOOKUP(BF$3,Energy!$A$51:$K$83,5,FALSE))), $C56 = "2",('Inputs-System'!$C$30*'Coincidence Factors'!$B$8)*(1+'Inputs-System'!$C$18)*(1+'Inputs-System'!$C$41)*('Inputs-Proposals'!$K$23*'Inputs-Proposals'!$K$25*('Inputs-Proposals'!$K$26))*(VLOOKUP(BF$3,Energy!$A$51:$K$83,5,FALSE)), $C56= "3", ('Inputs-System'!$C$30*'Coincidence Factors'!$B$8*(1+'Inputs-System'!$C$18)*(1+'Inputs-System'!$C$41)*('Inputs-Proposals'!$K$29*'Inputs-Proposals'!$K$31*('Inputs-Proposals'!$K$32))*(VLOOKUP(BF$3,Energy!$A$51:$K$83,5,FALSE))), $C56= "0", 0), 0)</f>
        <v>0</v>
      </c>
      <c r="BG56" s="44">
        <f>IFERROR(_xlfn.IFS($C56="1",'Inputs-System'!$C$30*'Coincidence Factors'!$B$8*(1+'Inputs-System'!$C$18)*(1+'Inputs-System'!$C$41)*'Inputs-Proposals'!$K$17*'Inputs-Proposals'!$K$19*('Inputs-Proposals'!$K$20)*(VLOOKUP(BF$3,'Embedded Emissions'!$A$47:$B$78,2,FALSE)+VLOOKUP(BF$3,'Embedded Emissions'!$A$129:$B$158,2,FALSE)), $C56 = "2", 'Inputs-System'!$C$30*'Coincidence Factors'!$B$8*(1+'Inputs-System'!$C$18)*(1+'Inputs-System'!$C$41)*'Inputs-Proposals'!$K$23*'Inputs-Proposals'!$K$25*('Inputs-Proposals'!$K$20)*(VLOOKUP(BF$3,'Embedded Emissions'!$A$47:$B$78,2,FALSE)+VLOOKUP(BF$3,'Embedded Emissions'!$A$129:$B$158,2,FALSE)), $C56 = "3",'Inputs-System'!$C$30*'Coincidence Factors'!$B$8*(1+'Inputs-System'!$C$18)*(1+'Inputs-System'!$C$41)*'Inputs-Proposals'!$K$29*'Inputs-Proposals'!$K$31*('Inputs-Proposals'!$K$20)*(VLOOKUP(BF$3,'Embedded Emissions'!$A$47:$B$78,2,FALSE)+VLOOKUP(BF$3,'Embedded Emissions'!$A$129:$B$158,2,FALSE)), $C56 = "0", 0), 0)</f>
        <v>0</v>
      </c>
      <c r="BH56" s="44">
        <f>IFERROR(_xlfn.IFS($C56="1",( 'Inputs-System'!$C$30*'Coincidence Factors'!$B$8*(1+'Inputs-System'!$C$18)*(1+'Inputs-System'!$C$41))*('Inputs-Proposals'!$K$17*'Inputs-Proposals'!$K$19*('Inputs-Proposals'!$K$20))*(VLOOKUP(BF$3,DRIPE!$A$54:$I$82,5,FALSE)+VLOOKUP(BF$3,DRIPE!$A$54:$I$82,9,FALSE))+ ('Inputs-System'!$C$26*'Coincidence Factors'!$B$8*(1+'Inputs-System'!$C$18)*(1+'Inputs-System'!$C$42))*'Inputs-Proposals'!$K$16*VLOOKUP(BF$3,DRIPE!$A$54:$I$82,8,FALSE), $C56 = "2",( 'Inputs-System'!$C$30*'Coincidence Factors'!$B$8*(1+'Inputs-System'!$C$18)*(1+'Inputs-System'!$C$41))*('Inputs-Proposals'!$K$23*'Inputs-Proposals'!$K$25*('Inputs-Proposals'!$K$26))*(VLOOKUP(BF$3,DRIPE!$A$54:$I$82,5,FALSE)+VLOOKUP(BF$3,DRIPE!$A$54:$I$82,9,FALSE))+  ('Inputs-System'!$C$26*'Coincidence Factors'!$B$8*(1+'Inputs-System'!$C$18)*(1+'Inputs-System'!$C$42))*'Inputs-Proposals'!$K$22*VLOOKUP(BF$3,DRIPE!$A$54:$I$82,8,FALSE), $C56= "3", ( 'Inputs-System'!$C$30*'Coincidence Factors'!$B$8*(1+'Inputs-System'!$C$18)*(1+'Inputs-System'!$C$41))*('Inputs-Proposals'!$K$29*'Inputs-Proposals'!$K$31*('Inputs-Proposals'!$K$32))*(VLOOKUP(BF$3,DRIPE!$A$54:$I$82,5,FALSE)+VLOOKUP(BF$3,DRIPE!$A$54:$I$82,9,FALSE))+  ('Inputs-System'!$C$26*'Coincidence Factors'!$B$8*(1+'Inputs-System'!$C$18)*(1+'Inputs-System'!$C$42))*'Inputs-Proposals'!$K$28*VLOOKUP(BF$3,DRIPE!$A$54:$I$82,8,FALSE), $C56 = "0", 0), 0)</f>
        <v>0</v>
      </c>
      <c r="BI56" s="45">
        <f>IFERROR(_xlfn.IFS($C56="1",('Inputs-System'!$C$30*'Coincidence Factors'!$B$8*(1+'Inputs-System'!$C$18))*'Inputs-Proposals'!$K$16*(VLOOKUP(BF$3,Capacity!$A$53:$E$85,4,FALSE)*(1+'Inputs-System'!$C$42)+VLOOKUP(BF$3,Capacity!$A$53:$E$85,5,FALSE)*'Inputs-System'!$C$29*(1+'Inputs-System'!$C$43)), $C56 = "2", ('Inputs-System'!$C$30*'Coincidence Factors'!$B$8*(1+'Inputs-System'!$C$18))*'Inputs-Proposals'!$K$22*(VLOOKUP(BF$3,Capacity!$A$53:$E$85,4,FALSE)*(1+'Inputs-System'!$C$42)+VLOOKUP(BF$3,Capacity!$A$53:$E$85,5,FALSE)*'Inputs-System'!$C$29*(1+'Inputs-System'!$C$43)), $C56 = "3",('Inputs-System'!$C$30*'Coincidence Factors'!$B$8*(1+'Inputs-System'!$C$18))*'Inputs-Proposals'!$K$28*(VLOOKUP(BF$3,Capacity!$A$53:$E$85,4,FALSE)*(1+'Inputs-System'!$C$42)+VLOOKUP(BF$3,Capacity!$A$53:$E$85,5,FALSE)*'Inputs-System'!$C$29*(1+'Inputs-System'!$C$43)), $C56 = "0", 0), 0)</f>
        <v>0</v>
      </c>
      <c r="BJ56" s="44">
        <v>0</v>
      </c>
      <c r="BK56" s="342">
        <f>IFERROR(_xlfn.IFS($C56="1", 'Inputs-System'!$C$30*'Coincidence Factors'!$B$8*'Inputs-Proposals'!$K$17*'Inputs-Proposals'!$K$19*(VLOOKUP(BF$3,'Non-Embedded Emissions'!$A$56:$D$90,2,FALSE)+VLOOKUP(BF$3,'Non-Embedded Emissions'!$A$143:$D$174,2,FALSE)+VLOOKUP(BF$3,'Non-Embedded Emissions'!$A$230:$D$259,2,FALSE)), $C56 = "2", 'Inputs-System'!$C$30*'Coincidence Factors'!$B$8*'Inputs-Proposals'!$K$23*'Inputs-Proposals'!$K$25*(VLOOKUP(BF$3,'Non-Embedded Emissions'!$A$56:$D$90,2,FALSE)+VLOOKUP(BF$3,'Non-Embedded Emissions'!$A$143:$D$174,2,FALSE)+VLOOKUP(BF$3,'Non-Embedded Emissions'!$A$230:$D$259,2,FALSE)), $C56 = "3", 'Inputs-System'!$C$30*'Coincidence Factors'!$B$8*'Inputs-Proposals'!$K$29*'Inputs-Proposals'!$K$31*(VLOOKUP(BF$3,'Non-Embedded Emissions'!$A$56:$D$90,2,FALSE)+VLOOKUP(BF$3,'Non-Embedded Emissions'!$A$143:$D$174,2,FALSE)+VLOOKUP(BF$3,'Non-Embedded Emissions'!$A$230:$D$259,2,FALSE)), $C56 = "0", 0), 0)</f>
        <v>0</v>
      </c>
      <c r="BL56" s="347">
        <f>IFERROR(_xlfn.IFS($C56="1",('Inputs-System'!$C$30*'Coincidence Factors'!$B$8*(1+'Inputs-System'!$C$18)*(1+'Inputs-System'!$C$41)*('Inputs-Proposals'!$K$17*'Inputs-Proposals'!$K$19*('Inputs-Proposals'!$K$20))*(VLOOKUP(BL$3,Energy!$A$51:$K$83,5,FALSE))), $C56 = "2",('Inputs-System'!$C$30*'Coincidence Factors'!$B$8)*(1+'Inputs-System'!$C$18)*(1+'Inputs-System'!$C$41)*('Inputs-Proposals'!$K$23*'Inputs-Proposals'!$K$25*('Inputs-Proposals'!$K$26))*(VLOOKUP(BL$3,Energy!$A$51:$K$83,5,FALSE)), $C56= "3", ('Inputs-System'!$C$30*'Coincidence Factors'!$B$8*(1+'Inputs-System'!$C$18)*(1+'Inputs-System'!$C$41)*('Inputs-Proposals'!$K$29*'Inputs-Proposals'!$K$31*('Inputs-Proposals'!$K$32))*(VLOOKUP(BL$3,Energy!$A$51:$K$83,5,FALSE))), $C56= "0", 0), 0)</f>
        <v>0</v>
      </c>
      <c r="BM56" s="44">
        <f>IFERROR(_xlfn.IFS($C56="1",'Inputs-System'!$C$30*'Coincidence Factors'!$B$8*(1+'Inputs-System'!$C$18)*(1+'Inputs-System'!$C$41)*'Inputs-Proposals'!$K$17*'Inputs-Proposals'!$K$19*('Inputs-Proposals'!$K$20)*(VLOOKUP(BL$3,'Embedded Emissions'!$A$47:$B$78,2,FALSE)+VLOOKUP(BL$3,'Embedded Emissions'!$A$129:$B$158,2,FALSE)), $C56 = "2", 'Inputs-System'!$C$30*'Coincidence Factors'!$B$8*(1+'Inputs-System'!$C$18)*(1+'Inputs-System'!$C$41)*'Inputs-Proposals'!$K$23*'Inputs-Proposals'!$K$25*('Inputs-Proposals'!$K$20)*(VLOOKUP(BL$3,'Embedded Emissions'!$A$47:$B$78,2,FALSE)+VLOOKUP(BL$3,'Embedded Emissions'!$A$129:$B$158,2,FALSE)), $C56 = "3",'Inputs-System'!$C$30*'Coincidence Factors'!$B$8*(1+'Inputs-System'!$C$18)*(1+'Inputs-System'!$C$41)*'Inputs-Proposals'!$K$29*'Inputs-Proposals'!$K$31*('Inputs-Proposals'!$K$20)*(VLOOKUP(BL$3,'Embedded Emissions'!$A$47:$B$78,2,FALSE)+VLOOKUP(BL$3,'Embedded Emissions'!$A$129:$B$158,2,FALSE)), $C56 = "0", 0), 0)</f>
        <v>0</v>
      </c>
      <c r="BN56" s="44">
        <f>IFERROR(_xlfn.IFS($C56="1",( 'Inputs-System'!$C$30*'Coincidence Factors'!$B$8*(1+'Inputs-System'!$C$18)*(1+'Inputs-System'!$C$41))*('Inputs-Proposals'!$K$17*'Inputs-Proposals'!$K$19*('Inputs-Proposals'!$K$20))*(VLOOKUP(BL$3,DRIPE!$A$54:$I$82,5,FALSE)+VLOOKUP(BL$3,DRIPE!$A$54:$I$82,9,FALSE))+ ('Inputs-System'!$C$26*'Coincidence Factors'!$B$8*(1+'Inputs-System'!$C$18)*(1+'Inputs-System'!$C$42))*'Inputs-Proposals'!$K$16*VLOOKUP(BL$3,DRIPE!$A$54:$I$82,8,FALSE), $C56 = "2",( 'Inputs-System'!$C$30*'Coincidence Factors'!$B$8*(1+'Inputs-System'!$C$18)*(1+'Inputs-System'!$C$41))*('Inputs-Proposals'!$K$23*'Inputs-Proposals'!$K$25*('Inputs-Proposals'!$K$26))*(VLOOKUP(BL$3,DRIPE!$A$54:$I$82,5,FALSE)+VLOOKUP(BL$3,DRIPE!$A$54:$I$82,9,FALSE))+  ('Inputs-System'!$C$26*'Coincidence Factors'!$B$8*(1+'Inputs-System'!$C$18)*(1+'Inputs-System'!$C$42))*'Inputs-Proposals'!$K$22*VLOOKUP(BL$3,DRIPE!$A$54:$I$82,8,FALSE), $C56= "3", ( 'Inputs-System'!$C$30*'Coincidence Factors'!$B$8*(1+'Inputs-System'!$C$18)*(1+'Inputs-System'!$C$41))*('Inputs-Proposals'!$K$29*'Inputs-Proposals'!$K$31*('Inputs-Proposals'!$K$32))*(VLOOKUP(BL$3,DRIPE!$A$54:$I$82,5,FALSE)+VLOOKUP(BL$3,DRIPE!$A$54:$I$82,9,FALSE))+  ('Inputs-System'!$C$26*'Coincidence Factors'!$B$8*(1+'Inputs-System'!$C$18)*(1+'Inputs-System'!$C$42))*'Inputs-Proposals'!$K$28*VLOOKUP(BL$3,DRIPE!$A$54:$I$82,8,FALSE), $C56 = "0", 0), 0)</f>
        <v>0</v>
      </c>
      <c r="BO56" s="45">
        <f>IFERROR(_xlfn.IFS($C56="1",('Inputs-System'!$C$30*'Coincidence Factors'!$B$8*(1+'Inputs-System'!$C$18))*'Inputs-Proposals'!$K$16*(VLOOKUP(BL$3,Capacity!$A$53:$E$85,4,FALSE)*(1+'Inputs-System'!$C$42)+VLOOKUP(BL$3,Capacity!$A$53:$E$85,5,FALSE)*'Inputs-System'!$C$29*(1+'Inputs-System'!$C$43)), $C56 = "2", ('Inputs-System'!$C$30*'Coincidence Factors'!$B$8*(1+'Inputs-System'!$C$18))*'Inputs-Proposals'!$K$22*(VLOOKUP(BL$3,Capacity!$A$53:$E$85,4,FALSE)*(1+'Inputs-System'!$C$42)+VLOOKUP(BL$3,Capacity!$A$53:$E$85,5,FALSE)*'Inputs-System'!$C$29*(1+'Inputs-System'!$C$43)), $C56 = "3",('Inputs-System'!$C$30*'Coincidence Factors'!$B$8*(1+'Inputs-System'!$C$18))*'Inputs-Proposals'!$K$28*(VLOOKUP(BL$3,Capacity!$A$53:$E$85,4,FALSE)*(1+'Inputs-System'!$C$42)+VLOOKUP(BL$3,Capacity!$A$53:$E$85,5,FALSE)*'Inputs-System'!$C$29*(1+'Inputs-System'!$C$43)), $C56 = "0", 0), 0)</f>
        <v>0</v>
      </c>
      <c r="BP56" s="44">
        <v>0</v>
      </c>
      <c r="BQ56" s="342">
        <f>IFERROR(_xlfn.IFS($C56="1", 'Inputs-System'!$C$30*'Coincidence Factors'!$B$8*'Inputs-Proposals'!$K$17*'Inputs-Proposals'!$K$19*(VLOOKUP(BL$3,'Non-Embedded Emissions'!$A$56:$D$90,2,FALSE)+VLOOKUP(BL$3,'Non-Embedded Emissions'!$A$143:$D$174,2,FALSE)+VLOOKUP(BL$3,'Non-Embedded Emissions'!$A$230:$D$259,2,FALSE)), $C56 = "2", 'Inputs-System'!$C$30*'Coincidence Factors'!$B$8*'Inputs-Proposals'!$K$23*'Inputs-Proposals'!$K$25*(VLOOKUP(BL$3,'Non-Embedded Emissions'!$A$56:$D$90,2,FALSE)+VLOOKUP(BL$3,'Non-Embedded Emissions'!$A$143:$D$174,2,FALSE)+VLOOKUP(BL$3,'Non-Embedded Emissions'!$A$230:$D$259,2,FALSE)), $C56 = "3", 'Inputs-System'!$C$30*'Coincidence Factors'!$B$8*'Inputs-Proposals'!$K$29*'Inputs-Proposals'!$K$31*(VLOOKUP(BL$3,'Non-Embedded Emissions'!$A$56:$D$90,2,FALSE)+VLOOKUP(BL$3,'Non-Embedded Emissions'!$A$143:$D$174,2,FALSE)+VLOOKUP(BL$3,'Non-Embedded Emissions'!$A$230:$D$259,2,FALSE)), $C56 = "0", 0), 0)</f>
        <v>0</v>
      </c>
      <c r="BR56" s="347">
        <f>IFERROR(_xlfn.IFS($C56="1",('Inputs-System'!$C$30*'Coincidence Factors'!$B$8*(1+'Inputs-System'!$C$18)*(1+'Inputs-System'!$C$41)*('Inputs-Proposals'!$K$17*'Inputs-Proposals'!$K$19*('Inputs-Proposals'!$K$20))*(VLOOKUP(BR$3,Energy!$A$51:$K$83,5,FALSE))), $C56 = "2",('Inputs-System'!$C$30*'Coincidence Factors'!$B$8)*(1+'Inputs-System'!$C$18)*(1+'Inputs-System'!$C$41)*('Inputs-Proposals'!$K$23*'Inputs-Proposals'!$K$25*('Inputs-Proposals'!$K$26))*(VLOOKUP(BR$3,Energy!$A$51:$K$83,5,FALSE)), $C56= "3", ('Inputs-System'!$C$30*'Coincidence Factors'!$B$8*(1+'Inputs-System'!$C$18)*(1+'Inputs-System'!$C$41)*('Inputs-Proposals'!$K$29*'Inputs-Proposals'!$K$31*('Inputs-Proposals'!$K$32))*(VLOOKUP(BR$3,Energy!$A$51:$K$83,5,FALSE))), $C56= "0", 0), 0)</f>
        <v>0</v>
      </c>
      <c r="BS56" s="44">
        <f>IFERROR(_xlfn.IFS($C56="1",'Inputs-System'!$C$30*'Coincidence Factors'!$B$8*(1+'Inputs-System'!$C$18)*(1+'Inputs-System'!$C$41)*'Inputs-Proposals'!$K$17*'Inputs-Proposals'!$K$19*('Inputs-Proposals'!$K$20)*(VLOOKUP(BR$3,'Embedded Emissions'!$A$47:$B$78,2,FALSE)+VLOOKUP(BR$3,'Embedded Emissions'!$A$129:$B$158,2,FALSE)), $C56 = "2", 'Inputs-System'!$C$30*'Coincidence Factors'!$B$8*(1+'Inputs-System'!$C$18)*(1+'Inputs-System'!$C$41)*'Inputs-Proposals'!$K$23*'Inputs-Proposals'!$K$25*('Inputs-Proposals'!$K$20)*(VLOOKUP(BR$3,'Embedded Emissions'!$A$47:$B$78,2,FALSE)+VLOOKUP(BR$3,'Embedded Emissions'!$A$129:$B$158,2,FALSE)), $C56 = "3",'Inputs-System'!$C$30*'Coincidence Factors'!$B$8*(1+'Inputs-System'!$C$18)*(1+'Inputs-System'!$C$41)*'Inputs-Proposals'!$K$29*'Inputs-Proposals'!$K$31*('Inputs-Proposals'!$K$20)*(VLOOKUP(BR$3,'Embedded Emissions'!$A$47:$B$78,2,FALSE)+VLOOKUP(BR$3,'Embedded Emissions'!$A$129:$B$158,2,FALSE)), $C56 = "0", 0), 0)</f>
        <v>0</v>
      </c>
      <c r="BT56" s="44">
        <f>IFERROR(_xlfn.IFS($C56="1",( 'Inputs-System'!$C$30*'Coincidence Factors'!$B$8*(1+'Inputs-System'!$C$18)*(1+'Inputs-System'!$C$41))*('Inputs-Proposals'!$K$17*'Inputs-Proposals'!$K$19*('Inputs-Proposals'!$K$20))*(VLOOKUP(BR$3,DRIPE!$A$54:$I$82,5,FALSE)+VLOOKUP(BR$3,DRIPE!$A$54:$I$82,9,FALSE))+ ('Inputs-System'!$C$26*'Coincidence Factors'!$B$8*(1+'Inputs-System'!$C$18)*(1+'Inputs-System'!$C$42))*'Inputs-Proposals'!$K$16*VLOOKUP(BR$3,DRIPE!$A$54:$I$82,8,FALSE), $C56 = "2",( 'Inputs-System'!$C$30*'Coincidence Factors'!$B$8*(1+'Inputs-System'!$C$18)*(1+'Inputs-System'!$C$41))*('Inputs-Proposals'!$K$23*'Inputs-Proposals'!$K$25*('Inputs-Proposals'!$K$26))*(VLOOKUP(BR$3,DRIPE!$A$54:$I$82,5,FALSE)+VLOOKUP(BR$3,DRIPE!$A$54:$I$82,9,FALSE))+  ('Inputs-System'!$C$26*'Coincidence Factors'!$B$8*(1+'Inputs-System'!$C$18)*(1+'Inputs-System'!$C$42))*'Inputs-Proposals'!$K$22*VLOOKUP(BR$3,DRIPE!$A$54:$I$82,8,FALSE), $C56= "3", ( 'Inputs-System'!$C$30*'Coincidence Factors'!$B$8*(1+'Inputs-System'!$C$18)*(1+'Inputs-System'!$C$41))*('Inputs-Proposals'!$K$29*'Inputs-Proposals'!$K$31*('Inputs-Proposals'!$K$32))*(VLOOKUP(BR$3,DRIPE!$A$54:$I$82,5,FALSE)+VLOOKUP(BR$3,DRIPE!$A$54:$I$82,9,FALSE))+  ('Inputs-System'!$C$26*'Coincidence Factors'!$B$8*(1+'Inputs-System'!$C$18)*(1+'Inputs-System'!$C$42))*'Inputs-Proposals'!$K$28*VLOOKUP(BR$3,DRIPE!$A$54:$I$82,8,FALSE), $C56 = "0", 0), 0)</f>
        <v>0</v>
      </c>
      <c r="BU56" s="45">
        <f>IFERROR(_xlfn.IFS($C56="1",('Inputs-System'!$C$30*'Coincidence Factors'!$B$8*(1+'Inputs-System'!$C$18))*'Inputs-Proposals'!$K$16*(VLOOKUP(BR$3,Capacity!$A$53:$E$85,4,FALSE)*(1+'Inputs-System'!$C$42)+VLOOKUP(BR$3,Capacity!$A$53:$E$85,5,FALSE)*'Inputs-System'!$C$29*(1+'Inputs-System'!$C$43)), $C56 = "2", ('Inputs-System'!$C$30*'Coincidence Factors'!$B$8*(1+'Inputs-System'!$C$18))*'Inputs-Proposals'!$K$22*(VLOOKUP(BR$3,Capacity!$A$53:$E$85,4,FALSE)*(1+'Inputs-System'!$C$42)+VLOOKUP(BR$3,Capacity!$A$53:$E$85,5,FALSE)*'Inputs-System'!$C$29*(1+'Inputs-System'!$C$43)), $C56 = "3",('Inputs-System'!$C$30*'Coincidence Factors'!$B$8*(1+'Inputs-System'!$C$18))*'Inputs-Proposals'!$K$28*(VLOOKUP(BR$3,Capacity!$A$53:$E$85,4,FALSE)*(1+'Inputs-System'!$C$42)+VLOOKUP(BR$3,Capacity!$A$53:$E$85,5,FALSE)*'Inputs-System'!$C$29*(1+'Inputs-System'!$C$43)), $C56 = "0", 0), 0)</f>
        <v>0</v>
      </c>
      <c r="BV56" s="44">
        <v>0</v>
      </c>
      <c r="BW56" s="342">
        <f>IFERROR(_xlfn.IFS($C56="1", 'Inputs-System'!$C$30*'Coincidence Factors'!$B$8*'Inputs-Proposals'!$K$17*'Inputs-Proposals'!$K$19*(VLOOKUP(BR$3,'Non-Embedded Emissions'!$A$56:$D$90,2,FALSE)+VLOOKUP(BR$3,'Non-Embedded Emissions'!$A$143:$D$174,2,FALSE)+VLOOKUP(BR$3,'Non-Embedded Emissions'!$A$230:$D$259,2,FALSE)), $C56 = "2", 'Inputs-System'!$C$30*'Coincidence Factors'!$B$8*'Inputs-Proposals'!$K$23*'Inputs-Proposals'!$K$25*(VLOOKUP(BR$3,'Non-Embedded Emissions'!$A$56:$D$90,2,FALSE)+VLOOKUP(BR$3,'Non-Embedded Emissions'!$A$143:$D$174,2,FALSE)+VLOOKUP(BR$3,'Non-Embedded Emissions'!$A$230:$D$259,2,FALSE)), $C56 = "3", 'Inputs-System'!$C$30*'Coincidence Factors'!$B$8*'Inputs-Proposals'!$K$29*'Inputs-Proposals'!$K$31*(VLOOKUP(BR$3,'Non-Embedded Emissions'!$A$56:$D$90,2,FALSE)+VLOOKUP(BR$3,'Non-Embedded Emissions'!$A$143:$D$174,2,FALSE)+VLOOKUP(BR$3,'Non-Embedded Emissions'!$A$230:$D$259,2,FALSE)), $C56 = "0", 0), 0)</f>
        <v>0</v>
      </c>
      <c r="BX56" s="347">
        <f>IFERROR(_xlfn.IFS($C56="1",('Inputs-System'!$C$30*'Coincidence Factors'!$B$8*(1+'Inputs-System'!$C$18)*(1+'Inputs-System'!$C$41)*('Inputs-Proposals'!$K$17*'Inputs-Proposals'!$K$19*('Inputs-Proposals'!$K$20))*(VLOOKUP(BX$3,Energy!$A$51:$K$83,5,FALSE))), $C56 = "2",('Inputs-System'!$C$30*'Coincidence Factors'!$B$8)*(1+'Inputs-System'!$C$18)*(1+'Inputs-System'!$C$41)*('Inputs-Proposals'!$K$23*'Inputs-Proposals'!$K$25*('Inputs-Proposals'!$K$26))*(VLOOKUP(BX$3,Energy!$A$51:$K$83,5,FALSE)), $C56= "3", ('Inputs-System'!$C$30*'Coincidence Factors'!$B$8*(1+'Inputs-System'!$C$18)*(1+'Inputs-System'!$C$41)*('Inputs-Proposals'!$K$29*'Inputs-Proposals'!$K$31*('Inputs-Proposals'!$K$32))*(VLOOKUP(BX$3,Energy!$A$51:$K$83,5,FALSE))), $C56= "0", 0), 0)</f>
        <v>0</v>
      </c>
      <c r="BY56" s="44">
        <f>IFERROR(_xlfn.IFS($C56="1",'Inputs-System'!$C$30*'Coincidence Factors'!$B$8*(1+'Inputs-System'!$C$18)*(1+'Inputs-System'!$C$41)*'Inputs-Proposals'!$K$17*'Inputs-Proposals'!$K$19*('Inputs-Proposals'!$K$20)*(VLOOKUP(BX$3,'Embedded Emissions'!$A$47:$B$78,2,FALSE)+VLOOKUP(BX$3,'Embedded Emissions'!$A$129:$B$158,2,FALSE)), $C56 = "2", 'Inputs-System'!$C$30*'Coincidence Factors'!$B$8*(1+'Inputs-System'!$C$18)*(1+'Inputs-System'!$C$41)*'Inputs-Proposals'!$K$23*'Inputs-Proposals'!$K$25*('Inputs-Proposals'!$K$20)*(VLOOKUP(BX$3,'Embedded Emissions'!$A$47:$B$78,2,FALSE)+VLOOKUP(BX$3,'Embedded Emissions'!$A$129:$B$158,2,FALSE)), $C56 = "3",'Inputs-System'!$C$30*'Coincidence Factors'!$B$8*(1+'Inputs-System'!$C$18)*(1+'Inputs-System'!$C$41)*'Inputs-Proposals'!$K$29*'Inputs-Proposals'!$K$31*('Inputs-Proposals'!$K$20)*(VLOOKUP(BX$3,'Embedded Emissions'!$A$47:$B$78,2,FALSE)+VLOOKUP(BX$3,'Embedded Emissions'!$A$129:$B$158,2,FALSE)), $C56 = "0", 0), 0)</f>
        <v>0</v>
      </c>
      <c r="BZ56" s="44">
        <f>IFERROR(_xlfn.IFS($C56="1",( 'Inputs-System'!$C$30*'Coincidence Factors'!$B$8*(1+'Inputs-System'!$C$18)*(1+'Inputs-System'!$C$41))*('Inputs-Proposals'!$K$17*'Inputs-Proposals'!$K$19*('Inputs-Proposals'!$K$20))*(VLOOKUP(BX$3,DRIPE!$A$54:$I$82,5,FALSE)+VLOOKUP(BX$3,DRIPE!$A$54:$I$82,9,FALSE))+ ('Inputs-System'!$C$26*'Coincidence Factors'!$B$8*(1+'Inputs-System'!$C$18)*(1+'Inputs-System'!$C$42))*'Inputs-Proposals'!$K$16*VLOOKUP(BX$3,DRIPE!$A$54:$I$82,8,FALSE), $C56 = "2",( 'Inputs-System'!$C$30*'Coincidence Factors'!$B$8*(1+'Inputs-System'!$C$18)*(1+'Inputs-System'!$C$41))*('Inputs-Proposals'!$K$23*'Inputs-Proposals'!$K$25*('Inputs-Proposals'!$K$26))*(VLOOKUP(BX$3,DRIPE!$A$54:$I$82,5,FALSE)+VLOOKUP(BX$3,DRIPE!$A$54:$I$82,9,FALSE))+  ('Inputs-System'!$C$26*'Coincidence Factors'!$B$8*(1+'Inputs-System'!$C$18)*(1+'Inputs-System'!$C$42))*'Inputs-Proposals'!$K$22*VLOOKUP(BX$3,DRIPE!$A$54:$I$82,8,FALSE), $C56= "3", ( 'Inputs-System'!$C$30*'Coincidence Factors'!$B$8*(1+'Inputs-System'!$C$18)*(1+'Inputs-System'!$C$41))*('Inputs-Proposals'!$K$29*'Inputs-Proposals'!$K$31*('Inputs-Proposals'!$K$32))*(VLOOKUP(BX$3,DRIPE!$A$54:$I$82,5,FALSE)+VLOOKUP(BX$3,DRIPE!$A$54:$I$82,9,FALSE))+  ('Inputs-System'!$C$26*'Coincidence Factors'!$B$8*(1+'Inputs-System'!$C$18)*(1+'Inputs-System'!$C$42))*'Inputs-Proposals'!$K$28*VLOOKUP(BX$3,DRIPE!$A$54:$I$82,8,FALSE), $C56 = "0", 0), 0)</f>
        <v>0</v>
      </c>
      <c r="CA56" s="45">
        <f>IFERROR(_xlfn.IFS($C56="1",('Inputs-System'!$C$30*'Coincidence Factors'!$B$8*(1+'Inputs-System'!$C$18))*'Inputs-Proposals'!$K$16*(VLOOKUP(BX$3,Capacity!$A$53:$E$85,4,FALSE)*(1+'Inputs-System'!$C$42)+VLOOKUP(BX$3,Capacity!$A$53:$E$85,5,FALSE)*'Inputs-System'!$C$29*(1+'Inputs-System'!$C$43)), $C56 = "2", ('Inputs-System'!$C$30*'Coincidence Factors'!$B$8*(1+'Inputs-System'!$C$18))*'Inputs-Proposals'!$K$22*(VLOOKUP(BX$3,Capacity!$A$53:$E$85,4,FALSE)*(1+'Inputs-System'!$C$42)+VLOOKUP(BX$3,Capacity!$A$53:$E$85,5,FALSE)*'Inputs-System'!$C$29*(1+'Inputs-System'!$C$43)), $C56 = "3",('Inputs-System'!$C$30*'Coincidence Factors'!$B$8*(1+'Inputs-System'!$C$18))*'Inputs-Proposals'!$K$28*(VLOOKUP(BX$3,Capacity!$A$53:$E$85,4,FALSE)*(1+'Inputs-System'!$C$42)+VLOOKUP(BX$3,Capacity!$A$53:$E$85,5,FALSE)*'Inputs-System'!$C$29*(1+'Inputs-System'!$C$43)), $C56 = "0", 0), 0)</f>
        <v>0</v>
      </c>
      <c r="CB56" s="44">
        <v>0</v>
      </c>
      <c r="CC56" s="342">
        <f>IFERROR(_xlfn.IFS($C56="1", 'Inputs-System'!$C$30*'Coincidence Factors'!$B$8*'Inputs-Proposals'!$K$17*'Inputs-Proposals'!$K$19*(VLOOKUP(BX$3,'Non-Embedded Emissions'!$A$56:$D$90,2,FALSE)+VLOOKUP(BX$3,'Non-Embedded Emissions'!$A$143:$D$174,2,FALSE)+VLOOKUP(BX$3,'Non-Embedded Emissions'!$A$230:$D$259,2,FALSE)), $C56 = "2", 'Inputs-System'!$C$30*'Coincidence Factors'!$B$8*'Inputs-Proposals'!$K$23*'Inputs-Proposals'!$K$25*(VLOOKUP(BX$3,'Non-Embedded Emissions'!$A$56:$D$90,2,FALSE)+VLOOKUP(BX$3,'Non-Embedded Emissions'!$A$143:$D$174,2,FALSE)+VLOOKUP(BX$3,'Non-Embedded Emissions'!$A$230:$D$259,2,FALSE)), $C56 = "3", 'Inputs-System'!$C$30*'Coincidence Factors'!$B$8*'Inputs-Proposals'!$K$29*'Inputs-Proposals'!$K$31*(VLOOKUP(BX$3,'Non-Embedded Emissions'!$A$56:$D$90,2,FALSE)+VLOOKUP(BX$3,'Non-Embedded Emissions'!$A$143:$D$174,2,FALSE)+VLOOKUP(BX$3,'Non-Embedded Emissions'!$A$230:$D$259,2,FALSE)), $C56 = "0", 0), 0)</f>
        <v>0</v>
      </c>
      <c r="CD56" s="347">
        <f>IFERROR(_xlfn.IFS($C56="1",('Inputs-System'!$C$30*'Coincidence Factors'!$B$8*(1+'Inputs-System'!$C$18)*(1+'Inputs-System'!$C$41)*('Inputs-Proposals'!$K$17*'Inputs-Proposals'!$K$19*('Inputs-Proposals'!$K$20))*(VLOOKUP(CD$3,Energy!$A$51:$K$83,5,FALSE))), $C56 = "2",('Inputs-System'!$C$30*'Coincidence Factors'!$B$8)*(1+'Inputs-System'!$C$18)*(1+'Inputs-System'!$C$41)*('Inputs-Proposals'!$K$23*'Inputs-Proposals'!$K$25*('Inputs-Proposals'!$K$26))*(VLOOKUP(CD$3,Energy!$A$51:$K$83,5,FALSE)), $C56= "3", ('Inputs-System'!$C$30*'Coincidence Factors'!$B$8*(1+'Inputs-System'!$C$18)*(1+'Inputs-System'!$C$41)*('Inputs-Proposals'!$K$29*'Inputs-Proposals'!$K$31*('Inputs-Proposals'!$K$32))*(VLOOKUP(CD$3,Energy!$A$51:$K$83,5,FALSE))), $C56= "0", 0), 0)</f>
        <v>0</v>
      </c>
      <c r="CE56" s="44">
        <f>IFERROR(_xlfn.IFS($C56="1",'Inputs-System'!$C$30*'Coincidence Factors'!$B$8*(1+'Inputs-System'!$C$18)*(1+'Inputs-System'!$C$41)*'Inputs-Proposals'!$K$17*'Inputs-Proposals'!$K$19*('Inputs-Proposals'!$K$20)*(VLOOKUP(CD$3,'Embedded Emissions'!$A$47:$B$78,2,FALSE)+VLOOKUP(CD$3,'Embedded Emissions'!$A$129:$B$158,2,FALSE)), $C56 = "2", 'Inputs-System'!$C$30*'Coincidence Factors'!$B$8*(1+'Inputs-System'!$C$18)*(1+'Inputs-System'!$C$41)*'Inputs-Proposals'!$K$23*'Inputs-Proposals'!$K$25*('Inputs-Proposals'!$K$20)*(VLOOKUP(CD$3,'Embedded Emissions'!$A$47:$B$78,2,FALSE)+VLOOKUP(CD$3,'Embedded Emissions'!$A$129:$B$158,2,FALSE)), $C56 = "3",'Inputs-System'!$C$30*'Coincidence Factors'!$B$8*(1+'Inputs-System'!$C$18)*(1+'Inputs-System'!$C$41)*'Inputs-Proposals'!$K$29*'Inputs-Proposals'!$K$31*('Inputs-Proposals'!$K$20)*(VLOOKUP(CD$3,'Embedded Emissions'!$A$47:$B$78,2,FALSE)+VLOOKUP(CD$3,'Embedded Emissions'!$A$129:$B$158,2,FALSE)), $C56 = "0", 0), 0)</f>
        <v>0</v>
      </c>
      <c r="CF56" s="44">
        <f>IFERROR(_xlfn.IFS($C56="1",( 'Inputs-System'!$C$30*'Coincidence Factors'!$B$8*(1+'Inputs-System'!$C$18)*(1+'Inputs-System'!$C$41))*('Inputs-Proposals'!$K$17*'Inputs-Proposals'!$K$19*('Inputs-Proposals'!$K$20))*(VLOOKUP(CD$3,DRIPE!$A$54:$I$82,5,FALSE)+VLOOKUP(CD$3,DRIPE!$A$54:$I$82,9,FALSE))+ ('Inputs-System'!$C$26*'Coincidence Factors'!$B$8*(1+'Inputs-System'!$C$18)*(1+'Inputs-System'!$C$42))*'Inputs-Proposals'!$K$16*VLOOKUP(CD$3,DRIPE!$A$54:$I$82,8,FALSE), $C56 = "2",( 'Inputs-System'!$C$30*'Coincidence Factors'!$B$8*(1+'Inputs-System'!$C$18)*(1+'Inputs-System'!$C$41))*('Inputs-Proposals'!$K$23*'Inputs-Proposals'!$K$25*('Inputs-Proposals'!$K$26))*(VLOOKUP(CD$3,DRIPE!$A$54:$I$82,5,FALSE)+VLOOKUP(CD$3,DRIPE!$A$54:$I$82,9,FALSE))+  ('Inputs-System'!$C$26*'Coincidence Factors'!$B$8*(1+'Inputs-System'!$C$18)*(1+'Inputs-System'!$C$42))*'Inputs-Proposals'!$K$22*VLOOKUP(CD$3,DRIPE!$A$54:$I$82,8,FALSE), $C56= "3", ( 'Inputs-System'!$C$30*'Coincidence Factors'!$B$8*(1+'Inputs-System'!$C$18)*(1+'Inputs-System'!$C$41))*('Inputs-Proposals'!$K$29*'Inputs-Proposals'!$K$31*('Inputs-Proposals'!$K$32))*(VLOOKUP(CD$3,DRIPE!$A$54:$I$82,5,FALSE)+VLOOKUP(CD$3,DRIPE!$A$54:$I$82,9,FALSE))+  ('Inputs-System'!$C$26*'Coincidence Factors'!$B$8*(1+'Inputs-System'!$C$18)*(1+'Inputs-System'!$C$42))*'Inputs-Proposals'!$K$28*VLOOKUP(CD$3,DRIPE!$A$54:$I$82,8,FALSE), $C56 = "0", 0), 0)</f>
        <v>0</v>
      </c>
      <c r="CG56" s="45">
        <f>IFERROR(_xlfn.IFS($C56="1",('Inputs-System'!$C$30*'Coincidence Factors'!$B$8*(1+'Inputs-System'!$C$18))*'Inputs-Proposals'!$K$16*(VLOOKUP(CD$3,Capacity!$A$53:$E$85,4,FALSE)*(1+'Inputs-System'!$C$42)+VLOOKUP(CD$3,Capacity!$A$53:$E$85,5,FALSE)*'Inputs-System'!$C$29*(1+'Inputs-System'!$C$43)), $C56 = "2", ('Inputs-System'!$C$30*'Coincidence Factors'!$B$8*(1+'Inputs-System'!$C$18))*'Inputs-Proposals'!$K$22*(VLOOKUP(CD$3,Capacity!$A$53:$E$85,4,FALSE)*(1+'Inputs-System'!$C$42)+VLOOKUP(CD$3,Capacity!$A$53:$E$85,5,FALSE)*'Inputs-System'!$C$29*(1+'Inputs-System'!$C$43)), $C56 = "3",('Inputs-System'!$C$30*'Coincidence Factors'!$B$8*(1+'Inputs-System'!$C$18))*'Inputs-Proposals'!$K$28*(VLOOKUP(CD$3,Capacity!$A$53:$E$85,4,FALSE)*(1+'Inputs-System'!$C$42)+VLOOKUP(CD$3,Capacity!$A$53:$E$85,5,FALSE)*'Inputs-System'!$C$29*(1+'Inputs-System'!$C$43)), $C56 = "0", 0), 0)</f>
        <v>0</v>
      </c>
      <c r="CH56" s="44">
        <v>0</v>
      </c>
      <c r="CI56" s="342">
        <f>IFERROR(_xlfn.IFS($C56="1", 'Inputs-System'!$C$30*'Coincidence Factors'!$B$8*'Inputs-Proposals'!$K$17*'Inputs-Proposals'!$K$19*(VLOOKUP(CD$3,'Non-Embedded Emissions'!$A$56:$D$90,2,FALSE)+VLOOKUP(CD$3,'Non-Embedded Emissions'!$A$143:$D$174,2,FALSE)+VLOOKUP(CD$3,'Non-Embedded Emissions'!$A$230:$D$259,2,FALSE)), $C56 = "2", 'Inputs-System'!$C$30*'Coincidence Factors'!$B$8*'Inputs-Proposals'!$K$23*'Inputs-Proposals'!$K$25*(VLOOKUP(CD$3,'Non-Embedded Emissions'!$A$56:$D$90,2,FALSE)+VLOOKUP(CD$3,'Non-Embedded Emissions'!$A$143:$D$174,2,FALSE)+VLOOKUP(CD$3,'Non-Embedded Emissions'!$A$230:$D$259,2,FALSE)), $C56 = "3", 'Inputs-System'!$C$30*'Coincidence Factors'!$B$8*'Inputs-Proposals'!$K$29*'Inputs-Proposals'!$K$31*(VLOOKUP(CD$3,'Non-Embedded Emissions'!$A$56:$D$90,2,FALSE)+VLOOKUP(CD$3,'Non-Embedded Emissions'!$A$143:$D$174,2,FALSE)+VLOOKUP(CD$3,'Non-Embedded Emissions'!$A$230:$D$259,2,FALSE)), $C56 = "0", 0), 0)</f>
        <v>0</v>
      </c>
      <c r="CJ56" s="347">
        <f>IFERROR(_xlfn.IFS($C56="1",('Inputs-System'!$C$30*'Coincidence Factors'!$B$8*(1+'Inputs-System'!$C$18)*(1+'Inputs-System'!$C$41)*('Inputs-Proposals'!$K$17*'Inputs-Proposals'!$K$19*('Inputs-Proposals'!$K$20))*(VLOOKUP(CJ$3,Energy!$A$51:$K$83,5,FALSE))), $C56 = "2",('Inputs-System'!$C$30*'Coincidence Factors'!$B$8)*(1+'Inputs-System'!$C$18)*(1+'Inputs-System'!$C$41)*('Inputs-Proposals'!$K$23*'Inputs-Proposals'!$K$25*('Inputs-Proposals'!$K$26))*(VLOOKUP(CJ$3,Energy!$A$51:$K$83,5,FALSE)), $C56= "3", ('Inputs-System'!$C$30*'Coincidence Factors'!$B$8*(1+'Inputs-System'!$C$18)*(1+'Inputs-System'!$C$41)*('Inputs-Proposals'!$K$29*'Inputs-Proposals'!$K$31*('Inputs-Proposals'!$K$32))*(VLOOKUP(CJ$3,Energy!$A$51:$K$83,5,FALSE))), $C56= "0", 0), 0)</f>
        <v>0</v>
      </c>
      <c r="CK56" s="44">
        <f>IFERROR(_xlfn.IFS($C56="1",'Inputs-System'!$C$30*'Coincidence Factors'!$B$8*(1+'Inputs-System'!$C$18)*(1+'Inputs-System'!$C$41)*'Inputs-Proposals'!$K$17*'Inputs-Proposals'!$K$19*('Inputs-Proposals'!$K$20)*(VLOOKUP(CJ$3,'Embedded Emissions'!$A$47:$B$78,2,FALSE)+VLOOKUP(CJ$3,'Embedded Emissions'!$A$129:$B$158,2,FALSE)), $C56 = "2", 'Inputs-System'!$C$30*'Coincidence Factors'!$B$8*(1+'Inputs-System'!$C$18)*(1+'Inputs-System'!$C$41)*'Inputs-Proposals'!$K$23*'Inputs-Proposals'!$K$25*('Inputs-Proposals'!$K$20)*(VLOOKUP(CJ$3,'Embedded Emissions'!$A$47:$B$78,2,FALSE)+VLOOKUP(CJ$3,'Embedded Emissions'!$A$129:$B$158,2,FALSE)), $C56 = "3",'Inputs-System'!$C$30*'Coincidence Factors'!$B$8*(1+'Inputs-System'!$C$18)*(1+'Inputs-System'!$C$41)*'Inputs-Proposals'!$K$29*'Inputs-Proposals'!$K$31*('Inputs-Proposals'!$K$20)*(VLOOKUP(CJ$3,'Embedded Emissions'!$A$47:$B$78,2,FALSE)+VLOOKUP(CJ$3,'Embedded Emissions'!$A$129:$B$158,2,FALSE)), $C56 = "0", 0), 0)</f>
        <v>0</v>
      </c>
      <c r="CL56" s="44">
        <f>IFERROR(_xlfn.IFS($C56="1",( 'Inputs-System'!$C$30*'Coincidence Factors'!$B$8*(1+'Inputs-System'!$C$18)*(1+'Inputs-System'!$C$41))*('Inputs-Proposals'!$K$17*'Inputs-Proposals'!$K$19*('Inputs-Proposals'!$K$20))*(VLOOKUP(CJ$3,DRIPE!$A$54:$I$82,5,FALSE)+VLOOKUP(CJ$3,DRIPE!$A$54:$I$82,9,FALSE))+ ('Inputs-System'!$C$26*'Coincidence Factors'!$B$8*(1+'Inputs-System'!$C$18)*(1+'Inputs-System'!$C$42))*'Inputs-Proposals'!$K$16*VLOOKUP(CJ$3,DRIPE!$A$54:$I$82,8,FALSE), $C56 = "2",( 'Inputs-System'!$C$30*'Coincidence Factors'!$B$8*(1+'Inputs-System'!$C$18)*(1+'Inputs-System'!$C$41))*('Inputs-Proposals'!$K$23*'Inputs-Proposals'!$K$25*('Inputs-Proposals'!$K$26))*(VLOOKUP(CJ$3,DRIPE!$A$54:$I$82,5,FALSE)+VLOOKUP(CJ$3,DRIPE!$A$54:$I$82,9,FALSE))+  ('Inputs-System'!$C$26*'Coincidence Factors'!$B$8*(1+'Inputs-System'!$C$18)*(1+'Inputs-System'!$C$42))*'Inputs-Proposals'!$K$22*VLOOKUP(CJ$3,DRIPE!$A$54:$I$82,8,FALSE), $C56= "3", ( 'Inputs-System'!$C$30*'Coincidence Factors'!$B$8*(1+'Inputs-System'!$C$18)*(1+'Inputs-System'!$C$41))*('Inputs-Proposals'!$K$29*'Inputs-Proposals'!$K$31*('Inputs-Proposals'!$K$32))*(VLOOKUP(CJ$3,DRIPE!$A$54:$I$82,5,FALSE)+VLOOKUP(CJ$3,DRIPE!$A$54:$I$82,9,FALSE))+  ('Inputs-System'!$C$26*'Coincidence Factors'!$B$8*(1+'Inputs-System'!$C$18)*(1+'Inputs-System'!$C$42))*'Inputs-Proposals'!$K$28*VLOOKUP(CJ$3,DRIPE!$A$54:$I$82,8,FALSE), $C56 = "0", 0), 0)</f>
        <v>0</v>
      </c>
      <c r="CM56" s="45">
        <f>IFERROR(_xlfn.IFS($C56="1",('Inputs-System'!$C$30*'Coincidence Factors'!$B$8*(1+'Inputs-System'!$C$18))*'Inputs-Proposals'!$K$16*(VLOOKUP(CJ$3,Capacity!$A$53:$E$85,4,FALSE)*(1+'Inputs-System'!$C$42)+VLOOKUP(CJ$3,Capacity!$A$53:$E$85,5,FALSE)*'Inputs-System'!$C$29*(1+'Inputs-System'!$C$43)), $C56 = "2", ('Inputs-System'!$C$30*'Coincidence Factors'!$B$8*(1+'Inputs-System'!$C$18))*'Inputs-Proposals'!$K$22*(VLOOKUP(CJ$3,Capacity!$A$53:$E$85,4,FALSE)*(1+'Inputs-System'!$C$42)+VLOOKUP(CJ$3,Capacity!$A$53:$E$85,5,FALSE)*'Inputs-System'!$C$29*(1+'Inputs-System'!$C$43)), $C56 = "3",('Inputs-System'!$C$30*'Coincidence Factors'!$B$8*(1+'Inputs-System'!$C$18))*'Inputs-Proposals'!$K$28*(VLOOKUP(CJ$3,Capacity!$A$53:$E$85,4,FALSE)*(1+'Inputs-System'!$C$42)+VLOOKUP(CJ$3,Capacity!$A$53:$E$85,5,FALSE)*'Inputs-System'!$C$29*(1+'Inputs-System'!$C$43)), $C56 = "0", 0), 0)</f>
        <v>0</v>
      </c>
      <c r="CN56" s="44">
        <v>0</v>
      </c>
      <c r="CO56" s="342">
        <f>IFERROR(_xlfn.IFS($C56="1", 'Inputs-System'!$C$30*'Coincidence Factors'!$B$8*'Inputs-Proposals'!$K$17*'Inputs-Proposals'!$K$19*(VLOOKUP(CJ$3,'Non-Embedded Emissions'!$A$56:$D$90,2,FALSE)+VLOOKUP(CJ$3,'Non-Embedded Emissions'!$A$143:$D$174,2,FALSE)+VLOOKUP(CJ$3,'Non-Embedded Emissions'!$A$230:$D$259,2,FALSE)), $C56 = "2", 'Inputs-System'!$C$30*'Coincidence Factors'!$B$8*'Inputs-Proposals'!$K$23*'Inputs-Proposals'!$K$25*(VLOOKUP(CJ$3,'Non-Embedded Emissions'!$A$56:$D$90,2,FALSE)+VLOOKUP(CJ$3,'Non-Embedded Emissions'!$A$143:$D$174,2,FALSE)+VLOOKUP(CJ$3,'Non-Embedded Emissions'!$A$230:$D$259,2,FALSE)), $C56 = "3", 'Inputs-System'!$C$30*'Coincidence Factors'!$B$8*'Inputs-Proposals'!$K$29*'Inputs-Proposals'!$K$31*(VLOOKUP(CJ$3,'Non-Embedded Emissions'!$A$56:$D$90,2,FALSE)+VLOOKUP(CJ$3,'Non-Embedded Emissions'!$A$143:$D$174,2,FALSE)+VLOOKUP(CJ$3,'Non-Embedded Emissions'!$A$230:$D$259,2,FALSE)), $C56 = "0", 0), 0)</f>
        <v>0</v>
      </c>
      <c r="CP56" s="347">
        <f>IFERROR(_xlfn.IFS($C56="1",('Inputs-System'!$C$30*'Coincidence Factors'!$B$8*(1+'Inputs-System'!$C$18)*(1+'Inputs-System'!$C$41)*('Inputs-Proposals'!$K$17*'Inputs-Proposals'!$K$19*('Inputs-Proposals'!$K$20))*(VLOOKUP(CP$3,Energy!$A$51:$K$83,5,FALSE))), $C56 = "2",('Inputs-System'!$C$30*'Coincidence Factors'!$B$8)*(1+'Inputs-System'!$C$18)*(1+'Inputs-System'!$C$41)*('Inputs-Proposals'!$K$23*'Inputs-Proposals'!$K$25*('Inputs-Proposals'!$K$26))*(VLOOKUP(CP$3,Energy!$A$51:$K$83,5,FALSE)), $C56= "3", ('Inputs-System'!$C$30*'Coincidence Factors'!$B$8*(1+'Inputs-System'!$C$18)*(1+'Inputs-System'!$C$41)*('Inputs-Proposals'!$K$29*'Inputs-Proposals'!$K$31*('Inputs-Proposals'!$K$32))*(VLOOKUP(CP$3,Energy!$A$51:$K$83,5,FALSE))), $C56= "0", 0), 0)</f>
        <v>0</v>
      </c>
      <c r="CQ56" s="44">
        <f>IFERROR(_xlfn.IFS($C56="1",'Inputs-System'!$C$30*'Coincidence Factors'!$B$8*(1+'Inputs-System'!$C$18)*(1+'Inputs-System'!$C$41)*'Inputs-Proposals'!$K$17*'Inputs-Proposals'!$K$19*('Inputs-Proposals'!$K$20)*(VLOOKUP(CP$3,'Embedded Emissions'!$A$47:$B$78,2,FALSE)+VLOOKUP(CP$3,'Embedded Emissions'!$A$129:$B$158,2,FALSE)), $C56 = "2", 'Inputs-System'!$C$30*'Coincidence Factors'!$B$8*(1+'Inputs-System'!$C$18)*(1+'Inputs-System'!$C$41)*'Inputs-Proposals'!$K$23*'Inputs-Proposals'!$K$25*('Inputs-Proposals'!$K$20)*(VLOOKUP(CP$3,'Embedded Emissions'!$A$47:$B$78,2,FALSE)+VLOOKUP(CP$3,'Embedded Emissions'!$A$129:$B$158,2,FALSE)), $C56 = "3",'Inputs-System'!$C$30*'Coincidence Factors'!$B$8*(1+'Inputs-System'!$C$18)*(1+'Inputs-System'!$C$41)*'Inputs-Proposals'!$K$29*'Inputs-Proposals'!$K$31*('Inputs-Proposals'!$K$20)*(VLOOKUP(CP$3,'Embedded Emissions'!$A$47:$B$78,2,FALSE)+VLOOKUP(CP$3,'Embedded Emissions'!$A$129:$B$158,2,FALSE)), $C56 = "0", 0), 0)</f>
        <v>0</v>
      </c>
      <c r="CR56" s="44">
        <f>IFERROR(_xlfn.IFS($C56="1",( 'Inputs-System'!$C$30*'Coincidence Factors'!$B$8*(1+'Inputs-System'!$C$18)*(1+'Inputs-System'!$C$41))*('Inputs-Proposals'!$K$17*'Inputs-Proposals'!$K$19*('Inputs-Proposals'!$K$20))*(VLOOKUP(CP$3,DRIPE!$A$54:$I$82,5,FALSE)+VLOOKUP(CP$3,DRIPE!$A$54:$I$82,9,FALSE))+ ('Inputs-System'!$C$26*'Coincidence Factors'!$B$8*(1+'Inputs-System'!$C$18)*(1+'Inputs-System'!$C$42))*'Inputs-Proposals'!$K$16*VLOOKUP(CP$3,DRIPE!$A$54:$I$82,8,FALSE), $C56 = "2",( 'Inputs-System'!$C$30*'Coincidence Factors'!$B$8*(1+'Inputs-System'!$C$18)*(1+'Inputs-System'!$C$41))*('Inputs-Proposals'!$K$23*'Inputs-Proposals'!$K$25*('Inputs-Proposals'!$K$26))*(VLOOKUP(CP$3,DRIPE!$A$54:$I$82,5,FALSE)+VLOOKUP(CP$3,DRIPE!$A$54:$I$82,9,FALSE))+  ('Inputs-System'!$C$26*'Coincidence Factors'!$B$8*(1+'Inputs-System'!$C$18)*(1+'Inputs-System'!$C$42))*'Inputs-Proposals'!$K$22*VLOOKUP(CP$3,DRIPE!$A$54:$I$82,8,FALSE), $C56= "3", ( 'Inputs-System'!$C$30*'Coincidence Factors'!$B$8*(1+'Inputs-System'!$C$18)*(1+'Inputs-System'!$C$41))*('Inputs-Proposals'!$K$29*'Inputs-Proposals'!$K$31*('Inputs-Proposals'!$K$32))*(VLOOKUP(CP$3,DRIPE!$A$54:$I$82,5,FALSE)+VLOOKUP(CP$3,DRIPE!$A$54:$I$82,9,FALSE))+  ('Inputs-System'!$C$26*'Coincidence Factors'!$B$8*(1+'Inputs-System'!$C$18)*(1+'Inputs-System'!$C$42))*'Inputs-Proposals'!$K$28*VLOOKUP(CP$3,DRIPE!$A$54:$I$82,8,FALSE), $C56 = "0", 0), 0)</f>
        <v>0</v>
      </c>
      <c r="CS56" s="45">
        <f>IFERROR(_xlfn.IFS($C56="1",('Inputs-System'!$C$30*'Coincidence Factors'!$B$8*(1+'Inputs-System'!$C$18))*'Inputs-Proposals'!$K$16*(VLOOKUP(CP$3,Capacity!$A$53:$E$85,4,FALSE)*(1+'Inputs-System'!$C$42)+VLOOKUP(CP$3,Capacity!$A$53:$E$85,5,FALSE)*'Inputs-System'!$C$29*(1+'Inputs-System'!$C$43)), $C56 = "2", ('Inputs-System'!$C$30*'Coincidence Factors'!$B$8*(1+'Inputs-System'!$C$18))*'Inputs-Proposals'!$K$22*(VLOOKUP(CP$3,Capacity!$A$53:$E$85,4,FALSE)*(1+'Inputs-System'!$C$42)+VLOOKUP(CP$3,Capacity!$A$53:$E$85,5,FALSE)*'Inputs-System'!$C$29*(1+'Inputs-System'!$C$43)), $C56 = "3",('Inputs-System'!$C$30*'Coincidence Factors'!$B$8*(1+'Inputs-System'!$C$18))*'Inputs-Proposals'!$K$28*(VLOOKUP(CP$3,Capacity!$A$53:$E$85,4,FALSE)*(1+'Inputs-System'!$C$42)+VLOOKUP(CP$3,Capacity!$A$53:$E$85,5,FALSE)*'Inputs-System'!$C$29*(1+'Inputs-System'!$C$43)), $C56 = "0", 0), 0)</f>
        <v>0</v>
      </c>
      <c r="CT56" s="44">
        <v>0</v>
      </c>
      <c r="CU56" s="342">
        <f>IFERROR(_xlfn.IFS($C56="1", 'Inputs-System'!$C$30*'Coincidence Factors'!$B$8*'Inputs-Proposals'!$K$17*'Inputs-Proposals'!$K$19*(VLOOKUP(CP$3,'Non-Embedded Emissions'!$A$56:$D$90,2,FALSE)+VLOOKUP(CP$3,'Non-Embedded Emissions'!$A$143:$D$174,2,FALSE)+VLOOKUP(CP$3,'Non-Embedded Emissions'!$A$230:$D$259,2,FALSE)), $C56 = "2", 'Inputs-System'!$C$30*'Coincidence Factors'!$B$8*'Inputs-Proposals'!$K$23*'Inputs-Proposals'!$K$25*(VLOOKUP(CP$3,'Non-Embedded Emissions'!$A$56:$D$90,2,FALSE)+VLOOKUP(CP$3,'Non-Embedded Emissions'!$A$143:$D$174,2,FALSE)+VLOOKUP(CP$3,'Non-Embedded Emissions'!$A$230:$D$259,2,FALSE)), $C56 = "3", 'Inputs-System'!$C$30*'Coincidence Factors'!$B$8*'Inputs-Proposals'!$K$29*'Inputs-Proposals'!$K$31*(VLOOKUP(CP$3,'Non-Embedded Emissions'!$A$56:$D$90,2,FALSE)+VLOOKUP(CP$3,'Non-Embedded Emissions'!$A$143:$D$174,2,FALSE)+VLOOKUP(CP$3,'Non-Embedded Emissions'!$A$230:$D$259,2,FALSE)), $C56 = "0", 0), 0)</f>
        <v>0</v>
      </c>
      <c r="CV56" s="347">
        <f>IFERROR(_xlfn.IFS($C56="1",('Inputs-System'!$C$30*'Coincidence Factors'!$B$8*(1+'Inputs-System'!$C$18)*(1+'Inputs-System'!$C$41)*('Inputs-Proposals'!$K$17*'Inputs-Proposals'!$K$19*('Inputs-Proposals'!$K$20))*(VLOOKUP(CV$3,Energy!$A$51:$K$83,5,FALSE))), $C56 = "2",('Inputs-System'!$C$30*'Coincidence Factors'!$B$8)*(1+'Inputs-System'!$C$18)*(1+'Inputs-System'!$C$41)*('Inputs-Proposals'!$K$23*'Inputs-Proposals'!$K$25*('Inputs-Proposals'!$K$26))*(VLOOKUP(CV$3,Energy!$A$51:$K$83,5,FALSE)), $C56= "3", ('Inputs-System'!$C$30*'Coincidence Factors'!$B$8*(1+'Inputs-System'!$C$18)*(1+'Inputs-System'!$C$41)*('Inputs-Proposals'!$K$29*'Inputs-Proposals'!$K$31*('Inputs-Proposals'!$K$32))*(VLOOKUP(CV$3,Energy!$A$51:$K$83,5,FALSE))), $C56= "0", 0), 0)</f>
        <v>0</v>
      </c>
      <c r="CW56" s="44">
        <f>IFERROR(_xlfn.IFS($C56="1",'Inputs-System'!$C$30*'Coincidence Factors'!$B$8*(1+'Inputs-System'!$C$18)*(1+'Inputs-System'!$C$41)*'Inputs-Proposals'!$K$17*'Inputs-Proposals'!$K$19*('Inputs-Proposals'!$K$20)*(VLOOKUP(CV$3,'Embedded Emissions'!$A$47:$B$78,2,FALSE)+VLOOKUP(CV$3,'Embedded Emissions'!$A$129:$B$158,2,FALSE)), $C56 = "2", 'Inputs-System'!$C$30*'Coincidence Factors'!$B$8*(1+'Inputs-System'!$C$18)*(1+'Inputs-System'!$C$41)*'Inputs-Proposals'!$K$23*'Inputs-Proposals'!$K$25*('Inputs-Proposals'!$K$20)*(VLOOKUP(CV$3,'Embedded Emissions'!$A$47:$B$78,2,FALSE)+VLOOKUP(CV$3,'Embedded Emissions'!$A$129:$B$158,2,FALSE)), $C56 = "3",'Inputs-System'!$C$30*'Coincidence Factors'!$B$8*(1+'Inputs-System'!$C$18)*(1+'Inputs-System'!$C$41)*'Inputs-Proposals'!$K$29*'Inputs-Proposals'!$K$31*('Inputs-Proposals'!$K$20)*(VLOOKUP(CV$3,'Embedded Emissions'!$A$47:$B$78,2,FALSE)+VLOOKUP(CV$3,'Embedded Emissions'!$A$129:$B$158,2,FALSE)), $C56 = "0", 0), 0)</f>
        <v>0</v>
      </c>
      <c r="CX56" s="44">
        <f>IFERROR(_xlfn.IFS($C56="1",( 'Inputs-System'!$C$30*'Coincidence Factors'!$B$8*(1+'Inputs-System'!$C$18)*(1+'Inputs-System'!$C$41))*('Inputs-Proposals'!$K$17*'Inputs-Proposals'!$K$19*('Inputs-Proposals'!$K$20))*(VLOOKUP(CV$3,DRIPE!$A$54:$I$82,5,FALSE)+VLOOKUP(CV$3,DRIPE!$A$54:$I$82,9,FALSE))+ ('Inputs-System'!$C$26*'Coincidence Factors'!$B$8*(1+'Inputs-System'!$C$18)*(1+'Inputs-System'!$C$42))*'Inputs-Proposals'!$K$16*VLOOKUP(CV$3,DRIPE!$A$54:$I$82,8,FALSE), $C56 = "2",( 'Inputs-System'!$C$30*'Coincidence Factors'!$B$8*(1+'Inputs-System'!$C$18)*(1+'Inputs-System'!$C$41))*('Inputs-Proposals'!$K$23*'Inputs-Proposals'!$K$25*('Inputs-Proposals'!$K$26))*(VLOOKUP(CV$3,DRIPE!$A$54:$I$82,5,FALSE)+VLOOKUP(CV$3,DRIPE!$A$54:$I$82,9,FALSE))+  ('Inputs-System'!$C$26*'Coincidence Factors'!$B$8*(1+'Inputs-System'!$C$18)*(1+'Inputs-System'!$C$42))*'Inputs-Proposals'!$K$22*VLOOKUP(CV$3,DRIPE!$A$54:$I$82,8,FALSE), $C56= "3", ( 'Inputs-System'!$C$30*'Coincidence Factors'!$B$8*(1+'Inputs-System'!$C$18)*(1+'Inputs-System'!$C$41))*('Inputs-Proposals'!$K$29*'Inputs-Proposals'!$K$31*('Inputs-Proposals'!$K$32))*(VLOOKUP(CV$3,DRIPE!$A$54:$I$82,5,FALSE)+VLOOKUP(CV$3,DRIPE!$A$54:$I$82,9,FALSE))+  ('Inputs-System'!$C$26*'Coincidence Factors'!$B$8*(1+'Inputs-System'!$C$18)*(1+'Inputs-System'!$C$42))*'Inputs-Proposals'!$K$28*VLOOKUP(CV$3,DRIPE!$A$54:$I$82,8,FALSE), $C56 = "0", 0), 0)</f>
        <v>0</v>
      </c>
      <c r="CY56" s="45">
        <f>IFERROR(_xlfn.IFS($C56="1",('Inputs-System'!$C$30*'Coincidence Factors'!$B$8*(1+'Inputs-System'!$C$18))*'Inputs-Proposals'!$K$16*(VLOOKUP(CV$3,Capacity!$A$53:$E$85,4,FALSE)*(1+'Inputs-System'!$C$42)+VLOOKUP(CV$3,Capacity!$A$53:$E$85,5,FALSE)*'Inputs-System'!$C$29*(1+'Inputs-System'!$C$43)), $C56 = "2", ('Inputs-System'!$C$30*'Coincidence Factors'!$B$8*(1+'Inputs-System'!$C$18))*'Inputs-Proposals'!$K$22*(VLOOKUP(CV$3,Capacity!$A$53:$E$85,4,FALSE)*(1+'Inputs-System'!$C$42)+VLOOKUP(CV$3,Capacity!$A$53:$E$85,5,FALSE)*'Inputs-System'!$C$29*(1+'Inputs-System'!$C$43)), $C56 = "3",('Inputs-System'!$C$30*'Coincidence Factors'!$B$8*(1+'Inputs-System'!$C$18))*'Inputs-Proposals'!$K$28*(VLOOKUP(CV$3,Capacity!$A$53:$E$85,4,FALSE)*(1+'Inputs-System'!$C$42)+VLOOKUP(CV$3,Capacity!$A$53:$E$85,5,FALSE)*'Inputs-System'!$C$29*(1+'Inputs-System'!$C$43)), $C56 = "0", 0), 0)</f>
        <v>0</v>
      </c>
      <c r="CZ56" s="44">
        <v>0</v>
      </c>
      <c r="DA56" s="342">
        <f>IFERROR(_xlfn.IFS($C56="1", 'Inputs-System'!$C$30*'Coincidence Factors'!$B$8*'Inputs-Proposals'!$K$17*'Inputs-Proposals'!$K$19*(VLOOKUP(CV$3,'Non-Embedded Emissions'!$A$56:$D$90,2,FALSE)+VLOOKUP(CV$3,'Non-Embedded Emissions'!$A$143:$D$174,2,FALSE)+VLOOKUP(CV$3,'Non-Embedded Emissions'!$A$230:$D$259,2,FALSE)), $C56 = "2", 'Inputs-System'!$C$30*'Coincidence Factors'!$B$8*'Inputs-Proposals'!$K$23*'Inputs-Proposals'!$K$25*(VLOOKUP(CV$3,'Non-Embedded Emissions'!$A$56:$D$90,2,FALSE)+VLOOKUP(CV$3,'Non-Embedded Emissions'!$A$143:$D$174,2,FALSE)+VLOOKUP(CV$3,'Non-Embedded Emissions'!$A$230:$D$259,2,FALSE)), $C56 = "3", 'Inputs-System'!$C$30*'Coincidence Factors'!$B$8*'Inputs-Proposals'!$K$29*'Inputs-Proposals'!$K$31*(VLOOKUP(CV$3,'Non-Embedded Emissions'!$A$56:$D$90,2,FALSE)+VLOOKUP(CV$3,'Non-Embedded Emissions'!$A$143:$D$174,2,FALSE)+VLOOKUP(CV$3,'Non-Embedded Emissions'!$A$230:$D$259,2,FALSE)), $C56 = "0", 0), 0)</f>
        <v>0</v>
      </c>
      <c r="DB56" s="347">
        <f>IFERROR(_xlfn.IFS($C56="1",('Inputs-System'!$C$30*'Coincidence Factors'!$B$8*(1+'Inputs-System'!$C$18)*(1+'Inputs-System'!$C$41)*('Inputs-Proposals'!$K$17*'Inputs-Proposals'!$K$19*('Inputs-Proposals'!$K$20))*(VLOOKUP(DB$3,Energy!$A$51:$K$83,5,FALSE))), $C56 = "2",('Inputs-System'!$C$30*'Coincidence Factors'!$B$8)*(1+'Inputs-System'!$C$18)*(1+'Inputs-System'!$C$41)*('Inputs-Proposals'!$K$23*'Inputs-Proposals'!$K$25*('Inputs-Proposals'!$K$26))*(VLOOKUP(DB$3,Energy!$A$51:$K$83,5,FALSE)), $C56= "3", ('Inputs-System'!$C$30*'Coincidence Factors'!$B$8*(1+'Inputs-System'!$C$18)*(1+'Inputs-System'!$C$41)*('Inputs-Proposals'!$K$29*'Inputs-Proposals'!$K$31*('Inputs-Proposals'!$K$32))*(VLOOKUP(DB$3,Energy!$A$51:$K$83,5,FALSE))), $C56= "0", 0), 0)</f>
        <v>0</v>
      </c>
      <c r="DC56" s="44">
        <f>IFERROR(_xlfn.IFS($C56="1",'Inputs-System'!$C$30*'Coincidence Factors'!$B$8*(1+'Inputs-System'!$C$18)*(1+'Inputs-System'!$C$41)*'Inputs-Proposals'!$K$17*'Inputs-Proposals'!$K$19*('Inputs-Proposals'!$K$20)*(VLOOKUP(DB$3,'Embedded Emissions'!$A$47:$B$78,2,FALSE)+VLOOKUP(DB$3,'Embedded Emissions'!$A$129:$B$158,2,FALSE)), $C56 = "2", 'Inputs-System'!$C$30*'Coincidence Factors'!$B$8*(1+'Inputs-System'!$C$18)*(1+'Inputs-System'!$C$41)*'Inputs-Proposals'!$K$23*'Inputs-Proposals'!$K$25*('Inputs-Proposals'!$K$20)*(VLOOKUP(DB$3,'Embedded Emissions'!$A$47:$B$78,2,FALSE)+VLOOKUP(DB$3,'Embedded Emissions'!$A$129:$B$158,2,FALSE)), $C56 = "3",'Inputs-System'!$C$30*'Coincidence Factors'!$B$8*(1+'Inputs-System'!$C$18)*(1+'Inputs-System'!$C$41)*'Inputs-Proposals'!$K$29*'Inputs-Proposals'!$K$31*('Inputs-Proposals'!$K$20)*(VLOOKUP(DB$3,'Embedded Emissions'!$A$47:$B$78,2,FALSE)+VLOOKUP(DB$3,'Embedded Emissions'!$A$129:$B$158,2,FALSE)), $C56 = "0", 0), 0)</f>
        <v>0</v>
      </c>
      <c r="DD56" s="44">
        <f>IFERROR(_xlfn.IFS($C56="1",( 'Inputs-System'!$C$30*'Coincidence Factors'!$B$8*(1+'Inputs-System'!$C$18)*(1+'Inputs-System'!$C$41))*('Inputs-Proposals'!$K$17*'Inputs-Proposals'!$K$19*('Inputs-Proposals'!$K$20))*(VLOOKUP(DB$3,DRIPE!$A$54:$I$82,5,FALSE)+VLOOKUP(DB$3,DRIPE!$A$54:$I$82,9,FALSE))+ ('Inputs-System'!$C$26*'Coincidence Factors'!$B$8*(1+'Inputs-System'!$C$18)*(1+'Inputs-System'!$C$42))*'Inputs-Proposals'!$K$16*VLOOKUP(DB$3,DRIPE!$A$54:$I$82,8,FALSE), $C56 = "2",( 'Inputs-System'!$C$30*'Coincidence Factors'!$B$8*(1+'Inputs-System'!$C$18)*(1+'Inputs-System'!$C$41))*('Inputs-Proposals'!$K$23*'Inputs-Proposals'!$K$25*('Inputs-Proposals'!$K$26))*(VLOOKUP(DB$3,DRIPE!$A$54:$I$82,5,FALSE)+VLOOKUP(DB$3,DRIPE!$A$54:$I$82,9,FALSE))+  ('Inputs-System'!$C$26*'Coincidence Factors'!$B$8*(1+'Inputs-System'!$C$18)*(1+'Inputs-System'!$C$42))*'Inputs-Proposals'!$K$22*VLOOKUP(DB$3,DRIPE!$A$54:$I$82,8,FALSE), $C56= "3", ( 'Inputs-System'!$C$30*'Coincidence Factors'!$B$8*(1+'Inputs-System'!$C$18)*(1+'Inputs-System'!$C$41))*('Inputs-Proposals'!$K$29*'Inputs-Proposals'!$K$31*('Inputs-Proposals'!$K$32))*(VLOOKUP(DB$3,DRIPE!$A$54:$I$82,5,FALSE)+VLOOKUP(DB$3,DRIPE!$A$54:$I$82,9,FALSE))+  ('Inputs-System'!$C$26*'Coincidence Factors'!$B$8*(1+'Inputs-System'!$C$18)*(1+'Inputs-System'!$C$42))*'Inputs-Proposals'!$K$28*VLOOKUP(DB$3,DRIPE!$A$54:$I$82,8,FALSE), $C56 = "0", 0), 0)</f>
        <v>0</v>
      </c>
      <c r="DE56" s="45">
        <f>IFERROR(_xlfn.IFS($C56="1",('Inputs-System'!$C$30*'Coincidence Factors'!$B$8*(1+'Inputs-System'!$C$18))*'Inputs-Proposals'!$K$16*(VLOOKUP(DB$3,Capacity!$A$53:$E$85,4,FALSE)*(1+'Inputs-System'!$C$42)+VLOOKUP(DB$3,Capacity!$A$53:$E$85,5,FALSE)*'Inputs-System'!$C$29*(1+'Inputs-System'!$C$43)), $C56 = "2", ('Inputs-System'!$C$30*'Coincidence Factors'!$B$8*(1+'Inputs-System'!$C$18))*'Inputs-Proposals'!$K$22*(VLOOKUP(DB$3,Capacity!$A$53:$E$85,4,FALSE)*(1+'Inputs-System'!$C$42)+VLOOKUP(DB$3,Capacity!$A$53:$E$85,5,FALSE)*'Inputs-System'!$C$29*(1+'Inputs-System'!$C$43)), $C56 = "3",('Inputs-System'!$C$30*'Coincidence Factors'!$B$8*(1+'Inputs-System'!$C$18))*'Inputs-Proposals'!$K$28*(VLOOKUP(DB$3,Capacity!$A$53:$E$85,4,FALSE)*(1+'Inputs-System'!$C$42)+VLOOKUP(DB$3,Capacity!$A$53:$E$85,5,FALSE)*'Inputs-System'!$C$29*(1+'Inputs-System'!$C$43)), $C56 = "0", 0), 0)</f>
        <v>0</v>
      </c>
      <c r="DF56" s="44">
        <v>0</v>
      </c>
      <c r="DG56" s="342">
        <f>IFERROR(_xlfn.IFS($C56="1", 'Inputs-System'!$C$30*'Coincidence Factors'!$B$8*'Inputs-Proposals'!$K$17*'Inputs-Proposals'!$K$19*(VLOOKUP(DB$3,'Non-Embedded Emissions'!$A$56:$D$90,2,FALSE)+VLOOKUP(DB$3,'Non-Embedded Emissions'!$A$143:$D$174,2,FALSE)+VLOOKUP(DB$3,'Non-Embedded Emissions'!$A$230:$D$259,2,FALSE)), $C56 = "2", 'Inputs-System'!$C$30*'Coincidence Factors'!$B$8*'Inputs-Proposals'!$K$23*'Inputs-Proposals'!$K$25*(VLOOKUP(DB$3,'Non-Embedded Emissions'!$A$56:$D$90,2,FALSE)+VLOOKUP(DB$3,'Non-Embedded Emissions'!$A$143:$D$174,2,FALSE)+VLOOKUP(DB$3,'Non-Embedded Emissions'!$A$230:$D$259,2,FALSE)), $C56 = "3", 'Inputs-System'!$C$30*'Coincidence Factors'!$B$8*'Inputs-Proposals'!$K$29*'Inputs-Proposals'!$K$31*(VLOOKUP(DB$3,'Non-Embedded Emissions'!$A$56:$D$90,2,FALSE)+VLOOKUP(DB$3,'Non-Embedded Emissions'!$A$143:$D$174,2,FALSE)+VLOOKUP(DB$3,'Non-Embedded Emissions'!$A$230:$D$259,2,FALSE)), $C56 = "0", 0), 0)</f>
        <v>0</v>
      </c>
      <c r="DH56" s="347">
        <f>IFERROR(_xlfn.IFS($C56="1",('Inputs-System'!$C$30*'Coincidence Factors'!$B$8*(1+'Inputs-System'!$C$18)*(1+'Inputs-System'!$C$41)*('Inputs-Proposals'!$K$17*'Inputs-Proposals'!$K$19*('Inputs-Proposals'!$K$20))*(VLOOKUP(DH$3,Energy!$A$51:$K$83,5,FALSE))), $C56 = "2",('Inputs-System'!$C$30*'Coincidence Factors'!$B$8)*(1+'Inputs-System'!$C$18)*(1+'Inputs-System'!$C$41)*('Inputs-Proposals'!$K$23*'Inputs-Proposals'!$K$25*('Inputs-Proposals'!$K$26))*(VLOOKUP(DH$3,Energy!$A$51:$K$83,5,FALSE)), $C56= "3", ('Inputs-System'!$C$30*'Coincidence Factors'!$B$8*(1+'Inputs-System'!$C$18)*(1+'Inputs-System'!$C$41)*('Inputs-Proposals'!$K$29*'Inputs-Proposals'!$K$31*('Inputs-Proposals'!$K$32))*(VLOOKUP(DH$3,Energy!$A$51:$K$83,5,FALSE))), $C56= "0", 0), 0)</f>
        <v>0</v>
      </c>
      <c r="DI56" s="44">
        <f>IFERROR(_xlfn.IFS($C56="1",'Inputs-System'!$C$30*'Coincidence Factors'!$B$8*(1+'Inputs-System'!$C$18)*(1+'Inputs-System'!$C$41)*'Inputs-Proposals'!$K$17*'Inputs-Proposals'!$K$19*('Inputs-Proposals'!$K$20)*(VLOOKUP(DH$3,'Embedded Emissions'!$A$47:$B$78,2,FALSE)+VLOOKUP(DH$3,'Embedded Emissions'!$A$129:$B$158,2,FALSE)), $C56 = "2", 'Inputs-System'!$C$30*'Coincidence Factors'!$B$8*(1+'Inputs-System'!$C$18)*(1+'Inputs-System'!$C$41)*'Inputs-Proposals'!$K$23*'Inputs-Proposals'!$K$25*('Inputs-Proposals'!$K$20)*(VLOOKUP(DH$3,'Embedded Emissions'!$A$47:$B$78,2,FALSE)+VLOOKUP(DH$3,'Embedded Emissions'!$A$129:$B$158,2,FALSE)), $C56 = "3",'Inputs-System'!$C$30*'Coincidence Factors'!$B$8*(1+'Inputs-System'!$C$18)*(1+'Inputs-System'!$C$41)*'Inputs-Proposals'!$K$29*'Inputs-Proposals'!$K$31*('Inputs-Proposals'!$K$20)*(VLOOKUP(DH$3,'Embedded Emissions'!$A$47:$B$78,2,FALSE)+VLOOKUP(DH$3,'Embedded Emissions'!$A$129:$B$158,2,FALSE)), $C56 = "0", 0), 0)</f>
        <v>0</v>
      </c>
      <c r="DJ56" s="44">
        <f>IFERROR(_xlfn.IFS($C56="1",( 'Inputs-System'!$C$30*'Coincidence Factors'!$B$8*(1+'Inputs-System'!$C$18)*(1+'Inputs-System'!$C$41))*('Inputs-Proposals'!$K$17*'Inputs-Proposals'!$K$19*('Inputs-Proposals'!$K$20))*(VLOOKUP(DH$3,DRIPE!$A$54:$I$82,5,FALSE)+VLOOKUP(DH$3,DRIPE!$A$54:$I$82,9,FALSE))+ ('Inputs-System'!$C$26*'Coincidence Factors'!$B$8*(1+'Inputs-System'!$C$18)*(1+'Inputs-System'!$C$42))*'Inputs-Proposals'!$K$16*VLOOKUP(DH$3,DRIPE!$A$54:$I$82,8,FALSE), $C56 = "2",( 'Inputs-System'!$C$30*'Coincidence Factors'!$B$8*(1+'Inputs-System'!$C$18)*(1+'Inputs-System'!$C$41))*('Inputs-Proposals'!$K$23*'Inputs-Proposals'!$K$25*('Inputs-Proposals'!$K$26))*(VLOOKUP(DH$3,DRIPE!$A$54:$I$82,5,FALSE)+VLOOKUP(DH$3,DRIPE!$A$54:$I$82,9,FALSE))+  ('Inputs-System'!$C$26*'Coincidence Factors'!$B$8*(1+'Inputs-System'!$C$18)*(1+'Inputs-System'!$C$42))*'Inputs-Proposals'!$K$22*VLOOKUP(DH$3,DRIPE!$A$54:$I$82,8,FALSE), $C56= "3", ( 'Inputs-System'!$C$30*'Coincidence Factors'!$B$8*(1+'Inputs-System'!$C$18)*(1+'Inputs-System'!$C$41))*('Inputs-Proposals'!$K$29*'Inputs-Proposals'!$K$31*('Inputs-Proposals'!$K$32))*(VLOOKUP(DH$3,DRIPE!$A$54:$I$82,5,FALSE)+VLOOKUP(DH$3,DRIPE!$A$54:$I$82,9,FALSE))+  ('Inputs-System'!$C$26*'Coincidence Factors'!$B$8*(1+'Inputs-System'!$C$18)*(1+'Inputs-System'!$C$42))*'Inputs-Proposals'!$K$28*VLOOKUP(DH$3,DRIPE!$A$54:$I$82,8,FALSE), $C56 = "0", 0), 0)</f>
        <v>0</v>
      </c>
      <c r="DK56" s="45">
        <f>IFERROR(_xlfn.IFS($C56="1",('Inputs-System'!$C$30*'Coincidence Factors'!$B$8*(1+'Inputs-System'!$C$18))*'Inputs-Proposals'!$K$16*(VLOOKUP(DH$3,Capacity!$A$53:$E$85,4,FALSE)*(1+'Inputs-System'!$C$42)+VLOOKUP(DH$3,Capacity!$A$53:$E$85,5,FALSE)*'Inputs-System'!$C$29*(1+'Inputs-System'!$C$43)), $C56 = "2", ('Inputs-System'!$C$30*'Coincidence Factors'!$B$8*(1+'Inputs-System'!$C$18))*'Inputs-Proposals'!$K$22*(VLOOKUP(DH$3,Capacity!$A$53:$E$85,4,FALSE)*(1+'Inputs-System'!$C$42)+VLOOKUP(DH$3,Capacity!$A$53:$E$85,5,FALSE)*'Inputs-System'!$C$29*(1+'Inputs-System'!$C$43)), $C56 = "3",('Inputs-System'!$C$30*'Coincidence Factors'!$B$8*(1+'Inputs-System'!$C$18))*'Inputs-Proposals'!$K$28*(VLOOKUP(DH$3,Capacity!$A$53:$E$85,4,FALSE)*(1+'Inputs-System'!$C$42)+VLOOKUP(DH$3,Capacity!$A$53:$E$85,5,FALSE)*'Inputs-System'!$C$29*(1+'Inputs-System'!$C$43)), $C56 = "0", 0), 0)</f>
        <v>0</v>
      </c>
      <c r="DL56" s="44">
        <v>0</v>
      </c>
      <c r="DM56" s="342">
        <f>IFERROR(_xlfn.IFS($C56="1", 'Inputs-System'!$C$30*'Coincidence Factors'!$B$8*'Inputs-Proposals'!$K$17*'Inputs-Proposals'!$K$19*(VLOOKUP(DH$3,'Non-Embedded Emissions'!$A$56:$D$90,2,FALSE)+VLOOKUP(DH$3,'Non-Embedded Emissions'!$A$143:$D$174,2,FALSE)+VLOOKUP(DH$3,'Non-Embedded Emissions'!$A$230:$D$259,2,FALSE)), $C56 = "2", 'Inputs-System'!$C$30*'Coincidence Factors'!$B$8*'Inputs-Proposals'!$K$23*'Inputs-Proposals'!$K$25*(VLOOKUP(DH$3,'Non-Embedded Emissions'!$A$56:$D$90,2,FALSE)+VLOOKUP(DH$3,'Non-Embedded Emissions'!$A$143:$D$174,2,FALSE)+VLOOKUP(DH$3,'Non-Embedded Emissions'!$A$230:$D$259,2,FALSE)), $C56 = "3", 'Inputs-System'!$C$30*'Coincidence Factors'!$B$8*'Inputs-Proposals'!$K$29*'Inputs-Proposals'!$K$31*(VLOOKUP(DH$3,'Non-Embedded Emissions'!$A$56:$D$90,2,FALSE)+VLOOKUP(DH$3,'Non-Embedded Emissions'!$A$143:$D$174,2,FALSE)+VLOOKUP(DH$3,'Non-Embedded Emissions'!$A$230:$D$259,2,FALSE)), $C56 = "0", 0), 0)</f>
        <v>0</v>
      </c>
      <c r="DN56" s="347">
        <f>IFERROR(_xlfn.IFS($C56="1",('Inputs-System'!$C$30*'Coincidence Factors'!$B$8*(1+'Inputs-System'!$C$18)*(1+'Inputs-System'!$C$41)*('Inputs-Proposals'!$K$17*'Inputs-Proposals'!$K$19*('Inputs-Proposals'!$K$20))*(VLOOKUP(DN$3,Energy!$A$51:$K$83,5,FALSE))), $C56 = "2",('Inputs-System'!$C$30*'Coincidence Factors'!$B$8)*(1+'Inputs-System'!$C$18)*(1+'Inputs-System'!$C$41)*('Inputs-Proposals'!$K$23*'Inputs-Proposals'!$K$25*('Inputs-Proposals'!$K$26))*(VLOOKUP(DN$3,Energy!$A$51:$K$83,5,FALSE)), $C56= "3", ('Inputs-System'!$C$30*'Coincidence Factors'!$B$8*(1+'Inputs-System'!$C$18)*(1+'Inputs-System'!$C$41)*('Inputs-Proposals'!$K$29*'Inputs-Proposals'!$K$31*('Inputs-Proposals'!$K$32))*(VLOOKUP(DN$3,Energy!$A$51:$K$83,5,FALSE))), $C56= "0", 0), 0)</f>
        <v>0</v>
      </c>
      <c r="DO56" s="44">
        <f>IFERROR(_xlfn.IFS($C56="1",'Inputs-System'!$C$30*'Coincidence Factors'!$B$8*(1+'Inputs-System'!$C$18)*(1+'Inputs-System'!$C$41)*'Inputs-Proposals'!$K$17*'Inputs-Proposals'!$K$19*('Inputs-Proposals'!$K$20)*(VLOOKUP(DN$3,'Embedded Emissions'!$A$47:$B$78,2,FALSE)+VLOOKUP(DN$3,'Embedded Emissions'!$A$129:$B$158,2,FALSE)), $C56 = "2", 'Inputs-System'!$C$30*'Coincidence Factors'!$B$8*(1+'Inputs-System'!$C$18)*(1+'Inputs-System'!$C$41)*'Inputs-Proposals'!$K$23*'Inputs-Proposals'!$K$25*('Inputs-Proposals'!$K$20)*(VLOOKUP(DN$3,'Embedded Emissions'!$A$47:$B$78,2,FALSE)+VLOOKUP(DN$3,'Embedded Emissions'!$A$129:$B$158,2,FALSE)), $C56 = "3",'Inputs-System'!$C$30*'Coincidence Factors'!$B$8*(1+'Inputs-System'!$C$18)*(1+'Inputs-System'!$C$41)*'Inputs-Proposals'!$K$29*'Inputs-Proposals'!$K$31*('Inputs-Proposals'!$K$20)*(VLOOKUP(DN$3,'Embedded Emissions'!$A$47:$B$78,2,FALSE)+VLOOKUP(DN$3,'Embedded Emissions'!$A$129:$B$158,2,FALSE)), $C56 = "0", 0), 0)</f>
        <v>0</v>
      </c>
      <c r="DP56" s="44">
        <f>IFERROR(_xlfn.IFS($C56="1",( 'Inputs-System'!$C$30*'Coincidence Factors'!$B$8*(1+'Inputs-System'!$C$18)*(1+'Inputs-System'!$C$41))*('Inputs-Proposals'!$K$17*'Inputs-Proposals'!$K$19*('Inputs-Proposals'!$K$20))*(VLOOKUP(DN$3,DRIPE!$A$54:$I$82,5,FALSE)+VLOOKUP(DN$3,DRIPE!$A$54:$I$82,9,FALSE))+ ('Inputs-System'!$C$26*'Coincidence Factors'!$B$8*(1+'Inputs-System'!$C$18)*(1+'Inputs-System'!$C$42))*'Inputs-Proposals'!$K$16*VLOOKUP(DN$3,DRIPE!$A$54:$I$82,8,FALSE), $C56 = "2",( 'Inputs-System'!$C$30*'Coincidence Factors'!$B$8*(1+'Inputs-System'!$C$18)*(1+'Inputs-System'!$C$41))*('Inputs-Proposals'!$K$23*'Inputs-Proposals'!$K$25*('Inputs-Proposals'!$K$26))*(VLOOKUP(DN$3,DRIPE!$A$54:$I$82,5,FALSE)+VLOOKUP(DN$3,DRIPE!$A$54:$I$82,9,FALSE))+  ('Inputs-System'!$C$26*'Coincidence Factors'!$B$8*(1+'Inputs-System'!$C$18)*(1+'Inputs-System'!$C$42))*'Inputs-Proposals'!$K$22*VLOOKUP(DN$3,DRIPE!$A$54:$I$82,8,FALSE), $C56= "3", ( 'Inputs-System'!$C$30*'Coincidence Factors'!$B$8*(1+'Inputs-System'!$C$18)*(1+'Inputs-System'!$C$41))*('Inputs-Proposals'!$K$29*'Inputs-Proposals'!$K$31*('Inputs-Proposals'!$K$32))*(VLOOKUP(DN$3,DRIPE!$A$54:$I$82,5,FALSE)+VLOOKUP(DN$3,DRIPE!$A$54:$I$82,9,FALSE))+  ('Inputs-System'!$C$26*'Coincidence Factors'!$B$8*(1+'Inputs-System'!$C$18)*(1+'Inputs-System'!$C$42))*'Inputs-Proposals'!$K$28*VLOOKUP(DN$3,DRIPE!$A$54:$I$82,8,FALSE), $C56 = "0", 0), 0)</f>
        <v>0</v>
      </c>
      <c r="DQ56" s="45">
        <f>IFERROR(_xlfn.IFS($C56="1",('Inputs-System'!$C$30*'Coincidence Factors'!$B$8*(1+'Inputs-System'!$C$18))*'Inputs-Proposals'!$K$16*(VLOOKUP(DN$3,Capacity!$A$53:$E$85,4,FALSE)*(1+'Inputs-System'!$C$42)+VLOOKUP(DN$3,Capacity!$A$53:$E$85,5,FALSE)*'Inputs-System'!$C$29*(1+'Inputs-System'!$C$43)), $C56 = "2", ('Inputs-System'!$C$30*'Coincidence Factors'!$B$8*(1+'Inputs-System'!$C$18))*'Inputs-Proposals'!$K$22*(VLOOKUP(DN$3,Capacity!$A$53:$E$85,4,FALSE)*(1+'Inputs-System'!$C$42)+VLOOKUP(DN$3,Capacity!$A$53:$E$85,5,FALSE)*'Inputs-System'!$C$29*(1+'Inputs-System'!$C$43)), $C56 = "3",('Inputs-System'!$C$30*'Coincidence Factors'!$B$8*(1+'Inputs-System'!$C$18))*'Inputs-Proposals'!$K$28*(VLOOKUP(DN$3,Capacity!$A$53:$E$85,4,FALSE)*(1+'Inputs-System'!$C$42)+VLOOKUP(DN$3,Capacity!$A$53:$E$85,5,FALSE)*'Inputs-System'!$C$29*(1+'Inputs-System'!$C$43)), $C56 = "0", 0), 0)</f>
        <v>0</v>
      </c>
      <c r="DR56" s="44">
        <v>0</v>
      </c>
      <c r="DS56" s="342">
        <f>IFERROR(_xlfn.IFS($C56="1", 'Inputs-System'!$C$30*'Coincidence Factors'!$B$8*'Inputs-Proposals'!$K$17*'Inputs-Proposals'!$K$19*(VLOOKUP(DN$3,'Non-Embedded Emissions'!$A$56:$D$90,2,FALSE)+VLOOKUP(DN$3,'Non-Embedded Emissions'!$A$143:$D$174,2,FALSE)+VLOOKUP(DN$3,'Non-Embedded Emissions'!$A$230:$D$259,2,FALSE)), $C56 = "2", 'Inputs-System'!$C$30*'Coincidence Factors'!$B$8*'Inputs-Proposals'!$K$23*'Inputs-Proposals'!$K$25*(VLOOKUP(DN$3,'Non-Embedded Emissions'!$A$56:$D$90,2,FALSE)+VLOOKUP(DN$3,'Non-Embedded Emissions'!$A$143:$D$174,2,FALSE)+VLOOKUP(DN$3,'Non-Embedded Emissions'!$A$230:$D$259,2,FALSE)), $C56 = "3", 'Inputs-System'!$C$30*'Coincidence Factors'!$B$8*'Inputs-Proposals'!$K$29*'Inputs-Proposals'!$K$31*(VLOOKUP(DN$3,'Non-Embedded Emissions'!$A$56:$D$90,2,FALSE)+VLOOKUP(DN$3,'Non-Embedded Emissions'!$A$143:$D$174,2,FALSE)+VLOOKUP(DN$3,'Non-Embedded Emissions'!$A$230:$D$259,2,FALSE)), $C56 = "0", 0), 0)</f>
        <v>0</v>
      </c>
      <c r="DT56" s="347">
        <f>IFERROR(_xlfn.IFS($C56="1",('Inputs-System'!$C$30*'Coincidence Factors'!$B$8*(1+'Inputs-System'!$C$18)*(1+'Inputs-System'!$C$41)*('Inputs-Proposals'!$K$17*'Inputs-Proposals'!$K$19*('Inputs-Proposals'!$K$20))*(VLOOKUP(DT$3,Energy!$A$51:$K$83,5,FALSE))), $C56 = "2",('Inputs-System'!$C$30*'Coincidence Factors'!$B$8)*(1+'Inputs-System'!$C$18)*(1+'Inputs-System'!$C$41)*('Inputs-Proposals'!$K$23*'Inputs-Proposals'!$K$25*('Inputs-Proposals'!$K$26))*(VLOOKUP(DT$3,Energy!$A$51:$K$83,5,FALSE)), $C56= "3", ('Inputs-System'!$C$30*'Coincidence Factors'!$B$8*(1+'Inputs-System'!$C$18)*(1+'Inputs-System'!$C$41)*('Inputs-Proposals'!$K$29*'Inputs-Proposals'!$K$31*('Inputs-Proposals'!$K$32))*(VLOOKUP(DT$3,Energy!$A$51:$K$83,5,FALSE))), $C56= "0", 0), 0)</f>
        <v>0</v>
      </c>
      <c r="DU56" s="44">
        <f>IFERROR(_xlfn.IFS($C56="1",'Inputs-System'!$C$30*'Coincidence Factors'!$B$8*(1+'Inputs-System'!$C$18)*(1+'Inputs-System'!$C$41)*'Inputs-Proposals'!$K$17*'Inputs-Proposals'!$K$19*('Inputs-Proposals'!$K$20)*(VLOOKUP(DT$3,'Embedded Emissions'!$A$47:$B$78,2,FALSE)+VLOOKUP(DT$3,'Embedded Emissions'!$A$129:$B$158,2,FALSE)), $C56 = "2", 'Inputs-System'!$C$30*'Coincidence Factors'!$B$8*(1+'Inputs-System'!$C$18)*(1+'Inputs-System'!$C$41)*'Inputs-Proposals'!$K$23*'Inputs-Proposals'!$K$25*('Inputs-Proposals'!$K$20)*(VLOOKUP(DT$3,'Embedded Emissions'!$A$47:$B$78,2,FALSE)+VLOOKUP(DT$3,'Embedded Emissions'!$A$129:$B$158,2,FALSE)), $C56 = "3",'Inputs-System'!$C$30*'Coincidence Factors'!$B$8*(1+'Inputs-System'!$C$18)*(1+'Inputs-System'!$C$41)*'Inputs-Proposals'!$K$29*'Inputs-Proposals'!$K$31*('Inputs-Proposals'!$K$20)*(VLOOKUP(DT$3,'Embedded Emissions'!$A$47:$B$78,2,FALSE)+VLOOKUP(DT$3,'Embedded Emissions'!$A$129:$B$158,2,FALSE)), $C56 = "0", 0), 0)</f>
        <v>0</v>
      </c>
      <c r="DV56" s="44">
        <f>IFERROR(_xlfn.IFS($C56="1",( 'Inputs-System'!$C$30*'Coincidence Factors'!$B$8*(1+'Inputs-System'!$C$18)*(1+'Inputs-System'!$C$41))*('Inputs-Proposals'!$K$17*'Inputs-Proposals'!$K$19*('Inputs-Proposals'!$K$20))*(VLOOKUP(DT$3,DRIPE!$A$54:$I$82,5,FALSE)+VLOOKUP(DT$3,DRIPE!$A$54:$I$82,9,FALSE))+ ('Inputs-System'!$C$26*'Coincidence Factors'!$B$8*(1+'Inputs-System'!$C$18)*(1+'Inputs-System'!$C$42))*'Inputs-Proposals'!$K$16*VLOOKUP(DT$3,DRIPE!$A$54:$I$82,8,FALSE), $C56 = "2",( 'Inputs-System'!$C$30*'Coincidence Factors'!$B$8*(1+'Inputs-System'!$C$18)*(1+'Inputs-System'!$C$41))*('Inputs-Proposals'!$K$23*'Inputs-Proposals'!$K$25*('Inputs-Proposals'!$K$26))*(VLOOKUP(DT$3,DRIPE!$A$54:$I$82,5,FALSE)+VLOOKUP(DT$3,DRIPE!$A$54:$I$82,9,FALSE))+  ('Inputs-System'!$C$26*'Coincidence Factors'!$B$8*(1+'Inputs-System'!$C$18)*(1+'Inputs-System'!$C$42))*'Inputs-Proposals'!$K$22*VLOOKUP(DT$3,DRIPE!$A$54:$I$82,8,FALSE), $C56= "3", ( 'Inputs-System'!$C$30*'Coincidence Factors'!$B$8*(1+'Inputs-System'!$C$18)*(1+'Inputs-System'!$C$41))*('Inputs-Proposals'!$K$29*'Inputs-Proposals'!$K$31*('Inputs-Proposals'!$K$32))*(VLOOKUP(DT$3,DRIPE!$A$54:$I$82,5,FALSE)+VLOOKUP(DT$3,DRIPE!$A$54:$I$82,9,FALSE))+  ('Inputs-System'!$C$26*'Coincidence Factors'!$B$8*(1+'Inputs-System'!$C$18)*(1+'Inputs-System'!$C$42))*'Inputs-Proposals'!$K$28*VLOOKUP(DT$3,DRIPE!$A$54:$I$82,8,FALSE), $C56 = "0", 0), 0)</f>
        <v>0</v>
      </c>
      <c r="DW56" s="45">
        <f>IFERROR(_xlfn.IFS($C56="1",('Inputs-System'!$C$30*'Coincidence Factors'!$B$8*(1+'Inputs-System'!$C$18))*'Inputs-Proposals'!$K$16*(VLOOKUP(DT$3,Capacity!$A$53:$E$85,4,FALSE)*(1+'Inputs-System'!$C$42)+VLOOKUP(DT$3,Capacity!$A$53:$E$85,5,FALSE)*'Inputs-System'!$C$29*(1+'Inputs-System'!$C$43)), $C56 = "2", ('Inputs-System'!$C$30*'Coincidence Factors'!$B$8*(1+'Inputs-System'!$C$18))*'Inputs-Proposals'!$K$22*(VLOOKUP(DT$3,Capacity!$A$53:$E$85,4,FALSE)*(1+'Inputs-System'!$C$42)+VLOOKUP(DT$3,Capacity!$A$53:$E$85,5,FALSE)*'Inputs-System'!$C$29*(1+'Inputs-System'!$C$43)), $C56 = "3",('Inputs-System'!$C$30*'Coincidence Factors'!$B$8*(1+'Inputs-System'!$C$18))*'Inputs-Proposals'!$K$28*(VLOOKUP(DT$3,Capacity!$A$53:$E$85,4,FALSE)*(1+'Inputs-System'!$C$42)+VLOOKUP(DT$3,Capacity!$A$53:$E$85,5,FALSE)*'Inputs-System'!$C$29*(1+'Inputs-System'!$C$43)), $C56 = "0", 0), 0)</f>
        <v>0</v>
      </c>
      <c r="DX56" s="44">
        <v>0</v>
      </c>
      <c r="DY56" s="342">
        <f>IFERROR(_xlfn.IFS($C56="1", 'Inputs-System'!$C$30*'Coincidence Factors'!$B$8*'Inputs-Proposals'!$K$17*'Inputs-Proposals'!$K$19*(VLOOKUP(DT$3,'Non-Embedded Emissions'!$A$56:$D$90,2,FALSE)+VLOOKUP(DT$3,'Non-Embedded Emissions'!$A$143:$D$174,2,FALSE)+VLOOKUP(DT$3,'Non-Embedded Emissions'!$A$230:$D$259,2,FALSE)), $C56 = "2", 'Inputs-System'!$C$30*'Coincidence Factors'!$B$8*'Inputs-Proposals'!$K$23*'Inputs-Proposals'!$K$25*(VLOOKUP(DT$3,'Non-Embedded Emissions'!$A$56:$D$90,2,FALSE)+VLOOKUP(DT$3,'Non-Embedded Emissions'!$A$143:$D$174,2,FALSE)+VLOOKUP(DT$3,'Non-Embedded Emissions'!$A$230:$D$259,2,FALSE)), $C56 = "3", 'Inputs-System'!$C$30*'Coincidence Factors'!$B$8*'Inputs-Proposals'!$K$29*'Inputs-Proposals'!$K$31*(VLOOKUP(DT$3,'Non-Embedded Emissions'!$A$56:$D$90,2,FALSE)+VLOOKUP(DT$3,'Non-Embedded Emissions'!$A$143:$D$174,2,FALSE)+VLOOKUP(DT$3,'Non-Embedded Emissions'!$A$230:$D$259,2,FALSE)), $C56 = "0", 0), 0)</f>
        <v>0</v>
      </c>
      <c r="DZ56" s="347">
        <f>IFERROR(_xlfn.IFS($C56="1",('Inputs-System'!$C$30*'Coincidence Factors'!$B$8*(1+'Inputs-System'!$C$18)*(1+'Inputs-System'!$C$41)*('Inputs-Proposals'!$K$17*'Inputs-Proposals'!$K$19*('Inputs-Proposals'!$K$20))*(VLOOKUP(DZ$3,Energy!$A$51:$K$83,5,FALSE))), $C56 = "2",('Inputs-System'!$C$30*'Coincidence Factors'!$B$8)*(1+'Inputs-System'!$C$18)*(1+'Inputs-System'!$C$41)*('Inputs-Proposals'!$K$23*'Inputs-Proposals'!$K$25*('Inputs-Proposals'!$K$26))*(VLOOKUP(DZ$3,Energy!$A$51:$K$83,5,FALSE)), $C56= "3", ('Inputs-System'!$C$30*'Coincidence Factors'!$B$8*(1+'Inputs-System'!$C$18)*(1+'Inputs-System'!$C$41)*('Inputs-Proposals'!$K$29*'Inputs-Proposals'!$K$31*('Inputs-Proposals'!$K$32))*(VLOOKUP(DZ$3,Energy!$A$51:$K$83,5,FALSE))), $C56= "0", 0), 0)</f>
        <v>0</v>
      </c>
      <c r="EA56" s="44">
        <f>IFERROR(_xlfn.IFS($C56="1",'Inputs-System'!$C$30*'Coincidence Factors'!$B$8*(1+'Inputs-System'!$C$18)*(1+'Inputs-System'!$C$41)*'Inputs-Proposals'!$K$17*'Inputs-Proposals'!$K$19*('Inputs-Proposals'!$K$20)*(VLOOKUP(DZ$3,'Embedded Emissions'!$A$47:$B$78,2,FALSE)+VLOOKUP(DZ$3,'Embedded Emissions'!$A$129:$B$158,2,FALSE)), $C56 = "2", 'Inputs-System'!$C$30*'Coincidence Factors'!$B$8*(1+'Inputs-System'!$C$18)*(1+'Inputs-System'!$C$41)*'Inputs-Proposals'!$K$23*'Inputs-Proposals'!$K$25*('Inputs-Proposals'!$K$20)*(VLOOKUP(DZ$3,'Embedded Emissions'!$A$47:$B$78,2,FALSE)+VLOOKUP(DZ$3,'Embedded Emissions'!$A$129:$B$158,2,FALSE)), $C56 = "3",'Inputs-System'!$C$30*'Coincidence Factors'!$B$8*(1+'Inputs-System'!$C$18)*(1+'Inputs-System'!$C$41)*'Inputs-Proposals'!$K$29*'Inputs-Proposals'!$K$31*('Inputs-Proposals'!$K$20)*(VLOOKUP(DZ$3,'Embedded Emissions'!$A$47:$B$78,2,FALSE)+VLOOKUP(DZ$3,'Embedded Emissions'!$A$129:$B$158,2,FALSE)), $C56 = "0", 0), 0)</f>
        <v>0</v>
      </c>
      <c r="EB56" s="44">
        <f>IFERROR(_xlfn.IFS($C56="1",( 'Inputs-System'!$C$30*'Coincidence Factors'!$B$8*(1+'Inputs-System'!$C$18)*(1+'Inputs-System'!$C$41))*('Inputs-Proposals'!$K$17*'Inputs-Proposals'!$K$19*('Inputs-Proposals'!$K$20))*(VLOOKUP(DZ$3,DRIPE!$A$54:$I$82,5,FALSE)+VLOOKUP(DZ$3,DRIPE!$A$54:$I$82,9,FALSE))+ ('Inputs-System'!$C$26*'Coincidence Factors'!$B$8*(1+'Inputs-System'!$C$18)*(1+'Inputs-System'!$C$42))*'Inputs-Proposals'!$K$16*VLOOKUP(DZ$3,DRIPE!$A$54:$I$82,8,FALSE), $C56 = "2",( 'Inputs-System'!$C$30*'Coincidence Factors'!$B$8*(1+'Inputs-System'!$C$18)*(1+'Inputs-System'!$C$41))*('Inputs-Proposals'!$K$23*'Inputs-Proposals'!$K$25*('Inputs-Proposals'!$K$26))*(VLOOKUP(DZ$3,DRIPE!$A$54:$I$82,5,FALSE)+VLOOKUP(DZ$3,DRIPE!$A$54:$I$82,9,FALSE))+  ('Inputs-System'!$C$26*'Coincidence Factors'!$B$8*(1+'Inputs-System'!$C$18)*(1+'Inputs-System'!$C$42))*'Inputs-Proposals'!$K$22*VLOOKUP(DZ$3,DRIPE!$A$54:$I$82,8,FALSE), $C56= "3", ( 'Inputs-System'!$C$30*'Coincidence Factors'!$B$8*(1+'Inputs-System'!$C$18)*(1+'Inputs-System'!$C$41))*('Inputs-Proposals'!$K$29*'Inputs-Proposals'!$K$31*('Inputs-Proposals'!$K$32))*(VLOOKUP(DZ$3,DRIPE!$A$54:$I$82,5,FALSE)+VLOOKUP(DZ$3,DRIPE!$A$54:$I$82,9,FALSE))+  ('Inputs-System'!$C$26*'Coincidence Factors'!$B$8*(1+'Inputs-System'!$C$18)*(1+'Inputs-System'!$C$42))*'Inputs-Proposals'!$K$28*VLOOKUP(DZ$3,DRIPE!$A$54:$I$82,8,FALSE), $C56 = "0", 0), 0)</f>
        <v>0</v>
      </c>
      <c r="EC56" s="45">
        <f>IFERROR(_xlfn.IFS($C56="1",('Inputs-System'!$C$30*'Coincidence Factors'!$B$8*(1+'Inputs-System'!$C$18))*'Inputs-Proposals'!$K$16*(VLOOKUP(DZ$3,Capacity!$A$53:$E$85,4,FALSE)*(1+'Inputs-System'!$C$42)+VLOOKUP(DZ$3,Capacity!$A$53:$E$85,5,FALSE)*'Inputs-System'!$C$29*(1+'Inputs-System'!$C$43)), $C56 = "2", ('Inputs-System'!$C$30*'Coincidence Factors'!$B$8*(1+'Inputs-System'!$C$18))*'Inputs-Proposals'!$K$22*(VLOOKUP(DZ$3,Capacity!$A$53:$E$85,4,FALSE)*(1+'Inputs-System'!$C$42)+VLOOKUP(DZ$3,Capacity!$A$53:$E$85,5,FALSE)*'Inputs-System'!$C$29*(1+'Inputs-System'!$C$43)), $C56 = "3",('Inputs-System'!$C$30*'Coincidence Factors'!$B$8*(1+'Inputs-System'!$C$18))*'Inputs-Proposals'!$K$28*(VLOOKUP(DZ$3,Capacity!$A$53:$E$85,4,FALSE)*(1+'Inputs-System'!$C$42)+VLOOKUP(DZ$3,Capacity!$A$53:$E$85,5,FALSE)*'Inputs-System'!$C$29*(1+'Inputs-System'!$C$43)), $C56 = "0", 0), 0)</f>
        <v>0</v>
      </c>
      <c r="ED56" s="44">
        <v>0</v>
      </c>
      <c r="EE56" s="342">
        <f>IFERROR(_xlfn.IFS($C56="1", 'Inputs-System'!$C$30*'Coincidence Factors'!$B$8*'Inputs-Proposals'!$K$17*'Inputs-Proposals'!$K$19*(VLOOKUP(DZ$3,'Non-Embedded Emissions'!$A$56:$D$90,2,FALSE)+VLOOKUP(DZ$3,'Non-Embedded Emissions'!$A$143:$D$174,2,FALSE)+VLOOKUP(DZ$3,'Non-Embedded Emissions'!$A$230:$D$259,2,FALSE)), $C56 = "2", 'Inputs-System'!$C$30*'Coincidence Factors'!$B$8*'Inputs-Proposals'!$K$23*'Inputs-Proposals'!$K$25*(VLOOKUP(DZ$3,'Non-Embedded Emissions'!$A$56:$D$90,2,FALSE)+VLOOKUP(DZ$3,'Non-Embedded Emissions'!$A$143:$D$174,2,FALSE)+VLOOKUP(DZ$3,'Non-Embedded Emissions'!$A$230:$D$259,2,FALSE)), $C56 = "3", 'Inputs-System'!$C$30*'Coincidence Factors'!$B$8*'Inputs-Proposals'!$K$29*'Inputs-Proposals'!$K$31*(VLOOKUP(DZ$3,'Non-Embedded Emissions'!$A$56:$D$90,2,FALSE)+VLOOKUP(DZ$3,'Non-Embedded Emissions'!$A$143:$D$174,2,FALSE)+VLOOKUP(DZ$3,'Non-Embedded Emissions'!$A$230:$D$259,2,FALSE)), $C56 = "0", 0), 0)</f>
        <v>0</v>
      </c>
    </row>
    <row r="57" spans="1:135" x14ac:dyDescent="0.35">
      <c r="A57" s="708"/>
      <c r="B57" s="3" t="str">
        <f>B51</f>
        <v>Diesel GenSet</v>
      </c>
      <c r="C57" s="3" t="str">
        <f>IFERROR(_xlfn.IFS('Benefits Calc'!B57='Inputs-Proposals'!$K$15, "1", 'Benefits Calc'!B57='Inputs-Proposals'!$K$21, "2", 'Benefits Calc'!B57='Inputs-Proposals'!$K$27, "3"), "0")</f>
        <v>0</v>
      </c>
      <c r="D57" s="323">
        <f t="shared" ref="D57:D58" si="54">P57+V57+AB57+AH57+AN57+AT57+AZ57+BF57+BL57+BR57+BX57+CD57+CJ57+CP57+CV57+DB57+DH57+DN57+DT57+DZ57</f>
        <v>0</v>
      </c>
      <c r="E57" s="44">
        <f t="shared" ref="E57:E58" si="55">Q57+W57+AC57+AI57+AO57+AU57+BA57+BG57+BM57+BS57+BY57+CE57+CK57+CQ57+CW57+DC57+DI57+DO57+DU57+EA57</f>
        <v>0</v>
      </c>
      <c r="F57" s="44">
        <f t="shared" ref="F57:F58" si="56">R57+X57+AD57+AJ57+AP57+AV57+BB57+BH57+BN57+BT57+BZ57+CF57+CL57+CR57+CX57+DD57+DJ57+DP57+DV57+EB57</f>
        <v>0</v>
      </c>
      <c r="G57" s="44">
        <f t="shared" ref="G57:G58" si="57">S57+Y57+AE57+AK57+AQ57+AW57+BC57+BI57+BO57+BU57+CA57+CG57+CM57+CS57+CY57+DE57+DK57+DQ57+DW57+EC57</f>
        <v>0</v>
      </c>
      <c r="H57" s="44">
        <f t="shared" ref="H57:H58" si="58">T57+Z57+AF57+AL57+AR57+AX57+BD57+BJ57+BP57+BV57+CB57+CH57+CN57+CT57+CZ57+DF57+DL57+DR57+DX57+ED57</f>
        <v>0</v>
      </c>
      <c r="I57" s="44">
        <f t="shared" ref="I57:I58" si="59">U57+AA57+AG57+AM57+AS57+AY57+BE57+BK57+BQ57+BW57+CC57+CI57+CO57+CU57+DA57+DG57+DM57+DS57+DY57+EE57</f>
        <v>0</v>
      </c>
      <c r="J57" s="323">
        <f>NPV('Inputs-System'!$C$20,P57+V57+AB57+AH57+AN57+AT57+AZ57+BF57+BL57+BR57+BX57+CD57+CJ57+CP57+CV57+DB57+DH57+DN57+DT57+DZ57)</f>
        <v>0</v>
      </c>
      <c r="K57" s="44">
        <f>NPV('Inputs-System'!$C$20,Q57+W57+AC57+AI57+AO57+AU57+BA57+BG57+BM57+BS57+BY57+CE57+CK57+CQ57+CW57+DC57+DI57+DO57+DU57+EA57)</f>
        <v>0</v>
      </c>
      <c r="L57" s="44">
        <f>NPV('Inputs-System'!$C$20,R57+X57+AD57+AJ57+AP57+AV57+BB57+BH57+BN57+BT57+BZ57+CF57+CL57+CR57+CX57+DD57+DJ57+DP57+DV57+EB57)</f>
        <v>0</v>
      </c>
      <c r="M57" s="44">
        <f>NPV('Inputs-System'!$C$20,S57+Y57+AE57+AK57+AQ57+AW57+BC57+BI57+BO57+BU57+CA57+CG57+CM57+CS57+CY57+DE57+DK57+DQ57+DW57+EC57)</f>
        <v>0</v>
      </c>
      <c r="N57" s="44">
        <f>NPV('Inputs-System'!$C$20,T57+Z57+AF57+AL57+AR57+AX57+BD57+BJ57+BP57+BV57+CB57+CH57+CN57+CT57+CZ57+DF57+DL57+DR57+DX57+ED57)</f>
        <v>0</v>
      </c>
      <c r="O57" s="119">
        <f>NPV('Inputs-System'!$C$20,U57+AA57+AG57+AM57+AS57+AY57+BE57+BK57+BQ57+BW57+CC57+CI57+CO57+CU57+DA57+DG57+DM57+DS57+DY57+EE57)</f>
        <v>0</v>
      </c>
      <c r="P57" s="366">
        <f>IFERROR(_xlfn.IFS($C57="1",('Inputs-System'!$C$30*'Coincidence Factors'!$B$9*(1+'Inputs-System'!$C$18)*(1+'Inputs-System'!$C$41)*('Inputs-Proposals'!$K$17*'Inputs-Proposals'!$K$19*(1-'Inputs-Proposals'!$K$20^(P$3-'Inputs-System'!$C$7+1)))*(VLOOKUP(P$3,Energy!$A$51:$K$83,5,FALSE))), $C57 = "2",('Inputs-System'!$C$30*'Coincidence Factors'!$B$9)*(1+'Inputs-System'!$C$18)*(1+'Inputs-System'!$C$41)*('Inputs-Proposals'!$K$23*'Inputs-Proposals'!$K$25*(1-'Inputs-Proposals'!$K$26^(P$3-'Inputs-System'!$C$7+1)))*(VLOOKUP(P$3,Energy!$A$51:$K$83,5,FALSE)), $C57= "3", ('Inputs-System'!$C$30*'Coincidence Factors'!$B$9*(1+'Inputs-System'!$C$18)*(1+'Inputs-System'!$C$41)*('Inputs-Proposals'!$K$29*'Inputs-Proposals'!$K$31*(1-'Inputs-Proposals'!$K$32^(P$3-'Inputs-System'!$C$7+1)))*(VLOOKUP(P$3,Energy!$A$51:$K$83,5,FALSE))), $C57= "0", 0), 0)</f>
        <v>0</v>
      </c>
      <c r="Q57" s="44">
        <f>IFERROR(_xlfn.IFS($C57="1",('Inputs-System'!$C$30*'Coincidence Factors'!$B$9*(1+'Inputs-System'!$C$18)*(1+'Inputs-System'!$C$41))*'Inputs-Proposals'!$K$17*'Inputs-Proposals'!$K$19*(1-'Inputs-Proposals'!$K$20^(P$3-'Inputs-System'!$C$7+1))*(VLOOKUP(P$3,'Embedded Emissions'!$A$47:$B$78,2,FALSE)+VLOOKUP(P$3,'Embedded Emissions'!$A$129:$B$158,2,FALSE)), $C57 = "2",('Inputs-System'!$C$30*'Coincidence Factors'!$B$9*(1+'Inputs-System'!$C$18)*(1+'Inputs-System'!$C$41))*'Inputs-Proposals'!$K$23*'Inputs-Proposals'!$K$25*(1-'Inputs-Proposals'!$K$20^(P$3-'Inputs-System'!$C$7+1))*(VLOOKUP(P$3,'Embedded Emissions'!$A$47:$B$78,2,FALSE)+VLOOKUP(P$3,'Embedded Emissions'!$A$129:$B$158,2,FALSE)), $C57 = "3", ('Inputs-System'!$C$30*'Coincidence Factors'!$B$9*(1+'Inputs-System'!$C$18)*(1+'Inputs-System'!$C$41))*'Inputs-Proposals'!$K$29*'Inputs-Proposals'!$K$31*(1-'Inputs-Proposals'!$K$20^(P$3-'Inputs-System'!$C$7+1))*(VLOOKUP(P$3,'Embedded Emissions'!$A$47:$B$78,2,FALSE)+VLOOKUP(P$3,'Embedded Emissions'!$A$129:$B$158,2,FALSE)), $C57 = "0", 0), 0)</f>
        <v>0</v>
      </c>
      <c r="R57" s="44">
        <f>IFERROR(_xlfn.IFS($C57="1",( 'Inputs-System'!$C$30*'Coincidence Factors'!$B$9*(1+'Inputs-System'!$C$18)*(1+'Inputs-System'!$C$41))*('Inputs-Proposals'!$K$17*'Inputs-Proposals'!$K$19*(1-'Inputs-Proposals'!$K$20)^(P$3-'Inputs-System'!$C$7))*(VLOOKUP(P$3,DRIPE!$A$54:$I$82,5,FALSE)+VLOOKUP(P$3,DRIPE!$A$54:$I$82,9,FALSE))+ ('Inputs-System'!$C$26*'Coincidence Factors'!$B$6*(1+'Inputs-System'!$C$18)*(1+'Inputs-System'!$C$42))*'Inputs-Proposals'!$K$16*VLOOKUP(P$3,DRIPE!$A$54:$I$82,8,FALSE), $C57 = "2",( 'Inputs-System'!$C$30*'Coincidence Factors'!$B$9*(1+'Inputs-System'!$C$18)*(1+'Inputs-System'!$C$41))*('Inputs-Proposals'!$K$23*'Inputs-Proposals'!$K$25*(1-'Inputs-Proposals'!$K$26)^(P$3-'Inputs-System'!$C$7))*(VLOOKUP(P$3,DRIPE!$A$54:$I$82,5,FALSE)+VLOOKUP(P$3,DRIPE!$A$54:$I$82,9,FALSE))+ ('Inputs-System'!$C$26*'Coincidence Factors'!$B$6*(1+'Inputs-System'!$C$18)*(1+'Inputs-System'!$C$42))*'Inputs-Proposals'!$K$22*VLOOKUP(P$3,DRIPE!$A$54:$I$82,8,FALSE), $C57= "3", ( 'Inputs-System'!$C$30*'Coincidence Factors'!$B$9*(1+'Inputs-System'!$C$18)*(1+'Inputs-System'!$C$41))*('Inputs-Proposals'!$K$29*'Inputs-Proposals'!$K$31*(1-'Inputs-Proposals'!$K$32)^(P$3-'Inputs-System'!$C$7))*(VLOOKUP(P$3,DRIPE!$A$54:$I$82,5,FALSE)+VLOOKUP(P$3,DRIPE!$A$54:$I$82,9,FALSE))+ ('Inputs-System'!$C$26*'Coincidence Factors'!$B$6*(1+'Inputs-System'!$C$18)*(1+'Inputs-System'!$C$42))*'Inputs-Proposals'!$K$28*VLOOKUP(P$3,DRIPE!$A$54:$I$82,8,FALSE), $C57 = "0", 0), 0)</f>
        <v>0</v>
      </c>
      <c r="S57" s="45">
        <f>IFERROR(_xlfn.IFS($C57="1",('Inputs-System'!$C$26*'Coincidence Factors'!$B$9*(1+'Inputs-System'!$C$18)*(1+'Inputs-System'!$C$42))*'Inputs-Proposals'!$D$16*(VLOOKUP(P$3,Capacity!$A$53:$E$85,4,FALSE)*(1+'Inputs-System'!$C$42)+VLOOKUP(P$3,Capacity!$A$53:$E$85,5,FALSE)*(1+'Inputs-System'!$C$43)*'Inputs-System'!$C$29), $C57 = "2", ('Inputs-System'!$C$26*'Coincidence Factors'!$B$9*(1+'Inputs-System'!$C$18))*'Inputs-Proposals'!$D$22*(VLOOKUP(P$3,Capacity!$A$53:$E$85,4,FALSE)*(1+'Inputs-System'!$C$42)+VLOOKUP(P$3,Capacity!$A$53:$E$85,5,FALSE)*'Inputs-System'!$C$29*(1+'Inputs-System'!$C$43)), $C57 = "3", ('Inputs-System'!$C$26*'Coincidence Factors'!$B$9*(1+'Inputs-System'!$C$18))*'Inputs-Proposals'!$D$28*(VLOOKUP(P$3,Capacity!$A$53:$E$85,4,FALSE)*(1+'Inputs-System'!$C$42)+VLOOKUP(P$3,Capacity!$A$53:$E$85,5,FALSE)*'Inputs-System'!$C$29*(1+'Inputs-System'!$C$43)), $C57 = "0", 0), 0)</f>
        <v>0</v>
      </c>
      <c r="T57" s="44">
        <v>0</v>
      </c>
      <c r="U57" s="342">
        <f>IFERROR(_xlfn.IFS($C57="1", 'Inputs-System'!$C$30*'Coincidence Factors'!$B$9*'Inputs-Proposals'!$K$17*'Inputs-Proposals'!$K$19*(VLOOKUP(P$3,'Non-Embedded Emissions'!$A$56:$D$90,2,FALSE)-VLOOKUP(P$3,'Non-Embedded Emissions'!$F$57:$H$88,2,FALSE)+VLOOKUP(P$3,'Non-Embedded Emissions'!$A$143:$D$174,2,FALSE)-VLOOKUP(P$3,'Non-Embedded Emissions'!$F$143:$H$174,2,FALSE)+VLOOKUP(P$3,'Non-Embedded Emissions'!$A$230:$D$259,2,FALSE)), $C57 = "2", 'Inputs-System'!$C$30*'Coincidence Factors'!$B$9*'Inputs-Proposals'!$K$23*'Inputs-Proposals'!$K$25*(VLOOKUP(P$3,'Non-Embedded Emissions'!$A$56:$D$90,2,FALSE)-VLOOKUP(P$3,'Non-Embedded Emissions'!$F$57:$H$88,2,FALSE)+VLOOKUP(P$3,'Non-Embedded Emissions'!$A$143:$D$174,2,FALSE)-VLOOKUP(P$3,'Non-Embedded Emissions'!$F$143:$H$174,2,FALSE)+VLOOKUP(P$3,'Non-Embedded Emissions'!$A$230:$D$259,2,FALSE)), $C57 = "3", 'Inputs-System'!$C$30*'Coincidence Factors'!$B$9*'Inputs-Proposals'!$K$29*'Inputs-Proposals'!$K$31*(VLOOKUP(P$3,'Non-Embedded Emissions'!$A$56:$D$90,2,FALSE)-VLOOKUP(P$3,'Non-Embedded Emissions'!$F$57:$H$88,2,FALSE)+VLOOKUP(P$3,'Non-Embedded Emissions'!$A$143:$D$174,2,FALSE)-VLOOKUP(P$3,'Non-Embedded Emissions'!$F$143:$H$174,2,FALSE)+VLOOKUP(P$3,'Non-Embedded Emissions'!$A$230:$D$259,2,FALSE)), $C57 = "0", 0), 0)</f>
        <v>0</v>
      </c>
      <c r="V57" s="45">
        <f>IFERROR(_xlfn.IFS($C57="1",('Inputs-System'!$C$30*'Coincidence Factors'!$B$9*(1+'Inputs-System'!$C$18)*(1+'Inputs-System'!$C$41)*('Inputs-Proposals'!$K$17*'Inputs-Proposals'!$K$19*(1-'Inputs-Proposals'!$K$20^(V$3-'Inputs-System'!$C$7)))*(VLOOKUP(V$3,Energy!$A$51:$K$83,5,FALSE))), $C57 = "2",('Inputs-System'!$C$30*'Coincidence Factors'!$B$9)*(1+'Inputs-System'!$C$18)*(1+'Inputs-System'!$C$41)*('Inputs-Proposals'!$K$23*'Inputs-Proposals'!$K$25*(1-'Inputs-Proposals'!$K$26^(V$3-'Inputs-System'!$C$7)))*(VLOOKUP(V$3,Energy!$A$51:$K$83,5,FALSE)), $C57= "3", ('Inputs-System'!$C$30*'Coincidence Factors'!$B$9*(1+'Inputs-System'!$C$18)*(1+'Inputs-System'!$C$41)*('Inputs-Proposals'!$K$29*'Inputs-Proposals'!$K$31*(1-'Inputs-Proposals'!$K$32^(V$3-'Inputs-System'!$C$7)))*(VLOOKUP(V$3,Energy!$A$51:$K$83,5,FALSE))), $C57= "0", 0), 0)</f>
        <v>0</v>
      </c>
      <c r="W57" s="44">
        <f>IFERROR(_xlfn.IFS($C57="1",('Inputs-System'!$C$30*'Coincidence Factors'!$B$9*(1+'Inputs-System'!$C$18)*(1+'Inputs-System'!$C$41))*'Inputs-Proposals'!$K$17*'Inputs-Proposals'!$K$19*(1-'Inputs-Proposals'!$K$20^(V$3-'Inputs-System'!$C$7))*(VLOOKUP(V$3,'Embedded Emissions'!$A$47:$B$78,2,FALSE)+VLOOKUP(V$3,'Embedded Emissions'!$A$129:$B$158,2,FALSE)), $C57 = "2",('Inputs-System'!$C$30*'Coincidence Factors'!$B$9*(1+'Inputs-System'!$C$18)*(1+'Inputs-System'!$C$41))*'Inputs-Proposals'!$K$23*'Inputs-Proposals'!$K$25*(1-'Inputs-Proposals'!$K$20^(V$3-'Inputs-System'!$C$7))*(VLOOKUP(V$3,'Embedded Emissions'!$A$47:$B$78,2,FALSE)+VLOOKUP(V$3,'Embedded Emissions'!$A$129:$B$158,2,FALSE)), $C57 = "3", ('Inputs-System'!$C$30*'Coincidence Factors'!$B$9*(1+'Inputs-System'!$C$18)*(1+'Inputs-System'!$C$41))*'Inputs-Proposals'!$K$29*'Inputs-Proposals'!$K$31*(1-'Inputs-Proposals'!$K$20^(V$3-'Inputs-System'!$C$7))*(VLOOKUP(V$3,'Embedded Emissions'!$A$47:$B$78,2,FALSE)+VLOOKUP(V$3,'Embedded Emissions'!$A$129:$B$158,2,FALSE)), $C57 = "0", 0), 0)</f>
        <v>0</v>
      </c>
      <c r="X57" s="44">
        <f>IFERROR(_xlfn.IFS($C57="1",( 'Inputs-System'!$C$30*'Coincidence Factors'!$B$9*(1+'Inputs-System'!$C$18)*(1+'Inputs-System'!$C$41))*('Inputs-Proposals'!$K$17*'Inputs-Proposals'!$K$19*(1-'Inputs-Proposals'!$K$20)^(V$3-'Inputs-System'!$C$7))*(VLOOKUP(V$3,DRIPE!$A$54:$I$82,5,FALSE)+VLOOKUP(V$3,DRIPE!$A$54:$I$82,9,FALSE))+ ('Inputs-System'!$C$26*'Coincidence Factors'!$B$6*(1+'Inputs-System'!$C$18)*(1+'Inputs-System'!$C$42))*'Inputs-Proposals'!$K$16*VLOOKUP(V$3,DRIPE!$A$54:$I$82,8,FALSE), $C57 = "2",( 'Inputs-System'!$C$30*'Coincidence Factors'!$B$9*(1+'Inputs-System'!$C$18)*(1+'Inputs-System'!$C$41))*('Inputs-Proposals'!$K$23*'Inputs-Proposals'!$K$25*(1-'Inputs-Proposals'!$K$26)^(V$3-'Inputs-System'!$C$7))*(VLOOKUP(V$3,DRIPE!$A$54:$I$82,5,FALSE)+VLOOKUP(V$3,DRIPE!$A$54:$I$82,9,FALSE))+ ('Inputs-System'!$C$26*'Coincidence Factors'!$B$6*(1+'Inputs-System'!$C$18)*(1+'Inputs-System'!$C$42))*'Inputs-Proposals'!$K$22*VLOOKUP(V$3,DRIPE!$A$54:$I$82,8,FALSE), $C57= "3", ( 'Inputs-System'!$C$30*'Coincidence Factors'!$B$9*(1+'Inputs-System'!$C$18)*(1+'Inputs-System'!$C$41))*('Inputs-Proposals'!$K$29*'Inputs-Proposals'!$K$31*(1-'Inputs-Proposals'!$K$32)^(V$3-'Inputs-System'!$C$7))*(VLOOKUP(V$3,DRIPE!$A$54:$I$82,5,FALSE)+VLOOKUP(V$3,DRIPE!$A$54:$I$82,9,FALSE))+ ('Inputs-System'!$C$26*'Coincidence Factors'!$B$6*(1+'Inputs-System'!$C$18)*(1+'Inputs-System'!$C$42))*'Inputs-Proposals'!$K$28*VLOOKUP(V$3,DRIPE!$A$54:$I$82,8,FALSE), $C57 = "0", 0), 0)</f>
        <v>0</v>
      </c>
      <c r="Y57" s="45">
        <f>IFERROR(_xlfn.IFS($C57="1",('Inputs-System'!$C$26*'Coincidence Factors'!$B$9*(1+'Inputs-System'!$C$18)*(1+'Inputs-System'!$C$42))*'Inputs-Proposals'!$D$16*(VLOOKUP(V$3,Capacity!$A$53:$E$85,4,FALSE)*(1+'Inputs-System'!$C$42)+VLOOKUP(V$3,Capacity!$A$53:$E$85,5,FALSE)*(1+'Inputs-System'!$C$43)*'Inputs-System'!$C$29), $C57 = "2", ('Inputs-System'!$C$26*'Coincidence Factors'!$B$9*(1+'Inputs-System'!$C$18))*'Inputs-Proposals'!$D$22*(VLOOKUP(V$3,Capacity!$A$53:$E$85,4,FALSE)*(1+'Inputs-System'!$C$42)+VLOOKUP(V$3,Capacity!$A$53:$E$85,5,FALSE)*'Inputs-System'!$C$29*(1+'Inputs-System'!$C$43)), $C57 = "3", ('Inputs-System'!$C$26*'Coincidence Factors'!$B$9*(1+'Inputs-System'!$C$18))*'Inputs-Proposals'!$D$28*(VLOOKUP(V$3,Capacity!$A$53:$E$85,4,FALSE)*(1+'Inputs-System'!$C$42)+VLOOKUP(V$3,Capacity!$A$53:$E$85,5,FALSE)*'Inputs-System'!$C$29*(1+'Inputs-System'!$C$43)), $C57 = "0", 0), 0)</f>
        <v>0</v>
      </c>
      <c r="Z57" s="44">
        <v>0</v>
      </c>
      <c r="AA57" s="342">
        <f>IFERROR(_xlfn.IFS($C57="1", 'Inputs-System'!$C$30*'Coincidence Factors'!$B$9*'Inputs-Proposals'!$K$17*'Inputs-Proposals'!$K$19*(VLOOKUP(V$3,'Non-Embedded Emissions'!$A$56:$D$90,2,FALSE)-VLOOKUP(V$3,'Non-Embedded Emissions'!$F$57:$H$88,2,FALSE)+VLOOKUP(V$3,'Non-Embedded Emissions'!$A$143:$D$174,2,FALSE)-VLOOKUP(V$3,'Non-Embedded Emissions'!$F$143:$H$174,2,FALSE)+VLOOKUP(V$3,'Non-Embedded Emissions'!$A$230:$D$259,2,FALSE)), $C57 = "2", 'Inputs-System'!$C$30*'Coincidence Factors'!$B$9*'Inputs-Proposals'!$K$23*'Inputs-Proposals'!$K$25*(VLOOKUP(V$3,'Non-Embedded Emissions'!$A$56:$D$90,2,FALSE)-VLOOKUP(V$3,'Non-Embedded Emissions'!$F$57:$H$88,2,FALSE)+VLOOKUP(V$3,'Non-Embedded Emissions'!$A$143:$D$174,2,FALSE)-VLOOKUP(V$3,'Non-Embedded Emissions'!$F$143:$H$174,2,FALSE)+VLOOKUP(V$3,'Non-Embedded Emissions'!$A$230:$D$259,2,FALSE)), $C57 = "3", 'Inputs-System'!$C$30*'Coincidence Factors'!$B$9*'Inputs-Proposals'!$K$29*'Inputs-Proposals'!$K$31*(VLOOKUP(V$3,'Non-Embedded Emissions'!$A$56:$D$90,2,FALSE)-VLOOKUP(V$3,'Non-Embedded Emissions'!$F$57:$H$88,2,FALSE)+VLOOKUP(V$3,'Non-Embedded Emissions'!$A$143:$D$174,2,FALSE)-VLOOKUP(V$3,'Non-Embedded Emissions'!$F$143:$H$174,2,FALSE)+VLOOKUP(V$3,'Non-Embedded Emissions'!$A$230:$D$259,2,FALSE)), $C57 = "0", 0), 0)</f>
        <v>0</v>
      </c>
      <c r="AB57" s="45">
        <f>IFERROR(_xlfn.IFS($C57="1",('Inputs-System'!$C$30*'Coincidence Factors'!$B$9*(1+'Inputs-System'!$C$18)*(1+'Inputs-System'!$C$41)*('Inputs-Proposals'!$K$17*'Inputs-Proposals'!$K$19*(1-'Inputs-Proposals'!$K$20^(AB$3-'Inputs-System'!$C$7)))*(VLOOKUP(AB$3,Energy!$A$51:$K$83,5,FALSE))), $C57 = "2",('Inputs-System'!$C$30*'Coincidence Factors'!$B$9)*(1+'Inputs-System'!$C$18)*(1+'Inputs-System'!$C$41)*('Inputs-Proposals'!$K$23*'Inputs-Proposals'!$K$25*(1-'Inputs-Proposals'!$K$26^(AB$3-'Inputs-System'!$C$7)))*(VLOOKUP(AB$3,Energy!$A$51:$K$83,5,FALSE)), $C57= "3", ('Inputs-System'!$C$30*'Coincidence Factors'!$B$9*(1+'Inputs-System'!$C$18)*(1+'Inputs-System'!$C$41)*('Inputs-Proposals'!$K$29*'Inputs-Proposals'!$K$31*(1-'Inputs-Proposals'!$K$32^(AB$3-'Inputs-System'!$C$7)))*(VLOOKUP(AB$3,Energy!$A$51:$K$83,5,FALSE))), $C57= "0", 0), 0)</f>
        <v>0</v>
      </c>
      <c r="AC57" s="44">
        <f>IFERROR(_xlfn.IFS($C57="1",('Inputs-System'!$C$30*'Coincidence Factors'!$B$9*(1+'Inputs-System'!$C$18)*(1+'Inputs-System'!$C$41))*'Inputs-Proposals'!$K$17*'Inputs-Proposals'!$K$19*(1-'Inputs-Proposals'!$K$20^(AB$3-'Inputs-System'!$C$7))*(VLOOKUP(AB$3,'Embedded Emissions'!$A$47:$B$78,2,FALSE)+VLOOKUP(AB$3,'Embedded Emissions'!$A$129:$B$158,2,FALSE)), $C57 = "2",('Inputs-System'!$C$30*'Coincidence Factors'!$B$9*(1+'Inputs-System'!$C$18)*(1+'Inputs-System'!$C$41))*'Inputs-Proposals'!$K$23*'Inputs-Proposals'!$K$25*(1-'Inputs-Proposals'!$K$20^(AB$3-'Inputs-System'!$C$7))*(VLOOKUP(AB$3,'Embedded Emissions'!$A$47:$B$78,2,FALSE)+VLOOKUP(AB$3,'Embedded Emissions'!$A$129:$B$158,2,FALSE)), $C57 = "3", ('Inputs-System'!$C$30*'Coincidence Factors'!$B$9*(1+'Inputs-System'!$C$18)*(1+'Inputs-System'!$C$41))*'Inputs-Proposals'!$K$29*'Inputs-Proposals'!$K$31*(1-'Inputs-Proposals'!$K$20^(AB$3-'Inputs-System'!$C$7))*(VLOOKUP(AB$3,'Embedded Emissions'!$A$47:$B$78,2,FALSE)+VLOOKUP(AB$3,'Embedded Emissions'!$A$129:$B$158,2,FALSE)), $C57 = "0", 0), 0)</f>
        <v>0</v>
      </c>
      <c r="AD57" s="44">
        <f>IFERROR(_xlfn.IFS($C57="1",( 'Inputs-System'!$C$30*'Coincidence Factors'!$B$9*(1+'Inputs-System'!$C$18)*(1+'Inputs-System'!$C$41))*('Inputs-Proposals'!$K$17*'Inputs-Proposals'!$K$19*(1-'Inputs-Proposals'!$K$20)^(AB$3-'Inputs-System'!$C$7))*(VLOOKUP(AB$3,DRIPE!$A$54:$I$82,5,FALSE)+VLOOKUP(AB$3,DRIPE!$A$54:$I$82,9,FALSE))+ ('Inputs-System'!$C$26*'Coincidence Factors'!$B$6*(1+'Inputs-System'!$C$18)*(1+'Inputs-System'!$C$42))*'Inputs-Proposals'!$K$16*VLOOKUP(AB$3,DRIPE!$A$54:$I$82,8,FALSE), $C57 = "2",( 'Inputs-System'!$C$30*'Coincidence Factors'!$B$9*(1+'Inputs-System'!$C$18)*(1+'Inputs-System'!$C$41))*('Inputs-Proposals'!$K$23*'Inputs-Proposals'!$K$25*(1-'Inputs-Proposals'!$K$26)^(AB$3-'Inputs-System'!$C$7))*(VLOOKUP(AB$3,DRIPE!$A$54:$I$82,5,FALSE)+VLOOKUP(AB$3,DRIPE!$A$54:$I$82,9,FALSE))+ ('Inputs-System'!$C$26*'Coincidence Factors'!$B$6*(1+'Inputs-System'!$C$18)*(1+'Inputs-System'!$C$42))*'Inputs-Proposals'!$K$22*VLOOKUP(AB$3,DRIPE!$A$54:$I$82,8,FALSE), $C57= "3", ( 'Inputs-System'!$C$30*'Coincidence Factors'!$B$9*(1+'Inputs-System'!$C$18)*(1+'Inputs-System'!$C$41))*('Inputs-Proposals'!$K$29*'Inputs-Proposals'!$K$31*(1-'Inputs-Proposals'!$K$32)^(AB$3-'Inputs-System'!$C$7))*(VLOOKUP(AB$3,DRIPE!$A$54:$I$82,5,FALSE)+VLOOKUP(AB$3,DRIPE!$A$54:$I$82,9,FALSE))+ ('Inputs-System'!$C$26*'Coincidence Factors'!$B$6*(1+'Inputs-System'!$C$18)*(1+'Inputs-System'!$C$42))*'Inputs-Proposals'!$K$28*VLOOKUP(AB$3,DRIPE!$A$54:$I$82,8,FALSE), $C57 = "0", 0), 0)</f>
        <v>0</v>
      </c>
      <c r="AE57" s="45">
        <f>IFERROR(_xlfn.IFS($C57="1",('Inputs-System'!$C$26*'Coincidence Factors'!$B$9*(1+'Inputs-System'!$C$18)*(1+'Inputs-System'!$C$42))*'Inputs-Proposals'!$D$16*(VLOOKUP(AB$3,Capacity!$A$53:$E$85,4,FALSE)*(1+'Inputs-System'!$C$42)+VLOOKUP(AB$3,Capacity!$A$53:$E$85,5,FALSE)*(1+'Inputs-System'!$C$43)*'Inputs-System'!$C$29), $C57 = "2", ('Inputs-System'!$C$26*'Coincidence Factors'!$B$9*(1+'Inputs-System'!$C$18))*'Inputs-Proposals'!$D$22*(VLOOKUP(AB$3,Capacity!$A$53:$E$85,4,FALSE)*(1+'Inputs-System'!$C$42)+VLOOKUP(AB$3,Capacity!$A$53:$E$85,5,FALSE)*'Inputs-System'!$C$29*(1+'Inputs-System'!$C$43)), $C57 = "3", ('Inputs-System'!$C$26*'Coincidence Factors'!$B$9*(1+'Inputs-System'!$C$18))*'Inputs-Proposals'!$D$28*(VLOOKUP(AB$3,Capacity!$A$53:$E$85,4,FALSE)*(1+'Inputs-System'!$C$42)+VLOOKUP(AB$3,Capacity!$A$53:$E$85,5,FALSE)*'Inputs-System'!$C$29*(1+'Inputs-System'!$C$43)), $C57 = "0", 0), 0)</f>
        <v>0</v>
      </c>
      <c r="AF57" s="44">
        <v>0</v>
      </c>
      <c r="AG57" s="342">
        <f>IFERROR(_xlfn.IFS($C57="1", 'Inputs-System'!$C$30*'Coincidence Factors'!$B$9*'Inputs-Proposals'!$K$17*'Inputs-Proposals'!$K$19*(VLOOKUP(AB$3,'Non-Embedded Emissions'!$A$56:$D$90,2,FALSE)-VLOOKUP(AB$3,'Non-Embedded Emissions'!$F$57:$H$88,2,FALSE)+VLOOKUP(AB$3,'Non-Embedded Emissions'!$A$143:$D$174,2,FALSE)-VLOOKUP(AB$3,'Non-Embedded Emissions'!$F$143:$H$174,2,FALSE)+VLOOKUP(AB$3,'Non-Embedded Emissions'!$A$230:$D$259,2,FALSE)), $C57 = "2", 'Inputs-System'!$C$30*'Coincidence Factors'!$B$9*'Inputs-Proposals'!$K$23*'Inputs-Proposals'!$K$25*(VLOOKUP(AB$3,'Non-Embedded Emissions'!$A$56:$D$90,2,FALSE)-VLOOKUP(AB$3,'Non-Embedded Emissions'!$F$57:$H$88,2,FALSE)+VLOOKUP(AB$3,'Non-Embedded Emissions'!$A$143:$D$174,2,FALSE)-VLOOKUP(AB$3,'Non-Embedded Emissions'!$F$143:$H$174,2,FALSE)+VLOOKUP(AB$3,'Non-Embedded Emissions'!$A$230:$D$259,2,FALSE)), $C57 = "3", 'Inputs-System'!$C$30*'Coincidence Factors'!$B$9*'Inputs-Proposals'!$K$29*'Inputs-Proposals'!$K$31*(VLOOKUP(AB$3,'Non-Embedded Emissions'!$A$56:$D$90,2,FALSE)-VLOOKUP(AB$3,'Non-Embedded Emissions'!$F$57:$H$88,2,FALSE)+VLOOKUP(AB$3,'Non-Embedded Emissions'!$A$143:$D$174,2,FALSE)-VLOOKUP(AB$3,'Non-Embedded Emissions'!$F$143:$H$174,2,FALSE)+VLOOKUP(AB$3,'Non-Embedded Emissions'!$A$230:$D$259,2,FALSE)), $C57 = "0", 0), 0)</f>
        <v>0</v>
      </c>
      <c r="AH57" s="45">
        <f>IFERROR(_xlfn.IFS($C57="1",('Inputs-System'!$C$30*'Coincidence Factors'!$B$9*(1+'Inputs-System'!$C$18)*(1+'Inputs-System'!$C$41)*('Inputs-Proposals'!$K$17*'Inputs-Proposals'!$K$19*(1-'Inputs-Proposals'!$K$20^(AH$3-'Inputs-System'!$C$7)))*(VLOOKUP(AH$3,Energy!$A$51:$K$83,5,FALSE))), $C57 = "2",('Inputs-System'!$C$30*'Coincidence Factors'!$B$9)*(1+'Inputs-System'!$C$18)*(1+'Inputs-System'!$C$41)*('Inputs-Proposals'!$K$23*'Inputs-Proposals'!$K$25*(1-'Inputs-Proposals'!$K$26^(AH$3-'Inputs-System'!$C$7)))*(VLOOKUP(AH$3,Energy!$A$51:$K$83,5,FALSE)), $C57= "3", ('Inputs-System'!$C$30*'Coincidence Factors'!$B$9*(1+'Inputs-System'!$C$18)*(1+'Inputs-System'!$C$41)*('Inputs-Proposals'!$K$29*'Inputs-Proposals'!$K$31*(1-'Inputs-Proposals'!$K$32^(AH$3-'Inputs-System'!$C$7)))*(VLOOKUP(AH$3,Energy!$A$51:$K$83,5,FALSE))), $C57= "0", 0), 0)</f>
        <v>0</v>
      </c>
      <c r="AI57" s="44">
        <f>IFERROR(_xlfn.IFS($C57="1",('Inputs-System'!$C$30*'Coincidence Factors'!$B$9*(1+'Inputs-System'!$C$18)*(1+'Inputs-System'!$C$41))*'Inputs-Proposals'!$K$17*'Inputs-Proposals'!$K$19*(1-'Inputs-Proposals'!$K$20^(AH$3-'Inputs-System'!$C$7))*(VLOOKUP(AH$3,'Embedded Emissions'!$A$47:$B$78,2,FALSE)+VLOOKUP(AH$3,'Embedded Emissions'!$A$129:$B$158,2,FALSE)), $C57 = "2",('Inputs-System'!$C$30*'Coincidence Factors'!$B$9*(1+'Inputs-System'!$C$18)*(1+'Inputs-System'!$C$41))*'Inputs-Proposals'!$K$23*'Inputs-Proposals'!$K$25*(1-'Inputs-Proposals'!$K$20^(AH$3-'Inputs-System'!$C$7))*(VLOOKUP(AH$3,'Embedded Emissions'!$A$47:$B$78,2,FALSE)+VLOOKUP(AH$3,'Embedded Emissions'!$A$129:$B$158,2,FALSE)), $C57 = "3", ('Inputs-System'!$C$30*'Coincidence Factors'!$B$9*(1+'Inputs-System'!$C$18)*(1+'Inputs-System'!$C$41))*'Inputs-Proposals'!$K$29*'Inputs-Proposals'!$K$31*(1-'Inputs-Proposals'!$K$20^(AH$3-'Inputs-System'!$C$7))*(VLOOKUP(AH$3,'Embedded Emissions'!$A$47:$B$78,2,FALSE)+VLOOKUP(AH$3,'Embedded Emissions'!$A$129:$B$158,2,FALSE)), $C57 = "0", 0), 0)</f>
        <v>0</v>
      </c>
      <c r="AJ57" s="44">
        <f>IFERROR(_xlfn.IFS($C57="1",( 'Inputs-System'!$C$30*'Coincidence Factors'!$B$9*(1+'Inputs-System'!$C$18)*(1+'Inputs-System'!$C$41))*('Inputs-Proposals'!$K$17*'Inputs-Proposals'!$K$19*(1-'Inputs-Proposals'!$K$20)^(AH$3-'Inputs-System'!$C$7))*(VLOOKUP(AH$3,DRIPE!$A$54:$I$82,5,FALSE)+VLOOKUP(AH$3,DRIPE!$A$54:$I$82,9,FALSE))+ ('Inputs-System'!$C$26*'Coincidence Factors'!$B$6*(1+'Inputs-System'!$C$18)*(1+'Inputs-System'!$C$42))*'Inputs-Proposals'!$K$16*VLOOKUP(AH$3,DRIPE!$A$54:$I$82,8,FALSE), $C57 = "2",( 'Inputs-System'!$C$30*'Coincidence Factors'!$B$9*(1+'Inputs-System'!$C$18)*(1+'Inputs-System'!$C$41))*('Inputs-Proposals'!$K$23*'Inputs-Proposals'!$K$25*(1-'Inputs-Proposals'!$K$26)^(AH$3-'Inputs-System'!$C$7))*(VLOOKUP(AH$3,DRIPE!$A$54:$I$82,5,FALSE)+VLOOKUP(AH$3,DRIPE!$A$54:$I$82,9,FALSE))+ ('Inputs-System'!$C$26*'Coincidence Factors'!$B$6*(1+'Inputs-System'!$C$18)*(1+'Inputs-System'!$C$42))*'Inputs-Proposals'!$K$22*VLOOKUP(AH$3,DRIPE!$A$54:$I$82,8,FALSE), $C57= "3", ( 'Inputs-System'!$C$30*'Coincidence Factors'!$B$9*(1+'Inputs-System'!$C$18)*(1+'Inputs-System'!$C$41))*('Inputs-Proposals'!$K$29*'Inputs-Proposals'!$K$31*(1-'Inputs-Proposals'!$K$32)^(AH$3-'Inputs-System'!$C$7))*(VLOOKUP(AH$3,DRIPE!$A$54:$I$82,5,FALSE)+VLOOKUP(AH$3,DRIPE!$A$54:$I$82,9,FALSE))+ ('Inputs-System'!$C$26*'Coincidence Factors'!$B$6*(1+'Inputs-System'!$C$18)*(1+'Inputs-System'!$C$42))*'Inputs-Proposals'!$K$28*VLOOKUP(AH$3,DRIPE!$A$54:$I$82,8,FALSE), $C57 = "0", 0), 0)</f>
        <v>0</v>
      </c>
      <c r="AK57" s="45">
        <f>IFERROR(_xlfn.IFS($C57="1",('Inputs-System'!$C$26*'Coincidence Factors'!$B$9*(1+'Inputs-System'!$C$18)*(1+'Inputs-System'!$C$42))*'Inputs-Proposals'!$D$16*(VLOOKUP(AH$3,Capacity!$A$53:$E$85,4,FALSE)*(1+'Inputs-System'!$C$42)+VLOOKUP(AH$3,Capacity!$A$53:$E$85,5,FALSE)*(1+'Inputs-System'!$C$43)*'Inputs-System'!$C$29), $C57 = "2", ('Inputs-System'!$C$26*'Coincidence Factors'!$B$9*(1+'Inputs-System'!$C$18))*'Inputs-Proposals'!$D$22*(VLOOKUP(AH$3,Capacity!$A$53:$E$85,4,FALSE)*(1+'Inputs-System'!$C$42)+VLOOKUP(AH$3,Capacity!$A$53:$E$85,5,FALSE)*'Inputs-System'!$C$29*(1+'Inputs-System'!$C$43)), $C57 = "3", ('Inputs-System'!$C$26*'Coincidence Factors'!$B$9*(1+'Inputs-System'!$C$18))*'Inputs-Proposals'!$D$28*(VLOOKUP(AH$3,Capacity!$A$53:$E$85,4,FALSE)*(1+'Inputs-System'!$C$42)+VLOOKUP(AH$3,Capacity!$A$53:$E$85,5,FALSE)*'Inputs-System'!$C$29*(1+'Inputs-System'!$C$43)), $C57 = "0", 0), 0)</f>
        <v>0</v>
      </c>
      <c r="AL57" s="44">
        <v>0</v>
      </c>
      <c r="AM57" s="342">
        <f>IFERROR(_xlfn.IFS($C57="1", 'Inputs-System'!$C$30*'Coincidence Factors'!$B$9*'Inputs-Proposals'!$K$17*'Inputs-Proposals'!$K$19*(VLOOKUP(AH$3,'Non-Embedded Emissions'!$A$56:$D$90,2,FALSE)-VLOOKUP(AH$3,'Non-Embedded Emissions'!$F$57:$H$88,2,FALSE)+VLOOKUP(AH$3,'Non-Embedded Emissions'!$A$143:$D$174,2,FALSE)-VLOOKUP(AH$3,'Non-Embedded Emissions'!$F$143:$H$174,2,FALSE)+VLOOKUP(AH$3,'Non-Embedded Emissions'!$A$230:$D$259,2,FALSE)), $C57 = "2", 'Inputs-System'!$C$30*'Coincidence Factors'!$B$9*'Inputs-Proposals'!$K$23*'Inputs-Proposals'!$K$25*(VLOOKUP(AH$3,'Non-Embedded Emissions'!$A$56:$D$90,2,FALSE)-VLOOKUP(AH$3,'Non-Embedded Emissions'!$F$57:$H$88,2,FALSE)+VLOOKUP(AH$3,'Non-Embedded Emissions'!$A$143:$D$174,2,FALSE)-VLOOKUP(AH$3,'Non-Embedded Emissions'!$F$143:$H$174,2,FALSE)+VLOOKUP(AH$3,'Non-Embedded Emissions'!$A$230:$D$259,2,FALSE)), $C57 = "3", 'Inputs-System'!$C$30*'Coincidence Factors'!$B$9*'Inputs-Proposals'!$K$29*'Inputs-Proposals'!$K$31*(VLOOKUP(AH$3,'Non-Embedded Emissions'!$A$56:$D$90,2,FALSE)-VLOOKUP(AH$3,'Non-Embedded Emissions'!$F$57:$H$88,2,FALSE)+VLOOKUP(AH$3,'Non-Embedded Emissions'!$A$143:$D$174,2,FALSE)-VLOOKUP(AH$3,'Non-Embedded Emissions'!$F$143:$H$174,2,FALSE)+VLOOKUP(AH$3,'Non-Embedded Emissions'!$A$230:$D$259,2,FALSE)), $C57 = "0", 0), 0)</f>
        <v>0</v>
      </c>
      <c r="AN57" s="45">
        <f>IFERROR(_xlfn.IFS($C57="1",('Inputs-System'!$C$30*'Coincidence Factors'!$B$9*(1+'Inputs-System'!$C$18)*(1+'Inputs-System'!$C$41)*('Inputs-Proposals'!$K$17*'Inputs-Proposals'!$K$19*(1-'Inputs-Proposals'!$K$20^(AN$3-'Inputs-System'!$C$7)))*(VLOOKUP(AN$3,Energy!$A$51:$K$83,5,FALSE))), $C57 = "2",('Inputs-System'!$C$30*'Coincidence Factors'!$B$9)*(1+'Inputs-System'!$C$18)*(1+'Inputs-System'!$C$41)*('Inputs-Proposals'!$K$23*'Inputs-Proposals'!$K$25*(1-'Inputs-Proposals'!$K$26^(AN$3-'Inputs-System'!$C$7)))*(VLOOKUP(AN$3,Energy!$A$51:$K$83,5,FALSE)), $C57= "3", ('Inputs-System'!$C$30*'Coincidence Factors'!$B$9*(1+'Inputs-System'!$C$18)*(1+'Inputs-System'!$C$41)*('Inputs-Proposals'!$K$29*'Inputs-Proposals'!$K$31*(1-'Inputs-Proposals'!$K$32^(AN$3-'Inputs-System'!$C$7)))*(VLOOKUP(AN$3,Energy!$A$51:$K$83,5,FALSE))), $C57= "0", 0), 0)</f>
        <v>0</v>
      </c>
      <c r="AO57" s="44">
        <f>IFERROR(_xlfn.IFS($C57="1",('Inputs-System'!$C$30*'Coincidence Factors'!$B$9*(1+'Inputs-System'!$C$18)*(1+'Inputs-System'!$C$41))*'Inputs-Proposals'!$K$17*'Inputs-Proposals'!$K$19*(1-'Inputs-Proposals'!$K$20^(AN$3-'Inputs-System'!$C$7))*(VLOOKUP(AN$3,'Embedded Emissions'!$A$47:$B$78,2,FALSE)+VLOOKUP(AN$3,'Embedded Emissions'!$A$129:$B$158,2,FALSE)), $C57 = "2",('Inputs-System'!$C$30*'Coincidence Factors'!$B$9*(1+'Inputs-System'!$C$18)*(1+'Inputs-System'!$C$41))*'Inputs-Proposals'!$K$23*'Inputs-Proposals'!$K$25*(1-'Inputs-Proposals'!$K$20^(AN$3-'Inputs-System'!$C$7))*(VLOOKUP(AN$3,'Embedded Emissions'!$A$47:$B$78,2,FALSE)+VLOOKUP(AN$3,'Embedded Emissions'!$A$129:$B$158,2,FALSE)), $C57 = "3", ('Inputs-System'!$C$30*'Coincidence Factors'!$B$9*(1+'Inputs-System'!$C$18)*(1+'Inputs-System'!$C$41))*'Inputs-Proposals'!$K$29*'Inputs-Proposals'!$K$31*(1-'Inputs-Proposals'!$K$20^(AN$3-'Inputs-System'!$C$7))*(VLOOKUP(AN$3,'Embedded Emissions'!$A$47:$B$78,2,FALSE)+VLOOKUP(AN$3,'Embedded Emissions'!$A$129:$B$158,2,FALSE)), $C57 = "0", 0), 0)</f>
        <v>0</v>
      </c>
      <c r="AP57" s="44">
        <f>IFERROR(_xlfn.IFS($C57="1",( 'Inputs-System'!$C$30*'Coincidence Factors'!$B$9*(1+'Inputs-System'!$C$18)*(1+'Inputs-System'!$C$41))*('Inputs-Proposals'!$K$17*'Inputs-Proposals'!$K$19*(1-'Inputs-Proposals'!$K$20)^(AN$3-'Inputs-System'!$C$7))*(VLOOKUP(AN$3,DRIPE!$A$54:$I$82,5,FALSE)+VLOOKUP(AN$3,DRIPE!$A$54:$I$82,9,FALSE))+ ('Inputs-System'!$C$26*'Coincidence Factors'!$B$6*(1+'Inputs-System'!$C$18)*(1+'Inputs-System'!$C$42))*'Inputs-Proposals'!$K$16*VLOOKUP(AN$3,DRIPE!$A$54:$I$82,8,FALSE), $C57 = "2",( 'Inputs-System'!$C$30*'Coincidence Factors'!$B$9*(1+'Inputs-System'!$C$18)*(1+'Inputs-System'!$C$41))*('Inputs-Proposals'!$K$23*'Inputs-Proposals'!$K$25*(1-'Inputs-Proposals'!$K$26)^(AN$3-'Inputs-System'!$C$7))*(VLOOKUP(AN$3,DRIPE!$A$54:$I$82,5,FALSE)+VLOOKUP(AN$3,DRIPE!$A$54:$I$82,9,FALSE))+ ('Inputs-System'!$C$26*'Coincidence Factors'!$B$6*(1+'Inputs-System'!$C$18)*(1+'Inputs-System'!$C$42))*'Inputs-Proposals'!$K$22*VLOOKUP(AN$3,DRIPE!$A$54:$I$82,8,FALSE), $C57= "3", ( 'Inputs-System'!$C$30*'Coincidence Factors'!$B$9*(1+'Inputs-System'!$C$18)*(1+'Inputs-System'!$C$41))*('Inputs-Proposals'!$K$29*'Inputs-Proposals'!$K$31*(1-'Inputs-Proposals'!$K$32)^(AN$3-'Inputs-System'!$C$7))*(VLOOKUP(AN$3,DRIPE!$A$54:$I$82,5,FALSE)+VLOOKUP(AN$3,DRIPE!$A$54:$I$82,9,FALSE))+ ('Inputs-System'!$C$26*'Coincidence Factors'!$B$6*(1+'Inputs-System'!$C$18)*(1+'Inputs-System'!$C$42))*'Inputs-Proposals'!$K$28*VLOOKUP(AN$3,DRIPE!$A$54:$I$82,8,FALSE), $C57 = "0", 0), 0)</f>
        <v>0</v>
      </c>
      <c r="AQ57" s="45">
        <f>IFERROR(_xlfn.IFS($C57="1",('Inputs-System'!$C$26*'Coincidence Factors'!$B$9*(1+'Inputs-System'!$C$18)*(1+'Inputs-System'!$C$42))*'Inputs-Proposals'!$D$16*(VLOOKUP(AN$3,Capacity!$A$53:$E$85,4,FALSE)*(1+'Inputs-System'!$C$42)+VLOOKUP(AN$3,Capacity!$A$53:$E$85,5,FALSE)*(1+'Inputs-System'!$C$43)*'Inputs-System'!$C$29), $C57 = "2", ('Inputs-System'!$C$26*'Coincidence Factors'!$B$9*(1+'Inputs-System'!$C$18))*'Inputs-Proposals'!$D$22*(VLOOKUP(AN$3,Capacity!$A$53:$E$85,4,FALSE)*(1+'Inputs-System'!$C$42)+VLOOKUP(AN$3,Capacity!$A$53:$E$85,5,FALSE)*'Inputs-System'!$C$29*(1+'Inputs-System'!$C$43)), $C57 = "3", ('Inputs-System'!$C$26*'Coincidence Factors'!$B$9*(1+'Inputs-System'!$C$18))*'Inputs-Proposals'!$D$28*(VLOOKUP(AN$3,Capacity!$A$53:$E$85,4,FALSE)*(1+'Inputs-System'!$C$42)+VLOOKUP(AN$3,Capacity!$A$53:$E$85,5,FALSE)*'Inputs-System'!$C$29*(1+'Inputs-System'!$C$43)), $C57 = "0", 0), 0)</f>
        <v>0</v>
      </c>
      <c r="AR57" s="44">
        <v>0</v>
      </c>
      <c r="AS57" s="342">
        <f>IFERROR(_xlfn.IFS($C57="1", 'Inputs-System'!$C$30*'Coincidence Factors'!$B$9*'Inputs-Proposals'!$K$17*'Inputs-Proposals'!$K$19*(VLOOKUP(AN$3,'Non-Embedded Emissions'!$A$56:$D$90,2,FALSE)-VLOOKUP(AN$3,'Non-Embedded Emissions'!$F$57:$H$88,2,FALSE)+VLOOKUP(AN$3,'Non-Embedded Emissions'!$A$143:$D$174,2,FALSE)-VLOOKUP(AN$3,'Non-Embedded Emissions'!$F$143:$H$174,2,FALSE)+VLOOKUP(AN$3,'Non-Embedded Emissions'!$A$230:$D$259,2,FALSE)), $C57 = "2", 'Inputs-System'!$C$30*'Coincidence Factors'!$B$9*'Inputs-Proposals'!$K$23*'Inputs-Proposals'!$K$25*(VLOOKUP(AN$3,'Non-Embedded Emissions'!$A$56:$D$90,2,FALSE)-VLOOKUP(AN$3,'Non-Embedded Emissions'!$F$57:$H$88,2,FALSE)+VLOOKUP(AN$3,'Non-Embedded Emissions'!$A$143:$D$174,2,FALSE)-VLOOKUP(AN$3,'Non-Embedded Emissions'!$F$143:$H$174,2,FALSE)+VLOOKUP(AN$3,'Non-Embedded Emissions'!$A$230:$D$259,2,FALSE)), $C57 = "3", 'Inputs-System'!$C$30*'Coincidence Factors'!$B$9*'Inputs-Proposals'!$K$29*'Inputs-Proposals'!$K$31*(VLOOKUP(AN$3,'Non-Embedded Emissions'!$A$56:$D$90,2,FALSE)-VLOOKUP(AN$3,'Non-Embedded Emissions'!$F$57:$H$88,2,FALSE)+VLOOKUP(AN$3,'Non-Embedded Emissions'!$A$143:$D$174,2,FALSE)-VLOOKUP(AN$3,'Non-Embedded Emissions'!$F$143:$H$174,2,FALSE)+VLOOKUP(AN$3,'Non-Embedded Emissions'!$A$230:$D$259,2,FALSE)), $C57 = "0", 0), 0)</f>
        <v>0</v>
      </c>
      <c r="AT57" s="45">
        <f>IFERROR(_xlfn.IFS($C57="1",('Inputs-System'!$C$30*'Coincidence Factors'!$B$9*(1+'Inputs-System'!$C$18)*(1+'Inputs-System'!$C$41)*('Inputs-Proposals'!$K$17*'Inputs-Proposals'!$K$19*(1-'Inputs-Proposals'!$K$20^(AT$3-'Inputs-System'!$C$7)))*(VLOOKUP(AT$3,Energy!$A$51:$K$83,5,FALSE))), $C57 = "2",('Inputs-System'!$C$30*'Coincidence Factors'!$B$9)*(1+'Inputs-System'!$C$18)*(1+'Inputs-System'!$C$41)*('Inputs-Proposals'!$K$23*'Inputs-Proposals'!$K$25*(1-'Inputs-Proposals'!$K$26^(AT$3-'Inputs-System'!$C$7)))*(VLOOKUP(AT$3,Energy!$A$51:$K$83,5,FALSE)), $C57= "3", ('Inputs-System'!$C$30*'Coincidence Factors'!$B$9*(1+'Inputs-System'!$C$18)*(1+'Inputs-System'!$C$41)*('Inputs-Proposals'!$K$29*'Inputs-Proposals'!$K$31*(1-'Inputs-Proposals'!$K$32^(AT$3-'Inputs-System'!$C$7)))*(VLOOKUP(AT$3,Energy!$A$51:$K$83,5,FALSE))), $C57= "0", 0), 0)</f>
        <v>0</v>
      </c>
      <c r="AU57" s="44">
        <f>IFERROR(_xlfn.IFS($C57="1",('Inputs-System'!$C$30*'Coincidence Factors'!$B$9*(1+'Inputs-System'!$C$18)*(1+'Inputs-System'!$C$41))*'Inputs-Proposals'!$K$17*'Inputs-Proposals'!$K$19*(1-'Inputs-Proposals'!$K$20^(AT$3-'Inputs-System'!$C$7))*(VLOOKUP(AT$3,'Embedded Emissions'!$A$47:$B$78,2,FALSE)+VLOOKUP(AT$3,'Embedded Emissions'!$A$129:$B$158,2,FALSE)), $C57 = "2",('Inputs-System'!$C$30*'Coincidence Factors'!$B$9*(1+'Inputs-System'!$C$18)*(1+'Inputs-System'!$C$41))*'Inputs-Proposals'!$K$23*'Inputs-Proposals'!$K$25*(1-'Inputs-Proposals'!$K$20^(AT$3-'Inputs-System'!$C$7))*(VLOOKUP(AT$3,'Embedded Emissions'!$A$47:$B$78,2,FALSE)+VLOOKUP(AT$3,'Embedded Emissions'!$A$129:$B$158,2,FALSE)), $C57 = "3", ('Inputs-System'!$C$30*'Coincidence Factors'!$B$9*(1+'Inputs-System'!$C$18)*(1+'Inputs-System'!$C$41))*'Inputs-Proposals'!$K$29*'Inputs-Proposals'!$K$31*(1-'Inputs-Proposals'!$K$20^(AT$3-'Inputs-System'!$C$7))*(VLOOKUP(AT$3,'Embedded Emissions'!$A$47:$B$78,2,FALSE)+VLOOKUP(AT$3,'Embedded Emissions'!$A$129:$B$158,2,FALSE)), $C57 = "0", 0), 0)</f>
        <v>0</v>
      </c>
      <c r="AV57" s="44">
        <f>IFERROR(_xlfn.IFS($C57="1",( 'Inputs-System'!$C$30*'Coincidence Factors'!$B$9*(1+'Inputs-System'!$C$18)*(1+'Inputs-System'!$C$41))*('Inputs-Proposals'!$K$17*'Inputs-Proposals'!$K$19*(1-'Inputs-Proposals'!$K$20)^(AT$3-'Inputs-System'!$C$7))*(VLOOKUP(AT$3,DRIPE!$A$54:$I$82,5,FALSE)+VLOOKUP(AT$3,DRIPE!$A$54:$I$82,9,FALSE))+ ('Inputs-System'!$C$26*'Coincidence Factors'!$B$6*(1+'Inputs-System'!$C$18)*(1+'Inputs-System'!$C$42))*'Inputs-Proposals'!$K$16*VLOOKUP(AT$3,DRIPE!$A$54:$I$82,8,FALSE), $C57 = "2",( 'Inputs-System'!$C$30*'Coincidence Factors'!$B$9*(1+'Inputs-System'!$C$18)*(1+'Inputs-System'!$C$41))*('Inputs-Proposals'!$K$23*'Inputs-Proposals'!$K$25*(1-'Inputs-Proposals'!$K$26)^(AT$3-'Inputs-System'!$C$7))*(VLOOKUP(AT$3,DRIPE!$A$54:$I$82,5,FALSE)+VLOOKUP(AT$3,DRIPE!$A$54:$I$82,9,FALSE))+ ('Inputs-System'!$C$26*'Coincidence Factors'!$B$6*(1+'Inputs-System'!$C$18)*(1+'Inputs-System'!$C$42))*'Inputs-Proposals'!$K$22*VLOOKUP(AT$3,DRIPE!$A$54:$I$82,8,FALSE), $C57= "3", ( 'Inputs-System'!$C$30*'Coincidence Factors'!$B$9*(1+'Inputs-System'!$C$18)*(1+'Inputs-System'!$C$41))*('Inputs-Proposals'!$K$29*'Inputs-Proposals'!$K$31*(1-'Inputs-Proposals'!$K$32)^(AT$3-'Inputs-System'!$C$7))*(VLOOKUP(AT$3,DRIPE!$A$54:$I$82,5,FALSE)+VLOOKUP(AT$3,DRIPE!$A$54:$I$82,9,FALSE))+ ('Inputs-System'!$C$26*'Coincidence Factors'!$B$6*(1+'Inputs-System'!$C$18)*(1+'Inputs-System'!$C$42))*'Inputs-Proposals'!$K$28*VLOOKUP(AT$3,DRIPE!$A$54:$I$82,8,FALSE), $C57 = "0", 0), 0)</f>
        <v>0</v>
      </c>
      <c r="AW57" s="45">
        <f>IFERROR(_xlfn.IFS($C57="1",('Inputs-System'!$C$26*'Coincidence Factors'!$B$9*(1+'Inputs-System'!$C$18)*(1+'Inputs-System'!$C$42))*'Inputs-Proposals'!$D$16*(VLOOKUP(AT$3,Capacity!$A$53:$E$85,4,FALSE)*(1+'Inputs-System'!$C$42)+VLOOKUP(AT$3,Capacity!$A$53:$E$85,5,FALSE)*(1+'Inputs-System'!$C$43)*'Inputs-System'!$C$29), $C57 = "2", ('Inputs-System'!$C$26*'Coincidence Factors'!$B$9*(1+'Inputs-System'!$C$18))*'Inputs-Proposals'!$D$22*(VLOOKUP(AT$3,Capacity!$A$53:$E$85,4,FALSE)*(1+'Inputs-System'!$C$42)+VLOOKUP(AT$3,Capacity!$A$53:$E$85,5,FALSE)*'Inputs-System'!$C$29*(1+'Inputs-System'!$C$43)), $C57 = "3", ('Inputs-System'!$C$26*'Coincidence Factors'!$B$9*(1+'Inputs-System'!$C$18))*'Inputs-Proposals'!$D$28*(VLOOKUP(AT$3,Capacity!$A$53:$E$85,4,FALSE)*(1+'Inputs-System'!$C$42)+VLOOKUP(AT$3,Capacity!$A$53:$E$85,5,FALSE)*'Inputs-System'!$C$29*(1+'Inputs-System'!$C$43)), $C57 = "0", 0), 0)</f>
        <v>0</v>
      </c>
      <c r="AX57" s="44">
        <v>0</v>
      </c>
      <c r="AY57" s="342">
        <f>IFERROR(_xlfn.IFS($C57="1", 'Inputs-System'!$C$30*'Coincidence Factors'!$B$9*'Inputs-Proposals'!$K$17*'Inputs-Proposals'!$K$19*(VLOOKUP(AT$3,'Non-Embedded Emissions'!$A$56:$D$90,2,FALSE)-VLOOKUP(AT$3,'Non-Embedded Emissions'!$F$57:$H$88,2,FALSE)+VLOOKUP(AT$3,'Non-Embedded Emissions'!$A$143:$D$174,2,FALSE)-VLOOKUP(AT$3,'Non-Embedded Emissions'!$F$143:$H$174,2,FALSE)+VLOOKUP(AT$3,'Non-Embedded Emissions'!$A$230:$D$259,2,FALSE)), $C57 = "2", 'Inputs-System'!$C$30*'Coincidence Factors'!$B$9*'Inputs-Proposals'!$K$23*'Inputs-Proposals'!$K$25*(VLOOKUP(AT$3,'Non-Embedded Emissions'!$A$56:$D$90,2,FALSE)-VLOOKUP(AT$3,'Non-Embedded Emissions'!$F$57:$H$88,2,FALSE)+VLOOKUP(AT$3,'Non-Embedded Emissions'!$A$143:$D$174,2,FALSE)-VLOOKUP(AT$3,'Non-Embedded Emissions'!$F$143:$H$174,2,FALSE)+VLOOKUP(AT$3,'Non-Embedded Emissions'!$A$230:$D$259,2,FALSE)), $C57 = "3", 'Inputs-System'!$C$30*'Coincidence Factors'!$B$9*'Inputs-Proposals'!$K$29*'Inputs-Proposals'!$K$31*(VLOOKUP(AT$3,'Non-Embedded Emissions'!$A$56:$D$90,2,FALSE)-VLOOKUP(AT$3,'Non-Embedded Emissions'!$F$57:$H$88,2,FALSE)+VLOOKUP(AT$3,'Non-Embedded Emissions'!$A$143:$D$174,2,FALSE)-VLOOKUP(AT$3,'Non-Embedded Emissions'!$F$143:$H$174,2,FALSE)+VLOOKUP(AT$3,'Non-Embedded Emissions'!$A$230:$D$259,2,FALSE)), $C57 = "0", 0), 0)</f>
        <v>0</v>
      </c>
      <c r="AZ57" s="45">
        <f>IFERROR(_xlfn.IFS($C57="1",('Inputs-System'!$C$30*'Coincidence Factors'!$B$9*(1+'Inputs-System'!$C$18)*(1+'Inputs-System'!$C$41)*('Inputs-Proposals'!$K$17*'Inputs-Proposals'!$K$19*(1-'Inputs-Proposals'!$K$20^(AZ$3-'Inputs-System'!$C$7)))*(VLOOKUP(AZ$3,Energy!$A$51:$K$83,5,FALSE))), $C57 = "2",('Inputs-System'!$C$30*'Coincidence Factors'!$B$9)*(1+'Inputs-System'!$C$18)*(1+'Inputs-System'!$C$41)*('Inputs-Proposals'!$K$23*'Inputs-Proposals'!$K$25*(1-'Inputs-Proposals'!$K$26^(AZ$3-'Inputs-System'!$C$7)))*(VLOOKUP(AZ$3,Energy!$A$51:$K$83,5,FALSE)), $C57= "3", ('Inputs-System'!$C$30*'Coincidence Factors'!$B$9*(1+'Inputs-System'!$C$18)*(1+'Inputs-System'!$C$41)*('Inputs-Proposals'!$K$29*'Inputs-Proposals'!$K$31*(1-'Inputs-Proposals'!$K$32^(AZ$3-'Inputs-System'!$C$7)))*(VLOOKUP(AZ$3,Energy!$A$51:$K$83,5,FALSE))), $C57= "0", 0), 0)</f>
        <v>0</v>
      </c>
      <c r="BA57" s="44">
        <f>IFERROR(_xlfn.IFS($C57="1",('Inputs-System'!$C$30*'Coincidence Factors'!$B$9*(1+'Inputs-System'!$C$18)*(1+'Inputs-System'!$C$41))*'Inputs-Proposals'!$K$17*'Inputs-Proposals'!$K$19*(1-'Inputs-Proposals'!$K$20^(AZ$3-'Inputs-System'!$C$7))*(VLOOKUP(AZ$3,'Embedded Emissions'!$A$47:$B$78,2,FALSE)+VLOOKUP(AZ$3,'Embedded Emissions'!$A$129:$B$158,2,FALSE)), $C57 = "2",('Inputs-System'!$C$30*'Coincidence Factors'!$B$9*(1+'Inputs-System'!$C$18)*(1+'Inputs-System'!$C$41))*'Inputs-Proposals'!$K$23*'Inputs-Proposals'!$K$25*(1-'Inputs-Proposals'!$K$20^(AZ$3-'Inputs-System'!$C$7))*(VLOOKUP(AZ$3,'Embedded Emissions'!$A$47:$B$78,2,FALSE)+VLOOKUP(AZ$3,'Embedded Emissions'!$A$129:$B$158,2,FALSE)), $C57 = "3", ('Inputs-System'!$C$30*'Coincidence Factors'!$B$9*(1+'Inputs-System'!$C$18)*(1+'Inputs-System'!$C$41))*'Inputs-Proposals'!$K$29*'Inputs-Proposals'!$K$31*(1-'Inputs-Proposals'!$K$20^(AZ$3-'Inputs-System'!$C$7))*(VLOOKUP(AZ$3,'Embedded Emissions'!$A$47:$B$78,2,FALSE)+VLOOKUP(AZ$3,'Embedded Emissions'!$A$129:$B$158,2,FALSE)), $C57 = "0", 0), 0)</f>
        <v>0</v>
      </c>
      <c r="BB57" s="44">
        <f>IFERROR(_xlfn.IFS($C57="1",( 'Inputs-System'!$C$30*'Coincidence Factors'!$B$9*(1+'Inputs-System'!$C$18)*(1+'Inputs-System'!$C$41))*('Inputs-Proposals'!$K$17*'Inputs-Proposals'!$K$19*(1-'Inputs-Proposals'!$K$20)^(AZ$3-'Inputs-System'!$C$7))*(VLOOKUP(AZ$3,DRIPE!$A$54:$I$82,5,FALSE)+VLOOKUP(AZ$3,DRIPE!$A$54:$I$82,9,FALSE))+ ('Inputs-System'!$C$26*'Coincidence Factors'!$B$6*(1+'Inputs-System'!$C$18)*(1+'Inputs-System'!$C$42))*'Inputs-Proposals'!$K$16*VLOOKUP(AZ$3,DRIPE!$A$54:$I$82,8,FALSE), $C57 = "2",( 'Inputs-System'!$C$30*'Coincidence Factors'!$B$9*(1+'Inputs-System'!$C$18)*(1+'Inputs-System'!$C$41))*('Inputs-Proposals'!$K$23*'Inputs-Proposals'!$K$25*(1-'Inputs-Proposals'!$K$26)^(AZ$3-'Inputs-System'!$C$7))*(VLOOKUP(AZ$3,DRIPE!$A$54:$I$82,5,FALSE)+VLOOKUP(AZ$3,DRIPE!$A$54:$I$82,9,FALSE))+ ('Inputs-System'!$C$26*'Coincidence Factors'!$B$6*(1+'Inputs-System'!$C$18)*(1+'Inputs-System'!$C$42))*'Inputs-Proposals'!$K$22*VLOOKUP(AZ$3,DRIPE!$A$54:$I$82,8,FALSE), $C57= "3", ( 'Inputs-System'!$C$30*'Coincidence Factors'!$B$9*(1+'Inputs-System'!$C$18)*(1+'Inputs-System'!$C$41))*('Inputs-Proposals'!$K$29*'Inputs-Proposals'!$K$31*(1-'Inputs-Proposals'!$K$32)^(AZ$3-'Inputs-System'!$C$7))*(VLOOKUP(AZ$3,DRIPE!$A$54:$I$82,5,FALSE)+VLOOKUP(AZ$3,DRIPE!$A$54:$I$82,9,FALSE))+ ('Inputs-System'!$C$26*'Coincidence Factors'!$B$6*(1+'Inputs-System'!$C$18)*(1+'Inputs-System'!$C$42))*'Inputs-Proposals'!$K$28*VLOOKUP(AZ$3,DRIPE!$A$54:$I$82,8,FALSE), $C57 = "0", 0), 0)</f>
        <v>0</v>
      </c>
      <c r="BC57" s="45">
        <f>IFERROR(_xlfn.IFS($C57="1",('Inputs-System'!$C$26*'Coincidence Factors'!$B$9*(1+'Inputs-System'!$C$18)*(1+'Inputs-System'!$C$42))*'Inputs-Proposals'!$D$16*(VLOOKUP(AZ$3,Capacity!$A$53:$E$85,4,FALSE)*(1+'Inputs-System'!$C$42)+VLOOKUP(AZ$3,Capacity!$A$53:$E$85,5,FALSE)*(1+'Inputs-System'!$C$43)*'Inputs-System'!$C$29), $C57 = "2", ('Inputs-System'!$C$26*'Coincidence Factors'!$B$9*(1+'Inputs-System'!$C$18))*'Inputs-Proposals'!$D$22*(VLOOKUP(AZ$3,Capacity!$A$53:$E$85,4,FALSE)*(1+'Inputs-System'!$C$42)+VLOOKUP(AZ$3,Capacity!$A$53:$E$85,5,FALSE)*'Inputs-System'!$C$29*(1+'Inputs-System'!$C$43)), $C57 = "3", ('Inputs-System'!$C$26*'Coincidence Factors'!$B$9*(1+'Inputs-System'!$C$18))*'Inputs-Proposals'!$D$28*(VLOOKUP(AZ$3,Capacity!$A$53:$E$85,4,FALSE)*(1+'Inputs-System'!$C$42)+VLOOKUP(AZ$3,Capacity!$A$53:$E$85,5,FALSE)*'Inputs-System'!$C$29*(1+'Inputs-System'!$C$43)), $C57 = "0", 0), 0)</f>
        <v>0</v>
      </c>
      <c r="BD57" s="44">
        <v>0</v>
      </c>
      <c r="BE57" s="342">
        <f>IFERROR(_xlfn.IFS($C57="1", 'Inputs-System'!$C$30*'Coincidence Factors'!$B$9*'Inputs-Proposals'!$K$17*'Inputs-Proposals'!$K$19*(VLOOKUP(AZ$3,'Non-Embedded Emissions'!$A$56:$D$90,2,FALSE)-VLOOKUP(AZ$3,'Non-Embedded Emissions'!$F$57:$H$88,2,FALSE)+VLOOKUP(AZ$3,'Non-Embedded Emissions'!$A$143:$D$174,2,FALSE)-VLOOKUP(AZ$3,'Non-Embedded Emissions'!$F$143:$H$174,2,FALSE)+VLOOKUP(AZ$3,'Non-Embedded Emissions'!$A$230:$D$259,2,FALSE)), $C57 = "2", 'Inputs-System'!$C$30*'Coincidence Factors'!$B$9*'Inputs-Proposals'!$K$23*'Inputs-Proposals'!$K$25*(VLOOKUP(AZ$3,'Non-Embedded Emissions'!$A$56:$D$90,2,FALSE)-VLOOKUP(AZ$3,'Non-Embedded Emissions'!$F$57:$H$88,2,FALSE)+VLOOKUP(AZ$3,'Non-Embedded Emissions'!$A$143:$D$174,2,FALSE)-VLOOKUP(AZ$3,'Non-Embedded Emissions'!$F$143:$H$174,2,FALSE)+VLOOKUP(AZ$3,'Non-Embedded Emissions'!$A$230:$D$259,2,FALSE)), $C57 = "3", 'Inputs-System'!$C$30*'Coincidence Factors'!$B$9*'Inputs-Proposals'!$K$29*'Inputs-Proposals'!$K$31*(VLOOKUP(AZ$3,'Non-Embedded Emissions'!$A$56:$D$90,2,FALSE)-VLOOKUP(AZ$3,'Non-Embedded Emissions'!$F$57:$H$88,2,FALSE)+VLOOKUP(AZ$3,'Non-Embedded Emissions'!$A$143:$D$174,2,FALSE)-VLOOKUP(AZ$3,'Non-Embedded Emissions'!$F$143:$H$174,2,FALSE)+VLOOKUP(AZ$3,'Non-Embedded Emissions'!$A$230:$D$259,2,FALSE)), $C57 = "0", 0), 0)</f>
        <v>0</v>
      </c>
      <c r="BF57" s="45">
        <f>IFERROR(_xlfn.IFS($C57="1",('Inputs-System'!$C$30*'Coincidence Factors'!$B$9*(1+'Inputs-System'!$C$18)*(1+'Inputs-System'!$C$41)*('Inputs-Proposals'!$K$17*'Inputs-Proposals'!$K$19*(1-'Inputs-Proposals'!$K$20^(BF$3-'Inputs-System'!$C$7)))*(VLOOKUP(BF$3,Energy!$A$51:$K$83,5,FALSE))), $C57 = "2",('Inputs-System'!$C$30*'Coincidence Factors'!$B$9)*(1+'Inputs-System'!$C$18)*(1+'Inputs-System'!$C$41)*('Inputs-Proposals'!$K$23*'Inputs-Proposals'!$K$25*(1-'Inputs-Proposals'!$K$26^(BF$3-'Inputs-System'!$C$7)))*(VLOOKUP(BF$3,Energy!$A$51:$K$83,5,FALSE)), $C57= "3", ('Inputs-System'!$C$30*'Coincidence Factors'!$B$9*(1+'Inputs-System'!$C$18)*(1+'Inputs-System'!$C$41)*('Inputs-Proposals'!$K$29*'Inputs-Proposals'!$K$31*(1-'Inputs-Proposals'!$K$32^(BF$3-'Inputs-System'!$C$7)))*(VLOOKUP(BF$3,Energy!$A$51:$K$83,5,FALSE))), $C57= "0", 0), 0)</f>
        <v>0</v>
      </c>
      <c r="BG57" s="44">
        <f>IFERROR(_xlfn.IFS($C57="1",('Inputs-System'!$C$30*'Coincidence Factors'!$B$9*(1+'Inputs-System'!$C$18)*(1+'Inputs-System'!$C$41))*'Inputs-Proposals'!$K$17*'Inputs-Proposals'!$K$19*(1-'Inputs-Proposals'!$K$20^(BF$3-'Inputs-System'!$C$7))*(VLOOKUP(BF$3,'Embedded Emissions'!$A$47:$B$78,2,FALSE)+VLOOKUP(BF$3,'Embedded Emissions'!$A$129:$B$158,2,FALSE)), $C57 = "2",('Inputs-System'!$C$30*'Coincidence Factors'!$B$9*(1+'Inputs-System'!$C$18)*(1+'Inputs-System'!$C$41))*'Inputs-Proposals'!$K$23*'Inputs-Proposals'!$K$25*(1-'Inputs-Proposals'!$K$20^(BF$3-'Inputs-System'!$C$7))*(VLOOKUP(BF$3,'Embedded Emissions'!$A$47:$B$78,2,FALSE)+VLOOKUP(BF$3,'Embedded Emissions'!$A$129:$B$158,2,FALSE)), $C57 = "3", ('Inputs-System'!$C$30*'Coincidence Factors'!$B$9*(1+'Inputs-System'!$C$18)*(1+'Inputs-System'!$C$41))*'Inputs-Proposals'!$K$29*'Inputs-Proposals'!$K$31*(1-'Inputs-Proposals'!$K$20^(BF$3-'Inputs-System'!$C$7))*(VLOOKUP(BF$3,'Embedded Emissions'!$A$47:$B$78,2,FALSE)+VLOOKUP(BF$3,'Embedded Emissions'!$A$129:$B$158,2,FALSE)), $C57 = "0", 0), 0)</f>
        <v>0</v>
      </c>
      <c r="BH57" s="44">
        <f>IFERROR(_xlfn.IFS($C57="1",( 'Inputs-System'!$C$30*'Coincidence Factors'!$B$9*(1+'Inputs-System'!$C$18)*(1+'Inputs-System'!$C$41))*('Inputs-Proposals'!$K$17*'Inputs-Proposals'!$K$19*(1-'Inputs-Proposals'!$K$20)^(BF$3-'Inputs-System'!$C$7))*(VLOOKUP(BF$3,DRIPE!$A$54:$I$82,5,FALSE)+VLOOKUP(BF$3,DRIPE!$A$54:$I$82,9,FALSE))+ ('Inputs-System'!$C$26*'Coincidence Factors'!$B$6*(1+'Inputs-System'!$C$18)*(1+'Inputs-System'!$C$42))*'Inputs-Proposals'!$K$16*VLOOKUP(BF$3,DRIPE!$A$54:$I$82,8,FALSE), $C57 = "2",( 'Inputs-System'!$C$30*'Coincidence Factors'!$B$9*(1+'Inputs-System'!$C$18)*(1+'Inputs-System'!$C$41))*('Inputs-Proposals'!$K$23*'Inputs-Proposals'!$K$25*(1-'Inputs-Proposals'!$K$26)^(BF$3-'Inputs-System'!$C$7))*(VLOOKUP(BF$3,DRIPE!$A$54:$I$82,5,FALSE)+VLOOKUP(BF$3,DRIPE!$A$54:$I$82,9,FALSE))+ ('Inputs-System'!$C$26*'Coincidence Factors'!$B$6*(1+'Inputs-System'!$C$18)*(1+'Inputs-System'!$C$42))*'Inputs-Proposals'!$K$22*VLOOKUP(BF$3,DRIPE!$A$54:$I$82,8,FALSE), $C57= "3", ( 'Inputs-System'!$C$30*'Coincidence Factors'!$B$9*(1+'Inputs-System'!$C$18)*(1+'Inputs-System'!$C$41))*('Inputs-Proposals'!$K$29*'Inputs-Proposals'!$K$31*(1-'Inputs-Proposals'!$K$32)^(BF$3-'Inputs-System'!$C$7))*(VLOOKUP(BF$3,DRIPE!$A$54:$I$82,5,FALSE)+VLOOKUP(BF$3,DRIPE!$A$54:$I$82,9,FALSE))+ ('Inputs-System'!$C$26*'Coincidence Factors'!$B$6*(1+'Inputs-System'!$C$18)*(1+'Inputs-System'!$C$42))*'Inputs-Proposals'!$K$28*VLOOKUP(BF$3,DRIPE!$A$54:$I$82,8,FALSE), $C57 = "0", 0), 0)</f>
        <v>0</v>
      </c>
      <c r="BI57" s="45">
        <f>IFERROR(_xlfn.IFS($C57="1",('Inputs-System'!$C$26*'Coincidence Factors'!$B$9*(1+'Inputs-System'!$C$18)*(1+'Inputs-System'!$C$42))*'Inputs-Proposals'!$D$16*(VLOOKUP(BF$3,Capacity!$A$53:$E$85,4,FALSE)*(1+'Inputs-System'!$C$42)+VLOOKUP(BF$3,Capacity!$A$53:$E$85,5,FALSE)*(1+'Inputs-System'!$C$43)*'Inputs-System'!$C$29), $C57 = "2", ('Inputs-System'!$C$26*'Coincidence Factors'!$B$9*(1+'Inputs-System'!$C$18))*'Inputs-Proposals'!$D$22*(VLOOKUP(BF$3,Capacity!$A$53:$E$85,4,FALSE)*(1+'Inputs-System'!$C$42)+VLOOKUP(BF$3,Capacity!$A$53:$E$85,5,FALSE)*'Inputs-System'!$C$29*(1+'Inputs-System'!$C$43)), $C57 = "3", ('Inputs-System'!$C$26*'Coincidence Factors'!$B$9*(1+'Inputs-System'!$C$18))*'Inputs-Proposals'!$D$28*(VLOOKUP(BF$3,Capacity!$A$53:$E$85,4,FALSE)*(1+'Inputs-System'!$C$42)+VLOOKUP(BF$3,Capacity!$A$53:$E$85,5,FALSE)*'Inputs-System'!$C$29*(1+'Inputs-System'!$C$43)), $C57 = "0", 0), 0)</f>
        <v>0</v>
      </c>
      <c r="BJ57" s="44">
        <v>0</v>
      </c>
      <c r="BK57" s="342">
        <f>IFERROR(_xlfn.IFS($C57="1", 'Inputs-System'!$C$30*'Coincidence Factors'!$B$9*'Inputs-Proposals'!$K$17*'Inputs-Proposals'!$K$19*(VLOOKUP(BF$3,'Non-Embedded Emissions'!$A$56:$D$90,2,FALSE)-VLOOKUP(BF$3,'Non-Embedded Emissions'!$F$57:$H$88,2,FALSE)+VLOOKUP(BF$3,'Non-Embedded Emissions'!$A$143:$D$174,2,FALSE)-VLOOKUP(BF$3,'Non-Embedded Emissions'!$F$143:$H$174,2,FALSE)+VLOOKUP(BF$3,'Non-Embedded Emissions'!$A$230:$D$259,2,FALSE)), $C57 = "2", 'Inputs-System'!$C$30*'Coincidence Factors'!$B$9*'Inputs-Proposals'!$K$23*'Inputs-Proposals'!$K$25*(VLOOKUP(BF$3,'Non-Embedded Emissions'!$A$56:$D$90,2,FALSE)-VLOOKUP(BF$3,'Non-Embedded Emissions'!$F$57:$H$88,2,FALSE)+VLOOKUP(BF$3,'Non-Embedded Emissions'!$A$143:$D$174,2,FALSE)-VLOOKUP(BF$3,'Non-Embedded Emissions'!$F$143:$H$174,2,FALSE)+VLOOKUP(BF$3,'Non-Embedded Emissions'!$A$230:$D$259,2,FALSE)), $C57 = "3", 'Inputs-System'!$C$30*'Coincidence Factors'!$B$9*'Inputs-Proposals'!$K$29*'Inputs-Proposals'!$K$31*(VLOOKUP(BF$3,'Non-Embedded Emissions'!$A$56:$D$90,2,FALSE)-VLOOKUP(BF$3,'Non-Embedded Emissions'!$F$57:$H$88,2,FALSE)+VLOOKUP(BF$3,'Non-Embedded Emissions'!$A$143:$D$174,2,FALSE)-VLOOKUP(BF$3,'Non-Embedded Emissions'!$F$143:$H$174,2,FALSE)+VLOOKUP(BF$3,'Non-Embedded Emissions'!$A$230:$D$259,2,FALSE)), $C57 = "0", 0), 0)</f>
        <v>0</v>
      </c>
      <c r="BL57" s="45">
        <f>IFERROR(_xlfn.IFS($C57="1",('Inputs-System'!$C$30*'Coincidence Factors'!$B$9*(1+'Inputs-System'!$C$18)*(1+'Inputs-System'!$C$41)*('Inputs-Proposals'!$K$17*'Inputs-Proposals'!$K$19*(1-'Inputs-Proposals'!$K$20^(BL$3-'Inputs-System'!$C$7)))*(VLOOKUP(BL$3,Energy!$A$51:$K$83,5,FALSE))), $C57 = "2",('Inputs-System'!$C$30*'Coincidence Factors'!$B$9)*(1+'Inputs-System'!$C$18)*(1+'Inputs-System'!$C$41)*('Inputs-Proposals'!$K$23*'Inputs-Proposals'!$K$25*(1-'Inputs-Proposals'!$K$26^(BL$3-'Inputs-System'!$C$7)))*(VLOOKUP(BL$3,Energy!$A$51:$K$83,5,FALSE)), $C57= "3", ('Inputs-System'!$C$30*'Coincidence Factors'!$B$9*(1+'Inputs-System'!$C$18)*(1+'Inputs-System'!$C$41)*('Inputs-Proposals'!$K$29*'Inputs-Proposals'!$K$31*(1-'Inputs-Proposals'!$K$32^(BL$3-'Inputs-System'!$C$7)))*(VLOOKUP(BL$3,Energy!$A$51:$K$83,5,FALSE))), $C57= "0", 0), 0)</f>
        <v>0</v>
      </c>
      <c r="BM57" s="44">
        <f>IFERROR(_xlfn.IFS($C57="1",('Inputs-System'!$C$30*'Coincidence Factors'!$B$9*(1+'Inputs-System'!$C$18)*(1+'Inputs-System'!$C$41))*'Inputs-Proposals'!$K$17*'Inputs-Proposals'!$K$19*(1-'Inputs-Proposals'!$K$20^(BL$3-'Inputs-System'!$C$7))*(VLOOKUP(BL$3,'Embedded Emissions'!$A$47:$B$78,2,FALSE)+VLOOKUP(BL$3,'Embedded Emissions'!$A$129:$B$158,2,FALSE)), $C57 = "2",('Inputs-System'!$C$30*'Coincidence Factors'!$B$9*(1+'Inputs-System'!$C$18)*(1+'Inputs-System'!$C$41))*'Inputs-Proposals'!$K$23*'Inputs-Proposals'!$K$25*(1-'Inputs-Proposals'!$K$20^(BL$3-'Inputs-System'!$C$7))*(VLOOKUP(BL$3,'Embedded Emissions'!$A$47:$B$78,2,FALSE)+VLOOKUP(BL$3,'Embedded Emissions'!$A$129:$B$158,2,FALSE)), $C57 = "3", ('Inputs-System'!$C$30*'Coincidence Factors'!$B$9*(1+'Inputs-System'!$C$18)*(1+'Inputs-System'!$C$41))*'Inputs-Proposals'!$K$29*'Inputs-Proposals'!$K$31*(1-'Inputs-Proposals'!$K$20^(BL$3-'Inputs-System'!$C$7))*(VLOOKUP(BL$3,'Embedded Emissions'!$A$47:$B$78,2,FALSE)+VLOOKUP(BL$3,'Embedded Emissions'!$A$129:$B$158,2,FALSE)), $C57 = "0", 0), 0)</f>
        <v>0</v>
      </c>
      <c r="BN57" s="44">
        <f>IFERROR(_xlfn.IFS($C57="1",( 'Inputs-System'!$C$30*'Coincidence Factors'!$B$9*(1+'Inputs-System'!$C$18)*(1+'Inputs-System'!$C$41))*('Inputs-Proposals'!$K$17*'Inputs-Proposals'!$K$19*(1-'Inputs-Proposals'!$K$20)^(BL$3-'Inputs-System'!$C$7))*(VLOOKUP(BL$3,DRIPE!$A$54:$I$82,5,FALSE)+VLOOKUP(BL$3,DRIPE!$A$54:$I$82,9,FALSE))+ ('Inputs-System'!$C$26*'Coincidence Factors'!$B$6*(1+'Inputs-System'!$C$18)*(1+'Inputs-System'!$C$42))*'Inputs-Proposals'!$K$16*VLOOKUP(BL$3,DRIPE!$A$54:$I$82,8,FALSE), $C57 = "2",( 'Inputs-System'!$C$30*'Coincidence Factors'!$B$9*(1+'Inputs-System'!$C$18)*(1+'Inputs-System'!$C$41))*('Inputs-Proposals'!$K$23*'Inputs-Proposals'!$K$25*(1-'Inputs-Proposals'!$K$26)^(BL$3-'Inputs-System'!$C$7))*(VLOOKUP(BL$3,DRIPE!$A$54:$I$82,5,FALSE)+VLOOKUP(BL$3,DRIPE!$A$54:$I$82,9,FALSE))+ ('Inputs-System'!$C$26*'Coincidence Factors'!$B$6*(1+'Inputs-System'!$C$18)*(1+'Inputs-System'!$C$42))*'Inputs-Proposals'!$K$22*VLOOKUP(BL$3,DRIPE!$A$54:$I$82,8,FALSE), $C57= "3", ( 'Inputs-System'!$C$30*'Coincidence Factors'!$B$9*(1+'Inputs-System'!$C$18)*(1+'Inputs-System'!$C$41))*('Inputs-Proposals'!$K$29*'Inputs-Proposals'!$K$31*(1-'Inputs-Proposals'!$K$32)^(BL$3-'Inputs-System'!$C$7))*(VLOOKUP(BL$3,DRIPE!$A$54:$I$82,5,FALSE)+VLOOKUP(BL$3,DRIPE!$A$54:$I$82,9,FALSE))+ ('Inputs-System'!$C$26*'Coincidence Factors'!$B$6*(1+'Inputs-System'!$C$18)*(1+'Inputs-System'!$C$42))*'Inputs-Proposals'!$K$28*VLOOKUP(BL$3,DRIPE!$A$54:$I$82,8,FALSE), $C57 = "0", 0), 0)</f>
        <v>0</v>
      </c>
      <c r="BO57" s="45">
        <f>IFERROR(_xlfn.IFS($C57="1",('Inputs-System'!$C$26*'Coincidence Factors'!$B$9*(1+'Inputs-System'!$C$18)*(1+'Inputs-System'!$C$42))*'Inputs-Proposals'!$D$16*(VLOOKUP(BL$3,Capacity!$A$53:$E$85,4,FALSE)*(1+'Inputs-System'!$C$42)+VLOOKUP(BL$3,Capacity!$A$53:$E$85,5,FALSE)*(1+'Inputs-System'!$C$43)*'Inputs-System'!$C$29), $C57 = "2", ('Inputs-System'!$C$26*'Coincidence Factors'!$B$9*(1+'Inputs-System'!$C$18))*'Inputs-Proposals'!$D$22*(VLOOKUP(BL$3,Capacity!$A$53:$E$85,4,FALSE)*(1+'Inputs-System'!$C$42)+VLOOKUP(BL$3,Capacity!$A$53:$E$85,5,FALSE)*'Inputs-System'!$C$29*(1+'Inputs-System'!$C$43)), $C57 = "3", ('Inputs-System'!$C$26*'Coincidence Factors'!$B$9*(1+'Inputs-System'!$C$18))*'Inputs-Proposals'!$D$28*(VLOOKUP(BL$3,Capacity!$A$53:$E$85,4,FALSE)*(1+'Inputs-System'!$C$42)+VLOOKUP(BL$3,Capacity!$A$53:$E$85,5,FALSE)*'Inputs-System'!$C$29*(1+'Inputs-System'!$C$43)), $C57 = "0", 0), 0)</f>
        <v>0</v>
      </c>
      <c r="BP57" s="44">
        <v>0</v>
      </c>
      <c r="BQ57" s="342">
        <f>IFERROR(_xlfn.IFS($C57="1", 'Inputs-System'!$C$30*'Coincidence Factors'!$B$9*'Inputs-Proposals'!$K$17*'Inputs-Proposals'!$K$19*(VLOOKUP(BL$3,'Non-Embedded Emissions'!$A$56:$D$90,2,FALSE)-VLOOKUP(BL$3,'Non-Embedded Emissions'!$F$57:$H$88,2,FALSE)+VLOOKUP(BL$3,'Non-Embedded Emissions'!$A$143:$D$174,2,FALSE)-VLOOKUP(BL$3,'Non-Embedded Emissions'!$F$143:$H$174,2,FALSE)+VLOOKUP(BL$3,'Non-Embedded Emissions'!$A$230:$D$259,2,FALSE)), $C57 = "2", 'Inputs-System'!$C$30*'Coincidence Factors'!$B$9*'Inputs-Proposals'!$K$23*'Inputs-Proposals'!$K$25*(VLOOKUP(BL$3,'Non-Embedded Emissions'!$A$56:$D$90,2,FALSE)-VLOOKUP(BL$3,'Non-Embedded Emissions'!$F$57:$H$88,2,FALSE)+VLOOKUP(BL$3,'Non-Embedded Emissions'!$A$143:$D$174,2,FALSE)-VLOOKUP(BL$3,'Non-Embedded Emissions'!$F$143:$H$174,2,FALSE)+VLOOKUP(BL$3,'Non-Embedded Emissions'!$A$230:$D$259,2,FALSE)), $C57 = "3", 'Inputs-System'!$C$30*'Coincidence Factors'!$B$9*'Inputs-Proposals'!$K$29*'Inputs-Proposals'!$K$31*(VLOOKUP(BL$3,'Non-Embedded Emissions'!$A$56:$D$90,2,FALSE)-VLOOKUP(BL$3,'Non-Embedded Emissions'!$F$57:$H$88,2,FALSE)+VLOOKUP(BL$3,'Non-Embedded Emissions'!$A$143:$D$174,2,FALSE)-VLOOKUP(BL$3,'Non-Embedded Emissions'!$F$143:$H$174,2,FALSE)+VLOOKUP(BL$3,'Non-Embedded Emissions'!$A$230:$D$259,2,FALSE)), $C57 = "0", 0), 0)</f>
        <v>0</v>
      </c>
      <c r="BR57" s="45">
        <f>IFERROR(_xlfn.IFS($C57="1",('Inputs-System'!$C$30*'Coincidence Factors'!$B$9*(1+'Inputs-System'!$C$18)*(1+'Inputs-System'!$C$41)*('Inputs-Proposals'!$K$17*'Inputs-Proposals'!$K$19*(1-'Inputs-Proposals'!$K$20^(BR$3-'Inputs-System'!$C$7)))*(VLOOKUP(BR$3,Energy!$A$51:$K$83,5,FALSE))), $C57 = "2",('Inputs-System'!$C$30*'Coincidence Factors'!$B$9)*(1+'Inputs-System'!$C$18)*(1+'Inputs-System'!$C$41)*('Inputs-Proposals'!$K$23*'Inputs-Proposals'!$K$25*(1-'Inputs-Proposals'!$K$26^(BR$3-'Inputs-System'!$C$7)))*(VLOOKUP(BR$3,Energy!$A$51:$K$83,5,FALSE)), $C57= "3", ('Inputs-System'!$C$30*'Coincidence Factors'!$B$9*(1+'Inputs-System'!$C$18)*(1+'Inputs-System'!$C$41)*('Inputs-Proposals'!$K$29*'Inputs-Proposals'!$K$31*(1-'Inputs-Proposals'!$K$32^(BR$3-'Inputs-System'!$C$7)))*(VLOOKUP(BR$3,Energy!$A$51:$K$83,5,FALSE))), $C57= "0", 0), 0)</f>
        <v>0</v>
      </c>
      <c r="BS57" s="44">
        <f>IFERROR(_xlfn.IFS($C57="1",('Inputs-System'!$C$30*'Coincidence Factors'!$B$9*(1+'Inputs-System'!$C$18)*(1+'Inputs-System'!$C$41))*'Inputs-Proposals'!$K$17*'Inputs-Proposals'!$K$19*(1-'Inputs-Proposals'!$K$20^(BR$3-'Inputs-System'!$C$7))*(VLOOKUP(BR$3,'Embedded Emissions'!$A$47:$B$78,2,FALSE)+VLOOKUP(BR$3,'Embedded Emissions'!$A$129:$B$158,2,FALSE)), $C57 = "2",('Inputs-System'!$C$30*'Coincidence Factors'!$B$9*(1+'Inputs-System'!$C$18)*(1+'Inputs-System'!$C$41))*'Inputs-Proposals'!$K$23*'Inputs-Proposals'!$K$25*(1-'Inputs-Proposals'!$K$20^(BR$3-'Inputs-System'!$C$7))*(VLOOKUP(BR$3,'Embedded Emissions'!$A$47:$B$78,2,FALSE)+VLOOKUP(BR$3,'Embedded Emissions'!$A$129:$B$158,2,FALSE)), $C57 = "3", ('Inputs-System'!$C$30*'Coincidence Factors'!$B$9*(1+'Inputs-System'!$C$18)*(1+'Inputs-System'!$C$41))*'Inputs-Proposals'!$K$29*'Inputs-Proposals'!$K$31*(1-'Inputs-Proposals'!$K$20^(BR$3-'Inputs-System'!$C$7))*(VLOOKUP(BR$3,'Embedded Emissions'!$A$47:$B$78,2,FALSE)+VLOOKUP(BR$3,'Embedded Emissions'!$A$129:$B$158,2,FALSE)), $C57 = "0", 0), 0)</f>
        <v>0</v>
      </c>
      <c r="BT57" s="44">
        <f>IFERROR(_xlfn.IFS($C57="1",( 'Inputs-System'!$C$30*'Coincidence Factors'!$B$9*(1+'Inputs-System'!$C$18)*(1+'Inputs-System'!$C$41))*('Inputs-Proposals'!$K$17*'Inputs-Proposals'!$K$19*(1-'Inputs-Proposals'!$K$20)^(BR$3-'Inputs-System'!$C$7))*(VLOOKUP(BR$3,DRIPE!$A$54:$I$82,5,FALSE)+VLOOKUP(BR$3,DRIPE!$A$54:$I$82,9,FALSE))+ ('Inputs-System'!$C$26*'Coincidence Factors'!$B$6*(1+'Inputs-System'!$C$18)*(1+'Inputs-System'!$C$42))*'Inputs-Proposals'!$K$16*VLOOKUP(BR$3,DRIPE!$A$54:$I$82,8,FALSE), $C57 = "2",( 'Inputs-System'!$C$30*'Coincidence Factors'!$B$9*(1+'Inputs-System'!$C$18)*(1+'Inputs-System'!$C$41))*('Inputs-Proposals'!$K$23*'Inputs-Proposals'!$K$25*(1-'Inputs-Proposals'!$K$26)^(BR$3-'Inputs-System'!$C$7))*(VLOOKUP(BR$3,DRIPE!$A$54:$I$82,5,FALSE)+VLOOKUP(BR$3,DRIPE!$A$54:$I$82,9,FALSE))+ ('Inputs-System'!$C$26*'Coincidence Factors'!$B$6*(1+'Inputs-System'!$C$18)*(1+'Inputs-System'!$C$42))*'Inputs-Proposals'!$K$22*VLOOKUP(BR$3,DRIPE!$A$54:$I$82,8,FALSE), $C57= "3", ( 'Inputs-System'!$C$30*'Coincidence Factors'!$B$9*(1+'Inputs-System'!$C$18)*(1+'Inputs-System'!$C$41))*('Inputs-Proposals'!$K$29*'Inputs-Proposals'!$K$31*(1-'Inputs-Proposals'!$K$32)^(BR$3-'Inputs-System'!$C$7))*(VLOOKUP(BR$3,DRIPE!$A$54:$I$82,5,FALSE)+VLOOKUP(BR$3,DRIPE!$A$54:$I$82,9,FALSE))+ ('Inputs-System'!$C$26*'Coincidence Factors'!$B$6*(1+'Inputs-System'!$C$18)*(1+'Inputs-System'!$C$42))*'Inputs-Proposals'!$K$28*VLOOKUP(BR$3,DRIPE!$A$54:$I$82,8,FALSE), $C57 = "0", 0), 0)</f>
        <v>0</v>
      </c>
      <c r="BU57" s="45">
        <f>IFERROR(_xlfn.IFS($C57="1",('Inputs-System'!$C$26*'Coincidence Factors'!$B$9*(1+'Inputs-System'!$C$18)*(1+'Inputs-System'!$C$42))*'Inputs-Proposals'!$D$16*(VLOOKUP(BR$3,Capacity!$A$53:$E$85,4,FALSE)*(1+'Inputs-System'!$C$42)+VLOOKUP(BR$3,Capacity!$A$53:$E$85,5,FALSE)*(1+'Inputs-System'!$C$43)*'Inputs-System'!$C$29), $C57 = "2", ('Inputs-System'!$C$26*'Coincidence Factors'!$B$9*(1+'Inputs-System'!$C$18))*'Inputs-Proposals'!$D$22*(VLOOKUP(BR$3,Capacity!$A$53:$E$85,4,FALSE)*(1+'Inputs-System'!$C$42)+VLOOKUP(BR$3,Capacity!$A$53:$E$85,5,FALSE)*'Inputs-System'!$C$29*(1+'Inputs-System'!$C$43)), $C57 = "3", ('Inputs-System'!$C$26*'Coincidence Factors'!$B$9*(1+'Inputs-System'!$C$18))*'Inputs-Proposals'!$D$28*(VLOOKUP(BR$3,Capacity!$A$53:$E$85,4,FALSE)*(1+'Inputs-System'!$C$42)+VLOOKUP(BR$3,Capacity!$A$53:$E$85,5,FALSE)*'Inputs-System'!$C$29*(1+'Inputs-System'!$C$43)), $C57 = "0", 0), 0)</f>
        <v>0</v>
      </c>
      <c r="BV57" s="44">
        <v>0</v>
      </c>
      <c r="BW57" s="342">
        <f>IFERROR(_xlfn.IFS($C57="1", 'Inputs-System'!$C$30*'Coincidence Factors'!$B$9*'Inputs-Proposals'!$K$17*'Inputs-Proposals'!$K$19*(VLOOKUP(BR$3,'Non-Embedded Emissions'!$A$56:$D$90,2,FALSE)-VLOOKUP(BR$3,'Non-Embedded Emissions'!$F$57:$H$88,2,FALSE)+VLOOKUP(BR$3,'Non-Embedded Emissions'!$A$143:$D$174,2,FALSE)-VLOOKUP(BR$3,'Non-Embedded Emissions'!$F$143:$H$174,2,FALSE)+VLOOKUP(BR$3,'Non-Embedded Emissions'!$A$230:$D$259,2,FALSE)), $C57 = "2", 'Inputs-System'!$C$30*'Coincidence Factors'!$B$9*'Inputs-Proposals'!$K$23*'Inputs-Proposals'!$K$25*(VLOOKUP(BR$3,'Non-Embedded Emissions'!$A$56:$D$90,2,FALSE)-VLOOKUP(BR$3,'Non-Embedded Emissions'!$F$57:$H$88,2,FALSE)+VLOOKUP(BR$3,'Non-Embedded Emissions'!$A$143:$D$174,2,FALSE)-VLOOKUP(BR$3,'Non-Embedded Emissions'!$F$143:$H$174,2,FALSE)+VLOOKUP(BR$3,'Non-Embedded Emissions'!$A$230:$D$259,2,FALSE)), $C57 = "3", 'Inputs-System'!$C$30*'Coincidence Factors'!$B$9*'Inputs-Proposals'!$K$29*'Inputs-Proposals'!$K$31*(VLOOKUP(BR$3,'Non-Embedded Emissions'!$A$56:$D$90,2,FALSE)-VLOOKUP(BR$3,'Non-Embedded Emissions'!$F$57:$H$88,2,FALSE)+VLOOKUP(BR$3,'Non-Embedded Emissions'!$A$143:$D$174,2,FALSE)-VLOOKUP(BR$3,'Non-Embedded Emissions'!$F$143:$H$174,2,FALSE)+VLOOKUP(BR$3,'Non-Embedded Emissions'!$A$230:$D$259,2,FALSE)), $C57 = "0", 0), 0)</f>
        <v>0</v>
      </c>
      <c r="BX57" s="45">
        <f>IFERROR(_xlfn.IFS($C57="1",('Inputs-System'!$C$30*'Coincidence Factors'!$B$9*(1+'Inputs-System'!$C$18)*(1+'Inputs-System'!$C$41)*('Inputs-Proposals'!$K$17*'Inputs-Proposals'!$K$19*(1-'Inputs-Proposals'!$K$20^(BX$3-'Inputs-System'!$C$7)))*(VLOOKUP(BX$3,Energy!$A$51:$K$83,5,FALSE))), $C57 = "2",('Inputs-System'!$C$30*'Coincidence Factors'!$B$9)*(1+'Inputs-System'!$C$18)*(1+'Inputs-System'!$C$41)*('Inputs-Proposals'!$K$23*'Inputs-Proposals'!$K$25*(1-'Inputs-Proposals'!$K$26^(BX$3-'Inputs-System'!$C$7)))*(VLOOKUP(BX$3,Energy!$A$51:$K$83,5,FALSE)), $C57= "3", ('Inputs-System'!$C$30*'Coincidence Factors'!$B$9*(1+'Inputs-System'!$C$18)*(1+'Inputs-System'!$C$41)*('Inputs-Proposals'!$K$29*'Inputs-Proposals'!$K$31*(1-'Inputs-Proposals'!$K$32^(BX$3-'Inputs-System'!$C$7)))*(VLOOKUP(BX$3,Energy!$A$51:$K$83,5,FALSE))), $C57= "0", 0), 0)</f>
        <v>0</v>
      </c>
      <c r="BY57" s="44">
        <f>IFERROR(_xlfn.IFS($C57="1",('Inputs-System'!$C$30*'Coincidence Factors'!$B$9*(1+'Inputs-System'!$C$18)*(1+'Inputs-System'!$C$41))*'Inputs-Proposals'!$K$17*'Inputs-Proposals'!$K$19*(1-'Inputs-Proposals'!$K$20^(BX$3-'Inputs-System'!$C$7))*(VLOOKUP(BX$3,'Embedded Emissions'!$A$47:$B$78,2,FALSE)+VLOOKUP(BX$3,'Embedded Emissions'!$A$129:$B$158,2,FALSE)), $C57 = "2",('Inputs-System'!$C$30*'Coincidence Factors'!$B$9*(1+'Inputs-System'!$C$18)*(1+'Inputs-System'!$C$41))*'Inputs-Proposals'!$K$23*'Inputs-Proposals'!$K$25*(1-'Inputs-Proposals'!$K$20^(BX$3-'Inputs-System'!$C$7))*(VLOOKUP(BX$3,'Embedded Emissions'!$A$47:$B$78,2,FALSE)+VLOOKUP(BX$3,'Embedded Emissions'!$A$129:$B$158,2,FALSE)), $C57 = "3", ('Inputs-System'!$C$30*'Coincidence Factors'!$B$9*(1+'Inputs-System'!$C$18)*(1+'Inputs-System'!$C$41))*'Inputs-Proposals'!$K$29*'Inputs-Proposals'!$K$31*(1-'Inputs-Proposals'!$K$20^(BX$3-'Inputs-System'!$C$7))*(VLOOKUP(BX$3,'Embedded Emissions'!$A$47:$B$78,2,FALSE)+VLOOKUP(BX$3,'Embedded Emissions'!$A$129:$B$158,2,FALSE)), $C57 = "0", 0), 0)</f>
        <v>0</v>
      </c>
      <c r="BZ57" s="44">
        <f>IFERROR(_xlfn.IFS($C57="1",( 'Inputs-System'!$C$30*'Coincidence Factors'!$B$9*(1+'Inputs-System'!$C$18)*(1+'Inputs-System'!$C$41))*('Inputs-Proposals'!$K$17*'Inputs-Proposals'!$K$19*(1-'Inputs-Proposals'!$K$20)^(BX$3-'Inputs-System'!$C$7))*(VLOOKUP(BX$3,DRIPE!$A$54:$I$82,5,FALSE)+VLOOKUP(BX$3,DRIPE!$A$54:$I$82,9,FALSE))+ ('Inputs-System'!$C$26*'Coincidence Factors'!$B$6*(1+'Inputs-System'!$C$18)*(1+'Inputs-System'!$C$42))*'Inputs-Proposals'!$K$16*VLOOKUP(BX$3,DRIPE!$A$54:$I$82,8,FALSE), $C57 = "2",( 'Inputs-System'!$C$30*'Coincidence Factors'!$B$9*(1+'Inputs-System'!$C$18)*(1+'Inputs-System'!$C$41))*('Inputs-Proposals'!$K$23*'Inputs-Proposals'!$K$25*(1-'Inputs-Proposals'!$K$26)^(BX$3-'Inputs-System'!$C$7))*(VLOOKUP(BX$3,DRIPE!$A$54:$I$82,5,FALSE)+VLOOKUP(BX$3,DRIPE!$A$54:$I$82,9,FALSE))+ ('Inputs-System'!$C$26*'Coincidence Factors'!$B$6*(1+'Inputs-System'!$C$18)*(1+'Inputs-System'!$C$42))*'Inputs-Proposals'!$K$22*VLOOKUP(BX$3,DRIPE!$A$54:$I$82,8,FALSE), $C57= "3", ( 'Inputs-System'!$C$30*'Coincidence Factors'!$B$9*(1+'Inputs-System'!$C$18)*(1+'Inputs-System'!$C$41))*('Inputs-Proposals'!$K$29*'Inputs-Proposals'!$K$31*(1-'Inputs-Proposals'!$K$32)^(BX$3-'Inputs-System'!$C$7))*(VLOOKUP(BX$3,DRIPE!$A$54:$I$82,5,FALSE)+VLOOKUP(BX$3,DRIPE!$A$54:$I$82,9,FALSE))+ ('Inputs-System'!$C$26*'Coincidence Factors'!$B$6*(1+'Inputs-System'!$C$18)*(1+'Inputs-System'!$C$42))*'Inputs-Proposals'!$K$28*VLOOKUP(BX$3,DRIPE!$A$54:$I$82,8,FALSE), $C57 = "0", 0), 0)</f>
        <v>0</v>
      </c>
      <c r="CA57" s="45">
        <f>IFERROR(_xlfn.IFS($C57="1",('Inputs-System'!$C$26*'Coincidence Factors'!$B$9*(1+'Inputs-System'!$C$18)*(1+'Inputs-System'!$C$42))*'Inputs-Proposals'!$D$16*(VLOOKUP(BX$3,Capacity!$A$53:$E$85,4,FALSE)*(1+'Inputs-System'!$C$42)+VLOOKUP(BX$3,Capacity!$A$53:$E$85,5,FALSE)*(1+'Inputs-System'!$C$43)*'Inputs-System'!$C$29), $C57 = "2", ('Inputs-System'!$C$26*'Coincidence Factors'!$B$9*(1+'Inputs-System'!$C$18))*'Inputs-Proposals'!$D$22*(VLOOKUP(BX$3,Capacity!$A$53:$E$85,4,FALSE)*(1+'Inputs-System'!$C$42)+VLOOKUP(BX$3,Capacity!$A$53:$E$85,5,FALSE)*'Inputs-System'!$C$29*(1+'Inputs-System'!$C$43)), $C57 = "3", ('Inputs-System'!$C$26*'Coincidence Factors'!$B$9*(1+'Inputs-System'!$C$18))*'Inputs-Proposals'!$D$28*(VLOOKUP(BX$3,Capacity!$A$53:$E$85,4,FALSE)*(1+'Inputs-System'!$C$42)+VLOOKUP(BX$3,Capacity!$A$53:$E$85,5,FALSE)*'Inputs-System'!$C$29*(1+'Inputs-System'!$C$43)), $C57 = "0", 0), 0)</f>
        <v>0</v>
      </c>
      <c r="CB57" s="44">
        <v>0</v>
      </c>
      <c r="CC57" s="342">
        <f>IFERROR(_xlfn.IFS($C57="1", 'Inputs-System'!$C$30*'Coincidence Factors'!$B$9*'Inputs-Proposals'!$K$17*'Inputs-Proposals'!$K$19*(VLOOKUP(BX$3,'Non-Embedded Emissions'!$A$56:$D$90,2,FALSE)-VLOOKUP(BX$3,'Non-Embedded Emissions'!$F$57:$H$88,2,FALSE)+VLOOKUP(BX$3,'Non-Embedded Emissions'!$A$143:$D$174,2,FALSE)-VLOOKUP(BX$3,'Non-Embedded Emissions'!$F$143:$H$174,2,FALSE)+VLOOKUP(BX$3,'Non-Embedded Emissions'!$A$230:$D$259,2,FALSE)), $C57 = "2", 'Inputs-System'!$C$30*'Coincidence Factors'!$B$9*'Inputs-Proposals'!$K$23*'Inputs-Proposals'!$K$25*(VLOOKUP(BX$3,'Non-Embedded Emissions'!$A$56:$D$90,2,FALSE)-VLOOKUP(BX$3,'Non-Embedded Emissions'!$F$57:$H$88,2,FALSE)+VLOOKUP(BX$3,'Non-Embedded Emissions'!$A$143:$D$174,2,FALSE)-VLOOKUP(BX$3,'Non-Embedded Emissions'!$F$143:$H$174,2,FALSE)+VLOOKUP(BX$3,'Non-Embedded Emissions'!$A$230:$D$259,2,FALSE)), $C57 = "3", 'Inputs-System'!$C$30*'Coincidence Factors'!$B$9*'Inputs-Proposals'!$K$29*'Inputs-Proposals'!$K$31*(VLOOKUP(BX$3,'Non-Embedded Emissions'!$A$56:$D$90,2,FALSE)-VLOOKUP(BX$3,'Non-Embedded Emissions'!$F$57:$H$88,2,FALSE)+VLOOKUP(BX$3,'Non-Embedded Emissions'!$A$143:$D$174,2,FALSE)-VLOOKUP(BX$3,'Non-Embedded Emissions'!$F$143:$H$174,2,FALSE)+VLOOKUP(BX$3,'Non-Embedded Emissions'!$A$230:$D$259,2,FALSE)), $C57 = "0", 0), 0)</f>
        <v>0</v>
      </c>
      <c r="CD57" s="45">
        <f>IFERROR(_xlfn.IFS($C57="1",('Inputs-System'!$C$30*'Coincidence Factors'!$B$9*(1+'Inputs-System'!$C$18)*(1+'Inputs-System'!$C$41)*('Inputs-Proposals'!$K$17*'Inputs-Proposals'!$K$19*(1-'Inputs-Proposals'!$K$20^(CD$3-'Inputs-System'!$C$7)))*(VLOOKUP(CD$3,Energy!$A$51:$K$83,5,FALSE))), $C57 = "2",('Inputs-System'!$C$30*'Coincidence Factors'!$B$9)*(1+'Inputs-System'!$C$18)*(1+'Inputs-System'!$C$41)*('Inputs-Proposals'!$K$23*'Inputs-Proposals'!$K$25*(1-'Inputs-Proposals'!$K$26^(CD$3-'Inputs-System'!$C$7)))*(VLOOKUP(CD$3,Energy!$A$51:$K$83,5,FALSE)), $C57= "3", ('Inputs-System'!$C$30*'Coincidence Factors'!$B$9*(1+'Inputs-System'!$C$18)*(1+'Inputs-System'!$C$41)*('Inputs-Proposals'!$K$29*'Inputs-Proposals'!$K$31*(1-'Inputs-Proposals'!$K$32^(CD$3-'Inputs-System'!$C$7)))*(VLOOKUP(CD$3,Energy!$A$51:$K$83,5,FALSE))), $C57= "0", 0), 0)</f>
        <v>0</v>
      </c>
      <c r="CE57" s="44">
        <f>IFERROR(_xlfn.IFS($C57="1",('Inputs-System'!$C$30*'Coincidence Factors'!$B$9*(1+'Inputs-System'!$C$18)*(1+'Inputs-System'!$C$41))*'Inputs-Proposals'!$K$17*'Inputs-Proposals'!$K$19*(1-'Inputs-Proposals'!$K$20^(CD$3-'Inputs-System'!$C$7))*(VLOOKUP(CD$3,'Embedded Emissions'!$A$47:$B$78,2,FALSE)+VLOOKUP(CD$3,'Embedded Emissions'!$A$129:$B$158,2,FALSE)), $C57 = "2",('Inputs-System'!$C$30*'Coincidence Factors'!$B$9*(1+'Inputs-System'!$C$18)*(1+'Inputs-System'!$C$41))*'Inputs-Proposals'!$K$23*'Inputs-Proposals'!$K$25*(1-'Inputs-Proposals'!$K$20^(CD$3-'Inputs-System'!$C$7))*(VLOOKUP(CD$3,'Embedded Emissions'!$A$47:$B$78,2,FALSE)+VLOOKUP(CD$3,'Embedded Emissions'!$A$129:$B$158,2,FALSE)), $C57 = "3", ('Inputs-System'!$C$30*'Coincidence Factors'!$B$9*(1+'Inputs-System'!$C$18)*(1+'Inputs-System'!$C$41))*'Inputs-Proposals'!$K$29*'Inputs-Proposals'!$K$31*(1-'Inputs-Proposals'!$K$20^(CD$3-'Inputs-System'!$C$7))*(VLOOKUP(CD$3,'Embedded Emissions'!$A$47:$B$78,2,FALSE)+VLOOKUP(CD$3,'Embedded Emissions'!$A$129:$B$158,2,FALSE)), $C57 = "0", 0), 0)</f>
        <v>0</v>
      </c>
      <c r="CF57" s="44">
        <f>IFERROR(_xlfn.IFS($C57="1",( 'Inputs-System'!$C$30*'Coincidence Factors'!$B$9*(1+'Inputs-System'!$C$18)*(1+'Inputs-System'!$C$41))*('Inputs-Proposals'!$K$17*'Inputs-Proposals'!$K$19*(1-'Inputs-Proposals'!$K$20)^(CD$3-'Inputs-System'!$C$7))*(VLOOKUP(CD$3,DRIPE!$A$54:$I$82,5,FALSE)+VLOOKUP(CD$3,DRIPE!$A$54:$I$82,9,FALSE))+ ('Inputs-System'!$C$26*'Coincidence Factors'!$B$6*(1+'Inputs-System'!$C$18)*(1+'Inputs-System'!$C$42))*'Inputs-Proposals'!$K$16*VLOOKUP(CD$3,DRIPE!$A$54:$I$82,8,FALSE), $C57 = "2",( 'Inputs-System'!$C$30*'Coincidence Factors'!$B$9*(1+'Inputs-System'!$C$18)*(1+'Inputs-System'!$C$41))*('Inputs-Proposals'!$K$23*'Inputs-Proposals'!$K$25*(1-'Inputs-Proposals'!$K$26)^(CD$3-'Inputs-System'!$C$7))*(VLOOKUP(CD$3,DRIPE!$A$54:$I$82,5,FALSE)+VLOOKUP(CD$3,DRIPE!$A$54:$I$82,9,FALSE))+ ('Inputs-System'!$C$26*'Coincidence Factors'!$B$6*(1+'Inputs-System'!$C$18)*(1+'Inputs-System'!$C$42))*'Inputs-Proposals'!$K$22*VLOOKUP(CD$3,DRIPE!$A$54:$I$82,8,FALSE), $C57= "3", ( 'Inputs-System'!$C$30*'Coincidence Factors'!$B$9*(1+'Inputs-System'!$C$18)*(1+'Inputs-System'!$C$41))*('Inputs-Proposals'!$K$29*'Inputs-Proposals'!$K$31*(1-'Inputs-Proposals'!$K$32)^(CD$3-'Inputs-System'!$C$7))*(VLOOKUP(CD$3,DRIPE!$A$54:$I$82,5,FALSE)+VLOOKUP(CD$3,DRIPE!$A$54:$I$82,9,FALSE))+ ('Inputs-System'!$C$26*'Coincidence Factors'!$B$6*(1+'Inputs-System'!$C$18)*(1+'Inputs-System'!$C$42))*'Inputs-Proposals'!$K$28*VLOOKUP(CD$3,DRIPE!$A$54:$I$82,8,FALSE), $C57 = "0", 0), 0)</f>
        <v>0</v>
      </c>
      <c r="CG57" s="45">
        <f>IFERROR(_xlfn.IFS($C57="1",('Inputs-System'!$C$26*'Coincidence Factors'!$B$9*(1+'Inputs-System'!$C$18)*(1+'Inputs-System'!$C$42))*'Inputs-Proposals'!$D$16*(VLOOKUP(CD$3,Capacity!$A$53:$E$85,4,FALSE)*(1+'Inputs-System'!$C$42)+VLOOKUP(CD$3,Capacity!$A$53:$E$85,5,FALSE)*(1+'Inputs-System'!$C$43)*'Inputs-System'!$C$29), $C57 = "2", ('Inputs-System'!$C$26*'Coincidence Factors'!$B$9*(1+'Inputs-System'!$C$18))*'Inputs-Proposals'!$D$22*(VLOOKUP(CD$3,Capacity!$A$53:$E$85,4,FALSE)*(1+'Inputs-System'!$C$42)+VLOOKUP(CD$3,Capacity!$A$53:$E$85,5,FALSE)*'Inputs-System'!$C$29*(1+'Inputs-System'!$C$43)), $C57 = "3", ('Inputs-System'!$C$26*'Coincidence Factors'!$B$9*(1+'Inputs-System'!$C$18))*'Inputs-Proposals'!$D$28*(VLOOKUP(CD$3,Capacity!$A$53:$E$85,4,FALSE)*(1+'Inputs-System'!$C$42)+VLOOKUP(CD$3,Capacity!$A$53:$E$85,5,FALSE)*'Inputs-System'!$C$29*(1+'Inputs-System'!$C$43)), $C57 = "0", 0), 0)</f>
        <v>0</v>
      </c>
      <c r="CH57" s="44">
        <v>0</v>
      </c>
      <c r="CI57" s="342">
        <f>IFERROR(_xlfn.IFS($C57="1", 'Inputs-System'!$C$30*'Coincidence Factors'!$B$9*'Inputs-Proposals'!$K$17*'Inputs-Proposals'!$K$19*(VLOOKUP(CD$3,'Non-Embedded Emissions'!$A$56:$D$90,2,FALSE)-VLOOKUP(CD$3,'Non-Embedded Emissions'!$F$57:$H$88,2,FALSE)+VLOOKUP(CD$3,'Non-Embedded Emissions'!$A$143:$D$174,2,FALSE)-VLOOKUP(CD$3,'Non-Embedded Emissions'!$F$143:$H$174,2,FALSE)+VLOOKUP(CD$3,'Non-Embedded Emissions'!$A$230:$D$259,2,FALSE)), $C57 = "2", 'Inputs-System'!$C$30*'Coincidence Factors'!$B$9*'Inputs-Proposals'!$K$23*'Inputs-Proposals'!$K$25*(VLOOKUP(CD$3,'Non-Embedded Emissions'!$A$56:$D$90,2,FALSE)-VLOOKUP(CD$3,'Non-Embedded Emissions'!$F$57:$H$88,2,FALSE)+VLOOKUP(CD$3,'Non-Embedded Emissions'!$A$143:$D$174,2,FALSE)-VLOOKUP(CD$3,'Non-Embedded Emissions'!$F$143:$H$174,2,FALSE)+VLOOKUP(CD$3,'Non-Embedded Emissions'!$A$230:$D$259,2,FALSE)), $C57 = "3", 'Inputs-System'!$C$30*'Coincidence Factors'!$B$9*'Inputs-Proposals'!$K$29*'Inputs-Proposals'!$K$31*(VLOOKUP(CD$3,'Non-Embedded Emissions'!$A$56:$D$90,2,FALSE)-VLOOKUP(CD$3,'Non-Embedded Emissions'!$F$57:$H$88,2,FALSE)+VLOOKUP(CD$3,'Non-Embedded Emissions'!$A$143:$D$174,2,FALSE)-VLOOKUP(CD$3,'Non-Embedded Emissions'!$F$143:$H$174,2,FALSE)+VLOOKUP(CD$3,'Non-Embedded Emissions'!$A$230:$D$259,2,FALSE)), $C57 = "0", 0), 0)</f>
        <v>0</v>
      </c>
      <c r="CJ57" s="45">
        <f>IFERROR(_xlfn.IFS($C57="1",('Inputs-System'!$C$30*'Coincidence Factors'!$B$9*(1+'Inputs-System'!$C$18)*(1+'Inputs-System'!$C$41)*('Inputs-Proposals'!$K$17*'Inputs-Proposals'!$K$19*(1-'Inputs-Proposals'!$K$20^(CJ$3-'Inputs-System'!$C$7)))*(VLOOKUP(CJ$3,Energy!$A$51:$K$83,5,FALSE))), $C57 = "2",('Inputs-System'!$C$30*'Coincidence Factors'!$B$9)*(1+'Inputs-System'!$C$18)*(1+'Inputs-System'!$C$41)*('Inputs-Proposals'!$K$23*'Inputs-Proposals'!$K$25*(1-'Inputs-Proposals'!$K$26^(CJ$3-'Inputs-System'!$C$7)))*(VLOOKUP(CJ$3,Energy!$A$51:$K$83,5,FALSE)), $C57= "3", ('Inputs-System'!$C$30*'Coincidence Factors'!$B$9*(1+'Inputs-System'!$C$18)*(1+'Inputs-System'!$C$41)*('Inputs-Proposals'!$K$29*'Inputs-Proposals'!$K$31*(1-'Inputs-Proposals'!$K$32^(CJ$3-'Inputs-System'!$C$7)))*(VLOOKUP(CJ$3,Energy!$A$51:$K$83,5,FALSE))), $C57= "0", 0), 0)</f>
        <v>0</v>
      </c>
      <c r="CK57" s="44">
        <f>IFERROR(_xlfn.IFS($C57="1",('Inputs-System'!$C$30*'Coincidence Factors'!$B$9*(1+'Inputs-System'!$C$18)*(1+'Inputs-System'!$C$41))*'Inputs-Proposals'!$K$17*'Inputs-Proposals'!$K$19*(1-'Inputs-Proposals'!$K$20^(CJ$3-'Inputs-System'!$C$7))*(VLOOKUP(CJ$3,'Embedded Emissions'!$A$47:$B$78,2,FALSE)+VLOOKUP(CJ$3,'Embedded Emissions'!$A$129:$B$158,2,FALSE)), $C57 = "2",('Inputs-System'!$C$30*'Coincidence Factors'!$B$9*(1+'Inputs-System'!$C$18)*(1+'Inputs-System'!$C$41))*'Inputs-Proposals'!$K$23*'Inputs-Proposals'!$K$25*(1-'Inputs-Proposals'!$K$20^(CJ$3-'Inputs-System'!$C$7))*(VLOOKUP(CJ$3,'Embedded Emissions'!$A$47:$B$78,2,FALSE)+VLOOKUP(CJ$3,'Embedded Emissions'!$A$129:$B$158,2,FALSE)), $C57 = "3", ('Inputs-System'!$C$30*'Coincidence Factors'!$B$9*(1+'Inputs-System'!$C$18)*(1+'Inputs-System'!$C$41))*'Inputs-Proposals'!$K$29*'Inputs-Proposals'!$K$31*(1-'Inputs-Proposals'!$K$20^(CJ$3-'Inputs-System'!$C$7))*(VLOOKUP(CJ$3,'Embedded Emissions'!$A$47:$B$78,2,FALSE)+VLOOKUP(CJ$3,'Embedded Emissions'!$A$129:$B$158,2,FALSE)), $C57 = "0", 0), 0)</f>
        <v>0</v>
      </c>
      <c r="CL57" s="44">
        <f>IFERROR(_xlfn.IFS($C57="1",( 'Inputs-System'!$C$30*'Coincidence Factors'!$B$9*(1+'Inputs-System'!$C$18)*(1+'Inputs-System'!$C$41))*('Inputs-Proposals'!$K$17*'Inputs-Proposals'!$K$19*(1-'Inputs-Proposals'!$K$20)^(CJ$3-'Inputs-System'!$C$7))*(VLOOKUP(CJ$3,DRIPE!$A$54:$I$82,5,FALSE)+VLOOKUP(CJ$3,DRIPE!$A$54:$I$82,9,FALSE))+ ('Inputs-System'!$C$26*'Coincidence Factors'!$B$6*(1+'Inputs-System'!$C$18)*(1+'Inputs-System'!$C$42))*'Inputs-Proposals'!$K$16*VLOOKUP(CJ$3,DRIPE!$A$54:$I$82,8,FALSE), $C57 = "2",( 'Inputs-System'!$C$30*'Coincidence Factors'!$B$9*(1+'Inputs-System'!$C$18)*(1+'Inputs-System'!$C$41))*('Inputs-Proposals'!$K$23*'Inputs-Proposals'!$K$25*(1-'Inputs-Proposals'!$K$26)^(CJ$3-'Inputs-System'!$C$7))*(VLOOKUP(CJ$3,DRIPE!$A$54:$I$82,5,FALSE)+VLOOKUP(CJ$3,DRIPE!$A$54:$I$82,9,FALSE))+ ('Inputs-System'!$C$26*'Coincidence Factors'!$B$6*(1+'Inputs-System'!$C$18)*(1+'Inputs-System'!$C$42))*'Inputs-Proposals'!$K$22*VLOOKUP(CJ$3,DRIPE!$A$54:$I$82,8,FALSE), $C57= "3", ( 'Inputs-System'!$C$30*'Coincidence Factors'!$B$9*(1+'Inputs-System'!$C$18)*(1+'Inputs-System'!$C$41))*('Inputs-Proposals'!$K$29*'Inputs-Proposals'!$K$31*(1-'Inputs-Proposals'!$K$32)^(CJ$3-'Inputs-System'!$C$7))*(VLOOKUP(CJ$3,DRIPE!$A$54:$I$82,5,FALSE)+VLOOKUP(CJ$3,DRIPE!$A$54:$I$82,9,FALSE))+ ('Inputs-System'!$C$26*'Coincidence Factors'!$B$6*(1+'Inputs-System'!$C$18)*(1+'Inputs-System'!$C$42))*'Inputs-Proposals'!$K$28*VLOOKUP(CJ$3,DRIPE!$A$54:$I$82,8,FALSE), $C57 = "0", 0), 0)</f>
        <v>0</v>
      </c>
      <c r="CM57" s="45">
        <f>IFERROR(_xlfn.IFS($C57="1",('Inputs-System'!$C$26*'Coincidence Factors'!$B$9*(1+'Inputs-System'!$C$18)*(1+'Inputs-System'!$C$42))*'Inputs-Proposals'!$D$16*(VLOOKUP(CJ$3,Capacity!$A$53:$E$85,4,FALSE)*(1+'Inputs-System'!$C$42)+VLOOKUP(CJ$3,Capacity!$A$53:$E$85,5,FALSE)*(1+'Inputs-System'!$C$43)*'Inputs-System'!$C$29), $C57 = "2", ('Inputs-System'!$C$26*'Coincidence Factors'!$B$9*(1+'Inputs-System'!$C$18))*'Inputs-Proposals'!$D$22*(VLOOKUP(CJ$3,Capacity!$A$53:$E$85,4,FALSE)*(1+'Inputs-System'!$C$42)+VLOOKUP(CJ$3,Capacity!$A$53:$E$85,5,FALSE)*'Inputs-System'!$C$29*(1+'Inputs-System'!$C$43)), $C57 = "3", ('Inputs-System'!$C$26*'Coincidence Factors'!$B$9*(1+'Inputs-System'!$C$18))*'Inputs-Proposals'!$D$28*(VLOOKUP(CJ$3,Capacity!$A$53:$E$85,4,FALSE)*(1+'Inputs-System'!$C$42)+VLOOKUP(CJ$3,Capacity!$A$53:$E$85,5,FALSE)*'Inputs-System'!$C$29*(1+'Inputs-System'!$C$43)), $C57 = "0", 0), 0)</f>
        <v>0</v>
      </c>
      <c r="CN57" s="44">
        <v>0</v>
      </c>
      <c r="CO57" s="342">
        <f>IFERROR(_xlfn.IFS($C57="1", 'Inputs-System'!$C$30*'Coincidence Factors'!$B$9*'Inputs-Proposals'!$K$17*'Inputs-Proposals'!$K$19*(VLOOKUP(CJ$3,'Non-Embedded Emissions'!$A$56:$D$90,2,FALSE)-VLOOKUP(CJ$3,'Non-Embedded Emissions'!$F$57:$H$88,2,FALSE)+VLOOKUP(CJ$3,'Non-Embedded Emissions'!$A$143:$D$174,2,FALSE)-VLOOKUP(CJ$3,'Non-Embedded Emissions'!$F$143:$H$174,2,FALSE)+VLOOKUP(CJ$3,'Non-Embedded Emissions'!$A$230:$D$259,2,FALSE)), $C57 = "2", 'Inputs-System'!$C$30*'Coincidence Factors'!$B$9*'Inputs-Proposals'!$K$23*'Inputs-Proposals'!$K$25*(VLOOKUP(CJ$3,'Non-Embedded Emissions'!$A$56:$D$90,2,FALSE)-VLOOKUP(CJ$3,'Non-Embedded Emissions'!$F$57:$H$88,2,FALSE)+VLOOKUP(CJ$3,'Non-Embedded Emissions'!$A$143:$D$174,2,FALSE)-VLOOKUP(CJ$3,'Non-Embedded Emissions'!$F$143:$H$174,2,FALSE)+VLOOKUP(CJ$3,'Non-Embedded Emissions'!$A$230:$D$259,2,FALSE)), $C57 = "3", 'Inputs-System'!$C$30*'Coincidence Factors'!$B$9*'Inputs-Proposals'!$K$29*'Inputs-Proposals'!$K$31*(VLOOKUP(CJ$3,'Non-Embedded Emissions'!$A$56:$D$90,2,FALSE)-VLOOKUP(CJ$3,'Non-Embedded Emissions'!$F$57:$H$88,2,FALSE)+VLOOKUP(CJ$3,'Non-Embedded Emissions'!$A$143:$D$174,2,FALSE)-VLOOKUP(CJ$3,'Non-Embedded Emissions'!$F$143:$H$174,2,FALSE)+VLOOKUP(CJ$3,'Non-Embedded Emissions'!$A$230:$D$259,2,FALSE)), $C57 = "0", 0), 0)</f>
        <v>0</v>
      </c>
      <c r="CP57" s="45">
        <f>IFERROR(_xlfn.IFS($C57="1",('Inputs-System'!$C$30*'Coincidence Factors'!$B$9*(1+'Inputs-System'!$C$18)*(1+'Inputs-System'!$C$41)*('Inputs-Proposals'!$K$17*'Inputs-Proposals'!$K$19*(1-'Inputs-Proposals'!$K$20^(CP$3-'Inputs-System'!$C$7)))*(VLOOKUP(CP$3,Energy!$A$51:$K$83,5,FALSE))), $C57 = "2",('Inputs-System'!$C$30*'Coincidence Factors'!$B$9)*(1+'Inputs-System'!$C$18)*(1+'Inputs-System'!$C$41)*('Inputs-Proposals'!$K$23*'Inputs-Proposals'!$K$25*(1-'Inputs-Proposals'!$K$26^(CP$3-'Inputs-System'!$C$7)))*(VLOOKUP(CP$3,Energy!$A$51:$K$83,5,FALSE)), $C57= "3", ('Inputs-System'!$C$30*'Coincidence Factors'!$B$9*(1+'Inputs-System'!$C$18)*(1+'Inputs-System'!$C$41)*('Inputs-Proposals'!$K$29*'Inputs-Proposals'!$K$31*(1-'Inputs-Proposals'!$K$32^(CP$3-'Inputs-System'!$C$7)))*(VLOOKUP(CP$3,Energy!$A$51:$K$83,5,FALSE))), $C57= "0", 0), 0)</f>
        <v>0</v>
      </c>
      <c r="CQ57" s="44">
        <f>IFERROR(_xlfn.IFS($C57="1",('Inputs-System'!$C$30*'Coincidence Factors'!$B$9*(1+'Inputs-System'!$C$18)*(1+'Inputs-System'!$C$41))*'Inputs-Proposals'!$K$17*'Inputs-Proposals'!$K$19*(1-'Inputs-Proposals'!$K$20^(CP$3-'Inputs-System'!$C$7))*(VLOOKUP(CP$3,'Embedded Emissions'!$A$47:$B$78,2,FALSE)+VLOOKUP(CP$3,'Embedded Emissions'!$A$129:$B$158,2,FALSE)), $C57 = "2",('Inputs-System'!$C$30*'Coincidence Factors'!$B$9*(1+'Inputs-System'!$C$18)*(1+'Inputs-System'!$C$41))*'Inputs-Proposals'!$K$23*'Inputs-Proposals'!$K$25*(1-'Inputs-Proposals'!$K$20^(CP$3-'Inputs-System'!$C$7))*(VLOOKUP(CP$3,'Embedded Emissions'!$A$47:$B$78,2,FALSE)+VLOOKUP(CP$3,'Embedded Emissions'!$A$129:$B$158,2,FALSE)), $C57 = "3", ('Inputs-System'!$C$30*'Coincidence Factors'!$B$9*(1+'Inputs-System'!$C$18)*(1+'Inputs-System'!$C$41))*'Inputs-Proposals'!$K$29*'Inputs-Proposals'!$K$31*(1-'Inputs-Proposals'!$K$20^(CP$3-'Inputs-System'!$C$7))*(VLOOKUP(CP$3,'Embedded Emissions'!$A$47:$B$78,2,FALSE)+VLOOKUP(CP$3,'Embedded Emissions'!$A$129:$B$158,2,FALSE)), $C57 = "0", 0), 0)</f>
        <v>0</v>
      </c>
      <c r="CR57" s="44">
        <f>IFERROR(_xlfn.IFS($C57="1",( 'Inputs-System'!$C$30*'Coincidence Factors'!$B$9*(1+'Inputs-System'!$C$18)*(1+'Inputs-System'!$C$41))*('Inputs-Proposals'!$K$17*'Inputs-Proposals'!$K$19*(1-'Inputs-Proposals'!$K$20)^(CP$3-'Inputs-System'!$C$7))*(VLOOKUP(CP$3,DRIPE!$A$54:$I$82,5,FALSE)+VLOOKUP(CP$3,DRIPE!$A$54:$I$82,9,FALSE))+ ('Inputs-System'!$C$26*'Coincidence Factors'!$B$6*(1+'Inputs-System'!$C$18)*(1+'Inputs-System'!$C$42))*'Inputs-Proposals'!$K$16*VLOOKUP(CP$3,DRIPE!$A$54:$I$82,8,FALSE), $C57 = "2",( 'Inputs-System'!$C$30*'Coincidence Factors'!$B$9*(1+'Inputs-System'!$C$18)*(1+'Inputs-System'!$C$41))*('Inputs-Proposals'!$K$23*'Inputs-Proposals'!$K$25*(1-'Inputs-Proposals'!$K$26)^(CP$3-'Inputs-System'!$C$7))*(VLOOKUP(CP$3,DRIPE!$A$54:$I$82,5,FALSE)+VLOOKUP(CP$3,DRIPE!$A$54:$I$82,9,FALSE))+ ('Inputs-System'!$C$26*'Coincidence Factors'!$B$6*(1+'Inputs-System'!$C$18)*(1+'Inputs-System'!$C$42))*'Inputs-Proposals'!$K$22*VLOOKUP(CP$3,DRIPE!$A$54:$I$82,8,FALSE), $C57= "3", ( 'Inputs-System'!$C$30*'Coincidence Factors'!$B$9*(1+'Inputs-System'!$C$18)*(1+'Inputs-System'!$C$41))*('Inputs-Proposals'!$K$29*'Inputs-Proposals'!$K$31*(1-'Inputs-Proposals'!$K$32)^(CP$3-'Inputs-System'!$C$7))*(VLOOKUP(CP$3,DRIPE!$A$54:$I$82,5,FALSE)+VLOOKUP(CP$3,DRIPE!$A$54:$I$82,9,FALSE))+ ('Inputs-System'!$C$26*'Coincidence Factors'!$B$6*(1+'Inputs-System'!$C$18)*(1+'Inputs-System'!$C$42))*'Inputs-Proposals'!$K$28*VLOOKUP(CP$3,DRIPE!$A$54:$I$82,8,FALSE), $C57 = "0", 0), 0)</f>
        <v>0</v>
      </c>
      <c r="CS57" s="45">
        <f>IFERROR(_xlfn.IFS($C57="1",('Inputs-System'!$C$26*'Coincidence Factors'!$B$9*(1+'Inputs-System'!$C$18)*(1+'Inputs-System'!$C$42))*'Inputs-Proposals'!$D$16*(VLOOKUP(CP$3,Capacity!$A$53:$E$85,4,FALSE)*(1+'Inputs-System'!$C$42)+VLOOKUP(CP$3,Capacity!$A$53:$E$85,5,FALSE)*(1+'Inputs-System'!$C$43)*'Inputs-System'!$C$29), $C57 = "2", ('Inputs-System'!$C$26*'Coincidence Factors'!$B$9*(1+'Inputs-System'!$C$18))*'Inputs-Proposals'!$D$22*(VLOOKUP(CP$3,Capacity!$A$53:$E$85,4,FALSE)*(1+'Inputs-System'!$C$42)+VLOOKUP(CP$3,Capacity!$A$53:$E$85,5,FALSE)*'Inputs-System'!$C$29*(1+'Inputs-System'!$C$43)), $C57 = "3", ('Inputs-System'!$C$26*'Coincidence Factors'!$B$9*(1+'Inputs-System'!$C$18))*'Inputs-Proposals'!$D$28*(VLOOKUP(CP$3,Capacity!$A$53:$E$85,4,FALSE)*(1+'Inputs-System'!$C$42)+VLOOKUP(CP$3,Capacity!$A$53:$E$85,5,FALSE)*'Inputs-System'!$C$29*(1+'Inputs-System'!$C$43)), $C57 = "0", 0), 0)</f>
        <v>0</v>
      </c>
      <c r="CT57" s="44">
        <v>0</v>
      </c>
      <c r="CU57" s="342">
        <f>IFERROR(_xlfn.IFS($C57="1", 'Inputs-System'!$C$30*'Coincidence Factors'!$B$9*'Inputs-Proposals'!$K$17*'Inputs-Proposals'!$K$19*(VLOOKUP(CP$3,'Non-Embedded Emissions'!$A$56:$D$90,2,FALSE)-VLOOKUP(CP$3,'Non-Embedded Emissions'!$F$57:$H$88,2,FALSE)+VLOOKUP(CP$3,'Non-Embedded Emissions'!$A$143:$D$174,2,FALSE)-VLOOKUP(CP$3,'Non-Embedded Emissions'!$F$143:$H$174,2,FALSE)+VLOOKUP(CP$3,'Non-Embedded Emissions'!$A$230:$D$259,2,FALSE)), $C57 = "2", 'Inputs-System'!$C$30*'Coincidence Factors'!$B$9*'Inputs-Proposals'!$K$23*'Inputs-Proposals'!$K$25*(VLOOKUP(CP$3,'Non-Embedded Emissions'!$A$56:$D$90,2,FALSE)-VLOOKUP(CP$3,'Non-Embedded Emissions'!$F$57:$H$88,2,FALSE)+VLOOKUP(CP$3,'Non-Embedded Emissions'!$A$143:$D$174,2,FALSE)-VLOOKUP(CP$3,'Non-Embedded Emissions'!$F$143:$H$174,2,FALSE)+VLOOKUP(CP$3,'Non-Embedded Emissions'!$A$230:$D$259,2,FALSE)), $C57 = "3", 'Inputs-System'!$C$30*'Coincidence Factors'!$B$9*'Inputs-Proposals'!$K$29*'Inputs-Proposals'!$K$31*(VLOOKUP(CP$3,'Non-Embedded Emissions'!$A$56:$D$90,2,FALSE)-VLOOKUP(CP$3,'Non-Embedded Emissions'!$F$57:$H$88,2,FALSE)+VLOOKUP(CP$3,'Non-Embedded Emissions'!$A$143:$D$174,2,FALSE)-VLOOKUP(CP$3,'Non-Embedded Emissions'!$F$143:$H$174,2,FALSE)+VLOOKUP(CP$3,'Non-Embedded Emissions'!$A$230:$D$259,2,FALSE)), $C57 = "0", 0), 0)</f>
        <v>0</v>
      </c>
      <c r="CV57" s="45">
        <f>IFERROR(_xlfn.IFS($C57="1",('Inputs-System'!$C$30*'Coincidence Factors'!$B$9*(1+'Inputs-System'!$C$18)*(1+'Inputs-System'!$C$41)*('Inputs-Proposals'!$K$17*'Inputs-Proposals'!$K$19*(1-'Inputs-Proposals'!$K$20^(CV$3-'Inputs-System'!$C$7)))*(VLOOKUP(CV$3,Energy!$A$51:$K$83,5,FALSE))), $C57 = "2",('Inputs-System'!$C$30*'Coincidence Factors'!$B$9)*(1+'Inputs-System'!$C$18)*(1+'Inputs-System'!$C$41)*('Inputs-Proposals'!$K$23*'Inputs-Proposals'!$K$25*(1-'Inputs-Proposals'!$K$26^(CV$3-'Inputs-System'!$C$7)))*(VLOOKUP(CV$3,Energy!$A$51:$K$83,5,FALSE)), $C57= "3", ('Inputs-System'!$C$30*'Coincidence Factors'!$B$9*(1+'Inputs-System'!$C$18)*(1+'Inputs-System'!$C$41)*('Inputs-Proposals'!$K$29*'Inputs-Proposals'!$K$31*(1-'Inputs-Proposals'!$K$32^(CV$3-'Inputs-System'!$C$7)))*(VLOOKUP(CV$3,Energy!$A$51:$K$83,5,FALSE))), $C57= "0", 0), 0)</f>
        <v>0</v>
      </c>
      <c r="CW57" s="44">
        <f>IFERROR(_xlfn.IFS($C57="1",('Inputs-System'!$C$30*'Coincidence Factors'!$B$9*(1+'Inputs-System'!$C$18)*(1+'Inputs-System'!$C$41))*'Inputs-Proposals'!$K$17*'Inputs-Proposals'!$K$19*(1-'Inputs-Proposals'!$K$20^(CV$3-'Inputs-System'!$C$7))*(VLOOKUP(CV$3,'Embedded Emissions'!$A$47:$B$78,2,FALSE)+VLOOKUP(CV$3,'Embedded Emissions'!$A$129:$B$158,2,FALSE)), $C57 = "2",('Inputs-System'!$C$30*'Coincidence Factors'!$B$9*(1+'Inputs-System'!$C$18)*(1+'Inputs-System'!$C$41))*'Inputs-Proposals'!$K$23*'Inputs-Proposals'!$K$25*(1-'Inputs-Proposals'!$K$20^(CV$3-'Inputs-System'!$C$7))*(VLOOKUP(CV$3,'Embedded Emissions'!$A$47:$B$78,2,FALSE)+VLOOKUP(CV$3,'Embedded Emissions'!$A$129:$B$158,2,FALSE)), $C57 = "3", ('Inputs-System'!$C$30*'Coincidence Factors'!$B$9*(1+'Inputs-System'!$C$18)*(1+'Inputs-System'!$C$41))*'Inputs-Proposals'!$K$29*'Inputs-Proposals'!$K$31*(1-'Inputs-Proposals'!$K$20^(CV$3-'Inputs-System'!$C$7))*(VLOOKUP(CV$3,'Embedded Emissions'!$A$47:$B$78,2,FALSE)+VLOOKUP(CV$3,'Embedded Emissions'!$A$129:$B$158,2,FALSE)), $C57 = "0", 0), 0)</f>
        <v>0</v>
      </c>
      <c r="CX57" s="44">
        <f>IFERROR(_xlfn.IFS($C57="1",( 'Inputs-System'!$C$30*'Coincidence Factors'!$B$9*(1+'Inputs-System'!$C$18)*(1+'Inputs-System'!$C$41))*('Inputs-Proposals'!$K$17*'Inputs-Proposals'!$K$19*(1-'Inputs-Proposals'!$K$20)^(CV$3-'Inputs-System'!$C$7))*(VLOOKUP(CV$3,DRIPE!$A$54:$I$82,5,FALSE)+VLOOKUP(CV$3,DRIPE!$A$54:$I$82,9,FALSE))+ ('Inputs-System'!$C$26*'Coincidence Factors'!$B$6*(1+'Inputs-System'!$C$18)*(1+'Inputs-System'!$C$42))*'Inputs-Proposals'!$K$16*VLOOKUP(CV$3,DRIPE!$A$54:$I$82,8,FALSE), $C57 = "2",( 'Inputs-System'!$C$30*'Coincidence Factors'!$B$9*(1+'Inputs-System'!$C$18)*(1+'Inputs-System'!$C$41))*('Inputs-Proposals'!$K$23*'Inputs-Proposals'!$K$25*(1-'Inputs-Proposals'!$K$26)^(CV$3-'Inputs-System'!$C$7))*(VLOOKUP(CV$3,DRIPE!$A$54:$I$82,5,FALSE)+VLOOKUP(CV$3,DRIPE!$A$54:$I$82,9,FALSE))+ ('Inputs-System'!$C$26*'Coincidence Factors'!$B$6*(1+'Inputs-System'!$C$18)*(1+'Inputs-System'!$C$42))*'Inputs-Proposals'!$K$22*VLOOKUP(CV$3,DRIPE!$A$54:$I$82,8,FALSE), $C57= "3", ( 'Inputs-System'!$C$30*'Coincidence Factors'!$B$9*(1+'Inputs-System'!$C$18)*(1+'Inputs-System'!$C$41))*('Inputs-Proposals'!$K$29*'Inputs-Proposals'!$K$31*(1-'Inputs-Proposals'!$K$32)^(CV$3-'Inputs-System'!$C$7))*(VLOOKUP(CV$3,DRIPE!$A$54:$I$82,5,FALSE)+VLOOKUP(CV$3,DRIPE!$A$54:$I$82,9,FALSE))+ ('Inputs-System'!$C$26*'Coincidence Factors'!$B$6*(1+'Inputs-System'!$C$18)*(1+'Inputs-System'!$C$42))*'Inputs-Proposals'!$K$28*VLOOKUP(CV$3,DRIPE!$A$54:$I$82,8,FALSE), $C57 = "0", 0), 0)</f>
        <v>0</v>
      </c>
      <c r="CY57" s="45">
        <f>IFERROR(_xlfn.IFS($C57="1",('Inputs-System'!$C$26*'Coincidence Factors'!$B$9*(1+'Inputs-System'!$C$18)*(1+'Inputs-System'!$C$42))*'Inputs-Proposals'!$D$16*(VLOOKUP(CV$3,Capacity!$A$53:$E$85,4,FALSE)*(1+'Inputs-System'!$C$42)+VLOOKUP(CV$3,Capacity!$A$53:$E$85,5,FALSE)*(1+'Inputs-System'!$C$43)*'Inputs-System'!$C$29), $C57 = "2", ('Inputs-System'!$C$26*'Coincidence Factors'!$B$9*(1+'Inputs-System'!$C$18))*'Inputs-Proposals'!$D$22*(VLOOKUP(CV$3,Capacity!$A$53:$E$85,4,FALSE)*(1+'Inputs-System'!$C$42)+VLOOKUP(CV$3,Capacity!$A$53:$E$85,5,FALSE)*'Inputs-System'!$C$29*(1+'Inputs-System'!$C$43)), $C57 = "3", ('Inputs-System'!$C$26*'Coincidence Factors'!$B$9*(1+'Inputs-System'!$C$18))*'Inputs-Proposals'!$D$28*(VLOOKUP(CV$3,Capacity!$A$53:$E$85,4,FALSE)*(1+'Inputs-System'!$C$42)+VLOOKUP(CV$3,Capacity!$A$53:$E$85,5,FALSE)*'Inputs-System'!$C$29*(1+'Inputs-System'!$C$43)), $C57 = "0", 0), 0)</f>
        <v>0</v>
      </c>
      <c r="CZ57" s="44">
        <v>0</v>
      </c>
      <c r="DA57" s="342">
        <f>IFERROR(_xlfn.IFS($C57="1", 'Inputs-System'!$C$30*'Coincidence Factors'!$B$9*'Inputs-Proposals'!$K$17*'Inputs-Proposals'!$K$19*(VLOOKUP(CV$3,'Non-Embedded Emissions'!$A$56:$D$90,2,FALSE)-VLOOKUP(CV$3,'Non-Embedded Emissions'!$F$57:$H$88,2,FALSE)+VLOOKUP(CV$3,'Non-Embedded Emissions'!$A$143:$D$174,2,FALSE)-VLOOKUP(CV$3,'Non-Embedded Emissions'!$F$143:$H$174,2,FALSE)+VLOOKUP(CV$3,'Non-Embedded Emissions'!$A$230:$D$259,2,FALSE)), $C57 = "2", 'Inputs-System'!$C$30*'Coincidence Factors'!$B$9*'Inputs-Proposals'!$K$23*'Inputs-Proposals'!$K$25*(VLOOKUP(CV$3,'Non-Embedded Emissions'!$A$56:$D$90,2,FALSE)-VLOOKUP(CV$3,'Non-Embedded Emissions'!$F$57:$H$88,2,FALSE)+VLOOKUP(CV$3,'Non-Embedded Emissions'!$A$143:$D$174,2,FALSE)-VLOOKUP(CV$3,'Non-Embedded Emissions'!$F$143:$H$174,2,FALSE)+VLOOKUP(CV$3,'Non-Embedded Emissions'!$A$230:$D$259,2,FALSE)), $C57 = "3", 'Inputs-System'!$C$30*'Coincidence Factors'!$B$9*'Inputs-Proposals'!$K$29*'Inputs-Proposals'!$K$31*(VLOOKUP(CV$3,'Non-Embedded Emissions'!$A$56:$D$90,2,FALSE)-VLOOKUP(CV$3,'Non-Embedded Emissions'!$F$57:$H$88,2,FALSE)+VLOOKUP(CV$3,'Non-Embedded Emissions'!$A$143:$D$174,2,FALSE)-VLOOKUP(CV$3,'Non-Embedded Emissions'!$F$143:$H$174,2,FALSE)+VLOOKUP(CV$3,'Non-Embedded Emissions'!$A$230:$D$259,2,FALSE)), $C57 = "0", 0), 0)</f>
        <v>0</v>
      </c>
      <c r="DB57" s="45">
        <f>IFERROR(_xlfn.IFS($C57="1",('Inputs-System'!$C$30*'Coincidence Factors'!$B$9*(1+'Inputs-System'!$C$18)*(1+'Inputs-System'!$C$41)*('Inputs-Proposals'!$K$17*'Inputs-Proposals'!$K$19*(1-'Inputs-Proposals'!$K$20^(DB$3-'Inputs-System'!$C$7)))*(VLOOKUP(DB$3,Energy!$A$51:$K$83,5,FALSE))), $C57 = "2",('Inputs-System'!$C$30*'Coincidence Factors'!$B$9)*(1+'Inputs-System'!$C$18)*(1+'Inputs-System'!$C$41)*('Inputs-Proposals'!$K$23*'Inputs-Proposals'!$K$25*(1-'Inputs-Proposals'!$K$26^(DB$3-'Inputs-System'!$C$7)))*(VLOOKUP(DB$3,Energy!$A$51:$K$83,5,FALSE)), $C57= "3", ('Inputs-System'!$C$30*'Coincidence Factors'!$B$9*(1+'Inputs-System'!$C$18)*(1+'Inputs-System'!$C$41)*('Inputs-Proposals'!$K$29*'Inputs-Proposals'!$K$31*(1-'Inputs-Proposals'!$K$32^(DB$3-'Inputs-System'!$C$7)))*(VLOOKUP(DB$3,Energy!$A$51:$K$83,5,FALSE))), $C57= "0", 0), 0)</f>
        <v>0</v>
      </c>
      <c r="DC57" s="44">
        <f>IFERROR(_xlfn.IFS($C57="1",('Inputs-System'!$C$30*'Coincidence Factors'!$B$9*(1+'Inputs-System'!$C$18)*(1+'Inputs-System'!$C$41))*'Inputs-Proposals'!$K$17*'Inputs-Proposals'!$K$19*(1-'Inputs-Proposals'!$K$20^(DB$3-'Inputs-System'!$C$7))*(VLOOKUP(DB$3,'Embedded Emissions'!$A$47:$B$78,2,FALSE)+VLOOKUP(DB$3,'Embedded Emissions'!$A$129:$B$158,2,FALSE)), $C57 = "2",('Inputs-System'!$C$30*'Coincidence Factors'!$B$9*(1+'Inputs-System'!$C$18)*(1+'Inputs-System'!$C$41))*'Inputs-Proposals'!$K$23*'Inputs-Proposals'!$K$25*(1-'Inputs-Proposals'!$K$20^(DB$3-'Inputs-System'!$C$7))*(VLOOKUP(DB$3,'Embedded Emissions'!$A$47:$B$78,2,FALSE)+VLOOKUP(DB$3,'Embedded Emissions'!$A$129:$B$158,2,FALSE)), $C57 = "3", ('Inputs-System'!$C$30*'Coincidence Factors'!$B$9*(1+'Inputs-System'!$C$18)*(1+'Inputs-System'!$C$41))*'Inputs-Proposals'!$K$29*'Inputs-Proposals'!$K$31*(1-'Inputs-Proposals'!$K$20^(DB$3-'Inputs-System'!$C$7))*(VLOOKUP(DB$3,'Embedded Emissions'!$A$47:$B$78,2,FALSE)+VLOOKUP(DB$3,'Embedded Emissions'!$A$129:$B$158,2,FALSE)), $C57 = "0", 0), 0)</f>
        <v>0</v>
      </c>
      <c r="DD57" s="44">
        <f>IFERROR(_xlfn.IFS($C57="1",( 'Inputs-System'!$C$30*'Coincidence Factors'!$B$9*(1+'Inputs-System'!$C$18)*(1+'Inputs-System'!$C$41))*('Inputs-Proposals'!$K$17*'Inputs-Proposals'!$K$19*(1-'Inputs-Proposals'!$K$20)^(DB$3-'Inputs-System'!$C$7))*(VLOOKUP(DB$3,DRIPE!$A$54:$I$82,5,FALSE)+VLOOKUP(DB$3,DRIPE!$A$54:$I$82,9,FALSE))+ ('Inputs-System'!$C$26*'Coincidence Factors'!$B$6*(1+'Inputs-System'!$C$18)*(1+'Inputs-System'!$C$42))*'Inputs-Proposals'!$K$16*VLOOKUP(DB$3,DRIPE!$A$54:$I$82,8,FALSE), $C57 = "2",( 'Inputs-System'!$C$30*'Coincidence Factors'!$B$9*(1+'Inputs-System'!$C$18)*(1+'Inputs-System'!$C$41))*('Inputs-Proposals'!$K$23*'Inputs-Proposals'!$K$25*(1-'Inputs-Proposals'!$K$26)^(DB$3-'Inputs-System'!$C$7))*(VLOOKUP(DB$3,DRIPE!$A$54:$I$82,5,FALSE)+VLOOKUP(DB$3,DRIPE!$A$54:$I$82,9,FALSE))+ ('Inputs-System'!$C$26*'Coincidence Factors'!$B$6*(1+'Inputs-System'!$C$18)*(1+'Inputs-System'!$C$42))*'Inputs-Proposals'!$K$22*VLOOKUP(DB$3,DRIPE!$A$54:$I$82,8,FALSE), $C57= "3", ( 'Inputs-System'!$C$30*'Coincidence Factors'!$B$9*(1+'Inputs-System'!$C$18)*(1+'Inputs-System'!$C$41))*('Inputs-Proposals'!$K$29*'Inputs-Proposals'!$K$31*(1-'Inputs-Proposals'!$K$32)^(DB$3-'Inputs-System'!$C$7))*(VLOOKUP(DB$3,DRIPE!$A$54:$I$82,5,FALSE)+VLOOKUP(DB$3,DRIPE!$A$54:$I$82,9,FALSE))+ ('Inputs-System'!$C$26*'Coincidence Factors'!$B$6*(1+'Inputs-System'!$C$18)*(1+'Inputs-System'!$C$42))*'Inputs-Proposals'!$K$28*VLOOKUP(DB$3,DRIPE!$A$54:$I$82,8,FALSE), $C57 = "0", 0), 0)</f>
        <v>0</v>
      </c>
      <c r="DE57" s="45">
        <f>IFERROR(_xlfn.IFS($C57="1",('Inputs-System'!$C$26*'Coincidence Factors'!$B$9*(1+'Inputs-System'!$C$18)*(1+'Inputs-System'!$C$42))*'Inputs-Proposals'!$D$16*(VLOOKUP(DB$3,Capacity!$A$53:$E$85,4,FALSE)*(1+'Inputs-System'!$C$42)+VLOOKUP(DB$3,Capacity!$A$53:$E$85,5,FALSE)*(1+'Inputs-System'!$C$43)*'Inputs-System'!$C$29), $C57 = "2", ('Inputs-System'!$C$26*'Coincidence Factors'!$B$9*(1+'Inputs-System'!$C$18))*'Inputs-Proposals'!$D$22*(VLOOKUP(DB$3,Capacity!$A$53:$E$85,4,FALSE)*(1+'Inputs-System'!$C$42)+VLOOKUP(DB$3,Capacity!$A$53:$E$85,5,FALSE)*'Inputs-System'!$C$29*(1+'Inputs-System'!$C$43)), $C57 = "3", ('Inputs-System'!$C$26*'Coincidence Factors'!$B$9*(1+'Inputs-System'!$C$18))*'Inputs-Proposals'!$D$28*(VLOOKUP(DB$3,Capacity!$A$53:$E$85,4,FALSE)*(1+'Inputs-System'!$C$42)+VLOOKUP(DB$3,Capacity!$A$53:$E$85,5,FALSE)*'Inputs-System'!$C$29*(1+'Inputs-System'!$C$43)), $C57 = "0", 0), 0)</f>
        <v>0</v>
      </c>
      <c r="DF57" s="44">
        <v>0</v>
      </c>
      <c r="DG57" s="342">
        <f>IFERROR(_xlfn.IFS($C57="1", 'Inputs-System'!$C$30*'Coincidence Factors'!$B$9*'Inputs-Proposals'!$K$17*'Inputs-Proposals'!$K$19*(VLOOKUP(DB$3,'Non-Embedded Emissions'!$A$56:$D$90,2,FALSE)-VLOOKUP(DB$3,'Non-Embedded Emissions'!$F$57:$H$88,2,FALSE)+VLOOKUP(DB$3,'Non-Embedded Emissions'!$A$143:$D$174,2,FALSE)-VLOOKUP(DB$3,'Non-Embedded Emissions'!$F$143:$H$174,2,FALSE)+VLOOKUP(DB$3,'Non-Embedded Emissions'!$A$230:$D$259,2,FALSE)), $C57 = "2", 'Inputs-System'!$C$30*'Coincidence Factors'!$B$9*'Inputs-Proposals'!$K$23*'Inputs-Proposals'!$K$25*(VLOOKUP(DB$3,'Non-Embedded Emissions'!$A$56:$D$90,2,FALSE)-VLOOKUP(DB$3,'Non-Embedded Emissions'!$F$57:$H$88,2,FALSE)+VLOOKUP(DB$3,'Non-Embedded Emissions'!$A$143:$D$174,2,FALSE)-VLOOKUP(DB$3,'Non-Embedded Emissions'!$F$143:$H$174,2,FALSE)+VLOOKUP(DB$3,'Non-Embedded Emissions'!$A$230:$D$259,2,FALSE)), $C57 = "3", 'Inputs-System'!$C$30*'Coincidence Factors'!$B$9*'Inputs-Proposals'!$K$29*'Inputs-Proposals'!$K$31*(VLOOKUP(DB$3,'Non-Embedded Emissions'!$A$56:$D$90,2,FALSE)-VLOOKUP(DB$3,'Non-Embedded Emissions'!$F$57:$H$88,2,FALSE)+VLOOKUP(DB$3,'Non-Embedded Emissions'!$A$143:$D$174,2,FALSE)-VLOOKUP(DB$3,'Non-Embedded Emissions'!$F$143:$H$174,2,FALSE)+VLOOKUP(DB$3,'Non-Embedded Emissions'!$A$230:$D$259,2,FALSE)), $C57 = "0", 0), 0)</f>
        <v>0</v>
      </c>
      <c r="DH57" s="45">
        <f>IFERROR(_xlfn.IFS($C57="1",('Inputs-System'!$C$30*'Coincidence Factors'!$B$9*(1+'Inputs-System'!$C$18)*(1+'Inputs-System'!$C$41)*('Inputs-Proposals'!$K$17*'Inputs-Proposals'!$K$19*(1-'Inputs-Proposals'!$K$20^(DH$3-'Inputs-System'!$C$7)))*(VLOOKUP(DH$3,Energy!$A$51:$K$83,5,FALSE))), $C57 = "2",('Inputs-System'!$C$30*'Coincidence Factors'!$B$9)*(1+'Inputs-System'!$C$18)*(1+'Inputs-System'!$C$41)*('Inputs-Proposals'!$K$23*'Inputs-Proposals'!$K$25*(1-'Inputs-Proposals'!$K$26^(DH$3-'Inputs-System'!$C$7)))*(VLOOKUP(DH$3,Energy!$A$51:$K$83,5,FALSE)), $C57= "3", ('Inputs-System'!$C$30*'Coincidence Factors'!$B$9*(1+'Inputs-System'!$C$18)*(1+'Inputs-System'!$C$41)*('Inputs-Proposals'!$K$29*'Inputs-Proposals'!$K$31*(1-'Inputs-Proposals'!$K$32^(DH$3-'Inputs-System'!$C$7)))*(VLOOKUP(DH$3,Energy!$A$51:$K$83,5,FALSE))), $C57= "0", 0), 0)</f>
        <v>0</v>
      </c>
      <c r="DI57" s="44">
        <f>IFERROR(_xlfn.IFS($C57="1",('Inputs-System'!$C$30*'Coincidence Factors'!$B$9*(1+'Inputs-System'!$C$18)*(1+'Inputs-System'!$C$41))*'Inputs-Proposals'!$K$17*'Inputs-Proposals'!$K$19*(1-'Inputs-Proposals'!$K$20^(DH$3-'Inputs-System'!$C$7))*(VLOOKUP(DH$3,'Embedded Emissions'!$A$47:$B$78,2,FALSE)+VLOOKUP(DH$3,'Embedded Emissions'!$A$129:$B$158,2,FALSE)), $C57 = "2",('Inputs-System'!$C$30*'Coincidence Factors'!$B$9*(1+'Inputs-System'!$C$18)*(1+'Inputs-System'!$C$41))*'Inputs-Proposals'!$K$23*'Inputs-Proposals'!$K$25*(1-'Inputs-Proposals'!$K$20^(DH$3-'Inputs-System'!$C$7))*(VLOOKUP(DH$3,'Embedded Emissions'!$A$47:$B$78,2,FALSE)+VLOOKUP(DH$3,'Embedded Emissions'!$A$129:$B$158,2,FALSE)), $C57 = "3", ('Inputs-System'!$C$30*'Coincidence Factors'!$B$9*(1+'Inputs-System'!$C$18)*(1+'Inputs-System'!$C$41))*'Inputs-Proposals'!$K$29*'Inputs-Proposals'!$K$31*(1-'Inputs-Proposals'!$K$20^(DH$3-'Inputs-System'!$C$7))*(VLOOKUP(DH$3,'Embedded Emissions'!$A$47:$B$78,2,FALSE)+VLOOKUP(DH$3,'Embedded Emissions'!$A$129:$B$158,2,FALSE)), $C57 = "0", 0), 0)</f>
        <v>0</v>
      </c>
      <c r="DJ57" s="44">
        <f>IFERROR(_xlfn.IFS($C57="1",( 'Inputs-System'!$C$30*'Coincidence Factors'!$B$9*(1+'Inputs-System'!$C$18)*(1+'Inputs-System'!$C$41))*('Inputs-Proposals'!$K$17*'Inputs-Proposals'!$K$19*(1-'Inputs-Proposals'!$K$20)^(DH$3-'Inputs-System'!$C$7))*(VLOOKUP(DH$3,DRIPE!$A$54:$I$82,5,FALSE)+VLOOKUP(DH$3,DRIPE!$A$54:$I$82,9,FALSE))+ ('Inputs-System'!$C$26*'Coincidence Factors'!$B$6*(1+'Inputs-System'!$C$18)*(1+'Inputs-System'!$C$42))*'Inputs-Proposals'!$K$16*VLOOKUP(DH$3,DRIPE!$A$54:$I$82,8,FALSE), $C57 = "2",( 'Inputs-System'!$C$30*'Coincidence Factors'!$B$9*(1+'Inputs-System'!$C$18)*(1+'Inputs-System'!$C$41))*('Inputs-Proposals'!$K$23*'Inputs-Proposals'!$K$25*(1-'Inputs-Proposals'!$K$26)^(DH$3-'Inputs-System'!$C$7))*(VLOOKUP(DH$3,DRIPE!$A$54:$I$82,5,FALSE)+VLOOKUP(DH$3,DRIPE!$A$54:$I$82,9,FALSE))+ ('Inputs-System'!$C$26*'Coincidence Factors'!$B$6*(1+'Inputs-System'!$C$18)*(1+'Inputs-System'!$C$42))*'Inputs-Proposals'!$K$22*VLOOKUP(DH$3,DRIPE!$A$54:$I$82,8,FALSE), $C57= "3", ( 'Inputs-System'!$C$30*'Coincidence Factors'!$B$9*(1+'Inputs-System'!$C$18)*(1+'Inputs-System'!$C$41))*('Inputs-Proposals'!$K$29*'Inputs-Proposals'!$K$31*(1-'Inputs-Proposals'!$K$32)^(DH$3-'Inputs-System'!$C$7))*(VLOOKUP(DH$3,DRIPE!$A$54:$I$82,5,FALSE)+VLOOKUP(DH$3,DRIPE!$A$54:$I$82,9,FALSE))+ ('Inputs-System'!$C$26*'Coincidence Factors'!$B$6*(1+'Inputs-System'!$C$18)*(1+'Inputs-System'!$C$42))*'Inputs-Proposals'!$K$28*VLOOKUP(DH$3,DRIPE!$A$54:$I$82,8,FALSE), $C57 = "0", 0), 0)</f>
        <v>0</v>
      </c>
      <c r="DK57" s="45">
        <f>IFERROR(_xlfn.IFS($C57="1",('Inputs-System'!$C$26*'Coincidence Factors'!$B$9*(1+'Inputs-System'!$C$18)*(1+'Inputs-System'!$C$42))*'Inputs-Proposals'!$D$16*(VLOOKUP(DH$3,Capacity!$A$53:$E$85,4,FALSE)*(1+'Inputs-System'!$C$42)+VLOOKUP(DH$3,Capacity!$A$53:$E$85,5,FALSE)*(1+'Inputs-System'!$C$43)*'Inputs-System'!$C$29), $C57 = "2", ('Inputs-System'!$C$26*'Coincidence Factors'!$B$9*(1+'Inputs-System'!$C$18))*'Inputs-Proposals'!$D$22*(VLOOKUP(DH$3,Capacity!$A$53:$E$85,4,FALSE)*(1+'Inputs-System'!$C$42)+VLOOKUP(DH$3,Capacity!$A$53:$E$85,5,FALSE)*'Inputs-System'!$C$29*(1+'Inputs-System'!$C$43)), $C57 = "3", ('Inputs-System'!$C$26*'Coincidence Factors'!$B$9*(1+'Inputs-System'!$C$18))*'Inputs-Proposals'!$D$28*(VLOOKUP(DH$3,Capacity!$A$53:$E$85,4,FALSE)*(1+'Inputs-System'!$C$42)+VLOOKUP(DH$3,Capacity!$A$53:$E$85,5,FALSE)*'Inputs-System'!$C$29*(1+'Inputs-System'!$C$43)), $C57 = "0", 0), 0)</f>
        <v>0</v>
      </c>
      <c r="DL57" s="44">
        <v>0</v>
      </c>
      <c r="DM57" s="342">
        <f>IFERROR(_xlfn.IFS($C57="1", 'Inputs-System'!$C$30*'Coincidence Factors'!$B$9*'Inputs-Proposals'!$K$17*'Inputs-Proposals'!$K$19*(VLOOKUP(DH$3,'Non-Embedded Emissions'!$A$56:$D$90,2,FALSE)-VLOOKUP(DH$3,'Non-Embedded Emissions'!$F$57:$H$88,2,FALSE)+VLOOKUP(DH$3,'Non-Embedded Emissions'!$A$143:$D$174,2,FALSE)-VLOOKUP(DH$3,'Non-Embedded Emissions'!$F$143:$H$174,2,FALSE)+VLOOKUP(DH$3,'Non-Embedded Emissions'!$A$230:$D$259,2,FALSE)), $C57 = "2", 'Inputs-System'!$C$30*'Coincidence Factors'!$B$9*'Inputs-Proposals'!$K$23*'Inputs-Proposals'!$K$25*(VLOOKUP(DH$3,'Non-Embedded Emissions'!$A$56:$D$90,2,FALSE)-VLOOKUP(DH$3,'Non-Embedded Emissions'!$F$57:$H$88,2,FALSE)+VLOOKUP(DH$3,'Non-Embedded Emissions'!$A$143:$D$174,2,FALSE)-VLOOKUP(DH$3,'Non-Embedded Emissions'!$F$143:$H$174,2,FALSE)+VLOOKUP(DH$3,'Non-Embedded Emissions'!$A$230:$D$259,2,FALSE)), $C57 = "3", 'Inputs-System'!$C$30*'Coincidence Factors'!$B$9*'Inputs-Proposals'!$K$29*'Inputs-Proposals'!$K$31*(VLOOKUP(DH$3,'Non-Embedded Emissions'!$A$56:$D$90,2,FALSE)-VLOOKUP(DH$3,'Non-Embedded Emissions'!$F$57:$H$88,2,FALSE)+VLOOKUP(DH$3,'Non-Embedded Emissions'!$A$143:$D$174,2,FALSE)-VLOOKUP(DH$3,'Non-Embedded Emissions'!$F$143:$H$174,2,FALSE)+VLOOKUP(DH$3,'Non-Embedded Emissions'!$A$230:$D$259,2,FALSE)), $C57 = "0", 0), 0)</f>
        <v>0</v>
      </c>
      <c r="DN57" s="45">
        <f>IFERROR(_xlfn.IFS($C57="1",('Inputs-System'!$C$30*'Coincidence Factors'!$B$9*(1+'Inputs-System'!$C$18)*(1+'Inputs-System'!$C$41)*('Inputs-Proposals'!$K$17*'Inputs-Proposals'!$K$19*(1-'Inputs-Proposals'!$K$20^(DN$3-'Inputs-System'!$C$7)))*(VLOOKUP(DN$3,Energy!$A$51:$K$83,5,FALSE))), $C57 = "2",('Inputs-System'!$C$30*'Coincidence Factors'!$B$9)*(1+'Inputs-System'!$C$18)*(1+'Inputs-System'!$C$41)*('Inputs-Proposals'!$K$23*'Inputs-Proposals'!$K$25*(1-'Inputs-Proposals'!$K$26^(DN$3-'Inputs-System'!$C$7)))*(VLOOKUP(DN$3,Energy!$A$51:$K$83,5,FALSE)), $C57= "3", ('Inputs-System'!$C$30*'Coincidence Factors'!$B$9*(1+'Inputs-System'!$C$18)*(1+'Inputs-System'!$C$41)*('Inputs-Proposals'!$K$29*'Inputs-Proposals'!$K$31*(1-'Inputs-Proposals'!$K$32^(DN$3-'Inputs-System'!$C$7)))*(VLOOKUP(DN$3,Energy!$A$51:$K$83,5,FALSE))), $C57= "0", 0), 0)</f>
        <v>0</v>
      </c>
      <c r="DO57" s="44">
        <f>IFERROR(_xlfn.IFS($C57="1",('Inputs-System'!$C$30*'Coincidence Factors'!$B$9*(1+'Inputs-System'!$C$18)*(1+'Inputs-System'!$C$41))*'Inputs-Proposals'!$K$17*'Inputs-Proposals'!$K$19*(1-'Inputs-Proposals'!$K$20^(DN$3-'Inputs-System'!$C$7))*(VLOOKUP(DN$3,'Embedded Emissions'!$A$47:$B$78,2,FALSE)+VLOOKUP(DN$3,'Embedded Emissions'!$A$129:$B$158,2,FALSE)), $C57 = "2",('Inputs-System'!$C$30*'Coincidence Factors'!$B$9*(1+'Inputs-System'!$C$18)*(1+'Inputs-System'!$C$41))*'Inputs-Proposals'!$K$23*'Inputs-Proposals'!$K$25*(1-'Inputs-Proposals'!$K$20^(DN$3-'Inputs-System'!$C$7))*(VLOOKUP(DN$3,'Embedded Emissions'!$A$47:$B$78,2,FALSE)+VLOOKUP(DN$3,'Embedded Emissions'!$A$129:$B$158,2,FALSE)), $C57 = "3", ('Inputs-System'!$C$30*'Coincidence Factors'!$B$9*(1+'Inputs-System'!$C$18)*(1+'Inputs-System'!$C$41))*'Inputs-Proposals'!$K$29*'Inputs-Proposals'!$K$31*(1-'Inputs-Proposals'!$K$20^(DN$3-'Inputs-System'!$C$7))*(VLOOKUP(DN$3,'Embedded Emissions'!$A$47:$B$78,2,FALSE)+VLOOKUP(DN$3,'Embedded Emissions'!$A$129:$B$158,2,FALSE)), $C57 = "0", 0), 0)</f>
        <v>0</v>
      </c>
      <c r="DP57" s="44">
        <f>IFERROR(_xlfn.IFS($C57="1",( 'Inputs-System'!$C$30*'Coincidence Factors'!$B$9*(1+'Inputs-System'!$C$18)*(1+'Inputs-System'!$C$41))*('Inputs-Proposals'!$K$17*'Inputs-Proposals'!$K$19*(1-'Inputs-Proposals'!$K$20)^(DN$3-'Inputs-System'!$C$7))*(VLOOKUP(DN$3,DRIPE!$A$54:$I$82,5,FALSE)+VLOOKUP(DN$3,DRIPE!$A$54:$I$82,9,FALSE))+ ('Inputs-System'!$C$26*'Coincidence Factors'!$B$6*(1+'Inputs-System'!$C$18)*(1+'Inputs-System'!$C$42))*'Inputs-Proposals'!$K$16*VLOOKUP(DN$3,DRIPE!$A$54:$I$82,8,FALSE), $C57 = "2",( 'Inputs-System'!$C$30*'Coincidence Factors'!$B$9*(1+'Inputs-System'!$C$18)*(1+'Inputs-System'!$C$41))*('Inputs-Proposals'!$K$23*'Inputs-Proposals'!$K$25*(1-'Inputs-Proposals'!$K$26)^(DN$3-'Inputs-System'!$C$7))*(VLOOKUP(DN$3,DRIPE!$A$54:$I$82,5,FALSE)+VLOOKUP(DN$3,DRIPE!$A$54:$I$82,9,FALSE))+ ('Inputs-System'!$C$26*'Coincidence Factors'!$B$6*(1+'Inputs-System'!$C$18)*(1+'Inputs-System'!$C$42))*'Inputs-Proposals'!$K$22*VLOOKUP(DN$3,DRIPE!$A$54:$I$82,8,FALSE), $C57= "3", ( 'Inputs-System'!$C$30*'Coincidence Factors'!$B$9*(1+'Inputs-System'!$C$18)*(1+'Inputs-System'!$C$41))*('Inputs-Proposals'!$K$29*'Inputs-Proposals'!$K$31*(1-'Inputs-Proposals'!$K$32)^(DN$3-'Inputs-System'!$C$7))*(VLOOKUP(DN$3,DRIPE!$A$54:$I$82,5,FALSE)+VLOOKUP(DN$3,DRIPE!$A$54:$I$82,9,FALSE))+ ('Inputs-System'!$C$26*'Coincidence Factors'!$B$6*(1+'Inputs-System'!$C$18)*(1+'Inputs-System'!$C$42))*'Inputs-Proposals'!$K$28*VLOOKUP(DN$3,DRIPE!$A$54:$I$82,8,FALSE), $C57 = "0", 0), 0)</f>
        <v>0</v>
      </c>
      <c r="DQ57" s="45">
        <f>IFERROR(_xlfn.IFS($C57="1",('Inputs-System'!$C$26*'Coincidence Factors'!$B$9*(1+'Inputs-System'!$C$18)*(1+'Inputs-System'!$C$42))*'Inputs-Proposals'!$D$16*(VLOOKUP(DN$3,Capacity!$A$53:$E$85,4,FALSE)*(1+'Inputs-System'!$C$42)+VLOOKUP(DN$3,Capacity!$A$53:$E$85,5,FALSE)*(1+'Inputs-System'!$C$43)*'Inputs-System'!$C$29), $C57 = "2", ('Inputs-System'!$C$26*'Coincidence Factors'!$B$9*(1+'Inputs-System'!$C$18))*'Inputs-Proposals'!$D$22*(VLOOKUP(DN$3,Capacity!$A$53:$E$85,4,FALSE)*(1+'Inputs-System'!$C$42)+VLOOKUP(DN$3,Capacity!$A$53:$E$85,5,FALSE)*'Inputs-System'!$C$29*(1+'Inputs-System'!$C$43)), $C57 = "3", ('Inputs-System'!$C$26*'Coincidence Factors'!$B$9*(1+'Inputs-System'!$C$18))*'Inputs-Proposals'!$D$28*(VLOOKUP(DN$3,Capacity!$A$53:$E$85,4,FALSE)*(1+'Inputs-System'!$C$42)+VLOOKUP(DN$3,Capacity!$A$53:$E$85,5,FALSE)*'Inputs-System'!$C$29*(1+'Inputs-System'!$C$43)), $C57 = "0", 0), 0)</f>
        <v>0</v>
      </c>
      <c r="DR57" s="44">
        <v>0</v>
      </c>
      <c r="DS57" s="342">
        <f>IFERROR(_xlfn.IFS($C57="1", 'Inputs-System'!$C$30*'Coincidence Factors'!$B$9*'Inputs-Proposals'!$K$17*'Inputs-Proposals'!$K$19*(VLOOKUP(DN$3,'Non-Embedded Emissions'!$A$56:$D$90,2,FALSE)-VLOOKUP(DN$3,'Non-Embedded Emissions'!$F$57:$H$88,2,FALSE)+VLOOKUP(DN$3,'Non-Embedded Emissions'!$A$143:$D$174,2,FALSE)-VLOOKUP(DN$3,'Non-Embedded Emissions'!$F$143:$H$174,2,FALSE)+VLOOKUP(DN$3,'Non-Embedded Emissions'!$A$230:$D$259,2,FALSE)), $C57 = "2", 'Inputs-System'!$C$30*'Coincidence Factors'!$B$9*'Inputs-Proposals'!$K$23*'Inputs-Proposals'!$K$25*(VLOOKUP(DN$3,'Non-Embedded Emissions'!$A$56:$D$90,2,FALSE)-VLOOKUP(DN$3,'Non-Embedded Emissions'!$F$57:$H$88,2,FALSE)+VLOOKUP(DN$3,'Non-Embedded Emissions'!$A$143:$D$174,2,FALSE)-VLOOKUP(DN$3,'Non-Embedded Emissions'!$F$143:$H$174,2,FALSE)+VLOOKUP(DN$3,'Non-Embedded Emissions'!$A$230:$D$259,2,FALSE)), $C57 = "3", 'Inputs-System'!$C$30*'Coincidence Factors'!$B$9*'Inputs-Proposals'!$K$29*'Inputs-Proposals'!$K$31*(VLOOKUP(DN$3,'Non-Embedded Emissions'!$A$56:$D$90,2,FALSE)-VLOOKUP(DN$3,'Non-Embedded Emissions'!$F$57:$H$88,2,FALSE)+VLOOKUP(DN$3,'Non-Embedded Emissions'!$A$143:$D$174,2,FALSE)-VLOOKUP(DN$3,'Non-Embedded Emissions'!$F$143:$H$174,2,FALSE)+VLOOKUP(DN$3,'Non-Embedded Emissions'!$A$230:$D$259,2,FALSE)), $C57 = "0", 0), 0)</f>
        <v>0</v>
      </c>
      <c r="DT57" s="45">
        <f>IFERROR(_xlfn.IFS($C57="1",('Inputs-System'!$C$30*'Coincidence Factors'!$B$9*(1+'Inputs-System'!$C$18)*(1+'Inputs-System'!$C$41)*('Inputs-Proposals'!$K$17*'Inputs-Proposals'!$K$19*(1-'Inputs-Proposals'!$K$20^(DT$3-'Inputs-System'!$C$7)))*(VLOOKUP(DT$3,Energy!$A$51:$K$83,5,FALSE))), $C57 = "2",('Inputs-System'!$C$30*'Coincidence Factors'!$B$9)*(1+'Inputs-System'!$C$18)*(1+'Inputs-System'!$C$41)*('Inputs-Proposals'!$K$23*'Inputs-Proposals'!$K$25*(1-'Inputs-Proposals'!$K$26^(DT$3-'Inputs-System'!$C$7)))*(VLOOKUP(DT$3,Energy!$A$51:$K$83,5,FALSE)), $C57= "3", ('Inputs-System'!$C$30*'Coincidence Factors'!$B$9*(1+'Inputs-System'!$C$18)*(1+'Inputs-System'!$C$41)*('Inputs-Proposals'!$K$29*'Inputs-Proposals'!$K$31*(1-'Inputs-Proposals'!$K$32^(DT$3-'Inputs-System'!$C$7)))*(VLOOKUP(DT$3,Energy!$A$51:$K$83,5,FALSE))), $C57= "0", 0), 0)</f>
        <v>0</v>
      </c>
      <c r="DU57" s="44">
        <f>IFERROR(_xlfn.IFS($C57="1",('Inputs-System'!$C$30*'Coincidence Factors'!$B$9*(1+'Inputs-System'!$C$18)*(1+'Inputs-System'!$C$41))*'Inputs-Proposals'!$K$17*'Inputs-Proposals'!$K$19*(1-'Inputs-Proposals'!$K$20^(DT$3-'Inputs-System'!$C$7))*(VLOOKUP(DT$3,'Embedded Emissions'!$A$47:$B$78,2,FALSE)+VLOOKUP(DT$3,'Embedded Emissions'!$A$129:$B$158,2,FALSE)), $C57 = "2",('Inputs-System'!$C$30*'Coincidence Factors'!$B$9*(1+'Inputs-System'!$C$18)*(1+'Inputs-System'!$C$41))*'Inputs-Proposals'!$K$23*'Inputs-Proposals'!$K$25*(1-'Inputs-Proposals'!$K$20^(DT$3-'Inputs-System'!$C$7))*(VLOOKUP(DT$3,'Embedded Emissions'!$A$47:$B$78,2,FALSE)+VLOOKUP(DT$3,'Embedded Emissions'!$A$129:$B$158,2,FALSE)), $C57 = "3", ('Inputs-System'!$C$30*'Coincidence Factors'!$B$9*(1+'Inputs-System'!$C$18)*(1+'Inputs-System'!$C$41))*'Inputs-Proposals'!$K$29*'Inputs-Proposals'!$K$31*(1-'Inputs-Proposals'!$K$20^(DT$3-'Inputs-System'!$C$7))*(VLOOKUP(DT$3,'Embedded Emissions'!$A$47:$B$78,2,FALSE)+VLOOKUP(DT$3,'Embedded Emissions'!$A$129:$B$158,2,FALSE)), $C57 = "0", 0), 0)</f>
        <v>0</v>
      </c>
      <c r="DV57" s="44">
        <f>IFERROR(_xlfn.IFS($C57="1",( 'Inputs-System'!$C$30*'Coincidence Factors'!$B$9*(1+'Inputs-System'!$C$18)*(1+'Inputs-System'!$C$41))*('Inputs-Proposals'!$K$17*'Inputs-Proposals'!$K$19*(1-'Inputs-Proposals'!$K$20)^(DT$3-'Inputs-System'!$C$7))*(VLOOKUP(DT$3,DRIPE!$A$54:$I$82,5,FALSE)+VLOOKUP(DT$3,DRIPE!$A$54:$I$82,9,FALSE))+ ('Inputs-System'!$C$26*'Coincidence Factors'!$B$6*(1+'Inputs-System'!$C$18)*(1+'Inputs-System'!$C$42))*'Inputs-Proposals'!$K$16*VLOOKUP(DT$3,DRIPE!$A$54:$I$82,8,FALSE), $C57 = "2",( 'Inputs-System'!$C$30*'Coincidence Factors'!$B$9*(1+'Inputs-System'!$C$18)*(1+'Inputs-System'!$C$41))*('Inputs-Proposals'!$K$23*'Inputs-Proposals'!$K$25*(1-'Inputs-Proposals'!$K$26)^(DT$3-'Inputs-System'!$C$7))*(VLOOKUP(DT$3,DRIPE!$A$54:$I$82,5,FALSE)+VLOOKUP(DT$3,DRIPE!$A$54:$I$82,9,FALSE))+ ('Inputs-System'!$C$26*'Coincidence Factors'!$B$6*(1+'Inputs-System'!$C$18)*(1+'Inputs-System'!$C$42))*'Inputs-Proposals'!$K$22*VLOOKUP(DT$3,DRIPE!$A$54:$I$82,8,FALSE), $C57= "3", ( 'Inputs-System'!$C$30*'Coincidence Factors'!$B$9*(1+'Inputs-System'!$C$18)*(1+'Inputs-System'!$C$41))*('Inputs-Proposals'!$K$29*'Inputs-Proposals'!$K$31*(1-'Inputs-Proposals'!$K$32)^(DT$3-'Inputs-System'!$C$7))*(VLOOKUP(DT$3,DRIPE!$A$54:$I$82,5,FALSE)+VLOOKUP(DT$3,DRIPE!$A$54:$I$82,9,FALSE))+ ('Inputs-System'!$C$26*'Coincidence Factors'!$B$6*(1+'Inputs-System'!$C$18)*(1+'Inputs-System'!$C$42))*'Inputs-Proposals'!$K$28*VLOOKUP(DT$3,DRIPE!$A$54:$I$82,8,FALSE), $C57 = "0", 0), 0)</f>
        <v>0</v>
      </c>
      <c r="DW57" s="45">
        <f>IFERROR(_xlfn.IFS($C57="1",('Inputs-System'!$C$26*'Coincidence Factors'!$B$9*(1+'Inputs-System'!$C$18)*(1+'Inputs-System'!$C$42))*'Inputs-Proposals'!$D$16*(VLOOKUP(DT$3,Capacity!$A$53:$E$85,4,FALSE)*(1+'Inputs-System'!$C$42)+VLOOKUP(DT$3,Capacity!$A$53:$E$85,5,FALSE)*(1+'Inputs-System'!$C$43)*'Inputs-System'!$C$29), $C57 = "2", ('Inputs-System'!$C$26*'Coincidence Factors'!$B$9*(1+'Inputs-System'!$C$18))*'Inputs-Proposals'!$D$22*(VLOOKUP(DT$3,Capacity!$A$53:$E$85,4,FALSE)*(1+'Inputs-System'!$C$42)+VLOOKUP(DT$3,Capacity!$A$53:$E$85,5,FALSE)*'Inputs-System'!$C$29*(1+'Inputs-System'!$C$43)), $C57 = "3", ('Inputs-System'!$C$26*'Coincidence Factors'!$B$9*(1+'Inputs-System'!$C$18))*'Inputs-Proposals'!$D$28*(VLOOKUP(DT$3,Capacity!$A$53:$E$85,4,FALSE)*(1+'Inputs-System'!$C$42)+VLOOKUP(DT$3,Capacity!$A$53:$E$85,5,FALSE)*'Inputs-System'!$C$29*(1+'Inputs-System'!$C$43)), $C57 = "0", 0), 0)</f>
        <v>0</v>
      </c>
      <c r="DX57" s="44">
        <v>0</v>
      </c>
      <c r="DY57" s="342">
        <f>IFERROR(_xlfn.IFS($C57="1", 'Inputs-System'!$C$30*'Coincidence Factors'!$B$9*'Inputs-Proposals'!$K$17*'Inputs-Proposals'!$K$19*(VLOOKUP(DT$3,'Non-Embedded Emissions'!$A$56:$D$90,2,FALSE)-VLOOKUP(DT$3,'Non-Embedded Emissions'!$F$57:$H$88,2,FALSE)+VLOOKUP(DT$3,'Non-Embedded Emissions'!$A$143:$D$174,2,FALSE)-VLOOKUP(DT$3,'Non-Embedded Emissions'!$F$143:$H$174,2,FALSE)+VLOOKUP(DT$3,'Non-Embedded Emissions'!$A$230:$D$259,2,FALSE)), $C57 = "2", 'Inputs-System'!$C$30*'Coincidence Factors'!$B$9*'Inputs-Proposals'!$K$23*'Inputs-Proposals'!$K$25*(VLOOKUP(DT$3,'Non-Embedded Emissions'!$A$56:$D$90,2,FALSE)-VLOOKUP(DT$3,'Non-Embedded Emissions'!$F$57:$H$88,2,FALSE)+VLOOKUP(DT$3,'Non-Embedded Emissions'!$A$143:$D$174,2,FALSE)-VLOOKUP(DT$3,'Non-Embedded Emissions'!$F$143:$H$174,2,FALSE)+VLOOKUP(DT$3,'Non-Embedded Emissions'!$A$230:$D$259,2,FALSE)), $C57 = "3", 'Inputs-System'!$C$30*'Coincidence Factors'!$B$9*'Inputs-Proposals'!$K$29*'Inputs-Proposals'!$K$31*(VLOOKUP(DT$3,'Non-Embedded Emissions'!$A$56:$D$90,2,FALSE)-VLOOKUP(DT$3,'Non-Embedded Emissions'!$F$57:$H$88,2,FALSE)+VLOOKUP(DT$3,'Non-Embedded Emissions'!$A$143:$D$174,2,FALSE)-VLOOKUP(DT$3,'Non-Embedded Emissions'!$F$143:$H$174,2,FALSE)+VLOOKUP(DT$3,'Non-Embedded Emissions'!$A$230:$D$259,2,FALSE)), $C57 = "0", 0), 0)</f>
        <v>0</v>
      </c>
      <c r="DZ57" s="45">
        <f>IFERROR(_xlfn.IFS($C57="1",('Inputs-System'!$C$30*'Coincidence Factors'!$B$9*(1+'Inputs-System'!$C$18)*(1+'Inputs-System'!$C$41)*('Inputs-Proposals'!$K$17*'Inputs-Proposals'!$K$19*(1-'Inputs-Proposals'!$K$20^(DZ$3-'Inputs-System'!$C$7)))*(VLOOKUP(DZ$3,Energy!$A$51:$K$83,5,FALSE))), $C57 = "2",('Inputs-System'!$C$30*'Coincidence Factors'!$B$9)*(1+'Inputs-System'!$C$18)*(1+'Inputs-System'!$C$41)*('Inputs-Proposals'!$K$23*'Inputs-Proposals'!$K$25*(1-'Inputs-Proposals'!$K$26^(DZ$3-'Inputs-System'!$C$7)))*(VLOOKUP(DZ$3,Energy!$A$51:$K$83,5,FALSE)), $C57= "3", ('Inputs-System'!$C$30*'Coincidence Factors'!$B$9*(1+'Inputs-System'!$C$18)*(1+'Inputs-System'!$C$41)*('Inputs-Proposals'!$K$29*'Inputs-Proposals'!$K$31*(1-'Inputs-Proposals'!$K$32^(DZ$3-'Inputs-System'!$C$7)))*(VLOOKUP(DZ$3,Energy!$A$51:$K$83,5,FALSE))), $C57= "0", 0), 0)</f>
        <v>0</v>
      </c>
      <c r="EA57" s="44">
        <f>IFERROR(_xlfn.IFS($C57="1",('Inputs-System'!$C$30*'Coincidence Factors'!$B$9*(1+'Inputs-System'!$C$18)*(1+'Inputs-System'!$C$41))*'Inputs-Proposals'!$K$17*'Inputs-Proposals'!$K$19*(1-'Inputs-Proposals'!$K$20^(DZ$3-'Inputs-System'!$C$7))*(VLOOKUP(DZ$3,'Embedded Emissions'!$A$47:$B$78,2,FALSE)+VLOOKUP(DZ$3,'Embedded Emissions'!$A$129:$B$158,2,FALSE)), $C57 = "2",('Inputs-System'!$C$30*'Coincidence Factors'!$B$9*(1+'Inputs-System'!$C$18)*(1+'Inputs-System'!$C$41))*'Inputs-Proposals'!$K$23*'Inputs-Proposals'!$K$25*(1-'Inputs-Proposals'!$K$20^(DZ$3-'Inputs-System'!$C$7))*(VLOOKUP(DZ$3,'Embedded Emissions'!$A$47:$B$78,2,FALSE)+VLOOKUP(DZ$3,'Embedded Emissions'!$A$129:$B$158,2,FALSE)), $C57 = "3", ('Inputs-System'!$C$30*'Coincidence Factors'!$B$9*(1+'Inputs-System'!$C$18)*(1+'Inputs-System'!$C$41))*'Inputs-Proposals'!$K$29*'Inputs-Proposals'!$K$31*(1-'Inputs-Proposals'!$K$20^(DZ$3-'Inputs-System'!$C$7))*(VLOOKUP(DZ$3,'Embedded Emissions'!$A$47:$B$78,2,FALSE)+VLOOKUP(DZ$3,'Embedded Emissions'!$A$129:$B$158,2,FALSE)), $C57 = "0", 0), 0)</f>
        <v>0</v>
      </c>
      <c r="EB57" s="44">
        <f>IFERROR(_xlfn.IFS($C57="1",( 'Inputs-System'!$C$30*'Coincidence Factors'!$B$9*(1+'Inputs-System'!$C$18)*(1+'Inputs-System'!$C$41))*('Inputs-Proposals'!$K$17*'Inputs-Proposals'!$K$19*(1-'Inputs-Proposals'!$K$20)^(DZ$3-'Inputs-System'!$C$7))*(VLOOKUP(DZ$3,DRIPE!$A$54:$I$82,5,FALSE)+VLOOKUP(DZ$3,DRIPE!$A$54:$I$82,9,FALSE))+ ('Inputs-System'!$C$26*'Coincidence Factors'!$B$6*(1+'Inputs-System'!$C$18)*(1+'Inputs-System'!$C$42))*'Inputs-Proposals'!$K$16*VLOOKUP(DZ$3,DRIPE!$A$54:$I$82,8,FALSE), $C57 = "2",( 'Inputs-System'!$C$30*'Coincidence Factors'!$B$9*(1+'Inputs-System'!$C$18)*(1+'Inputs-System'!$C$41))*('Inputs-Proposals'!$K$23*'Inputs-Proposals'!$K$25*(1-'Inputs-Proposals'!$K$26)^(DZ$3-'Inputs-System'!$C$7))*(VLOOKUP(DZ$3,DRIPE!$A$54:$I$82,5,FALSE)+VLOOKUP(DZ$3,DRIPE!$A$54:$I$82,9,FALSE))+ ('Inputs-System'!$C$26*'Coincidence Factors'!$B$6*(1+'Inputs-System'!$C$18)*(1+'Inputs-System'!$C$42))*'Inputs-Proposals'!$K$22*VLOOKUP(DZ$3,DRIPE!$A$54:$I$82,8,FALSE), $C57= "3", ( 'Inputs-System'!$C$30*'Coincidence Factors'!$B$9*(1+'Inputs-System'!$C$18)*(1+'Inputs-System'!$C$41))*('Inputs-Proposals'!$K$29*'Inputs-Proposals'!$K$31*(1-'Inputs-Proposals'!$K$32)^(DZ$3-'Inputs-System'!$C$7))*(VLOOKUP(DZ$3,DRIPE!$A$54:$I$82,5,FALSE)+VLOOKUP(DZ$3,DRIPE!$A$54:$I$82,9,FALSE))+ ('Inputs-System'!$C$26*'Coincidence Factors'!$B$6*(1+'Inputs-System'!$C$18)*(1+'Inputs-System'!$C$42))*'Inputs-Proposals'!$K$28*VLOOKUP(DZ$3,DRIPE!$A$54:$I$82,8,FALSE), $C57 = "0", 0), 0)</f>
        <v>0</v>
      </c>
      <c r="EC57" s="45">
        <f>IFERROR(_xlfn.IFS($C57="1",('Inputs-System'!$C$26*'Coincidence Factors'!$B$9*(1+'Inputs-System'!$C$18)*(1+'Inputs-System'!$C$42))*'Inputs-Proposals'!$D$16*(VLOOKUP(DZ$3,Capacity!$A$53:$E$85,4,FALSE)*(1+'Inputs-System'!$C$42)+VLOOKUP(DZ$3,Capacity!$A$53:$E$85,5,FALSE)*(1+'Inputs-System'!$C$43)*'Inputs-System'!$C$29), $C57 = "2", ('Inputs-System'!$C$26*'Coincidence Factors'!$B$9*(1+'Inputs-System'!$C$18))*'Inputs-Proposals'!$D$22*(VLOOKUP(DZ$3,Capacity!$A$53:$E$85,4,FALSE)*(1+'Inputs-System'!$C$42)+VLOOKUP(DZ$3,Capacity!$A$53:$E$85,5,FALSE)*'Inputs-System'!$C$29*(1+'Inputs-System'!$C$43)), $C57 = "3", ('Inputs-System'!$C$26*'Coincidence Factors'!$B$9*(1+'Inputs-System'!$C$18))*'Inputs-Proposals'!$D$28*(VLOOKUP(DZ$3,Capacity!$A$53:$E$85,4,FALSE)*(1+'Inputs-System'!$C$42)+VLOOKUP(DZ$3,Capacity!$A$53:$E$85,5,FALSE)*'Inputs-System'!$C$29*(1+'Inputs-System'!$C$43)), $C57 = "0", 0), 0)</f>
        <v>0</v>
      </c>
      <c r="ED57" s="44">
        <v>0</v>
      </c>
      <c r="EE57" s="342">
        <f>IFERROR(_xlfn.IFS($C57="1", 'Inputs-System'!$C$30*'Coincidence Factors'!$B$9*'Inputs-Proposals'!$K$17*'Inputs-Proposals'!$K$19*(VLOOKUP(DZ$3,'Non-Embedded Emissions'!$A$56:$D$90,2,FALSE)-VLOOKUP(DZ$3,'Non-Embedded Emissions'!$F$57:$H$88,2,FALSE)+VLOOKUP(DZ$3,'Non-Embedded Emissions'!$A$143:$D$174,2,FALSE)-VLOOKUP(DZ$3,'Non-Embedded Emissions'!$F$143:$H$174,2,FALSE)+VLOOKUP(DZ$3,'Non-Embedded Emissions'!$A$230:$D$259,2,FALSE)), $C57 = "2", 'Inputs-System'!$C$30*'Coincidence Factors'!$B$9*'Inputs-Proposals'!$K$23*'Inputs-Proposals'!$K$25*(VLOOKUP(DZ$3,'Non-Embedded Emissions'!$A$56:$D$90,2,FALSE)-VLOOKUP(DZ$3,'Non-Embedded Emissions'!$F$57:$H$88,2,FALSE)+VLOOKUP(DZ$3,'Non-Embedded Emissions'!$A$143:$D$174,2,FALSE)-VLOOKUP(DZ$3,'Non-Embedded Emissions'!$F$143:$H$174,2,FALSE)+VLOOKUP(DZ$3,'Non-Embedded Emissions'!$A$230:$D$259,2,FALSE)), $C57 = "3", 'Inputs-System'!$C$30*'Coincidence Factors'!$B$9*'Inputs-Proposals'!$K$29*'Inputs-Proposals'!$K$31*(VLOOKUP(DZ$3,'Non-Embedded Emissions'!$A$56:$D$90,2,FALSE)-VLOOKUP(DZ$3,'Non-Embedded Emissions'!$F$57:$H$88,2,FALSE)+VLOOKUP(DZ$3,'Non-Embedded Emissions'!$A$143:$D$174,2,FALSE)-VLOOKUP(DZ$3,'Non-Embedded Emissions'!$F$143:$H$174,2,FALSE)+VLOOKUP(DZ$3,'Non-Embedded Emissions'!$A$230:$D$259,2,FALSE)), $C57 = "0", 0), 0)</f>
        <v>0</v>
      </c>
    </row>
    <row r="58" spans="1:135" x14ac:dyDescent="0.35">
      <c r="A58" s="708"/>
      <c r="B58" s="3" t="str">
        <f>B52</f>
        <v>LNG GenSet</v>
      </c>
      <c r="C58" s="3" t="str">
        <f>IFERROR(_xlfn.IFS('Benefits Calc'!B58='Inputs-Proposals'!$K$15, "1", 'Benefits Calc'!B58='Inputs-Proposals'!$K$21, "2", 'Benefits Calc'!B58='Inputs-Proposals'!$K$27, "3"), "0")</f>
        <v>0</v>
      </c>
      <c r="D58" s="324">
        <f t="shared" si="54"/>
        <v>0</v>
      </c>
      <c r="E58" s="320">
        <f t="shared" si="55"/>
        <v>0</v>
      </c>
      <c r="F58" s="320">
        <f t="shared" si="56"/>
        <v>0</v>
      </c>
      <c r="G58" s="320">
        <f t="shared" si="57"/>
        <v>0</v>
      </c>
      <c r="H58" s="320">
        <f t="shared" si="58"/>
        <v>0</v>
      </c>
      <c r="I58" s="320">
        <f t="shared" si="59"/>
        <v>0</v>
      </c>
      <c r="J58" s="323">
        <f>NPV('Inputs-System'!$C$20,P58+V58+AB58+AH58+AN58+AT58+AZ58+BF58+BL58+BR58+BX58+CD58+CJ58+CP58+CV58+DB58+DH58+DN58+DT58+DZ58)</f>
        <v>0</v>
      </c>
      <c r="K58" s="44">
        <f>NPV('Inputs-System'!$C$20,Q58+W58+AC58+AI58+AO58+AU58+BA58+BG58+BM58+BS58+BY58+CE58+CK58+CQ58+CW58+DC58+DI58+DO58+DU58+EA58)</f>
        <v>0</v>
      </c>
      <c r="L58" s="44">
        <f>NPV('Inputs-System'!$C$20,R58+X58+AD58+AJ58+AP58+AV58+BB58+BH58+BN58+BT58+BZ58+CF58+CL58+CR58+CX58+DD58+DJ58+DP58+DV58+EB58)</f>
        <v>0</v>
      </c>
      <c r="M58" s="44">
        <f>NPV('Inputs-System'!$C$20,S58+Y58+AE58+AK58+AQ58+AW58+BC58+BI58+BO58+BU58+CA58+CG58+CM58+CS58+CY58+DE58+DK58+DQ58+DW58+EC58)</f>
        <v>0</v>
      </c>
      <c r="N58" s="44">
        <f>NPV('Inputs-System'!$C$20,T58+Z58+AF58+AL58+AR58+AX58+BD58+BJ58+BP58+BV58+CB58+CH58+CN58+CT58+CZ58+DF58+DL58+DR58+DX58+ED58)</f>
        <v>0</v>
      </c>
      <c r="O58" s="119">
        <f>NPV('Inputs-System'!$C$20,U58+AA58+AG58+AM58+AS58+AY58+BE58+BK58+BQ58+BW58+CC58+CI58+CO58+CU58+DA58+DG58+DM58+DS58+DY58+EE58)</f>
        <v>0</v>
      </c>
      <c r="P58" s="366">
        <f>IFERROR(_xlfn.IFS($C58="1",('Inputs-System'!$C$30*'Coincidence Factors'!$B$10*(1+'Inputs-System'!$C$18)*(1+'Inputs-System'!$C$41)*('Inputs-Proposals'!$K$17*'Inputs-Proposals'!$K$19*(1-'Inputs-Proposals'!$K$20^(P$3-'Inputs-System'!$C$7+1)))*(VLOOKUP(P$3,Energy!$A$51:$K$83,5,FALSE))), $C58 = "2",('Inputs-System'!$C$30*'Coincidence Factors'!$B$10)*(1+'Inputs-System'!$C$18)*(1+'Inputs-System'!$C$41)*('Inputs-Proposals'!$K$23*'Inputs-Proposals'!$K$25*(1-'Inputs-Proposals'!$K$26^(P$3-'Inputs-System'!$C$7+1)))*(VLOOKUP(P$3,Energy!$A$51:$K$83,5,FALSE)), $C58= "3", ('Inputs-System'!$C$30*'Coincidence Factors'!$B$10*(1+'Inputs-System'!$C$18)*(1+'Inputs-System'!$C$41)*('Inputs-Proposals'!$K$29*'Inputs-Proposals'!$K$31*(1-'Inputs-Proposals'!$K$32^(P$3-'Inputs-System'!$C$7+1)))*(VLOOKUP(P$3,Energy!$A$51:$K$83,5,FALSE))), $C58= "0", 0), 0)</f>
        <v>0</v>
      </c>
      <c r="Q58" s="44">
        <f>IFERROR(_xlfn.IFS($C58="1",('Inputs-System'!$C$30*'Coincidence Factors'!$B$10*(1+'Inputs-System'!$C$18)*(1+'Inputs-System'!$C$41))*'Inputs-Proposals'!$K$17*'Inputs-Proposals'!$K$19*(1-'Inputs-Proposals'!$K$20^(P$3-'Inputs-System'!$C$7+1))*(VLOOKUP(P$3,'Embedded Emissions'!$A$47:$B$78,2,FALSE)+VLOOKUP(P$3,'Embedded Emissions'!$A$129:$B$158,2,FALSE)), $C58 = "2",('Inputs-System'!$C$30*'Coincidence Factors'!$B$10*(1+'Inputs-System'!$C$18)*(1+'Inputs-System'!$C$41))*'Inputs-Proposals'!$K$23*'Inputs-Proposals'!$K$25*(1-'Inputs-Proposals'!$K$20^(P$3-'Inputs-System'!$C$7+1))*(VLOOKUP(P$3,'Embedded Emissions'!$A$47:$B$78,2,FALSE)+VLOOKUP(P$3,'Embedded Emissions'!$A$129:$B$158,2,FALSE)), $C58 = "3", ('Inputs-System'!$C$30*'Coincidence Factors'!$B$10*(1+'Inputs-System'!$C$18)*(1+'Inputs-System'!$C$41))*'Inputs-Proposals'!$K$29*'Inputs-Proposals'!$K$31*(1-'Inputs-Proposals'!$K$20^(P$3-'Inputs-System'!$C$7+1))*(VLOOKUP(P$3,'Embedded Emissions'!$A$47:$B$78,2,FALSE)+VLOOKUP(P$3,'Embedded Emissions'!$A$129:$B$158,2,FALSE)), $C58 = "0", 0), 0)</f>
        <v>0</v>
      </c>
      <c r="R58" s="44">
        <f>IFERROR(_xlfn.IFS($C58="1",( 'Inputs-System'!$C$30*'Coincidence Factors'!$B$10*(1+'Inputs-System'!$C$18)*(1+'Inputs-System'!$C$41))*('Inputs-Proposals'!$K$17*'Inputs-Proposals'!$K$19*(1-'Inputs-Proposals'!$K$20)^(P$3-'Inputs-System'!$C$7))*(VLOOKUP(P$3,DRIPE!$A$54:$I$82,5,FALSE)+VLOOKUP(P$3,DRIPE!$A$54:$I$82,9,FALSE))+ ('Inputs-System'!$C$26*'Coincidence Factors'!$B$6*(1+'Inputs-System'!$C$18)*(1+'Inputs-System'!$C$42))*'Inputs-Proposals'!$K$16*VLOOKUP(P$3,DRIPE!$A$54:$I$82,8,FALSE), $C58 = "2",( 'Inputs-System'!$C$30*'Coincidence Factors'!$B$10*(1+'Inputs-System'!$C$18)*(1+'Inputs-System'!$C$41))*('Inputs-Proposals'!$K$23*'Inputs-Proposals'!$K$25*(1-'Inputs-Proposals'!$K$26)^(P$3-'Inputs-System'!$C$7))*(VLOOKUP(P$3,DRIPE!$A$54:$I$82,5,FALSE)+VLOOKUP(P$3,DRIPE!$A$54:$I$82,9,FALSE))+ ('Inputs-System'!$C$26*'Coincidence Factors'!$B$6*(1+'Inputs-System'!$C$18)*(1+'Inputs-System'!$C$42))*'Inputs-Proposals'!$K$22*VLOOKUP(P$3,DRIPE!$A$54:$I$82,8,FALSE), $C58= "3", ( 'Inputs-System'!$C$30*'Coincidence Factors'!$B$10*(1+'Inputs-System'!$C$18)*(1+'Inputs-System'!$C$41))*('Inputs-Proposals'!$K$29*'Inputs-Proposals'!$K$31*(1-'Inputs-Proposals'!$K$32)^(P$3-'Inputs-System'!$C$7))*(VLOOKUP(P$3,DRIPE!$A$54:$I$82,5,FALSE)+VLOOKUP(P$3,DRIPE!$A$54:$I$82,9,FALSE))+ ('Inputs-System'!$C$26*'Coincidence Factors'!$B$6*(1+'Inputs-System'!$C$18)*(1+'Inputs-System'!$C$42))*'Inputs-Proposals'!$K$28*VLOOKUP(P$3,DRIPE!$A$54:$I$82,8,FALSE), $C58 = "0", 0), 0)</f>
        <v>0</v>
      </c>
      <c r="S58" s="45">
        <f>IFERROR(_xlfn.IFS($C58="1",('Inputs-System'!$C$26*'Coincidence Factors'!$B$10*(1+'Inputs-System'!$C$18)*(1+'Inputs-System'!$C$42))*'Inputs-Proposals'!$D$16*(VLOOKUP(P$3,Capacity!$A$53:$E$85,4,FALSE)*(1+'Inputs-System'!$C$42)+VLOOKUP(P$3,Capacity!$A$53:$E$85,5,FALSE)*(1+'Inputs-System'!$C$43)*'Inputs-System'!$C$29), $C58 = "2", ('Inputs-System'!$C$26*'Coincidence Factors'!$B$10*(1+'Inputs-System'!$C$18))*'Inputs-Proposals'!$D$22*(VLOOKUP(P$3,Capacity!$A$53:$E$85,4,FALSE)*(1+'Inputs-System'!$C$42)+VLOOKUP(P$3,Capacity!$A$53:$E$85,5,FALSE)*'Inputs-System'!$C$29*(1+'Inputs-System'!$C$43)), $C58 = "3", ('Inputs-System'!$C$26*'Coincidence Factors'!$B$10*(1+'Inputs-System'!$C$18))*'Inputs-Proposals'!$D$28*(VLOOKUP(P$3,Capacity!$A$53:$E$85,4,FALSE)*(1+'Inputs-System'!$C$42)+VLOOKUP(P$3,Capacity!$A$53:$E$85,5,FALSE)*'Inputs-System'!$C$29*(1+'Inputs-System'!$C$43)), $C58 = "0", 0), 0)</f>
        <v>0</v>
      </c>
      <c r="T58" s="44">
        <v>0</v>
      </c>
      <c r="U58" s="342">
        <f>IFERROR(_xlfn.IFS($C58="1", 'Inputs-System'!$C$30*'Coincidence Factors'!$B$10*'Inputs-Proposals'!$K$17*'Inputs-Proposals'!$K$19*(VLOOKUP(P$3,'Non-Embedded Emissions'!$A$56:$D$90,2,FALSE)-VLOOKUP(P$3,'Non-Embedded Emissions'!$F$57:$H$88,3,FALSE)+VLOOKUP(P$3,'Non-Embedded Emissions'!$A$143:$D$174,2,FALSE)-VLOOKUP(P$3,'Non-Embedded Emissions'!$F$143:$H$174,3,FALSE)+VLOOKUP(P$3,'Non-Embedded Emissions'!$A$230:$D$259,2,FALSE)), $C58 = "2", 'Inputs-System'!$C$30*'Coincidence Factors'!$B$10*'Inputs-Proposals'!$K$23*'Inputs-Proposals'!$K$25*(VLOOKUP(P$3,'Non-Embedded Emissions'!$A$56:$D$90,2,FALSE)-VLOOKUP(P$3,'Non-Embedded Emissions'!$F$57:$H$88,3,FALSE)+VLOOKUP(P$3,'Non-Embedded Emissions'!$A$143:$D$174,2,FALSE)-VLOOKUP(P$3,'Non-Embedded Emissions'!$F$143:$H$174,3,FALSE)+VLOOKUP(P$3,'Non-Embedded Emissions'!$A$230:$D$259,2,FALSE)), $C58 = "3", 'Inputs-System'!$C$30*'Coincidence Factors'!$B$10*'Inputs-Proposals'!$K$29*'Inputs-Proposals'!$K$31*(VLOOKUP(P$3,'Non-Embedded Emissions'!$A$56:$D$90,2,FALSE)-VLOOKUP(P$3,'Non-Embedded Emissions'!$F$57:$H$88,3,FALSE)+VLOOKUP(P$3,'Non-Embedded Emissions'!$A$143:$D$174,2,FALSE)-VLOOKUP(P$3,'Non-Embedded Emissions'!$F$143:$H$174,3,FALSE)+VLOOKUP(P$3,'Non-Embedded Emissions'!$A$230:$D$259,2,FALSE)), $C58 = "0", 0), 0)</f>
        <v>0</v>
      </c>
      <c r="V58" s="45">
        <f>IFERROR(_xlfn.IFS($C58="1",('Inputs-System'!$C$30*'Coincidence Factors'!$B$10*(1+'Inputs-System'!$C$18)*(1+'Inputs-System'!$C$41)*('Inputs-Proposals'!$K$17*'Inputs-Proposals'!$K$19*(1-'Inputs-Proposals'!$K$20^(V$3-'Inputs-System'!$C$7)))*(VLOOKUP(V$3,Energy!$A$51:$K$83,5,FALSE))), $C58 = "2",('Inputs-System'!$C$30*'Coincidence Factors'!$B$10)*(1+'Inputs-System'!$C$18)*(1+'Inputs-System'!$C$41)*('Inputs-Proposals'!$K$23*'Inputs-Proposals'!$K$25*(1-'Inputs-Proposals'!$K$26^(V$3-'Inputs-System'!$C$7)))*(VLOOKUP(V$3,Energy!$A$51:$K$83,5,FALSE)), $C58= "3", ('Inputs-System'!$C$30*'Coincidence Factors'!$B$10*(1+'Inputs-System'!$C$18)*(1+'Inputs-System'!$C$41)*('Inputs-Proposals'!$K$29*'Inputs-Proposals'!$K$31*(1-'Inputs-Proposals'!$K$32^(V$3-'Inputs-System'!$C$7)))*(VLOOKUP(V$3,Energy!$A$51:$K$83,5,FALSE))), $C58= "0", 0), 0)</f>
        <v>0</v>
      </c>
      <c r="W58" s="44">
        <f>IFERROR(_xlfn.IFS($C58="1",('Inputs-System'!$C$30*'Coincidence Factors'!$B$10*(1+'Inputs-System'!$C$18)*(1+'Inputs-System'!$C$41))*'Inputs-Proposals'!$K$17*'Inputs-Proposals'!$K$19*(1-'Inputs-Proposals'!$K$20^(V$3-'Inputs-System'!$C$7))*(VLOOKUP(V$3,'Embedded Emissions'!$A$47:$B$78,2,FALSE)+VLOOKUP(V$3,'Embedded Emissions'!$A$129:$B$158,2,FALSE)), $C58 = "2",('Inputs-System'!$C$30*'Coincidence Factors'!$B$10*(1+'Inputs-System'!$C$18)*(1+'Inputs-System'!$C$41))*'Inputs-Proposals'!$K$23*'Inputs-Proposals'!$K$25*(1-'Inputs-Proposals'!$K$20^(V$3-'Inputs-System'!$C$7))*(VLOOKUP(V$3,'Embedded Emissions'!$A$47:$B$78,2,FALSE)+VLOOKUP(V$3,'Embedded Emissions'!$A$129:$B$158,2,FALSE)), $C58 = "3", ('Inputs-System'!$C$30*'Coincidence Factors'!$B$10*(1+'Inputs-System'!$C$18)*(1+'Inputs-System'!$C$41))*'Inputs-Proposals'!$K$29*'Inputs-Proposals'!$K$31*(1-'Inputs-Proposals'!$K$20^(V$3-'Inputs-System'!$C$7))*(VLOOKUP(V$3,'Embedded Emissions'!$A$47:$B$78,2,FALSE)+VLOOKUP(V$3,'Embedded Emissions'!$A$129:$B$158,2,FALSE)), $C58 = "0", 0), 0)</f>
        <v>0</v>
      </c>
      <c r="X58" s="44">
        <f>IFERROR(_xlfn.IFS($C58="1",( 'Inputs-System'!$C$30*'Coincidence Factors'!$B$10*(1+'Inputs-System'!$C$18)*(1+'Inputs-System'!$C$41))*('Inputs-Proposals'!$K$17*'Inputs-Proposals'!$K$19*(1-'Inputs-Proposals'!$K$20)^(V$3-'Inputs-System'!$C$7))*(VLOOKUP(V$3,DRIPE!$A$54:$I$82,5,FALSE)+VLOOKUP(V$3,DRIPE!$A$54:$I$82,9,FALSE))+ ('Inputs-System'!$C$26*'Coincidence Factors'!$B$6*(1+'Inputs-System'!$C$18)*(1+'Inputs-System'!$C$42))*'Inputs-Proposals'!$K$16*VLOOKUP(V$3,DRIPE!$A$54:$I$82,8,FALSE), $C58 = "2",( 'Inputs-System'!$C$30*'Coincidence Factors'!$B$10*(1+'Inputs-System'!$C$18)*(1+'Inputs-System'!$C$41))*('Inputs-Proposals'!$K$23*'Inputs-Proposals'!$K$25*(1-'Inputs-Proposals'!$K$26)^(V$3-'Inputs-System'!$C$7))*(VLOOKUP(V$3,DRIPE!$A$54:$I$82,5,FALSE)+VLOOKUP(V$3,DRIPE!$A$54:$I$82,9,FALSE))+ ('Inputs-System'!$C$26*'Coincidence Factors'!$B$6*(1+'Inputs-System'!$C$18)*(1+'Inputs-System'!$C$42))*'Inputs-Proposals'!$K$22*VLOOKUP(V$3,DRIPE!$A$54:$I$82,8,FALSE), $C58= "3", ( 'Inputs-System'!$C$30*'Coincidence Factors'!$B$10*(1+'Inputs-System'!$C$18)*(1+'Inputs-System'!$C$41))*('Inputs-Proposals'!$K$29*'Inputs-Proposals'!$K$31*(1-'Inputs-Proposals'!$K$32)^(V$3-'Inputs-System'!$C$7))*(VLOOKUP(V$3,DRIPE!$A$54:$I$82,5,FALSE)+VLOOKUP(V$3,DRIPE!$A$54:$I$82,9,FALSE))+ ('Inputs-System'!$C$26*'Coincidence Factors'!$B$6*(1+'Inputs-System'!$C$18)*(1+'Inputs-System'!$C$42))*'Inputs-Proposals'!$K$28*VLOOKUP(V$3,DRIPE!$A$54:$I$82,8,FALSE), $C58 = "0", 0), 0)</f>
        <v>0</v>
      </c>
      <c r="Y58" s="45">
        <f>IFERROR(_xlfn.IFS($C58="1",('Inputs-System'!$C$26*'Coincidence Factors'!$B$10*(1+'Inputs-System'!$C$18)*(1+'Inputs-System'!$C$42))*'Inputs-Proposals'!$D$16*(VLOOKUP(V$3,Capacity!$A$53:$E$85,4,FALSE)*(1+'Inputs-System'!$C$42)+VLOOKUP(V$3,Capacity!$A$53:$E$85,5,FALSE)*(1+'Inputs-System'!$C$43)*'Inputs-System'!$C$29), $C58 = "2", ('Inputs-System'!$C$26*'Coincidence Factors'!$B$10*(1+'Inputs-System'!$C$18))*'Inputs-Proposals'!$D$22*(VLOOKUP(V$3,Capacity!$A$53:$E$85,4,FALSE)*(1+'Inputs-System'!$C$42)+VLOOKUP(V$3,Capacity!$A$53:$E$85,5,FALSE)*'Inputs-System'!$C$29*(1+'Inputs-System'!$C$43)), $C58 = "3", ('Inputs-System'!$C$26*'Coincidence Factors'!$B$10*(1+'Inputs-System'!$C$18))*'Inputs-Proposals'!$D$28*(VLOOKUP(V$3,Capacity!$A$53:$E$85,4,FALSE)*(1+'Inputs-System'!$C$42)+VLOOKUP(V$3,Capacity!$A$53:$E$85,5,FALSE)*'Inputs-System'!$C$29*(1+'Inputs-System'!$C$43)), $C58 = "0", 0), 0)</f>
        <v>0</v>
      </c>
      <c r="Z58" s="44">
        <v>0</v>
      </c>
      <c r="AA58" s="342">
        <f>IFERROR(_xlfn.IFS($C58="1", 'Inputs-System'!$C$30*'Coincidence Factors'!$B$10*'Inputs-Proposals'!$K$17*'Inputs-Proposals'!$K$19*(VLOOKUP(V$3,'Non-Embedded Emissions'!$A$56:$D$90,2,FALSE)-VLOOKUP(V$3,'Non-Embedded Emissions'!$F$57:$H$88,3,FALSE)+VLOOKUP(V$3,'Non-Embedded Emissions'!$A$143:$D$174,2,FALSE)-VLOOKUP(V$3,'Non-Embedded Emissions'!$F$143:$H$174,3,FALSE)+VLOOKUP(V$3,'Non-Embedded Emissions'!$A$230:$D$259,2,FALSE)), $C58 = "2", 'Inputs-System'!$C$30*'Coincidence Factors'!$B$10*'Inputs-Proposals'!$K$23*'Inputs-Proposals'!$K$25*(VLOOKUP(V$3,'Non-Embedded Emissions'!$A$56:$D$90,2,FALSE)-VLOOKUP(V$3,'Non-Embedded Emissions'!$F$57:$H$88,3,FALSE)+VLOOKUP(V$3,'Non-Embedded Emissions'!$A$143:$D$174,2,FALSE)-VLOOKUP(V$3,'Non-Embedded Emissions'!$F$143:$H$174,3,FALSE)+VLOOKUP(V$3,'Non-Embedded Emissions'!$A$230:$D$259,2,FALSE)), $C58 = "3", 'Inputs-System'!$C$30*'Coincidence Factors'!$B$10*'Inputs-Proposals'!$K$29*'Inputs-Proposals'!$K$31*(VLOOKUP(V$3,'Non-Embedded Emissions'!$A$56:$D$90,2,FALSE)-VLOOKUP(V$3,'Non-Embedded Emissions'!$F$57:$H$88,3,FALSE)+VLOOKUP(V$3,'Non-Embedded Emissions'!$A$143:$D$174,2,FALSE)-VLOOKUP(V$3,'Non-Embedded Emissions'!$F$143:$H$174,3,FALSE)+VLOOKUP(V$3,'Non-Embedded Emissions'!$A$230:$D$259,2,FALSE)), $C58 = "0", 0), 0)</f>
        <v>0</v>
      </c>
      <c r="AB58" s="45">
        <f>IFERROR(_xlfn.IFS($C58="1",('Inputs-System'!$C$30*'Coincidence Factors'!$B$10*(1+'Inputs-System'!$C$18)*(1+'Inputs-System'!$C$41)*('Inputs-Proposals'!$K$17*'Inputs-Proposals'!$K$19*(1-'Inputs-Proposals'!$K$20^(AB$3-'Inputs-System'!$C$7)))*(VLOOKUP(AB$3,Energy!$A$51:$K$83,5,FALSE))), $C58 = "2",('Inputs-System'!$C$30*'Coincidence Factors'!$B$10)*(1+'Inputs-System'!$C$18)*(1+'Inputs-System'!$C$41)*('Inputs-Proposals'!$K$23*'Inputs-Proposals'!$K$25*(1-'Inputs-Proposals'!$K$26^(AB$3-'Inputs-System'!$C$7)))*(VLOOKUP(AB$3,Energy!$A$51:$K$83,5,FALSE)), $C58= "3", ('Inputs-System'!$C$30*'Coincidence Factors'!$B$10*(1+'Inputs-System'!$C$18)*(1+'Inputs-System'!$C$41)*('Inputs-Proposals'!$K$29*'Inputs-Proposals'!$K$31*(1-'Inputs-Proposals'!$K$32^(AB$3-'Inputs-System'!$C$7)))*(VLOOKUP(AB$3,Energy!$A$51:$K$83,5,FALSE))), $C58= "0", 0), 0)</f>
        <v>0</v>
      </c>
      <c r="AC58" s="44">
        <f>IFERROR(_xlfn.IFS($C58="1",('Inputs-System'!$C$30*'Coincidence Factors'!$B$10*(1+'Inputs-System'!$C$18)*(1+'Inputs-System'!$C$41))*'Inputs-Proposals'!$K$17*'Inputs-Proposals'!$K$19*(1-'Inputs-Proposals'!$K$20^(AB$3-'Inputs-System'!$C$7))*(VLOOKUP(AB$3,'Embedded Emissions'!$A$47:$B$78,2,FALSE)+VLOOKUP(AB$3,'Embedded Emissions'!$A$129:$B$158,2,FALSE)), $C58 = "2",('Inputs-System'!$C$30*'Coincidence Factors'!$B$10*(1+'Inputs-System'!$C$18)*(1+'Inputs-System'!$C$41))*'Inputs-Proposals'!$K$23*'Inputs-Proposals'!$K$25*(1-'Inputs-Proposals'!$K$20^(AB$3-'Inputs-System'!$C$7))*(VLOOKUP(AB$3,'Embedded Emissions'!$A$47:$B$78,2,FALSE)+VLOOKUP(AB$3,'Embedded Emissions'!$A$129:$B$158,2,FALSE)), $C58 = "3", ('Inputs-System'!$C$30*'Coincidence Factors'!$B$10*(1+'Inputs-System'!$C$18)*(1+'Inputs-System'!$C$41))*'Inputs-Proposals'!$K$29*'Inputs-Proposals'!$K$31*(1-'Inputs-Proposals'!$K$20^(AB$3-'Inputs-System'!$C$7))*(VLOOKUP(AB$3,'Embedded Emissions'!$A$47:$B$78,2,FALSE)+VLOOKUP(AB$3,'Embedded Emissions'!$A$129:$B$158,2,FALSE)), $C58 = "0", 0), 0)</f>
        <v>0</v>
      </c>
      <c r="AD58" s="44">
        <f>IFERROR(_xlfn.IFS($C58="1",( 'Inputs-System'!$C$30*'Coincidence Factors'!$B$10*(1+'Inputs-System'!$C$18)*(1+'Inputs-System'!$C$41))*('Inputs-Proposals'!$K$17*'Inputs-Proposals'!$K$19*(1-'Inputs-Proposals'!$K$20)^(AB$3-'Inputs-System'!$C$7))*(VLOOKUP(AB$3,DRIPE!$A$54:$I$82,5,FALSE)+VLOOKUP(AB$3,DRIPE!$A$54:$I$82,9,FALSE))+ ('Inputs-System'!$C$26*'Coincidence Factors'!$B$6*(1+'Inputs-System'!$C$18)*(1+'Inputs-System'!$C$42))*'Inputs-Proposals'!$K$16*VLOOKUP(AB$3,DRIPE!$A$54:$I$82,8,FALSE), $C58 = "2",( 'Inputs-System'!$C$30*'Coincidence Factors'!$B$10*(1+'Inputs-System'!$C$18)*(1+'Inputs-System'!$C$41))*('Inputs-Proposals'!$K$23*'Inputs-Proposals'!$K$25*(1-'Inputs-Proposals'!$K$26)^(AB$3-'Inputs-System'!$C$7))*(VLOOKUP(AB$3,DRIPE!$A$54:$I$82,5,FALSE)+VLOOKUP(AB$3,DRIPE!$A$54:$I$82,9,FALSE))+ ('Inputs-System'!$C$26*'Coincidence Factors'!$B$6*(1+'Inputs-System'!$C$18)*(1+'Inputs-System'!$C$42))*'Inputs-Proposals'!$K$22*VLOOKUP(AB$3,DRIPE!$A$54:$I$82,8,FALSE), $C58= "3", ( 'Inputs-System'!$C$30*'Coincidence Factors'!$B$10*(1+'Inputs-System'!$C$18)*(1+'Inputs-System'!$C$41))*('Inputs-Proposals'!$K$29*'Inputs-Proposals'!$K$31*(1-'Inputs-Proposals'!$K$32)^(AB$3-'Inputs-System'!$C$7))*(VLOOKUP(AB$3,DRIPE!$A$54:$I$82,5,FALSE)+VLOOKUP(AB$3,DRIPE!$A$54:$I$82,9,FALSE))+ ('Inputs-System'!$C$26*'Coincidence Factors'!$B$6*(1+'Inputs-System'!$C$18)*(1+'Inputs-System'!$C$42))*'Inputs-Proposals'!$K$28*VLOOKUP(AB$3,DRIPE!$A$54:$I$82,8,FALSE), $C58 = "0", 0), 0)</f>
        <v>0</v>
      </c>
      <c r="AE58" s="45">
        <f>IFERROR(_xlfn.IFS($C58="1",('Inputs-System'!$C$26*'Coincidence Factors'!$B$10*(1+'Inputs-System'!$C$18)*(1+'Inputs-System'!$C$42))*'Inputs-Proposals'!$D$16*(VLOOKUP(AB$3,Capacity!$A$53:$E$85,4,FALSE)*(1+'Inputs-System'!$C$42)+VLOOKUP(AB$3,Capacity!$A$53:$E$85,5,FALSE)*(1+'Inputs-System'!$C$43)*'Inputs-System'!$C$29), $C58 = "2", ('Inputs-System'!$C$26*'Coincidence Factors'!$B$10*(1+'Inputs-System'!$C$18))*'Inputs-Proposals'!$D$22*(VLOOKUP(AB$3,Capacity!$A$53:$E$85,4,FALSE)*(1+'Inputs-System'!$C$42)+VLOOKUP(AB$3,Capacity!$A$53:$E$85,5,FALSE)*'Inputs-System'!$C$29*(1+'Inputs-System'!$C$43)), $C58 = "3", ('Inputs-System'!$C$26*'Coincidence Factors'!$B$10*(1+'Inputs-System'!$C$18))*'Inputs-Proposals'!$D$28*(VLOOKUP(AB$3,Capacity!$A$53:$E$85,4,FALSE)*(1+'Inputs-System'!$C$42)+VLOOKUP(AB$3,Capacity!$A$53:$E$85,5,FALSE)*'Inputs-System'!$C$29*(1+'Inputs-System'!$C$43)), $C58 = "0", 0), 0)</f>
        <v>0</v>
      </c>
      <c r="AF58" s="44">
        <v>0</v>
      </c>
      <c r="AG58" s="342">
        <f>IFERROR(_xlfn.IFS($C58="1", 'Inputs-System'!$C$30*'Coincidence Factors'!$B$10*'Inputs-Proposals'!$K$17*'Inputs-Proposals'!$K$19*(VLOOKUP(AB$3,'Non-Embedded Emissions'!$A$56:$D$90,2,FALSE)-VLOOKUP(AB$3,'Non-Embedded Emissions'!$F$57:$H$88,3,FALSE)+VLOOKUP(AB$3,'Non-Embedded Emissions'!$A$143:$D$174,2,FALSE)-VLOOKUP(AB$3,'Non-Embedded Emissions'!$F$143:$H$174,3,FALSE)+VLOOKUP(AB$3,'Non-Embedded Emissions'!$A$230:$D$259,2,FALSE)), $C58 = "2", 'Inputs-System'!$C$30*'Coincidence Factors'!$B$10*'Inputs-Proposals'!$K$23*'Inputs-Proposals'!$K$25*(VLOOKUP(AB$3,'Non-Embedded Emissions'!$A$56:$D$90,2,FALSE)-VLOOKUP(AB$3,'Non-Embedded Emissions'!$F$57:$H$88,3,FALSE)+VLOOKUP(AB$3,'Non-Embedded Emissions'!$A$143:$D$174,2,FALSE)-VLOOKUP(AB$3,'Non-Embedded Emissions'!$F$143:$H$174,3,FALSE)+VLOOKUP(AB$3,'Non-Embedded Emissions'!$A$230:$D$259,2,FALSE)), $C58 = "3", 'Inputs-System'!$C$30*'Coincidence Factors'!$B$10*'Inputs-Proposals'!$K$29*'Inputs-Proposals'!$K$31*(VLOOKUP(AB$3,'Non-Embedded Emissions'!$A$56:$D$90,2,FALSE)-VLOOKUP(AB$3,'Non-Embedded Emissions'!$F$57:$H$88,3,FALSE)+VLOOKUP(AB$3,'Non-Embedded Emissions'!$A$143:$D$174,2,FALSE)-VLOOKUP(AB$3,'Non-Embedded Emissions'!$F$143:$H$174,3,FALSE)+VLOOKUP(AB$3,'Non-Embedded Emissions'!$A$230:$D$259,2,FALSE)), $C58 = "0", 0), 0)</f>
        <v>0</v>
      </c>
      <c r="AH58" s="45">
        <f>IFERROR(_xlfn.IFS($C58="1",('Inputs-System'!$C$30*'Coincidence Factors'!$B$10*(1+'Inputs-System'!$C$18)*(1+'Inputs-System'!$C$41)*('Inputs-Proposals'!$K$17*'Inputs-Proposals'!$K$19*(1-'Inputs-Proposals'!$K$20^(AH$3-'Inputs-System'!$C$7)))*(VLOOKUP(AH$3,Energy!$A$51:$K$83,5,FALSE))), $C58 = "2",('Inputs-System'!$C$30*'Coincidence Factors'!$B$10)*(1+'Inputs-System'!$C$18)*(1+'Inputs-System'!$C$41)*('Inputs-Proposals'!$K$23*'Inputs-Proposals'!$K$25*(1-'Inputs-Proposals'!$K$26^(AH$3-'Inputs-System'!$C$7)))*(VLOOKUP(AH$3,Energy!$A$51:$K$83,5,FALSE)), $C58= "3", ('Inputs-System'!$C$30*'Coincidence Factors'!$B$10*(1+'Inputs-System'!$C$18)*(1+'Inputs-System'!$C$41)*('Inputs-Proposals'!$K$29*'Inputs-Proposals'!$K$31*(1-'Inputs-Proposals'!$K$32^(AH$3-'Inputs-System'!$C$7)))*(VLOOKUP(AH$3,Energy!$A$51:$K$83,5,FALSE))), $C58= "0", 0), 0)</f>
        <v>0</v>
      </c>
      <c r="AI58" s="44">
        <f>IFERROR(_xlfn.IFS($C58="1",('Inputs-System'!$C$30*'Coincidence Factors'!$B$10*(1+'Inputs-System'!$C$18)*(1+'Inputs-System'!$C$41))*'Inputs-Proposals'!$K$17*'Inputs-Proposals'!$K$19*(1-'Inputs-Proposals'!$K$20^(AH$3-'Inputs-System'!$C$7))*(VLOOKUP(AH$3,'Embedded Emissions'!$A$47:$B$78,2,FALSE)+VLOOKUP(AH$3,'Embedded Emissions'!$A$129:$B$158,2,FALSE)), $C58 = "2",('Inputs-System'!$C$30*'Coincidence Factors'!$B$10*(1+'Inputs-System'!$C$18)*(1+'Inputs-System'!$C$41))*'Inputs-Proposals'!$K$23*'Inputs-Proposals'!$K$25*(1-'Inputs-Proposals'!$K$20^(AH$3-'Inputs-System'!$C$7))*(VLOOKUP(AH$3,'Embedded Emissions'!$A$47:$B$78,2,FALSE)+VLOOKUP(AH$3,'Embedded Emissions'!$A$129:$B$158,2,FALSE)), $C58 = "3", ('Inputs-System'!$C$30*'Coincidence Factors'!$B$10*(1+'Inputs-System'!$C$18)*(1+'Inputs-System'!$C$41))*'Inputs-Proposals'!$K$29*'Inputs-Proposals'!$K$31*(1-'Inputs-Proposals'!$K$20^(AH$3-'Inputs-System'!$C$7))*(VLOOKUP(AH$3,'Embedded Emissions'!$A$47:$B$78,2,FALSE)+VLOOKUP(AH$3,'Embedded Emissions'!$A$129:$B$158,2,FALSE)), $C58 = "0", 0), 0)</f>
        <v>0</v>
      </c>
      <c r="AJ58" s="44">
        <f>IFERROR(_xlfn.IFS($C58="1",( 'Inputs-System'!$C$30*'Coincidence Factors'!$B$10*(1+'Inputs-System'!$C$18)*(1+'Inputs-System'!$C$41))*('Inputs-Proposals'!$K$17*'Inputs-Proposals'!$K$19*(1-'Inputs-Proposals'!$K$20)^(AH$3-'Inputs-System'!$C$7))*(VLOOKUP(AH$3,DRIPE!$A$54:$I$82,5,FALSE)+VLOOKUP(AH$3,DRIPE!$A$54:$I$82,9,FALSE))+ ('Inputs-System'!$C$26*'Coincidence Factors'!$B$6*(1+'Inputs-System'!$C$18)*(1+'Inputs-System'!$C$42))*'Inputs-Proposals'!$K$16*VLOOKUP(AH$3,DRIPE!$A$54:$I$82,8,FALSE), $C58 = "2",( 'Inputs-System'!$C$30*'Coincidence Factors'!$B$10*(1+'Inputs-System'!$C$18)*(1+'Inputs-System'!$C$41))*('Inputs-Proposals'!$K$23*'Inputs-Proposals'!$K$25*(1-'Inputs-Proposals'!$K$26)^(AH$3-'Inputs-System'!$C$7))*(VLOOKUP(AH$3,DRIPE!$A$54:$I$82,5,FALSE)+VLOOKUP(AH$3,DRIPE!$A$54:$I$82,9,FALSE))+ ('Inputs-System'!$C$26*'Coincidence Factors'!$B$6*(1+'Inputs-System'!$C$18)*(1+'Inputs-System'!$C$42))*'Inputs-Proposals'!$K$22*VLOOKUP(AH$3,DRIPE!$A$54:$I$82,8,FALSE), $C58= "3", ( 'Inputs-System'!$C$30*'Coincidence Factors'!$B$10*(1+'Inputs-System'!$C$18)*(1+'Inputs-System'!$C$41))*('Inputs-Proposals'!$K$29*'Inputs-Proposals'!$K$31*(1-'Inputs-Proposals'!$K$32)^(AH$3-'Inputs-System'!$C$7))*(VLOOKUP(AH$3,DRIPE!$A$54:$I$82,5,FALSE)+VLOOKUP(AH$3,DRIPE!$A$54:$I$82,9,FALSE))+ ('Inputs-System'!$C$26*'Coincidence Factors'!$B$6*(1+'Inputs-System'!$C$18)*(1+'Inputs-System'!$C$42))*'Inputs-Proposals'!$K$28*VLOOKUP(AH$3,DRIPE!$A$54:$I$82,8,FALSE), $C58 = "0", 0), 0)</f>
        <v>0</v>
      </c>
      <c r="AK58" s="45">
        <f>IFERROR(_xlfn.IFS($C58="1",('Inputs-System'!$C$26*'Coincidence Factors'!$B$10*(1+'Inputs-System'!$C$18)*(1+'Inputs-System'!$C$42))*'Inputs-Proposals'!$D$16*(VLOOKUP(AH$3,Capacity!$A$53:$E$85,4,FALSE)*(1+'Inputs-System'!$C$42)+VLOOKUP(AH$3,Capacity!$A$53:$E$85,5,FALSE)*(1+'Inputs-System'!$C$43)*'Inputs-System'!$C$29), $C58 = "2", ('Inputs-System'!$C$26*'Coincidence Factors'!$B$10*(1+'Inputs-System'!$C$18))*'Inputs-Proposals'!$D$22*(VLOOKUP(AH$3,Capacity!$A$53:$E$85,4,FALSE)*(1+'Inputs-System'!$C$42)+VLOOKUP(AH$3,Capacity!$A$53:$E$85,5,FALSE)*'Inputs-System'!$C$29*(1+'Inputs-System'!$C$43)), $C58 = "3", ('Inputs-System'!$C$26*'Coincidence Factors'!$B$10*(1+'Inputs-System'!$C$18))*'Inputs-Proposals'!$D$28*(VLOOKUP(AH$3,Capacity!$A$53:$E$85,4,FALSE)*(1+'Inputs-System'!$C$42)+VLOOKUP(AH$3,Capacity!$A$53:$E$85,5,FALSE)*'Inputs-System'!$C$29*(1+'Inputs-System'!$C$43)), $C58 = "0", 0), 0)</f>
        <v>0</v>
      </c>
      <c r="AL58" s="44">
        <v>0</v>
      </c>
      <c r="AM58" s="342">
        <f>IFERROR(_xlfn.IFS($C58="1", 'Inputs-System'!$C$30*'Coincidence Factors'!$B$10*'Inputs-Proposals'!$K$17*'Inputs-Proposals'!$K$19*(VLOOKUP(AH$3,'Non-Embedded Emissions'!$A$56:$D$90,2,FALSE)-VLOOKUP(AH$3,'Non-Embedded Emissions'!$F$57:$H$88,3,FALSE)+VLOOKUP(AH$3,'Non-Embedded Emissions'!$A$143:$D$174,2,FALSE)-VLOOKUP(AH$3,'Non-Embedded Emissions'!$F$143:$H$174,3,FALSE)+VLOOKUP(AH$3,'Non-Embedded Emissions'!$A$230:$D$259,2,FALSE)), $C58 = "2", 'Inputs-System'!$C$30*'Coincidence Factors'!$B$10*'Inputs-Proposals'!$K$23*'Inputs-Proposals'!$K$25*(VLOOKUP(AH$3,'Non-Embedded Emissions'!$A$56:$D$90,2,FALSE)-VLOOKUP(AH$3,'Non-Embedded Emissions'!$F$57:$H$88,3,FALSE)+VLOOKUP(AH$3,'Non-Embedded Emissions'!$A$143:$D$174,2,FALSE)-VLOOKUP(AH$3,'Non-Embedded Emissions'!$F$143:$H$174,3,FALSE)+VLOOKUP(AH$3,'Non-Embedded Emissions'!$A$230:$D$259,2,FALSE)), $C58 = "3", 'Inputs-System'!$C$30*'Coincidence Factors'!$B$10*'Inputs-Proposals'!$K$29*'Inputs-Proposals'!$K$31*(VLOOKUP(AH$3,'Non-Embedded Emissions'!$A$56:$D$90,2,FALSE)-VLOOKUP(AH$3,'Non-Embedded Emissions'!$F$57:$H$88,3,FALSE)+VLOOKUP(AH$3,'Non-Embedded Emissions'!$A$143:$D$174,2,FALSE)-VLOOKUP(AH$3,'Non-Embedded Emissions'!$F$143:$H$174,3,FALSE)+VLOOKUP(AH$3,'Non-Embedded Emissions'!$A$230:$D$259,2,FALSE)), $C58 = "0", 0), 0)</f>
        <v>0</v>
      </c>
      <c r="AN58" s="45">
        <f>IFERROR(_xlfn.IFS($C58="1",('Inputs-System'!$C$30*'Coincidence Factors'!$B$10*(1+'Inputs-System'!$C$18)*(1+'Inputs-System'!$C$41)*('Inputs-Proposals'!$K$17*'Inputs-Proposals'!$K$19*(1-'Inputs-Proposals'!$K$20^(AN$3-'Inputs-System'!$C$7)))*(VLOOKUP(AN$3,Energy!$A$51:$K$83,5,FALSE))), $C58 = "2",('Inputs-System'!$C$30*'Coincidence Factors'!$B$10)*(1+'Inputs-System'!$C$18)*(1+'Inputs-System'!$C$41)*('Inputs-Proposals'!$K$23*'Inputs-Proposals'!$K$25*(1-'Inputs-Proposals'!$K$26^(AN$3-'Inputs-System'!$C$7)))*(VLOOKUP(AN$3,Energy!$A$51:$K$83,5,FALSE)), $C58= "3", ('Inputs-System'!$C$30*'Coincidence Factors'!$B$10*(1+'Inputs-System'!$C$18)*(1+'Inputs-System'!$C$41)*('Inputs-Proposals'!$K$29*'Inputs-Proposals'!$K$31*(1-'Inputs-Proposals'!$K$32^(AN$3-'Inputs-System'!$C$7)))*(VLOOKUP(AN$3,Energy!$A$51:$K$83,5,FALSE))), $C58= "0", 0), 0)</f>
        <v>0</v>
      </c>
      <c r="AO58" s="44">
        <f>IFERROR(_xlfn.IFS($C58="1",('Inputs-System'!$C$30*'Coincidence Factors'!$B$10*(1+'Inputs-System'!$C$18)*(1+'Inputs-System'!$C$41))*'Inputs-Proposals'!$K$17*'Inputs-Proposals'!$K$19*(1-'Inputs-Proposals'!$K$20^(AN$3-'Inputs-System'!$C$7))*(VLOOKUP(AN$3,'Embedded Emissions'!$A$47:$B$78,2,FALSE)+VLOOKUP(AN$3,'Embedded Emissions'!$A$129:$B$158,2,FALSE)), $C58 = "2",('Inputs-System'!$C$30*'Coincidence Factors'!$B$10*(1+'Inputs-System'!$C$18)*(1+'Inputs-System'!$C$41))*'Inputs-Proposals'!$K$23*'Inputs-Proposals'!$K$25*(1-'Inputs-Proposals'!$K$20^(AN$3-'Inputs-System'!$C$7))*(VLOOKUP(AN$3,'Embedded Emissions'!$A$47:$B$78,2,FALSE)+VLOOKUP(AN$3,'Embedded Emissions'!$A$129:$B$158,2,FALSE)), $C58 = "3", ('Inputs-System'!$C$30*'Coincidence Factors'!$B$10*(1+'Inputs-System'!$C$18)*(1+'Inputs-System'!$C$41))*'Inputs-Proposals'!$K$29*'Inputs-Proposals'!$K$31*(1-'Inputs-Proposals'!$K$20^(AN$3-'Inputs-System'!$C$7))*(VLOOKUP(AN$3,'Embedded Emissions'!$A$47:$B$78,2,FALSE)+VLOOKUP(AN$3,'Embedded Emissions'!$A$129:$B$158,2,FALSE)), $C58 = "0", 0), 0)</f>
        <v>0</v>
      </c>
      <c r="AP58" s="44">
        <f>IFERROR(_xlfn.IFS($C58="1",( 'Inputs-System'!$C$30*'Coincidence Factors'!$B$10*(1+'Inputs-System'!$C$18)*(1+'Inputs-System'!$C$41))*('Inputs-Proposals'!$K$17*'Inputs-Proposals'!$K$19*(1-'Inputs-Proposals'!$K$20)^(AN$3-'Inputs-System'!$C$7))*(VLOOKUP(AN$3,DRIPE!$A$54:$I$82,5,FALSE)+VLOOKUP(AN$3,DRIPE!$A$54:$I$82,9,FALSE))+ ('Inputs-System'!$C$26*'Coincidence Factors'!$B$6*(1+'Inputs-System'!$C$18)*(1+'Inputs-System'!$C$42))*'Inputs-Proposals'!$K$16*VLOOKUP(AN$3,DRIPE!$A$54:$I$82,8,FALSE), $C58 = "2",( 'Inputs-System'!$C$30*'Coincidence Factors'!$B$10*(1+'Inputs-System'!$C$18)*(1+'Inputs-System'!$C$41))*('Inputs-Proposals'!$K$23*'Inputs-Proposals'!$K$25*(1-'Inputs-Proposals'!$K$26)^(AN$3-'Inputs-System'!$C$7))*(VLOOKUP(AN$3,DRIPE!$A$54:$I$82,5,FALSE)+VLOOKUP(AN$3,DRIPE!$A$54:$I$82,9,FALSE))+ ('Inputs-System'!$C$26*'Coincidence Factors'!$B$6*(1+'Inputs-System'!$C$18)*(1+'Inputs-System'!$C$42))*'Inputs-Proposals'!$K$22*VLOOKUP(AN$3,DRIPE!$A$54:$I$82,8,FALSE), $C58= "3", ( 'Inputs-System'!$C$30*'Coincidence Factors'!$B$10*(1+'Inputs-System'!$C$18)*(1+'Inputs-System'!$C$41))*('Inputs-Proposals'!$K$29*'Inputs-Proposals'!$K$31*(1-'Inputs-Proposals'!$K$32)^(AN$3-'Inputs-System'!$C$7))*(VLOOKUP(AN$3,DRIPE!$A$54:$I$82,5,FALSE)+VLOOKUP(AN$3,DRIPE!$A$54:$I$82,9,FALSE))+ ('Inputs-System'!$C$26*'Coincidence Factors'!$B$6*(1+'Inputs-System'!$C$18)*(1+'Inputs-System'!$C$42))*'Inputs-Proposals'!$K$28*VLOOKUP(AN$3,DRIPE!$A$54:$I$82,8,FALSE), $C58 = "0", 0), 0)</f>
        <v>0</v>
      </c>
      <c r="AQ58" s="45">
        <f>IFERROR(_xlfn.IFS($C58="1",('Inputs-System'!$C$26*'Coincidence Factors'!$B$10*(1+'Inputs-System'!$C$18)*(1+'Inputs-System'!$C$42))*'Inputs-Proposals'!$D$16*(VLOOKUP(AN$3,Capacity!$A$53:$E$85,4,FALSE)*(1+'Inputs-System'!$C$42)+VLOOKUP(AN$3,Capacity!$A$53:$E$85,5,FALSE)*(1+'Inputs-System'!$C$43)*'Inputs-System'!$C$29), $C58 = "2", ('Inputs-System'!$C$26*'Coincidence Factors'!$B$10*(1+'Inputs-System'!$C$18))*'Inputs-Proposals'!$D$22*(VLOOKUP(AN$3,Capacity!$A$53:$E$85,4,FALSE)*(1+'Inputs-System'!$C$42)+VLOOKUP(AN$3,Capacity!$A$53:$E$85,5,FALSE)*'Inputs-System'!$C$29*(1+'Inputs-System'!$C$43)), $C58 = "3", ('Inputs-System'!$C$26*'Coincidence Factors'!$B$10*(1+'Inputs-System'!$C$18))*'Inputs-Proposals'!$D$28*(VLOOKUP(AN$3,Capacity!$A$53:$E$85,4,FALSE)*(1+'Inputs-System'!$C$42)+VLOOKUP(AN$3,Capacity!$A$53:$E$85,5,FALSE)*'Inputs-System'!$C$29*(1+'Inputs-System'!$C$43)), $C58 = "0", 0), 0)</f>
        <v>0</v>
      </c>
      <c r="AR58" s="44">
        <v>0</v>
      </c>
      <c r="AS58" s="342">
        <f>IFERROR(_xlfn.IFS($C58="1", 'Inputs-System'!$C$30*'Coincidence Factors'!$B$10*'Inputs-Proposals'!$K$17*'Inputs-Proposals'!$K$19*(VLOOKUP(AN$3,'Non-Embedded Emissions'!$A$56:$D$90,2,FALSE)-VLOOKUP(AN$3,'Non-Embedded Emissions'!$F$57:$H$88,3,FALSE)+VLOOKUP(AN$3,'Non-Embedded Emissions'!$A$143:$D$174,2,FALSE)-VLOOKUP(AN$3,'Non-Embedded Emissions'!$F$143:$H$174,3,FALSE)+VLOOKUP(AN$3,'Non-Embedded Emissions'!$A$230:$D$259,2,FALSE)), $C58 = "2", 'Inputs-System'!$C$30*'Coincidence Factors'!$B$10*'Inputs-Proposals'!$K$23*'Inputs-Proposals'!$K$25*(VLOOKUP(AN$3,'Non-Embedded Emissions'!$A$56:$D$90,2,FALSE)-VLOOKUP(AN$3,'Non-Embedded Emissions'!$F$57:$H$88,3,FALSE)+VLOOKUP(AN$3,'Non-Embedded Emissions'!$A$143:$D$174,2,FALSE)-VLOOKUP(AN$3,'Non-Embedded Emissions'!$F$143:$H$174,3,FALSE)+VLOOKUP(AN$3,'Non-Embedded Emissions'!$A$230:$D$259,2,FALSE)), $C58 = "3", 'Inputs-System'!$C$30*'Coincidence Factors'!$B$10*'Inputs-Proposals'!$K$29*'Inputs-Proposals'!$K$31*(VLOOKUP(AN$3,'Non-Embedded Emissions'!$A$56:$D$90,2,FALSE)-VLOOKUP(AN$3,'Non-Embedded Emissions'!$F$57:$H$88,3,FALSE)+VLOOKUP(AN$3,'Non-Embedded Emissions'!$A$143:$D$174,2,FALSE)-VLOOKUP(AN$3,'Non-Embedded Emissions'!$F$143:$H$174,3,FALSE)+VLOOKUP(AN$3,'Non-Embedded Emissions'!$A$230:$D$259,2,FALSE)), $C58 = "0", 0), 0)</f>
        <v>0</v>
      </c>
      <c r="AT58" s="45">
        <f>IFERROR(_xlfn.IFS($C58="1",('Inputs-System'!$C$30*'Coincidence Factors'!$B$10*(1+'Inputs-System'!$C$18)*(1+'Inputs-System'!$C$41)*('Inputs-Proposals'!$K$17*'Inputs-Proposals'!$K$19*(1-'Inputs-Proposals'!$K$20^(AT$3-'Inputs-System'!$C$7)))*(VLOOKUP(AT$3,Energy!$A$51:$K$83,5,FALSE))), $C58 = "2",('Inputs-System'!$C$30*'Coincidence Factors'!$B$10)*(1+'Inputs-System'!$C$18)*(1+'Inputs-System'!$C$41)*('Inputs-Proposals'!$K$23*'Inputs-Proposals'!$K$25*(1-'Inputs-Proposals'!$K$26^(AT$3-'Inputs-System'!$C$7)))*(VLOOKUP(AT$3,Energy!$A$51:$K$83,5,FALSE)), $C58= "3", ('Inputs-System'!$C$30*'Coincidence Factors'!$B$10*(1+'Inputs-System'!$C$18)*(1+'Inputs-System'!$C$41)*('Inputs-Proposals'!$K$29*'Inputs-Proposals'!$K$31*(1-'Inputs-Proposals'!$K$32^(AT$3-'Inputs-System'!$C$7)))*(VLOOKUP(AT$3,Energy!$A$51:$K$83,5,FALSE))), $C58= "0", 0), 0)</f>
        <v>0</v>
      </c>
      <c r="AU58" s="44">
        <f>IFERROR(_xlfn.IFS($C58="1",('Inputs-System'!$C$30*'Coincidence Factors'!$B$10*(1+'Inputs-System'!$C$18)*(1+'Inputs-System'!$C$41))*'Inputs-Proposals'!$K$17*'Inputs-Proposals'!$K$19*(1-'Inputs-Proposals'!$K$20^(AT$3-'Inputs-System'!$C$7))*(VLOOKUP(AT$3,'Embedded Emissions'!$A$47:$B$78,2,FALSE)+VLOOKUP(AT$3,'Embedded Emissions'!$A$129:$B$158,2,FALSE)), $C58 = "2",('Inputs-System'!$C$30*'Coincidence Factors'!$B$10*(1+'Inputs-System'!$C$18)*(1+'Inputs-System'!$C$41))*'Inputs-Proposals'!$K$23*'Inputs-Proposals'!$K$25*(1-'Inputs-Proposals'!$K$20^(AT$3-'Inputs-System'!$C$7))*(VLOOKUP(AT$3,'Embedded Emissions'!$A$47:$B$78,2,FALSE)+VLOOKUP(AT$3,'Embedded Emissions'!$A$129:$B$158,2,FALSE)), $C58 = "3", ('Inputs-System'!$C$30*'Coincidence Factors'!$B$10*(1+'Inputs-System'!$C$18)*(1+'Inputs-System'!$C$41))*'Inputs-Proposals'!$K$29*'Inputs-Proposals'!$K$31*(1-'Inputs-Proposals'!$K$20^(AT$3-'Inputs-System'!$C$7))*(VLOOKUP(AT$3,'Embedded Emissions'!$A$47:$B$78,2,FALSE)+VLOOKUP(AT$3,'Embedded Emissions'!$A$129:$B$158,2,FALSE)), $C58 = "0", 0), 0)</f>
        <v>0</v>
      </c>
      <c r="AV58" s="44">
        <f>IFERROR(_xlfn.IFS($C58="1",( 'Inputs-System'!$C$30*'Coincidence Factors'!$B$10*(1+'Inputs-System'!$C$18)*(1+'Inputs-System'!$C$41))*('Inputs-Proposals'!$K$17*'Inputs-Proposals'!$K$19*(1-'Inputs-Proposals'!$K$20)^(AT$3-'Inputs-System'!$C$7))*(VLOOKUP(AT$3,DRIPE!$A$54:$I$82,5,FALSE)+VLOOKUP(AT$3,DRIPE!$A$54:$I$82,9,FALSE))+ ('Inputs-System'!$C$26*'Coincidence Factors'!$B$6*(1+'Inputs-System'!$C$18)*(1+'Inputs-System'!$C$42))*'Inputs-Proposals'!$K$16*VLOOKUP(AT$3,DRIPE!$A$54:$I$82,8,FALSE), $C58 = "2",( 'Inputs-System'!$C$30*'Coincidence Factors'!$B$10*(1+'Inputs-System'!$C$18)*(1+'Inputs-System'!$C$41))*('Inputs-Proposals'!$K$23*'Inputs-Proposals'!$K$25*(1-'Inputs-Proposals'!$K$26)^(AT$3-'Inputs-System'!$C$7))*(VLOOKUP(AT$3,DRIPE!$A$54:$I$82,5,FALSE)+VLOOKUP(AT$3,DRIPE!$A$54:$I$82,9,FALSE))+ ('Inputs-System'!$C$26*'Coincidence Factors'!$B$6*(1+'Inputs-System'!$C$18)*(1+'Inputs-System'!$C$42))*'Inputs-Proposals'!$K$22*VLOOKUP(AT$3,DRIPE!$A$54:$I$82,8,FALSE), $C58= "3", ( 'Inputs-System'!$C$30*'Coincidence Factors'!$B$10*(1+'Inputs-System'!$C$18)*(1+'Inputs-System'!$C$41))*('Inputs-Proposals'!$K$29*'Inputs-Proposals'!$K$31*(1-'Inputs-Proposals'!$K$32)^(AT$3-'Inputs-System'!$C$7))*(VLOOKUP(AT$3,DRIPE!$A$54:$I$82,5,FALSE)+VLOOKUP(AT$3,DRIPE!$A$54:$I$82,9,FALSE))+ ('Inputs-System'!$C$26*'Coincidence Factors'!$B$6*(1+'Inputs-System'!$C$18)*(1+'Inputs-System'!$C$42))*'Inputs-Proposals'!$K$28*VLOOKUP(AT$3,DRIPE!$A$54:$I$82,8,FALSE), $C58 = "0", 0), 0)</f>
        <v>0</v>
      </c>
      <c r="AW58" s="45">
        <f>IFERROR(_xlfn.IFS($C58="1",('Inputs-System'!$C$26*'Coincidence Factors'!$B$10*(1+'Inputs-System'!$C$18)*(1+'Inputs-System'!$C$42))*'Inputs-Proposals'!$D$16*(VLOOKUP(AT$3,Capacity!$A$53:$E$85,4,FALSE)*(1+'Inputs-System'!$C$42)+VLOOKUP(AT$3,Capacity!$A$53:$E$85,5,FALSE)*(1+'Inputs-System'!$C$43)*'Inputs-System'!$C$29), $C58 = "2", ('Inputs-System'!$C$26*'Coincidence Factors'!$B$10*(1+'Inputs-System'!$C$18))*'Inputs-Proposals'!$D$22*(VLOOKUP(AT$3,Capacity!$A$53:$E$85,4,FALSE)*(1+'Inputs-System'!$C$42)+VLOOKUP(AT$3,Capacity!$A$53:$E$85,5,FALSE)*'Inputs-System'!$C$29*(1+'Inputs-System'!$C$43)), $C58 = "3", ('Inputs-System'!$C$26*'Coincidence Factors'!$B$10*(1+'Inputs-System'!$C$18))*'Inputs-Proposals'!$D$28*(VLOOKUP(AT$3,Capacity!$A$53:$E$85,4,FALSE)*(1+'Inputs-System'!$C$42)+VLOOKUP(AT$3,Capacity!$A$53:$E$85,5,FALSE)*'Inputs-System'!$C$29*(1+'Inputs-System'!$C$43)), $C58 = "0", 0), 0)</f>
        <v>0</v>
      </c>
      <c r="AX58" s="44">
        <v>0</v>
      </c>
      <c r="AY58" s="342">
        <f>IFERROR(_xlfn.IFS($C58="1", 'Inputs-System'!$C$30*'Coincidence Factors'!$B$10*'Inputs-Proposals'!$K$17*'Inputs-Proposals'!$K$19*(VLOOKUP(AT$3,'Non-Embedded Emissions'!$A$56:$D$90,2,FALSE)-VLOOKUP(AT$3,'Non-Embedded Emissions'!$F$57:$H$88,3,FALSE)+VLOOKUP(AT$3,'Non-Embedded Emissions'!$A$143:$D$174,2,FALSE)-VLOOKUP(AT$3,'Non-Embedded Emissions'!$F$143:$H$174,3,FALSE)+VLOOKUP(AT$3,'Non-Embedded Emissions'!$A$230:$D$259,2,FALSE)), $C58 = "2", 'Inputs-System'!$C$30*'Coincidence Factors'!$B$10*'Inputs-Proposals'!$K$23*'Inputs-Proposals'!$K$25*(VLOOKUP(AT$3,'Non-Embedded Emissions'!$A$56:$D$90,2,FALSE)-VLOOKUP(AT$3,'Non-Embedded Emissions'!$F$57:$H$88,3,FALSE)+VLOOKUP(AT$3,'Non-Embedded Emissions'!$A$143:$D$174,2,FALSE)-VLOOKUP(AT$3,'Non-Embedded Emissions'!$F$143:$H$174,3,FALSE)+VLOOKUP(AT$3,'Non-Embedded Emissions'!$A$230:$D$259,2,FALSE)), $C58 = "3", 'Inputs-System'!$C$30*'Coincidence Factors'!$B$10*'Inputs-Proposals'!$K$29*'Inputs-Proposals'!$K$31*(VLOOKUP(AT$3,'Non-Embedded Emissions'!$A$56:$D$90,2,FALSE)-VLOOKUP(AT$3,'Non-Embedded Emissions'!$F$57:$H$88,3,FALSE)+VLOOKUP(AT$3,'Non-Embedded Emissions'!$A$143:$D$174,2,FALSE)-VLOOKUP(AT$3,'Non-Embedded Emissions'!$F$143:$H$174,3,FALSE)+VLOOKUP(AT$3,'Non-Embedded Emissions'!$A$230:$D$259,2,FALSE)), $C58 = "0", 0), 0)</f>
        <v>0</v>
      </c>
      <c r="AZ58" s="45">
        <f>IFERROR(_xlfn.IFS($C58="1",('Inputs-System'!$C$30*'Coincidence Factors'!$B$10*(1+'Inputs-System'!$C$18)*(1+'Inputs-System'!$C$41)*('Inputs-Proposals'!$K$17*'Inputs-Proposals'!$K$19*(1-'Inputs-Proposals'!$K$20^(AZ$3-'Inputs-System'!$C$7)))*(VLOOKUP(AZ$3,Energy!$A$51:$K$83,5,FALSE))), $C58 = "2",('Inputs-System'!$C$30*'Coincidence Factors'!$B$10)*(1+'Inputs-System'!$C$18)*(1+'Inputs-System'!$C$41)*('Inputs-Proposals'!$K$23*'Inputs-Proposals'!$K$25*(1-'Inputs-Proposals'!$K$26^(AZ$3-'Inputs-System'!$C$7)))*(VLOOKUP(AZ$3,Energy!$A$51:$K$83,5,FALSE)), $C58= "3", ('Inputs-System'!$C$30*'Coincidence Factors'!$B$10*(1+'Inputs-System'!$C$18)*(1+'Inputs-System'!$C$41)*('Inputs-Proposals'!$K$29*'Inputs-Proposals'!$K$31*(1-'Inputs-Proposals'!$K$32^(AZ$3-'Inputs-System'!$C$7)))*(VLOOKUP(AZ$3,Energy!$A$51:$K$83,5,FALSE))), $C58= "0", 0), 0)</f>
        <v>0</v>
      </c>
      <c r="BA58" s="44">
        <f>IFERROR(_xlfn.IFS($C58="1",('Inputs-System'!$C$30*'Coincidence Factors'!$B$10*(1+'Inputs-System'!$C$18)*(1+'Inputs-System'!$C$41))*'Inputs-Proposals'!$K$17*'Inputs-Proposals'!$K$19*(1-'Inputs-Proposals'!$K$20^(AZ$3-'Inputs-System'!$C$7))*(VLOOKUP(AZ$3,'Embedded Emissions'!$A$47:$B$78,2,FALSE)+VLOOKUP(AZ$3,'Embedded Emissions'!$A$129:$B$158,2,FALSE)), $C58 = "2",('Inputs-System'!$C$30*'Coincidence Factors'!$B$10*(1+'Inputs-System'!$C$18)*(1+'Inputs-System'!$C$41))*'Inputs-Proposals'!$K$23*'Inputs-Proposals'!$K$25*(1-'Inputs-Proposals'!$K$20^(AZ$3-'Inputs-System'!$C$7))*(VLOOKUP(AZ$3,'Embedded Emissions'!$A$47:$B$78,2,FALSE)+VLOOKUP(AZ$3,'Embedded Emissions'!$A$129:$B$158,2,FALSE)), $C58 = "3", ('Inputs-System'!$C$30*'Coincidence Factors'!$B$10*(1+'Inputs-System'!$C$18)*(1+'Inputs-System'!$C$41))*'Inputs-Proposals'!$K$29*'Inputs-Proposals'!$K$31*(1-'Inputs-Proposals'!$K$20^(AZ$3-'Inputs-System'!$C$7))*(VLOOKUP(AZ$3,'Embedded Emissions'!$A$47:$B$78,2,FALSE)+VLOOKUP(AZ$3,'Embedded Emissions'!$A$129:$B$158,2,FALSE)), $C58 = "0", 0), 0)</f>
        <v>0</v>
      </c>
      <c r="BB58" s="44">
        <f>IFERROR(_xlfn.IFS($C58="1",( 'Inputs-System'!$C$30*'Coincidence Factors'!$B$10*(1+'Inputs-System'!$C$18)*(1+'Inputs-System'!$C$41))*('Inputs-Proposals'!$K$17*'Inputs-Proposals'!$K$19*(1-'Inputs-Proposals'!$K$20)^(AZ$3-'Inputs-System'!$C$7))*(VLOOKUP(AZ$3,DRIPE!$A$54:$I$82,5,FALSE)+VLOOKUP(AZ$3,DRIPE!$A$54:$I$82,9,FALSE))+ ('Inputs-System'!$C$26*'Coincidence Factors'!$B$6*(1+'Inputs-System'!$C$18)*(1+'Inputs-System'!$C$42))*'Inputs-Proposals'!$K$16*VLOOKUP(AZ$3,DRIPE!$A$54:$I$82,8,FALSE), $C58 = "2",( 'Inputs-System'!$C$30*'Coincidence Factors'!$B$10*(1+'Inputs-System'!$C$18)*(1+'Inputs-System'!$C$41))*('Inputs-Proposals'!$K$23*'Inputs-Proposals'!$K$25*(1-'Inputs-Proposals'!$K$26)^(AZ$3-'Inputs-System'!$C$7))*(VLOOKUP(AZ$3,DRIPE!$A$54:$I$82,5,FALSE)+VLOOKUP(AZ$3,DRIPE!$A$54:$I$82,9,FALSE))+ ('Inputs-System'!$C$26*'Coincidence Factors'!$B$6*(1+'Inputs-System'!$C$18)*(1+'Inputs-System'!$C$42))*'Inputs-Proposals'!$K$22*VLOOKUP(AZ$3,DRIPE!$A$54:$I$82,8,FALSE), $C58= "3", ( 'Inputs-System'!$C$30*'Coincidence Factors'!$B$10*(1+'Inputs-System'!$C$18)*(1+'Inputs-System'!$C$41))*('Inputs-Proposals'!$K$29*'Inputs-Proposals'!$K$31*(1-'Inputs-Proposals'!$K$32)^(AZ$3-'Inputs-System'!$C$7))*(VLOOKUP(AZ$3,DRIPE!$A$54:$I$82,5,FALSE)+VLOOKUP(AZ$3,DRIPE!$A$54:$I$82,9,FALSE))+ ('Inputs-System'!$C$26*'Coincidence Factors'!$B$6*(1+'Inputs-System'!$C$18)*(1+'Inputs-System'!$C$42))*'Inputs-Proposals'!$K$28*VLOOKUP(AZ$3,DRIPE!$A$54:$I$82,8,FALSE), $C58 = "0", 0), 0)</f>
        <v>0</v>
      </c>
      <c r="BC58" s="45">
        <f>IFERROR(_xlfn.IFS($C58="1",('Inputs-System'!$C$26*'Coincidence Factors'!$B$10*(1+'Inputs-System'!$C$18)*(1+'Inputs-System'!$C$42))*'Inputs-Proposals'!$D$16*(VLOOKUP(AZ$3,Capacity!$A$53:$E$85,4,FALSE)*(1+'Inputs-System'!$C$42)+VLOOKUP(AZ$3,Capacity!$A$53:$E$85,5,FALSE)*(1+'Inputs-System'!$C$43)*'Inputs-System'!$C$29), $C58 = "2", ('Inputs-System'!$C$26*'Coincidence Factors'!$B$10*(1+'Inputs-System'!$C$18))*'Inputs-Proposals'!$D$22*(VLOOKUP(AZ$3,Capacity!$A$53:$E$85,4,FALSE)*(1+'Inputs-System'!$C$42)+VLOOKUP(AZ$3,Capacity!$A$53:$E$85,5,FALSE)*'Inputs-System'!$C$29*(1+'Inputs-System'!$C$43)), $C58 = "3", ('Inputs-System'!$C$26*'Coincidence Factors'!$B$10*(1+'Inputs-System'!$C$18))*'Inputs-Proposals'!$D$28*(VLOOKUP(AZ$3,Capacity!$A$53:$E$85,4,FALSE)*(1+'Inputs-System'!$C$42)+VLOOKUP(AZ$3,Capacity!$A$53:$E$85,5,FALSE)*'Inputs-System'!$C$29*(1+'Inputs-System'!$C$43)), $C58 = "0", 0), 0)</f>
        <v>0</v>
      </c>
      <c r="BD58" s="44">
        <v>0</v>
      </c>
      <c r="BE58" s="342">
        <f>IFERROR(_xlfn.IFS($C58="1", 'Inputs-System'!$C$30*'Coincidence Factors'!$B$10*'Inputs-Proposals'!$K$17*'Inputs-Proposals'!$K$19*(VLOOKUP(AZ$3,'Non-Embedded Emissions'!$A$56:$D$90,2,FALSE)-VLOOKUP(AZ$3,'Non-Embedded Emissions'!$F$57:$H$88,3,FALSE)+VLOOKUP(AZ$3,'Non-Embedded Emissions'!$A$143:$D$174,2,FALSE)-VLOOKUP(AZ$3,'Non-Embedded Emissions'!$F$143:$H$174,3,FALSE)+VLOOKUP(AZ$3,'Non-Embedded Emissions'!$A$230:$D$259,2,FALSE)), $C58 = "2", 'Inputs-System'!$C$30*'Coincidence Factors'!$B$10*'Inputs-Proposals'!$K$23*'Inputs-Proposals'!$K$25*(VLOOKUP(AZ$3,'Non-Embedded Emissions'!$A$56:$D$90,2,FALSE)-VLOOKUP(AZ$3,'Non-Embedded Emissions'!$F$57:$H$88,3,FALSE)+VLOOKUP(AZ$3,'Non-Embedded Emissions'!$A$143:$D$174,2,FALSE)-VLOOKUP(AZ$3,'Non-Embedded Emissions'!$F$143:$H$174,3,FALSE)+VLOOKUP(AZ$3,'Non-Embedded Emissions'!$A$230:$D$259,2,FALSE)), $C58 = "3", 'Inputs-System'!$C$30*'Coincidence Factors'!$B$10*'Inputs-Proposals'!$K$29*'Inputs-Proposals'!$K$31*(VLOOKUP(AZ$3,'Non-Embedded Emissions'!$A$56:$D$90,2,FALSE)-VLOOKUP(AZ$3,'Non-Embedded Emissions'!$F$57:$H$88,3,FALSE)+VLOOKUP(AZ$3,'Non-Embedded Emissions'!$A$143:$D$174,2,FALSE)-VLOOKUP(AZ$3,'Non-Embedded Emissions'!$F$143:$H$174,3,FALSE)+VLOOKUP(AZ$3,'Non-Embedded Emissions'!$A$230:$D$259,2,FALSE)), $C58 = "0", 0), 0)</f>
        <v>0</v>
      </c>
      <c r="BF58" s="45">
        <f>IFERROR(_xlfn.IFS($C58="1",('Inputs-System'!$C$30*'Coincidence Factors'!$B$10*(1+'Inputs-System'!$C$18)*(1+'Inputs-System'!$C$41)*('Inputs-Proposals'!$K$17*'Inputs-Proposals'!$K$19*(1-'Inputs-Proposals'!$K$20^(BF$3-'Inputs-System'!$C$7)))*(VLOOKUP(BF$3,Energy!$A$51:$K$83,5,FALSE))), $C58 = "2",('Inputs-System'!$C$30*'Coincidence Factors'!$B$10)*(1+'Inputs-System'!$C$18)*(1+'Inputs-System'!$C$41)*('Inputs-Proposals'!$K$23*'Inputs-Proposals'!$K$25*(1-'Inputs-Proposals'!$K$26^(BF$3-'Inputs-System'!$C$7)))*(VLOOKUP(BF$3,Energy!$A$51:$K$83,5,FALSE)), $C58= "3", ('Inputs-System'!$C$30*'Coincidence Factors'!$B$10*(1+'Inputs-System'!$C$18)*(1+'Inputs-System'!$C$41)*('Inputs-Proposals'!$K$29*'Inputs-Proposals'!$K$31*(1-'Inputs-Proposals'!$K$32^(BF$3-'Inputs-System'!$C$7)))*(VLOOKUP(BF$3,Energy!$A$51:$K$83,5,FALSE))), $C58= "0", 0), 0)</f>
        <v>0</v>
      </c>
      <c r="BG58" s="44">
        <f>IFERROR(_xlfn.IFS($C58="1",('Inputs-System'!$C$30*'Coincidence Factors'!$B$10*(1+'Inputs-System'!$C$18)*(1+'Inputs-System'!$C$41))*'Inputs-Proposals'!$K$17*'Inputs-Proposals'!$K$19*(1-'Inputs-Proposals'!$K$20^(BF$3-'Inputs-System'!$C$7))*(VLOOKUP(BF$3,'Embedded Emissions'!$A$47:$B$78,2,FALSE)+VLOOKUP(BF$3,'Embedded Emissions'!$A$129:$B$158,2,FALSE)), $C58 = "2",('Inputs-System'!$C$30*'Coincidence Factors'!$B$10*(1+'Inputs-System'!$C$18)*(1+'Inputs-System'!$C$41))*'Inputs-Proposals'!$K$23*'Inputs-Proposals'!$K$25*(1-'Inputs-Proposals'!$K$20^(BF$3-'Inputs-System'!$C$7))*(VLOOKUP(BF$3,'Embedded Emissions'!$A$47:$B$78,2,FALSE)+VLOOKUP(BF$3,'Embedded Emissions'!$A$129:$B$158,2,FALSE)), $C58 = "3", ('Inputs-System'!$C$30*'Coincidence Factors'!$B$10*(1+'Inputs-System'!$C$18)*(1+'Inputs-System'!$C$41))*'Inputs-Proposals'!$K$29*'Inputs-Proposals'!$K$31*(1-'Inputs-Proposals'!$K$20^(BF$3-'Inputs-System'!$C$7))*(VLOOKUP(BF$3,'Embedded Emissions'!$A$47:$B$78,2,FALSE)+VLOOKUP(BF$3,'Embedded Emissions'!$A$129:$B$158,2,FALSE)), $C58 = "0", 0), 0)</f>
        <v>0</v>
      </c>
      <c r="BH58" s="44">
        <f>IFERROR(_xlfn.IFS($C58="1",( 'Inputs-System'!$C$30*'Coincidence Factors'!$B$10*(1+'Inputs-System'!$C$18)*(1+'Inputs-System'!$C$41))*('Inputs-Proposals'!$K$17*'Inputs-Proposals'!$K$19*(1-'Inputs-Proposals'!$K$20)^(BF$3-'Inputs-System'!$C$7))*(VLOOKUP(BF$3,DRIPE!$A$54:$I$82,5,FALSE)+VLOOKUP(BF$3,DRIPE!$A$54:$I$82,9,FALSE))+ ('Inputs-System'!$C$26*'Coincidence Factors'!$B$6*(1+'Inputs-System'!$C$18)*(1+'Inputs-System'!$C$42))*'Inputs-Proposals'!$K$16*VLOOKUP(BF$3,DRIPE!$A$54:$I$82,8,FALSE), $C58 = "2",( 'Inputs-System'!$C$30*'Coincidence Factors'!$B$10*(1+'Inputs-System'!$C$18)*(1+'Inputs-System'!$C$41))*('Inputs-Proposals'!$K$23*'Inputs-Proposals'!$K$25*(1-'Inputs-Proposals'!$K$26)^(BF$3-'Inputs-System'!$C$7))*(VLOOKUP(BF$3,DRIPE!$A$54:$I$82,5,FALSE)+VLOOKUP(BF$3,DRIPE!$A$54:$I$82,9,FALSE))+ ('Inputs-System'!$C$26*'Coincidence Factors'!$B$6*(1+'Inputs-System'!$C$18)*(1+'Inputs-System'!$C$42))*'Inputs-Proposals'!$K$22*VLOOKUP(BF$3,DRIPE!$A$54:$I$82,8,FALSE), $C58= "3", ( 'Inputs-System'!$C$30*'Coincidence Factors'!$B$10*(1+'Inputs-System'!$C$18)*(1+'Inputs-System'!$C$41))*('Inputs-Proposals'!$K$29*'Inputs-Proposals'!$K$31*(1-'Inputs-Proposals'!$K$32)^(BF$3-'Inputs-System'!$C$7))*(VLOOKUP(BF$3,DRIPE!$A$54:$I$82,5,FALSE)+VLOOKUP(BF$3,DRIPE!$A$54:$I$82,9,FALSE))+ ('Inputs-System'!$C$26*'Coincidence Factors'!$B$6*(1+'Inputs-System'!$C$18)*(1+'Inputs-System'!$C$42))*'Inputs-Proposals'!$K$28*VLOOKUP(BF$3,DRIPE!$A$54:$I$82,8,FALSE), $C58 = "0", 0), 0)</f>
        <v>0</v>
      </c>
      <c r="BI58" s="45">
        <f>IFERROR(_xlfn.IFS($C58="1",('Inputs-System'!$C$26*'Coincidence Factors'!$B$10*(1+'Inputs-System'!$C$18)*(1+'Inputs-System'!$C$42))*'Inputs-Proposals'!$D$16*(VLOOKUP(BF$3,Capacity!$A$53:$E$85,4,FALSE)*(1+'Inputs-System'!$C$42)+VLOOKUP(BF$3,Capacity!$A$53:$E$85,5,FALSE)*(1+'Inputs-System'!$C$43)*'Inputs-System'!$C$29), $C58 = "2", ('Inputs-System'!$C$26*'Coincidence Factors'!$B$10*(1+'Inputs-System'!$C$18))*'Inputs-Proposals'!$D$22*(VLOOKUP(BF$3,Capacity!$A$53:$E$85,4,FALSE)*(1+'Inputs-System'!$C$42)+VLOOKUP(BF$3,Capacity!$A$53:$E$85,5,FALSE)*'Inputs-System'!$C$29*(1+'Inputs-System'!$C$43)), $C58 = "3", ('Inputs-System'!$C$26*'Coincidence Factors'!$B$10*(1+'Inputs-System'!$C$18))*'Inputs-Proposals'!$D$28*(VLOOKUP(BF$3,Capacity!$A$53:$E$85,4,FALSE)*(1+'Inputs-System'!$C$42)+VLOOKUP(BF$3,Capacity!$A$53:$E$85,5,FALSE)*'Inputs-System'!$C$29*(1+'Inputs-System'!$C$43)), $C58 = "0", 0), 0)</f>
        <v>0</v>
      </c>
      <c r="BJ58" s="44">
        <v>0</v>
      </c>
      <c r="BK58" s="342">
        <f>IFERROR(_xlfn.IFS($C58="1", 'Inputs-System'!$C$30*'Coincidence Factors'!$B$10*'Inputs-Proposals'!$K$17*'Inputs-Proposals'!$K$19*(VLOOKUP(BF$3,'Non-Embedded Emissions'!$A$56:$D$90,2,FALSE)-VLOOKUP(BF$3,'Non-Embedded Emissions'!$F$57:$H$88,3,FALSE)+VLOOKUP(BF$3,'Non-Embedded Emissions'!$A$143:$D$174,2,FALSE)-VLOOKUP(BF$3,'Non-Embedded Emissions'!$F$143:$H$174,3,FALSE)+VLOOKUP(BF$3,'Non-Embedded Emissions'!$A$230:$D$259,2,FALSE)), $C58 = "2", 'Inputs-System'!$C$30*'Coincidence Factors'!$B$10*'Inputs-Proposals'!$K$23*'Inputs-Proposals'!$K$25*(VLOOKUP(BF$3,'Non-Embedded Emissions'!$A$56:$D$90,2,FALSE)-VLOOKUP(BF$3,'Non-Embedded Emissions'!$F$57:$H$88,3,FALSE)+VLOOKUP(BF$3,'Non-Embedded Emissions'!$A$143:$D$174,2,FALSE)-VLOOKUP(BF$3,'Non-Embedded Emissions'!$F$143:$H$174,3,FALSE)+VLOOKUP(BF$3,'Non-Embedded Emissions'!$A$230:$D$259,2,FALSE)), $C58 = "3", 'Inputs-System'!$C$30*'Coincidence Factors'!$B$10*'Inputs-Proposals'!$K$29*'Inputs-Proposals'!$K$31*(VLOOKUP(BF$3,'Non-Embedded Emissions'!$A$56:$D$90,2,FALSE)-VLOOKUP(BF$3,'Non-Embedded Emissions'!$F$57:$H$88,3,FALSE)+VLOOKUP(BF$3,'Non-Embedded Emissions'!$A$143:$D$174,2,FALSE)-VLOOKUP(BF$3,'Non-Embedded Emissions'!$F$143:$H$174,3,FALSE)+VLOOKUP(BF$3,'Non-Embedded Emissions'!$A$230:$D$259,2,FALSE)), $C58 = "0", 0), 0)</f>
        <v>0</v>
      </c>
      <c r="BL58" s="45">
        <f>IFERROR(_xlfn.IFS($C58="1",('Inputs-System'!$C$30*'Coincidence Factors'!$B$10*(1+'Inputs-System'!$C$18)*(1+'Inputs-System'!$C$41)*('Inputs-Proposals'!$K$17*'Inputs-Proposals'!$K$19*(1-'Inputs-Proposals'!$K$20^(BL$3-'Inputs-System'!$C$7)))*(VLOOKUP(BL$3,Energy!$A$51:$K$83,5,FALSE))), $C58 = "2",('Inputs-System'!$C$30*'Coincidence Factors'!$B$10)*(1+'Inputs-System'!$C$18)*(1+'Inputs-System'!$C$41)*('Inputs-Proposals'!$K$23*'Inputs-Proposals'!$K$25*(1-'Inputs-Proposals'!$K$26^(BL$3-'Inputs-System'!$C$7)))*(VLOOKUP(BL$3,Energy!$A$51:$K$83,5,FALSE)), $C58= "3", ('Inputs-System'!$C$30*'Coincidence Factors'!$B$10*(1+'Inputs-System'!$C$18)*(1+'Inputs-System'!$C$41)*('Inputs-Proposals'!$K$29*'Inputs-Proposals'!$K$31*(1-'Inputs-Proposals'!$K$32^(BL$3-'Inputs-System'!$C$7)))*(VLOOKUP(BL$3,Energy!$A$51:$K$83,5,FALSE))), $C58= "0", 0), 0)</f>
        <v>0</v>
      </c>
      <c r="BM58" s="44">
        <f>IFERROR(_xlfn.IFS($C58="1",('Inputs-System'!$C$30*'Coincidence Factors'!$B$10*(1+'Inputs-System'!$C$18)*(1+'Inputs-System'!$C$41))*'Inputs-Proposals'!$K$17*'Inputs-Proposals'!$K$19*(1-'Inputs-Proposals'!$K$20^(BL$3-'Inputs-System'!$C$7))*(VLOOKUP(BL$3,'Embedded Emissions'!$A$47:$B$78,2,FALSE)+VLOOKUP(BL$3,'Embedded Emissions'!$A$129:$B$158,2,FALSE)), $C58 = "2",('Inputs-System'!$C$30*'Coincidence Factors'!$B$10*(1+'Inputs-System'!$C$18)*(1+'Inputs-System'!$C$41))*'Inputs-Proposals'!$K$23*'Inputs-Proposals'!$K$25*(1-'Inputs-Proposals'!$K$20^(BL$3-'Inputs-System'!$C$7))*(VLOOKUP(BL$3,'Embedded Emissions'!$A$47:$B$78,2,FALSE)+VLOOKUP(BL$3,'Embedded Emissions'!$A$129:$B$158,2,FALSE)), $C58 = "3", ('Inputs-System'!$C$30*'Coincidence Factors'!$B$10*(1+'Inputs-System'!$C$18)*(1+'Inputs-System'!$C$41))*'Inputs-Proposals'!$K$29*'Inputs-Proposals'!$K$31*(1-'Inputs-Proposals'!$K$20^(BL$3-'Inputs-System'!$C$7))*(VLOOKUP(BL$3,'Embedded Emissions'!$A$47:$B$78,2,FALSE)+VLOOKUP(BL$3,'Embedded Emissions'!$A$129:$B$158,2,FALSE)), $C58 = "0", 0), 0)</f>
        <v>0</v>
      </c>
      <c r="BN58" s="44">
        <f>IFERROR(_xlfn.IFS($C58="1",( 'Inputs-System'!$C$30*'Coincidence Factors'!$B$10*(1+'Inputs-System'!$C$18)*(1+'Inputs-System'!$C$41))*('Inputs-Proposals'!$K$17*'Inputs-Proposals'!$K$19*(1-'Inputs-Proposals'!$K$20)^(BL$3-'Inputs-System'!$C$7))*(VLOOKUP(BL$3,DRIPE!$A$54:$I$82,5,FALSE)+VLOOKUP(BL$3,DRIPE!$A$54:$I$82,9,FALSE))+ ('Inputs-System'!$C$26*'Coincidence Factors'!$B$6*(1+'Inputs-System'!$C$18)*(1+'Inputs-System'!$C$42))*'Inputs-Proposals'!$K$16*VLOOKUP(BL$3,DRIPE!$A$54:$I$82,8,FALSE), $C58 = "2",( 'Inputs-System'!$C$30*'Coincidence Factors'!$B$10*(1+'Inputs-System'!$C$18)*(1+'Inputs-System'!$C$41))*('Inputs-Proposals'!$K$23*'Inputs-Proposals'!$K$25*(1-'Inputs-Proposals'!$K$26)^(BL$3-'Inputs-System'!$C$7))*(VLOOKUP(BL$3,DRIPE!$A$54:$I$82,5,FALSE)+VLOOKUP(BL$3,DRIPE!$A$54:$I$82,9,FALSE))+ ('Inputs-System'!$C$26*'Coincidence Factors'!$B$6*(1+'Inputs-System'!$C$18)*(1+'Inputs-System'!$C$42))*'Inputs-Proposals'!$K$22*VLOOKUP(BL$3,DRIPE!$A$54:$I$82,8,FALSE), $C58= "3", ( 'Inputs-System'!$C$30*'Coincidence Factors'!$B$10*(1+'Inputs-System'!$C$18)*(1+'Inputs-System'!$C$41))*('Inputs-Proposals'!$K$29*'Inputs-Proposals'!$K$31*(1-'Inputs-Proposals'!$K$32)^(BL$3-'Inputs-System'!$C$7))*(VLOOKUP(BL$3,DRIPE!$A$54:$I$82,5,FALSE)+VLOOKUP(BL$3,DRIPE!$A$54:$I$82,9,FALSE))+ ('Inputs-System'!$C$26*'Coincidence Factors'!$B$6*(1+'Inputs-System'!$C$18)*(1+'Inputs-System'!$C$42))*'Inputs-Proposals'!$K$28*VLOOKUP(BL$3,DRIPE!$A$54:$I$82,8,FALSE), $C58 = "0", 0), 0)</f>
        <v>0</v>
      </c>
      <c r="BO58" s="45">
        <f>IFERROR(_xlfn.IFS($C58="1",('Inputs-System'!$C$26*'Coincidence Factors'!$B$10*(1+'Inputs-System'!$C$18)*(1+'Inputs-System'!$C$42))*'Inputs-Proposals'!$D$16*(VLOOKUP(BL$3,Capacity!$A$53:$E$85,4,FALSE)*(1+'Inputs-System'!$C$42)+VLOOKUP(BL$3,Capacity!$A$53:$E$85,5,FALSE)*(1+'Inputs-System'!$C$43)*'Inputs-System'!$C$29), $C58 = "2", ('Inputs-System'!$C$26*'Coincidence Factors'!$B$10*(1+'Inputs-System'!$C$18))*'Inputs-Proposals'!$D$22*(VLOOKUP(BL$3,Capacity!$A$53:$E$85,4,FALSE)*(1+'Inputs-System'!$C$42)+VLOOKUP(BL$3,Capacity!$A$53:$E$85,5,FALSE)*'Inputs-System'!$C$29*(1+'Inputs-System'!$C$43)), $C58 = "3", ('Inputs-System'!$C$26*'Coincidence Factors'!$B$10*(1+'Inputs-System'!$C$18))*'Inputs-Proposals'!$D$28*(VLOOKUP(BL$3,Capacity!$A$53:$E$85,4,FALSE)*(1+'Inputs-System'!$C$42)+VLOOKUP(BL$3,Capacity!$A$53:$E$85,5,FALSE)*'Inputs-System'!$C$29*(1+'Inputs-System'!$C$43)), $C58 = "0", 0), 0)</f>
        <v>0</v>
      </c>
      <c r="BP58" s="44">
        <v>0</v>
      </c>
      <c r="BQ58" s="342">
        <f>IFERROR(_xlfn.IFS($C58="1", 'Inputs-System'!$C$30*'Coincidence Factors'!$B$10*'Inputs-Proposals'!$K$17*'Inputs-Proposals'!$K$19*(VLOOKUP(BL$3,'Non-Embedded Emissions'!$A$56:$D$90,2,FALSE)-VLOOKUP(BL$3,'Non-Embedded Emissions'!$F$57:$H$88,3,FALSE)+VLOOKUP(BL$3,'Non-Embedded Emissions'!$A$143:$D$174,2,FALSE)-VLOOKUP(BL$3,'Non-Embedded Emissions'!$F$143:$H$174,3,FALSE)+VLOOKUP(BL$3,'Non-Embedded Emissions'!$A$230:$D$259,2,FALSE)), $C58 = "2", 'Inputs-System'!$C$30*'Coincidence Factors'!$B$10*'Inputs-Proposals'!$K$23*'Inputs-Proposals'!$K$25*(VLOOKUP(BL$3,'Non-Embedded Emissions'!$A$56:$D$90,2,FALSE)-VLOOKUP(BL$3,'Non-Embedded Emissions'!$F$57:$H$88,3,FALSE)+VLOOKUP(BL$3,'Non-Embedded Emissions'!$A$143:$D$174,2,FALSE)-VLOOKUP(BL$3,'Non-Embedded Emissions'!$F$143:$H$174,3,FALSE)+VLOOKUP(BL$3,'Non-Embedded Emissions'!$A$230:$D$259,2,FALSE)), $C58 = "3", 'Inputs-System'!$C$30*'Coincidence Factors'!$B$10*'Inputs-Proposals'!$K$29*'Inputs-Proposals'!$K$31*(VLOOKUP(BL$3,'Non-Embedded Emissions'!$A$56:$D$90,2,FALSE)-VLOOKUP(BL$3,'Non-Embedded Emissions'!$F$57:$H$88,3,FALSE)+VLOOKUP(BL$3,'Non-Embedded Emissions'!$A$143:$D$174,2,FALSE)-VLOOKUP(BL$3,'Non-Embedded Emissions'!$F$143:$H$174,3,FALSE)+VLOOKUP(BL$3,'Non-Embedded Emissions'!$A$230:$D$259,2,FALSE)), $C58 = "0", 0), 0)</f>
        <v>0</v>
      </c>
      <c r="BR58" s="45">
        <f>IFERROR(_xlfn.IFS($C58="1",('Inputs-System'!$C$30*'Coincidence Factors'!$B$10*(1+'Inputs-System'!$C$18)*(1+'Inputs-System'!$C$41)*('Inputs-Proposals'!$K$17*'Inputs-Proposals'!$K$19*(1-'Inputs-Proposals'!$K$20^(BR$3-'Inputs-System'!$C$7)))*(VLOOKUP(BR$3,Energy!$A$51:$K$83,5,FALSE))), $C58 = "2",('Inputs-System'!$C$30*'Coincidence Factors'!$B$10)*(1+'Inputs-System'!$C$18)*(1+'Inputs-System'!$C$41)*('Inputs-Proposals'!$K$23*'Inputs-Proposals'!$K$25*(1-'Inputs-Proposals'!$K$26^(BR$3-'Inputs-System'!$C$7)))*(VLOOKUP(BR$3,Energy!$A$51:$K$83,5,FALSE)), $C58= "3", ('Inputs-System'!$C$30*'Coincidence Factors'!$B$10*(1+'Inputs-System'!$C$18)*(1+'Inputs-System'!$C$41)*('Inputs-Proposals'!$K$29*'Inputs-Proposals'!$K$31*(1-'Inputs-Proposals'!$K$32^(BR$3-'Inputs-System'!$C$7)))*(VLOOKUP(BR$3,Energy!$A$51:$K$83,5,FALSE))), $C58= "0", 0), 0)</f>
        <v>0</v>
      </c>
      <c r="BS58" s="44">
        <f>IFERROR(_xlfn.IFS($C58="1",('Inputs-System'!$C$30*'Coincidence Factors'!$B$10*(1+'Inputs-System'!$C$18)*(1+'Inputs-System'!$C$41))*'Inputs-Proposals'!$K$17*'Inputs-Proposals'!$K$19*(1-'Inputs-Proposals'!$K$20^(BR$3-'Inputs-System'!$C$7))*(VLOOKUP(BR$3,'Embedded Emissions'!$A$47:$B$78,2,FALSE)+VLOOKUP(BR$3,'Embedded Emissions'!$A$129:$B$158,2,FALSE)), $C58 = "2",('Inputs-System'!$C$30*'Coincidence Factors'!$B$10*(1+'Inputs-System'!$C$18)*(1+'Inputs-System'!$C$41))*'Inputs-Proposals'!$K$23*'Inputs-Proposals'!$K$25*(1-'Inputs-Proposals'!$K$20^(BR$3-'Inputs-System'!$C$7))*(VLOOKUP(BR$3,'Embedded Emissions'!$A$47:$B$78,2,FALSE)+VLOOKUP(BR$3,'Embedded Emissions'!$A$129:$B$158,2,FALSE)), $C58 = "3", ('Inputs-System'!$C$30*'Coincidence Factors'!$B$10*(1+'Inputs-System'!$C$18)*(1+'Inputs-System'!$C$41))*'Inputs-Proposals'!$K$29*'Inputs-Proposals'!$K$31*(1-'Inputs-Proposals'!$K$20^(BR$3-'Inputs-System'!$C$7))*(VLOOKUP(BR$3,'Embedded Emissions'!$A$47:$B$78,2,FALSE)+VLOOKUP(BR$3,'Embedded Emissions'!$A$129:$B$158,2,FALSE)), $C58 = "0", 0), 0)</f>
        <v>0</v>
      </c>
      <c r="BT58" s="44">
        <f>IFERROR(_xlfn.IFS($C58="1",( 'Inputs-System'!$C$30*'Coincidence Factors'!$B$10*(1+'Inputs-System'!$C$18)*(1+'Inputs-System'!$C$41))*('Inputs-Proposals'!$K$17*'Inputs-Proposals'!$K$19*(1-'Inputs-Proposals'!$K$20)^(BR$3-'Inputs-System'!$C$7))*(VLOOKUP(BR$3,DRIPE!$A$54:$I$82,5,FALSE)+VLOOKUP(BR$3,DRIPE!$A$54:$I$82,9,FALSE))+ ('Inputs-System'!$C$26*'Coincidence Factors'!$B$6*(1+'Inputs-System'!$C$18)*(1+'Inputs-System'!$C$42))*'Inputs-Proposals'!$K$16*VLOOKUP(BR$3,DRIPE!$A$54:$I$82,8,FALSE), $C58 = "2",( 'Inputs-System'!$C$30*'Coincidence Factors'!$B$10*(1+'Inputs-System'!$C$18)*(1+'Inputs-System'!$C$41))*('Inputs-Proposals'!$K$23*'Inputs-Proposals'!$K$25*(1-'Inputs-Proposals'!$K$26)^(BR$3-'Inputs-System'!$C$7))*(VLOOKUP(BR$3,DRIPE!$A$54:$I$82,5,FALSE)+VLOOKUP(BR$3,DRIPE!$A$54:$I$82,9,FALSE))+ ('Inputs-System'!$C$26*'Coincidence Factors'!$B$6*(1+'Inputs-System'!$C$18)*(1+'Inputs-System'!$C$42))*'Inputs-Proposals'!$K$22*VLOOKUP(BR$3,DRIPE!$A$54:$I$82,8,FALSE), $C58= "3", ( 'Inputs-System'!$C$30*'Coincidence Factors'!$B$10*(1+'Inputs-System'!$C$18)*(1+'Inputs-System'!$C$41))*('Inputs-Proposals'!$K$29*'Inputs-Proposals'!$K$31*(1-'Inputs-Proposals'!$K$32)^(BR$3-'Inputs-System'!$C$7))*(VLOOKUP(BR$3,DRIPE!$A$54:$I$82,5,FALSE)+VLOOKUP(BR$3,DRIPE!$A$54:$I$82,9,FALSE))+ ('Inputs-System'!$C$26*'Coincidence Factors'!$B$6*(1+'Inputs-System'!$C$18)*(1+'Inputs-System'!$C$42))*'Inputs-Proposals'!$K$28*VLOOKUP(BR$3,DRIPE!$A$54:$I$82,8,FALSE), $C58 = "0", 0), 0)</f>
        <v>0</v>
      </c>
      <c r="BU58" s="45">
        <f>IFERROR(_xlfn.IFS($C58="1",('Inputs-System'!$C$26*'Coincidence Factors'!$B$10*(1+'Inputs-System'!$C$18)*(1+'Inputs-System'!$C$42))*'Inputs-Proposals'!$D$16*(VLOOKUP(BR$3,Capacity!$A$53:$E$85,4,FALSE)*(1+'Inputs-System'!$C$42)+VLOOKUP(BR$3,Capacity!$A$53:$E$85,5,FALSE)*(1+'Inputs-System'!$C$43)*'Inputs-System'!$C$29), $C58 = "2", ('Inputs-System'!$C$26*'Coincidence Factors'!$B$10*(1+'Inputs-System'!$C$18))*'Inputs-Proposals'!$D$22*(VLOOKUP(BR$3,Capacity!$A$53:$E$85,4,FALSE)*(1+'Inputs-System'!$C$42)+VLOOKUP(BR$3,Capacity!$A$53:$E$85,5,FALSE)*'Inputs-System'!$C$29*(1+'Inputs-System'!$C$43)), $C58 = "3", ('Inputs-System'!$C$26*'Coincidence Factors'!$B$10*(1+'Inputs-System'!$C$18))*'Inputs-Proposals'!$D$28*(VLOOKUP(BR$3,Capacity!$A$53:$E$85,4,FALSE)*(1+'Inputs-System'!$C$42)+VLOOKUP(BR$3,Capacity!$A$53:$E$85,5,FALSE)*'Inputs-System'!$C$29*(1+'Inputs-System'!$C$43)), $C58 = "0", 0), 0)</f>
        <v>0</v>
      </c>
      <c r="BV58" s="44">
        <v>0</v>
      </c>
      <c r="BW58" s="342">
        <f>IFERROR(_xlfn.IFS($C58="1", 'Inputs-System'!$C$30*'Coincidence Factors'!$B$10*'Inputs-Proposals'!$K$17*'Inputs-Proposals'!$K$19*(VLOOKUP(BR$3,'Non-Embedded Emissions'!$A$56:$D$90,2,FALSE)-VLOOKUP(BR$3,'Non-Embedded Emissions'!$F$57:$H$88,3,FALSE)+VLOOKUP(BR$3,'Non-Embedded Emissions'!$A$143:$D$174,2,FALSE)-VLOOKUP(BR$3,'Non-Embedded Emissions'!$F$143:$H$174,3,FALSE)+VLOOKUP(BR$3,'Non-Embedded Emissions'!$A$230:$D$259,2,FALSE)), $C58 = "2", 'Inputs-System'!$C$30*'Coincidence Factors'!$B$10*'Inputs-Proposals'!$K$23*'Inputs-Proposals'!$K$25*(VLOOKUP(BR$3,'Non-Embedded Emissions'!$A$56:$D$90,2,FALSE)-VLOOKUP(BR$3,'Non-Embedded Emissions'!$F$57:$H$88,3,FALSE)+VLOOKUP(BR$3,'Non-Embedded Emissions'!$A$143:$D$174,2,FALSE)-VLOOKUP(BR$3,'Non-Embedded Emissions'!$F$143:$H$174,3,FALSE)+VLOOKUP(BR$3,'Non-Embedded Emissions'!$A$230:$D$259,2,FALSE)), $C58 = "3", 'Inputs-System'!$C$30*'Coincidence Factors'!$B$10*'Inputs-Proposals'!$K$29*'Inputs-Proposals'!$K$31*(VLOOKUP(BR$3,'Non-Embedded Emissions'!$A$56:$D$90,2,FALSE)-VLOOKUP(BR$3,'Non-Embedded Emissions'!$F$57:$H$88,3,FALSE)+VLOOKUP(BR$3,'Non-Embedded Emissions'!$A$143:$D$174,2,FALSE)-VLOOKUP(BR$3,'Non-Embedded Emissions'!$F$143:$H$174,3,FALSE)+VLOOKUP(BR$3,'Non-Embedded Emissions'!$A$230:$D$259,2,FALSE)), $C58 = "0", 0), 0)</f>
        <v>0</v>
      </c>
      <c r="BX58" s="45">
        <f>IFERROR(_xlfn.IFS($C58="1",('Inputs-System'!$C$30*'Coincidence Factors'!$B$10*(1+'Inputs-System'!$C$18)*(1+'Inputs-System'!$C$41)*('Inputs-Proposals'!$K$17*'Inputs-Proposals'!$K$19*(1-'Inputs-Proposals'!$K$20^(BX$3-'Inputs-System'!$C$7)))*(VLOOKUP(BX$3,Energy!$A$51:$K$83,5,FALSE))), $C58 = "2",('Inputs-System'!$C$30*'Coincidence Factors'!$B$10)*(1+'Inputs-System'!$C$18)*(1+'Inputs-System'!$C$41)*('Inputs-Proposals'!$K$23*'Inputs-Proposals'!$K$25*(1-'Inputs-Proposals'!$K$26^(BX$3-'Inputs-System'!$C$7)))*(VLOOKUP(BX$3,Energy!$A$51:$K$83,5,FALSE)), $C58= "3", ('Inputs-System'!$C$30*'Coincidence Factors'!$B$10*(1+'Inputs-System'!$C$18)*(1+'Inputs-System'!$C$41)*('Inputs-Proposals'!$K$29*'Inputs-Proposals'!$K$31*(1-'Inputs-Proposals'!$K$32^(BX$3-'Inputs-System'!$C$7)))*(VLOOKUP(BX$3,Energy!$A$51:$K$83,5,FALSE))), $C58= "0", 0), 0)</f>
        <v>0</v>
      </c>
      <c r="BY58" s="44">
        <f>IFERROR(_xlfn.IFS($C58="1",('Inputs-System'!$C$30*'Coincidence Factors'!$B$10*(1+'Inputs-System'!$C$18)*(1+'Inputs-System'!$C$41))*'Inputs-Proposals'!$K$17*'Inputs-Proposals'!$K$19*(1-'Inputs-Proposals'!$K$20^(BX$3-'Inputs-System'!$C$7))*(VLOOKUP(BX$3,'Embedded Emissions'!$A$47:$B$78,2,FALSE)+VLOOKUP(BX$3,'Embedded Emissions'!$A$129:$B$158,2,FALSE)), $C58 = "2",('Inputs-System'!$C$30*'Coincidence Factors'!$B$10*(1+'Inputs-System'!$C$18)*(1+'Inputs-System'!$C$41))*'Inputs-Proposals'!$K$23*'Inputs-Proposals'!$K$25*(1-'Inputs-Proposals'!$K$20^(BX$3-'Inputs-System'!$C$7))*(VLOOKUP(BX$3,'Embedded Emissions'!$A$47:$B$78,2,FALSE)+VLOOKUP(BX$3,'Embedded Emissions'!$A$129:$B$158,2,FALSE)), $C58 = "3", ('Inputs-System'!$C$30*'Coincidence Factors'!$B$10*(1+'Inputs-System'!$C$18)*(1+'Inputs-System'!$C$41))*'Inputs-Proposals'!$K$29*'Inputs-Proposals'!$K$31*(1-'Inputs-Proposals'!$K$20^(BX$3-'Inputs-System'!$C$7))*(VLOOKUP(BX$3,'Embedded Emissions'!$A$47:$B$78,2,FALSE)+VLOOKUP(BX$3,'Embedded Emissions'!$A$129:$B$158,2,FALSE)), $C58 = "0", 0), 0)</f>
        <v>0</v>
      </c>
      <c r="BZ58" s="44">
        <f>IFERROR(_xlfn.IFS($C58="1",( 'Inputs-System'!$C$30*'Coincidence Factors'!$B$10*(1+'Inputs-System'!$C$18)*(1+'Inputs-System'!$C$41))*('Inputs-Proposals'!$K$17*'Inputs-Proposals'!$K$19*(1-'Inputs-Proposals'!$K$20)^(BX$3-'Inputs-System'!$C$7))*(VLOOKUP(BX$3,DRIPE!$A$54:$I$82,5,FALSE)+VLOOKUP(BX$3,DRIPE!$A$54:$I$82,9,FALSE))+ ('Inputs-System'!$C$26*'Coincidence Factors'!$B$6*(1+'Inputs-System'!$C$18)*(1+'Inputs-System'!$C$42))*'Inputs-Proposals'!$K$16*VLOOKUP(BX$3,DRIPE!$A$54:$I$82,8,FALSE), $C58 = "2",( 'Inputs-System'!$C$30*'Coincidence Factors'!$B$10*(1+'Inputs-System'!$C$18)*(1+'Inputs-System'!$C$41))*('Inputs-Proposals'!$K$23*'Inputs-Proposals'!$K$25*(1-'Inputs-Proposals'!$K$26)^(BX$3-'Inputs-System'!$C$7))*(VLOOKUP(BX$3,DRIPE!$A$54:$I$82,5,FALSE)+VLOOKUP(BX$3,DRIPE!$A$54:$I$82,9,FALSE))+ ('Inputs-System'!$C$26*'Coincidence Factors'!$B$6*(1+'Inputs-System'!$C$18)*(1+'Inputs-System'!$C$42))*'Inputs-Proposals'!$K$22*VLOOKUP(BX$3,DRIPE!$A$54:$I$82,8,FALSE), $C58= "3", ( 'Inputs-System'!$C$30*'Coincidence Factors'!$B$10*(1+'Inputs-System'!$C$18)*(1+'Inputs-System'!$C$41))*('Inputs-Proposals'!$K$29*'Inputs-Proposals'!$K$31*(1-'Inputs-Proposals'!$K$32)^(BX$3-'Inputs-System'!$C$7))*(VLOOKUP(BX$3,DRIPE!$A$54:$I$82,5,FALSE)+VLOOKUP(BX$3,DRIPE!$A$54:$I$82,9,FALSE))+ ('Inputs-System'!$C$26*'Coincidence Factors'!$B$6*(1+'Inputs-System'!$C$18)*(1+'Inputs-System'!$C$42))*'Inputs-Proposals'!$K$28*VLOOKUP(BX$3,DRIPE!$A$54:$I$82,8,FALSE), $C58 = "0", 0), 0)</f>
        <v>0</v>
      </c>
      <c r="CA58" s="45">
        <f>IFERROR(_xlfn.IFS($C58="1",('Inputs-System'!$C$26*'Coincidence Factors'!$B$10*(1+'Inputs-System'!$C$18)*(1+'Inputs-System'!$C$42))*'Inputs-Proposals'!$D$16*(VLOOKUP(BX$3,Capacity!$A$53:$E$85,4,FALSE)*(1+'Inputs-System'!$C$42)+VLOOKUP(BX$3,Capacity!$A$53:$E$85,5,FALSE)*(1+'Inputs-System'!$C$43)*'Inputs-System'!$C$29), $C58 = "2", ('Inputs-System'!$C$26*'Coincidence Factors'!$B$10*(1+'Inputs-System'!$C$18))*'Inputs-Proposals'!$D$22*(VLOOKUP(BX$3,Capacity!$A$53:$E$85,4,FALSE)*(1+'Inputs-System'!$C$42)+VLOOKUP(BX$3,Capacity!$A$53:$E$85,5,FALSE)*'Inputs-System'!$C$29*(1+'Inputs-System'!$C$43)), $C58 = "3", ('Inputs-System'!$C$26*'Coincidence Factors'!$B$10*(1+'Inputs-System'!$C$18))*'Inputs-Proposals'!$D$28*(VLOOKUP(BX$3,Capacity!$A$53:$E$85,4,FALSE)*(1+'Inputs-System'!$C$42)+VLOOKUP(BX$3,Capacity!$A$53:$E$85,5,FALSE)*'Inputs-System'!$C$29*(1+'Inputs-System'!$C$43)), $C58 = "0", 0), 0)</f>
        <v>0</v>
      </c>
      <c r="CB58" s="44">
        <v>0</v>
      </c>
      <c r="CC58" s="342">
        <f>IFERROR(_xlfn.IFS($C58="1", 'Inputs-System'!$C$30*'Coincidence Factors'!$B$10*'Inputs-Proposals'!$K$17*'Inputs-Proposals'!$K$19*(VLOOKUP(BX$3,'Non-Embedded Emissions'!$A$56:$D$90,2,FALSE)-VLOOKUP(BX$3,'Non-Embedded Emissions'!$F$57:$H$88,3,FALSE)+VLOOKUP(BX$3,'Non-Embedded Emissions'!$A$143:$D$174,2,FALSE)-VLOOKUP(BX$3,'Non-Embedded Emissions'!$F$143:$H$174,3,FALSE)+VLOOKUP(BX$3,'Non-Embedded Emissions'!$A$230:$D$259,2,FALSE)), $C58 = "2", 'Inputs-System'!$C$30*'Coincidence Factors'!$B$10*'Inputs-Proposals'!$K$23*'Inputs-Proposals'!$K$25*(VLOOKUP(BX$3,'Non-Embedded Emissions'!$A$56:$D$90,2,FALSE)-VLOOKUP(BX$3,'Non-Embedded Emissions'!$F$57:$H$88,3,FALSE)+VLOOKUP(BX$3,'Non-Embedded Emissions'!$A$143:$D$174,2,FALSE)-VLOOKUP(BX$3,'Non-Embedded Emissions'!$F$143:$H$174,3,FALSE)+VLOOKUP(BX$3,'Non-Embedded Emissions'!$A$230:$D$259,2,FALSE)), $C58 = "3", 'Inputs-System'!$C$30*'Coincidence Factors'!$B$10*'Inputs-Proposals'!$K$29*'Inputs-Proposals'!$K$31*(VLOOKUP(BX$3,'Non-Embedded Emissions'!$A$56:$D$90,2,FALSE)-VLOOKUP(BX$3,'Non-Embedded Emissions'!$F$57:$H$88,3,FALSE)+VLOOKUP(BX$3,'Non-Embedded Emissions'!$A$143:$D$174,2,FALSE)-VLOOKUP(BX$3,'Non-Embedded Emissions'!$F$143:$H$174,3,FALSE)+VLOOKUP(BX$3,'Non-Embedded Emissions'!$A$230:$D$259,2,FALSE)), $C58 = "0", 0), 0)</f>
        <v>0</v>
      </c>
      <c r="CD58" s="45">
        <f>IFERROR(_xlfn.IFS($C58="1",('Inputs-System'!$C$30*'Coincidence Factors'!$B$10*(1+'Inputs-System'!$C$18)*(1+'Inputs-System'!$C$41)*('Inputs-Proposals'!$K$17*'Inputs-Proposals'!$K$19*(1-'Inputs-Proposals'!$K$20^(CD$3-'Inputs-System'!$C$7)))*(VLOOKUP(CD$3,Energy!$A$51:$K$83,5,FALSE))), $C58 = "2",('Inputs-System'!$C$30*'Coincidence Factors'!$B$10)*(1+'Inputs-System'!$C$18)*(1+'Inputs-System'!$C$41)*('Inputs-Proposals'!$K$23*'Inputs-Proposals'!$K$25*(1-'Inputs-Proposals'!$K$26^(CD$3-'Inputs-System'!$C$7)))*(VLOOKUP(CD$3,Energy!$A$51:$K$83,5,FALSE)), $C58= "3", ('Inputs-System'!$C$30*'Coincidence Factors'!$B$10*(1+'Inputs-System'!$C$18)*(1+'Inputs-System'!$C$41)*('Inputs-Proposals'!$K$29*'Inputs-Proposals'!$K$31*(1-'Inputs-Proposals'!$K$32^(CD$3-'Inputs-System'!$C$7)))*(VLOOKUP(CD$3,Energy!$A$51:$K$83,5,FALSE))), $C58= "0", 0), 0)</f>
        <v>0</v>
      </c>
      <c r="CE58" s="44">
        <f>IFERROR(_xlfn.IFS($C58="1",('Inputs-System'!$C$30*'Coincidence Factors'!$B$10*(1+'Inputs-System'!$C$18)*(1+'Inputs-System'!$C$41))*'Inputs-Proposals'!$K$17*'Inputs-Proposals'!$K$19*(1-'Inputs-Proposals'!$K$20^(CD$3-'Inputs-System'!$C$7))*(VLOOKUP(CD$3,'Embedded Emissions'!$A$47:$B$78,2,FALSE)+VLOOKUP(CD$3,'Embedded Emissions'!$A$129:$B$158,2,FALSE)), $C58 = "2",('Inputs-System'!$C$30*'Coincidence Factors'!$B$10*(1+'Inputs-System'!$C$18)*(1+'Inputs-System'!$C$41))*'Inputs-Proposals'!$K$23*'Inputs-Proposals'!$K$25*(1-'Inputs-Proposals'!$K$20^(CD$3-'Inputs-System'!$C$7))*(VLOOKUP(CD$3,'Embedded Emissions'!$A$47:$B$78,2,FALSE)+VLOOKUP(CD$3,'Embedded Emissions'!$A$129:$B$158,2,FALSE)), $C58 = "3", ('Inputs-System'!$C$30*'Coincidence Factors'!$B$10*(1+'Inputs-System'!$C$18)*(1+'Inputs-System'!$C$41))*'Inputs-Proposals'!$K$29*'Inputs-Proposals'!$K$31*(1-'Inputs-Proposals'!$K$20^(CD$3-'Inputs-System'!$C$7))*(VLOOKUP(CD$3,'Embedded Emissions'!$A$47:$B$78,2,FALSE)+VLOOKUP(CD$3,'Embedded Emissions'!$A$129:$B$158,2,FALSE)), $C58 = "0", 0), 0)</f>
        <v>0</v>
      </c>
      <c r="CF58" s="44">
        <f>IFERROR(_xlfn.IFS($C58="1",( 'Inputs-System'!$C$30*'Coincidence Factors'!$B$10*(1+'Inputs-System'!$C$18)*(1+'Inputs-System'!$C$41))*('Inputs-Proposals'!$K$17*'Inputs-Proposals'!$K$19*(1-'Inputs-Proposals'!$K$20)^(CD$3-'Inputs-System'!$C$7))*(VLOOKUP(CD$3,DRIPE!$A$54:$I$82,5,FALSE)+VLOOKUP(CD$3,DRIPE!$A$54:$I$82,9,FALSE))+ ('Inputs-System'!$C$26*'Coincidence Factors'!$B$6*(1+'Inputs-System'!$C$18)*(1+'Inputs-System'!$C$42))*'Inputs-Proposals'!$K$16*VLOOKUP(CD$3,DRIPE!$A$54:$I$82,8,FALSE), $C58 = "2",( 'Inputs-System'!$C$30*'Coincidence Factors'!$B$10*(1+'Inputs-System'!$C$18)*(1+'Inputs-System'!$C$41))*('Inputs-Proposals'!$K$23*'Inputs-Proposals'!$K$25*(1-'Inputs-Proposals'!$K$26)^(CD$3-'Inputs-System'!$C$7))*(VLOOKUP(CD$3,DRIPE!$A$54:$I$82,5,FALSE)+VLOOKUP(CD$3,DRIPE!$A$54:$I$82,9,FALSE))+ ('Inputs-System'!$C$26*'Coincidence Factors'!$B$6*(1+'Inputs-System'!$C$18)*(1+'Inputs-System'!$C$42))*'Inputs-Proposals'!$K$22*VLOOKUP(CD$3,DRIPE!$A$54:$I$82,8,FALSE), $C58= "3", ( 'Inputs-System'!$C$30*'Coincidence Factors'!$B$10*(1+'Inputs-System'!$C$18)*(1+'Inputs-System'!$C$41))*('Inputs-Proposals'!$K$29*'Inputs-Proposals'!$K$31*(1-'Inputs-Proposals'!$K$32)^(CD$3-'Inputs-System'!$C$7))*(VLOOKUP(CD$3,DRIPE!$A$54:$I$82,5,FALSE)+VLOOKUP(CD$3,DRIPE!$A$54:$I$82,9,FALSE))+ ('Inputs-System'!$C$26*'Coincidence Factors'!$B$6*(1+'Inputs-System'!$C$18)*(1+'Inputs-System'!$C$42))*'Inputs-Proposals'!$K$28*VLOOKUP(CD$3,DRIPE!$A$54:$I$82,8,FALSE), $C58 = "0", 0), 0)</f>
        <v>0</v>
      </c>
      <c r="CG58" s="45">
        <f>IFERROR(_xlfn.IFS($C58="1",('Inputs-System'!$C$26*'Coincidence Factors'!$B$10*(1+'Inputs-System'!$C$18)*(1+'Inputs-System'!$C$42))*'Inputs-Proposals'!$D$16*(VLOOKUP(CD$3,Capacity!$A$53:$E$85,4,FALSE)*(1+'Inputs-System'!$C$42)+VLOOKUP(CD$3,Capacity!$A$53:$E$85,5,FALSE)*(1+'Inputs-System'!$C$43)*'Inputs-System'!$C$29), $C58 = "2", ('Inputs-System'!$C$26*'Coincidence Factors'!$B$10*(1+'Inputs-System'!$C$18))*'Inputs-Proposals'!$D$22*(VLOOKUP(CD$3,Capacity!$A$53:$E$85,4,FALSE)*(1+'Inputs-System'!$C$42)+VLOOKUP(CD$3,Capacity!$A$53:$E$85,5,FALSE)*'Inputs-System'!$C$29*(1+'Inputs-System'!$C$43)), $C58 = "3", ('Inputs-System'!$C$26*'Coincidence Factors'!$B$10*(1+'Inputs-System'!$C$18))*'Inputs-Proposals'!$D$28*(VLOOKUP(CD$3,Capacity!$A$53:$E$85,4,FALSE)*(1+'Inputs-System'!$C$42)+VLOOKUP(CD$3,Capacity!$A$53:$E$85,5,FALSE)*'Inputs-System'!$C$29*(1+'Inputs-System'!$C$43)), $C58 = "0", 0), 0)</f>
        <v>0</v>
      </c>
      <c r="CH58" s="44">
        <v>0</v>
      </c>
      <c r="CI58" s="342">
        <f>IFERROR(_xlfn.IFS($C58="1", 'Inputs-System'!$C$30*'Coincidence Factors'!$B$10*'Inputs-Proposals'!$K$17*'Inputs-Proposals'!$K$19*(VLOOKUP(CD$3,'Non-Embedded Emissions'!$A$56:$D$90,2,FALSE)-VLOOKUP(CD$3,'Non-Embedded Emissions'!$F$57:$H$88,3,FALSE)+VLOOKUP(CD$3,'Non-Embedded Emissions'!$A$143:$D$174,2,FALSE)-VLOOKUP(CD$3,'Non-Embedded Emissions'!$F$143:$H$174,3,FALSE)+VLOOKUP(CD$3,'Non-Embedded Emissions'!$A$230:$D$259,2,FALSE)), $C58 = "2", 'Inputs-System'!$C$30*'Coincidence Factors'!$B$10*'Inputs-Proposals'!$K$23*'Inputs-Proposals'!$K$25*(VLOOKUP(CD$3,'Non-Embedded Emissions'!$A$56:$D$90,2,FALSE)-VLOOKUP(CD$3,'Non-Embedded Emissions'!$F$57:$H$88,3,FALSE)+VLOOKUP(CD$3,'Non-Embedded Emissions'!$A$143:$D$174,2,FALSE)-VLOOKUP(CD$3,'Non-Embedded Emissions'!$F$143:$H$174,3,FALSE)+VLOOKUP(CD$3,'Non-Embedded Emissions'!$A$230:$D$259,2,FALSE)), $C58 = "3", 'Inputs-System'!$C$30*'Coincidence Factors'!$B$10*'Inputs-Proposals'!$K$29*'Inputs-Proposals'!$K$31*(VLOOKUP(CD$3,'Non-Embedded Emissions'!$A$56:$D$90,2,FALSE)-VLOOKUP(CD$3,'Non-Embedded Emissions'!$F$57:$H$88,3,FALSE)+VLOOKUP(CD$3,'Non-Embedded Emissions'!$A$143:$D$174,2,FALSE)-VLOOKUP(CD$3,'Non-Embedded Emissions'!$F$143:$H$174,3,FALSE)+VLOOKUP(CD$3,'Non-Embedded Emissions'!$A$230:$D$259,2,FALSE)), $C58 = "0", 0), 0)</f>
        <v>0</v>
      </c>
      <c r="CJ58" s="45">
        <f>IFERROR(_xlfn.IFS($C58="1",('Inputs-System'!$C$30*'Coincidence Factors'!$B$10*(1+'Inputs-System'!$C$18)*(1+'Inputs-System'!$C$41)*('Inputs-Proposals'!$K$17*'Inputs-Proposals'!$K$19*(1-'Inputs-Proposals'!$K$20^(CJ$3-'Inputs-System'!$C$7)))*(VLOOKUP(CJ$3,Energy!$A$51:$K$83,5,FALSE))), $C58 = "2",('Inputs-System'!$C$30*'Coincidence Factors'!$B$10)*(1+'Inputs-System'!$C$18)*(1+'Inputs-System'!$C$41)*('Inputs-Proposals'!$K$23*'Inputs-Proposals'!$K$25*(1-'Inputs-Proposals'!$K$26^(CJ$3-'Inputs-System'!$C$7)))*(VLOOKUP(CJ$3,Energy!$A$51:$K$83,5,FALSE)), $C58= "3", ('Inputs-System'!$C$30*'Coincidence Factors'!$B$10*(1+'Inputs-System'!$C$18)*(1+'Inputs-System'!$C$41)*('Inputs-Proposals'!$K$29*'Inputs-Proposals'!$K$31*(1-'Inputs-Proposals'!$K$32^(CJ$3-'Inputs-System'!$C$7)))*(VLOOKUP(CJ$3,Energy!$A$51:$K$83,5,FALSE))), $C58= "0", 0), 0)</f>
        <v>0</v>
      </c>
      <c r="CK58" s="44">
        <f>IFERROR(_xlfn.IFS($C58="1",('Inputs-System'!$C$30*'Coincidence Factors'!$B$10*(1+'Inputs-System'!$C$18)*(1+'Inputs-System'!$C$41))*'Inputs-Proposals'!$K$17*'Inputs-Proposals'!$K$19*(1-'Inputs-Proposals'!$K$20^(CJ$3-'Inputs-System'!$C$7))*(VLOOKUP(CJ$3,'Embedded Emissions'!$A$47:$B$78,2,FALSE)+VLOOKUP(CJ$3,'Embedded Emissions'!$A$129:$B$158,2,FALSE)), $C58 = "2",('Inputs-System'!$C$30*'Coincidence Factors'!$B$10*(1+'Inputs-System'!$C$18)*(1+'Inputs-System'!$C$41))*'Inputs-Proposals'!$K$23*'Inputs-Proposals'!$K$25*(1-'Inputs-Proposals'!$K$20^(CJ$3-'Inputs-System'!$C$7))*(VLOOKUP(CJ$3,'Embedded Emissions'!$A$47:$B$78,2,FALSE)+VLOOKUP(CJ$3,'Embedded Emissions'!$A$129:$B$158,2,FALSE)), $C58 = "3", ('Inputs-System'!$C$30*'Coincidence Factors'!$B$10*(1+'Inputs-System'!$C$18)*(1+'Inputs-System'!$C$41))*'Inputs-Proposals'!$K$29*'Inputs-Proposals'!$K$31*(1-'Inputs-Proposals'!$K$20^(CJ$3-'Inputs-System'!$C$7))*(VLOOKUP(CJ$3,'Embedded Emissions'!$A$47:$B$78,2,FALSE)+VLOOKUP(CJ$3,'Embedded Emissions'!$A$129:$B$158,2,FALSE)), $C58 = "0", 0), 0)</f>
        <v>0</v>
      </c>
      <c r="CL58" s="44">
        <f>IFERROR(_xlfn.IFS($C58="1",( 'Inputs-System'!$C$30*'Coincidence Factors'!$B$10*(1+'Inputs-System'!$C$18)*(1+'Inputs-System'!$C$41))*('Inputs-Proposals'!$K$17*'Inputs-Proposals'!$K$19*(1-'Inputs-Proposals'!$K$20)^(CJ$3-'Inputs-System'!$C$7))*(VLOOKUP(CJ$3,DRIPE!$A$54:$I$82,5,FALSE)+VLOOKUP(CJ$3,DRIPE!$A$54:$I$82,9,FALSE))+ ('Inputs-System'!$C$26*'Coincidence Factors'!$B$6*(1+'Inputs-System'!$C$18)*(1+'Inputs-System'!$C$42))*'Inputs-Proposals'!$K$16*VLOOKUP(CJ$3,DRIPE!$A$54:$I$82,8,FALSE), $C58 = "2",( 'Inputs-System'!$C$30*'Coincidence Factors'!$B$10*(1+'Inputs-System'!$C$18)*(1+'Inputs-System'!$C$41))*('Inputs-Proposals'!$K$23*'Inputs-Proposals'!$K$25*(1-'Inputs-Proposals'!$K$26)^(CJ$3-'Inputs-System'!$C$7))*(VLOOKUP(CJ$3,DRIPE!$A$54:$I$82,5,FALSE)+VLOOKUP(CJ$3,DRIPE!$A$54:$I$82,9,FALSE))+ ('Inputs-System'!$C$26*'Coincidence Factors'!$B$6*(1+'Inputs-System'!$C$18)*(1+'Inputs-System'!$C$42))*'Inputs-Proposals'!$K$22*VLOOKUP(CJ$3,DRIPE!$A$54:$I$82,8,FALSE), $C58= "3", ( 'Inputs-System'!$C$30*'Coincidence Factors'!$B$10*(1+'Inputs-System'!$C$18)*(1+'Inputs-System'!$C$41))*('Inputs-Proposals'!$K$29*'Inputs-Proposals'!$K$31*(1-'Inputs-Proposals'!$K$32)^(CJ$3-'Inputs-System'!$C$7))*(VLOOKUP(CJ$3,DRIPE!$A$54:$I$82,5,FALSE)+VLOOKUP(CJ$3,DRIPE!$A$54:$I$82,9,FALSE))+ ('Inputs-System'!$C$26*'Coincidence Factors'!$B$6*(1+'Inputs-System'!$C$18)*(1+'Inputs-System'!$C$42))*'Inputs-Proposals'!$K$28*VLOOKUP(CJ$3,DRIPE!$A$54:$I$82,8,FALSE), $C58 = "0", 0), 0)</f>
        <v>0</v>
      </c>
      <c r="CM58" s="45">
        <f>IFERROR(_xlfn.IFS($C58="1",('Inputs-System'!$C$26*'Coincidence Factors'!$B$10*(1+'Inputs-System'!$C$18)*(1+'Inputs-System'!$C$42))*'Inputs-Proposals'!$D$16*(VLOOKUP(CJ$3,Capacity!$A$53:$E$85,4,FALSE)*(1+'Inputs-System'!$C$42)+VLOOKUP(CJ$3,Capacity!$A$53:$E$85,5,FALSE)*(1+'Inputs-System'!$C$43)*'Inputs-System'!$C$29), $C58 = "2", ('Inputs-System'!$C$26*'Coincidence Factors'!$B$10*(1+'Inputs-System'!$C$18))*'Inputs-Proposals'!$D$22*(VLOOKUP(CJ$3,Capacity!$A$53:$E$85,4,FALSE)*(1+'Inputs-System'!$C$42)+VLOOKUP(CJ$3,Capacity!$A$53:$E$85,5,FALSE)*'Inputs-System'!$C$29*(1+'Inputs-System'!$C$43)), $C58 = "3", ('Inputs-System'!$C$26*'Coincidence Factors'!$B$10*(1+'Inputs-System'!$C$18))*'Inputs-Proposals'!$D$28*(VLOOKUP(CJ$3,Capacity!$A$53:$E$85,4,FALSE)*(1+'Inputs-System'!$C$42)+VLOOKUP(CJ$3,Capacity!$A$53:$E$85,5,FALSE)*'Inputs-System'!$C$29*(1+'Inputs-System'!$C$43)), $C58 = "0", 0), 0)</f>
        <v>0</v>
      </c>
      <c r="CN58" s="44">
        <v>0</v>
      </c>
      <c r="CO58" s="342">
        <f>IFERROR(_xlfn.IFS($C58="1", 'Inputs-System'!$C$30*'Coincidence Factors'!$B$10*'Inputs-Proposals'!$K$17*'Inputs-Proposals'!$K$19*(VLOOKUP(CJ$3,'Non-Embedded Emissions'!$A$56:$D$90,2,FALSE)-VLOOKUP(CJ$3,'Non-Embedded Emissions'!$F$57:$H$88,3,FALSE)+VLOOKUP(CJ$3,'Non-Embedded Emissions'!$A$143:$D$174,2,FALSE)-VLOOKUP(CJ$3,'Non-Embedded Emissions'!$F$143:$H$174,3,FALSE)+VLOOKUP(CJ$3,'Non-Embedded Emissions'!$A$230:$D$259,2,FALSE)), $C58 = "2", 'Inputs-System'!$C$30*'Coincidence Factors'!$B$10*'Inputs-Proposals'!$K$23*'Inputs-Proposals'!$K$25*(VLOOKUP(CJ$3,'Non-Embedded Emissions'!$A$56:$D$90,2,FALSE)-VLOOKUP(CJ$3,'Non-Embedded Emissions'!$F$57:$H$88,3,FALSE)+VLOOKUP(CJ$3,'Non-Embedded Emissions'!$A$143:$D$174,2,FALSE)-VLOOKUP(CJ$3,'Non-Embedded Emissions'!$F$143:$H$174,3,FALSE)+VLOOKUP(CJ$3,'Non-Embedded Emissions'!$A$230:$D$259,2,FALSE)), $C58 = "3", 'Inputs-System'!$C$30*'Coincidence Factors'!$B$10*'Inputs-Proposals'!$K$29*'Inputs-Proposals'!$K$31*(VLOOKUP(CJ$3,'Non-Embedded Emissions'!$A$56:$D$90,2,FALSE)-VLOOKUP(CJ$3,'Non-Embedded Emissions'!$F$57:$H$88,3,FALSE)+VLOOKUP(CJ$3,'Non-Embedded Emissions'!$A$143:$D$174,2,FALSE)-VLOOKUP(CJ$3,'Non-Embedded Emissions'!$F$143:$H$174,3,FALSE)+VLOOKUP(CJ$3,'Non-Embedded Emissions'!$A$230:$D$259,2,FALSE)), $C58 = "0", 0), 0)</f>
        <v>0</v>
      </c>
      <c r="CP58" s="45">
        <f>IFERROR(_xlfn.IFS($C58="1",('Inputs-System'!$C$30*'Coincidence Factors'!$B$10*(1+'Inputs-System'!$C$18)*(1+'Inputs-System'!$C$41)*('Inputs-Proposals'!$K$17*'Inputs-Proposals'!$K$19*(1-'Inputs-Proposals'!$K$20^(CP$3-'Inputs-System'!$C$7)))*(VLOOKUP(CP$3,Energy!$A$51:$K$83,5,FALSE))), $C58 = "2",('Inputs-System'!$C$30*'Coincidence Factors'!$B$10)*(1+'Inputs-System'!$C$18)*(1+'Inputs-System'!$C$41)*('Inputs-Proposals'!$K$23*'Inputs-Proposals'!$K$25*(1-'Inputs-Proposals'!$K$26^(CP$3-'Inputs-System'!$C$7)))*(VLOOKUP(CP$3,Energy!$A$51:$K$83,5,FALSE)), $C58= "3", ('Inputs-System'!$C$30*'Coincidence Factors'!$B$10*(1+'Inputs-System'!$C$18)*(1+'Inputs-System'!$C$41)*('Inputs-Proposals'!$K$29*'Inputs-Proposals'!$K$31*(1-'Inputs-Proposals'!$K$32^(CP$3-'Inputs-System'!$C$7)))*(VLOOKUP(CP$3,Energy!$A$51:$K$83,5,FALSE))), $C58= "0", 0), 0)</f>
        <v>0</v>
      </c>
      <c r="CQ58" s="44">
        <f>IFERROR(_xlfn.IFS($C58="1",('Inputs-System'!$C$30*'Coincidence Factors'!$B$10*(1+'Inputs-System'!$C$18)*(1+'Inputs-System'!$C$41))*'Inputs-Proposals'!$K$17*'Inputs-Proposals'!$K$19*(1-'Inputs-Proposals'!$K$20^(CP$3-'Inputs-System'!$C$7))*(VLOOKUP(CP$3,'Embedded Emissions'!$A$47:$B$78,2,FALSE)+VLOOKUP(CP$3,'Embedded Emissions'!$A$129:$B$158,2,FALSE)), $C58 = "2",('Inputs-System'!$C$30*'Coincidence Factors'!$B$10*(1+'Inputs-System'!$C$18)*(1+'Inputs-System'!$C$41))*'Inputs-Proposals'!$K$23*'Inputs-Proposals'!$K$25*(1-'Inputs-Proposals'!$K$20^(CP$3-'Inputs-System'!$C$7))*(VLOOKUP(CP$3,'Embedded Emissions'!$A$47:$B$78,2,FALSE)+VLOOKUP(CP$3,'Embedded Emissions'!$A$129:$B$158,2,FALSE)), $C58 = "3", ('Inputs-System'!$C$30*'Coincidence Factors'!$B$10*(1+'Inputs-System'!$C$18)*(1+'Inputs-System'!$C$41))*'Inputs-Proposals'!$K$29*'Inputs-Proposals'!$K$31*(1-'Inputs-Proposals'!$K$20^(CP$3-'Inputs-System'!$C$7))*(VLOOKUP(CP$3,'Embedded Emissions'!$A$47:$B$78,2,FALSE)+VLOOKUP(CP$3,'Embedded Emissions'!$A$129:$B$158,2,FALSE)), $C58 = "0", 0), 0)</f>
        <v>0</v>
      </c>
      <c r="CR58" s="44">
        <f>IFERROR(_xlfn.IFS($C58="1",( 'Inputs-System'!$C$30*'Coincidence Factors'!$B$10*(1+'Inputs-System'!$C$18)*(1+'Inputs-System'!$C$41))*('Inputs-Proposals'!$K$17*'Inputs-Proposals'!$K$19*(1-'Inputs-Proposals'!$K$20)^(CP$3-'Inputs-System'!$C$7))*(VLOOKUP(CP$3,DRIPE!$A$54:$I$82,5,FALSE)+VLOOKUP(CP$3,DRIPE!$A$54:$I$82,9,FALSE))+ ('Inputs-System'!$C$26*'Coincidence Factors'!$B$6*(1+'Inputs-System'!$C$18)*(1+'Inputs-System'!$C$42))*'Inputs-Proposals'!$K$16*VLOOKUP(CP$3,DRIPE!$A$54:$I$82,8,FALSE), $C58 = "2",( 'Inputs-System'!$C$30*'Coincidence Factors'!$B$10*(1+'Inputs-System'!$C$18)*(1+'Inputs-System'!$C$41))*('Inputs-Proposals'!$K$23*'Inputs-Proposals'!$K$25*(1-'Inputs-Proposals'!$K$26)^(CP$3-'Inputs-System'!$C$7))*(VLOOKUP(CP$3,DRIPE!$A$54:$I$82,5,FALSE)+VLOOKUP(CP$3,DRIPE!$A$54:$I$82,9,FALSE))+ ('Inputs-System'!$C$26*'Coincidence Factors'!$B$6*(1+'Inputs-System'!$C$18)*(1+'Inputs-System'!$C$42))*'Inputs-Proposals'!$K$22*VLOOKUP(CP$3,DRIPE!$A$54:$I$82,8,FALSE), $C58= "3", ( 'Inputs-System'!$C$30*'Coincidence Factors'!$B$10*(1+'Inputs-System'!$C$18)*(1+'Inputs-System'!$C$41))*('Inputs-Proposals'!$K$29*'Inputs-Proposals'!$K$31*(1-'Inputs-Proposals'!$K$32)^(CP$3-'Inputs-System'!$C$7))*(VLOOKUP(CP$3,DRIPE!$A$54:$I$82,5,FALSE)+VLOOKUP(CP$3,DRIPE!$A$54:$I$82,9,FALSE))+ ('Inputs-System'!$C$26*'Coincidence Factors'!$B$6*(1+'Inputs-System'!$C$18)*(1+'Inputs-System'!$C$42))*'Inputs-Proposals'!$K$28*VLOOKUP(CP$3,DRIPE!$A$54:$I$82,8,FALSE), $C58 = "0", 0), 0)</f>
        <v>0</v>
      </c>
      <c r="CS58" s="45">
        <f>IFERROR(_xlfn.IFS($C58="1",('Inputs-System'!$C$26*'Coincidence Factors'!$B$10*(1+'Inputs-System'!$C$18)*(1+'Inputs-System'!$C$42))*'Inputs-Proposals'!$D$16*(VLOOKUP(CP$3,Capacity!$A$53:$E$85,4,FALSE)*(1+'Inputs-System'!$C$42)+VLOOKUP(CP$3,Capacity!$A$53:$E$85,5,FALSE)*(1+'Inputs-System'!$C$43)*'Inputs-System'!$C$29), $C58 = "2", ('Inputs-System'!$C$26*'Coincidence Factors'!$B$10*(1+'Inputs-System'!$C$18))*'Inputs-Proposals'!$D$22*(VLOOKUP(CP$3,Capacity!$A$53:$E$85,4,FALSE)*(1+'Inputs-System'!$C$42)+VLOOKUP(CP$3,Capacity!$A$53:$E$85,5,FALSE)*'Inputs-System'!$C$29*(1+'Inputs-System'!$C$43)), $C58 = "3", ('Inputs-System'!$C$26*'Coincidence Factors'!$B$10*(1+'Inputs-System'!$C$18))*'Inputs-Proposals'!$D$28*(VLOOKUP(CP$3,Capacity!$A$53:$E$85,4,FALSE)*(1+'Inputs-System'!$C$42)+VLOOKUP(CP$3,Capacity!$A$53:$E$85,5,FALSE)*'Inputs-System'!$C$29*(1+'Inputs-System'!$C$43)), $C58 = "0", 0), 0)</f>
        <v>0</v>
      </c>
      <c r="CT58" s="44">
        <v>0</v>
      </c>
      <c r="CU58" s="342">
        <f>IFERROR(_xlfn.IFS($C58="1", 'Inputs-System'!$C$30*'Coincidence Factors'!$B$10*'Inputs-Proposals'!$K$17*'Inputs-Proposals'!$K$19*(VLOOKUP(CP$3,'Non-Embedded Emissions'!$A$56:$D$90,2,FALSE)-VLOOKUP(CP$3,'Non-Embedded Emissions'!$F$57:$H$88,3,FALSE)+VLOOKUP(CP$3,'Non-Embedded Emissions'!$A$143:$D$174,2,FALSE)-VLOOKUP(CP$3,'Non-Embedded Emissions'!$F$143:$H$174,3,FALSE)+VLOOKUP(CP$3,'Non-Embedded Emissions'!$A$230:$D$259,2,FALSE)), $C58 = "2", 'Inputs-System'!$C$30*'Coincidence Factors'!$B$10*'Inputs-Proposals'!$K$23*'Inputs-Proposals'!$K$25*(VLOOKUP(CP$3,'Non-Embedded Emissions'!$A$56:$D$90,2,FALSE)-VLOOKUP(CP$3,'Non-Embedded Emissions'!$F$57:$H$88,3,FALSE)+VLOOKUP(CP$3,'Non-Embedded Emissions'!$A$143:$D$174,2,FALSE)-VLOOKUP(CP$3,'Non-Embedded Emissions'!$F$143:$H$174,3,FALSE)+VLOOKUP(CP$3,'Non-Embedded Emissions'!$A$230:$D$259,2,FALSE)), $C58 = "3", 'Inputs-System'!$C$30*'Coincidence Factors'!$B$10*'Inputs-Proposals'!$K$29*'Inputs-Proposals'!$K$31*(VLOOKUP(CP$3,'Non-Embedded Emissions'!$A$56:$D$90,2,FALSE)-VLOOKUP(CP$3,'Non-Embedded Emissions'!$F$57:$H$88,3,FALSE)+VLOOKUP(CP$3,'Non-Embedded Emissions'!$A$143:$D$174,2,FALSE)-VLOOKUP(CP$3,'Non-Embedded Emissions'!$F$143:$H$174,3,FALSE)+VLOOKUP(CP$3,'Non-Embedded Emissions'!$A$230:$D$259,2,FALSE)), $C58 = "0", 0), 0)</f>
        <v>0</v>
      </c>
      <c r="CV58" s="45">
        <f>IFERROR(_xlfn.IFS($C58="1",('Inputs-System'!$C$30*'Coincidence Factors'!$B$10*(1+'Inputs-System'!$C$18)*(1+'Inputs-System'!$C$41)*('Inputs-Proposals'!$K$17*'Inputs-Proposals'!$K$19*(1-'Inputs-Proposals'!$K$20^(CV$3-'Inputs-System'!$C$7)))*(VLOOKUP(CV$3,Energy!$A$51:$K$83,5,FALSE))), $C58 = "2",('Inputs-System'!$C$30*'Coincidence Factors'!$B$10)*(1+'Inputs-System'!$C$18)*(1+'Inputs-System'!$C$41)*('Inputs-Proposals'!$K$23*'Inputs-Proposals'!$K$25*(1-'Inputs-Proposals'!$K$26^(CV$3-'Inputs-System'!$C$7)))*(VLOOKUP(CV$3,Energy!$A$51:$K$83,5,FALSE)), $C58= "3", ('Inputs-System'!$C$30*'Coincidence Factors'!$B$10*(1+'Inputs-System'!$C$18)*(1+'Inputs-System'!$C$41)*('Inputs-Proposals'!$K$29*'Inputs-Proposals'!$K$31*(1-'Inputs-Proposals'!$K$32^(CV$3-'Inputs-System'!$C$7)))*(VLOOKUP(CV$3,Energy!$A$51:$K$83,5,FALSE))), $C58= "0", 0), 0)</f>
        <v>0</v>
      </c>
      <c r="CW58" s="44">
        <f>IFERROR(_xlfn.IFS($C58="1",('Inputs-System'!$C$30*'Coincidence Factors'!$B$10*(1+'Inputs-System'!$C$18)*(1+'Inputs-System'!$C$41))*'Inputs-Proposals'!$K$17*'Inputs-Proposals'!$K$19*(1-'Inputs-Proposals'!$K$20^(CV$3-'Inputs-System'!$C$7))*(VLOOKUP(CV$3,'Embedded Emissions'!$A$47:$B$78,2,FALSE)+VLOOKUP(CV$3,'Embedded Emissions'!$A$129:$B$158,2,FALSE)), $C58 = "2",('Inputs-System'!$C$30*'Coincidence Factors'!$B$10*(1+'Inputs-System'!$C$18)*(1+'Inputs-System'!$C$41))*'Inputs-Proposals'!$K$23*'Inputs-Proposals'!$K$25*(1-'Inputs-Proposals'!$K$20^(CV$3-'Inputs-System'!$C$7))*(VLOOKUP(CV$3,'Embedded Emissions'!$A$47:$B$78,2,FALSE)+VLOOKUP(CV$3,'Embedded Emissions'!$A$129:$B$158,2,FALSE)), $C58 = "3", ('Inputs-System'!$C$30*'Coincidence Factors'!$B$10*(1+'Inputs-System'!$C$18)*(1+'Inputs-System'!$C$41))*'Inputs-Proposals'!$K$29*'Inputs-Proposals'!$K$31*(1-'Inputs-Proposals'!$K$20^(CV$3-'Inputs-System'!$C$7))*(VLOOKUP(CV$3,'Embedded Emissions'!$A$47:$B$78,2,FALSE)+VLOOKUP(CV$3,'Embedded Emissions'!$A$129:$B$158,2,FALSE)), $C58 = "0", 0), 0)</f>
        <v>0</v>
      </c>
      <c r="CX58" s="44">
        <f>IFERROR(_xlfn.IFS($C58="1",( 'Inputs-System'!$C$30*'Coincidence Factors'!$B$10*(1+'Inputs-System'!$C$18)*(1+'Inputs-System'!$C$41))*('Inputs-Proposals'!$K$17*'Inputs-Proposals'!$K$19*(1-'Inputs-Proposals'!$K$20)^(CV$3-'Inputs-System'!$C$7))*(VLOOKUP(CV$3,DRIPE!$A$54:$I$82,5,FALSE)+VLOOKUP(CV$3,DRIPE!$A$54:$I$82,9,FALSE))+ ('Inputs-System'!$C$26*'Coincidence Factors'!$B$6*(1+'Inputs-System'!$C$18)*(1+'Inputs-System'!$C$42))*'Inputs-Proposals'!$K$16*VLOOKUP(CV$3,DRIPE!$A$54:$I$82,8,FALSE), $C58 = "2",( 'Inputs-System'!$C$30*'Coincidence Factors'!$B$10*(1+'Inputs-System'!$C$18)*(1+'Inputs-System'!$C$41))*('Inputs-Proposals'!$K$23*'Inputs-Proposals'!$K$25*(1-'Inputs-Proposals'!$K$26)^(CV$3-'Inputs-System'!$C$7))*(VLOOKUP(CV$3,DRIPE!$A$54:$I$82,5,FALSE)+VLOOKUP(CV$3,DRIPE!$A$54:$I$82,9,FALSE))+ ('Inputs-System'!$C$26*'Coincidence Factors'!$B$6*(1+'Inputs-System'!$C$18)*(1+'Inputs-System'!$C$42))*'Inputs-Proposals'!$K$22*VLOOKUP(CV$3,DRIPE!$A$54:$I$82,8,FALSE), $C58= "3", ( 'Inputs-System'!$C$30*'Coincidence Factors'!$B$10*(1+'Inputs-System'!$C$18)*(1+'Inputs-System'!$C$41))*('Inputs-Proposals'!$K$29*'Inputs-Proposals'!$K$31*(1-'Inputs-Proposals'!$K$32)^(CV$3-'Inputs-System'!$C$7))*(VLOOKUP(CV$3,DRIPE!$A$54:$I$82,5,FALSE)+VLOOKUP(CV$3,DRIPE!$A$54:$I$82,9,FALSE))+ ('Inputs-System'!$C$26*'Coincidence Factors'!$B$6*(1+'Inputs-System'!$C$18)*(1+'Inputs-System'!$C$42))*'Inputs-Proposals'!$K$28*VLOOKUP(CV$3,DRIPE!$A$54:$I$82,8,FALSE), $C58 = "0", 0), 0)</f>
        <v>0</v>
      </c>
      <c r="CY58" s="45">
        <f>IFERROR(_xlfn.IFS($C58="1",('Inputs-System'!$C$26*'Coincidence Factors'!$B$10*(1+'Inputs-System'!$C$18)*(1+'Inputs-System'!$C$42))*'Inputs-Proposals'!$D$16*(VLOOKUP(CV$3,Capacity!$A$53:$E$85,4,FALSE)*(1+'Inputs-System'!$C$42)+VLOOKUP(CV$3,Capacity!$A$53:$E$85,5,FALSE)*(1+'Inputs-System'!$C$43)*'Inputs-System'!$C$29), $C58 = "2", ('Inputs-System'!$C$26*'Coincidence Factors'!$B$10*(1+'Inputs-System'!$C$18))*'Inputs-Proposals'!$D$22*(VLOOKUP(CV$3,Capacity!$A$53:$E$85,4,FALSE)*(1+'Inputs-System'!$C$42)+VLOOKUP(CV$3,Capacity!$A$53:$E$85,5,FALSE)*'Inputs-System'!$C$29*(1+'Inputs-System'!$C$43)), $C58 = "3", ('Inputs-System'!$C$26*'Coincidence Factors'!$B$10*(1+'Inputs-System'!$C$18))*'Inputs-Proposals'!$D$28*(VLOOKUP(CV$3,Capacity!$A$53:$E$85,4,FALSE)*(1+'Inputs-System'!$C$42)+VLOOKUP(CV$3,Capacity!$A$53:$E$85,5,FALSE)*'Inputs-System'!$C$29*(1+'Inputs-System'!$C$43)), $C58 = "0", 0), 0)</f>
        <v>0</v>
      </c>
      <c r="CZ58" s="44">
        <v>0</v>
      </c>
      <c r="DA58" s="342">
        <f>IFERROR(_xlfn.IFS($C58="1", 'Inputs-System'!$C$30*'Coincidence Factors'!$B$10*'Inputs-Proposals'!$K$17*'Inputs-Proposals'!$K$19*(VLOOKUP(CV$3,'Non-Embedded Emissions'!$A$56:$D$90,2,FALSE)-VLOOKUP(CV$3,'Non-Embedded Emissions'!$F$57:$H$88,3,FALSE)+VLOOKUP(CV$3,'Non-Embedded Emissions'!$A$143:$D$174,2,FALSE)-VLOOKUP(CV$3,'Non-Embedded Emissions'!$F$143:$H$174,3,FALSE)+VLOOKUP(CV$3,'Non-Embedded Emissions'!$A$230:$D$259,2,FALSE)), $C58 = "2", 'Inputs-System'!$C$30*'Coincidence Factors'!$B$10*'Inputs-Proposals'!$K$23*'Inputs-Proposals'!$K$25*(VLOOKUP(CV$3,'Non-Embedded Emissions'!$A$56:$D$90,2,FALSE)-VLOOKUP(CV$3,'Non-Embedded Emissions'!$F$57:$H$88,3,FALSE)+VLOOKUP(CV$3,'Non-Embedded Emissions'!$A$143:$D$174,2,FALSE)-VLOOKUP(CV$3,'Non-Embedded Emissions'!$F$143:$H$174,3,FALSE)+VLOOKUP(CV$3,'Non-Embedded Emissions'!$A$230:$D$259,2,FALSE)), $C58 = "3", 'Inputs-System'!$C$30*'Coincidence Factors'!$B$10*'Inputs-Proposals'!$K$29*'Inputs-Proposals'!$K$31*(VLOOKUP(CV$3,'Non-Embedded Emissions'!$A$56:$D$90,2,FALSE)-VLOOKUP(CV$3,'Non-Embedded Emissions'!$F$57:$H$88,3,FALSE)+VLOOKUP(CV$3,'Non-Embedded Emissions'!$A$143:$D$174,2,FALSE)-VLOOKUP(CV$3,'Non-Embedded Emissions'!$F$143:$H$174,3,FALSE)+VLOOKUP(CV$3,'Non-Embedded Emissions'!$A$230:$D$259,2,FALSE)), $C58 = "0", 0), 0)</f>
        <v>0</v>
      </c>
      <c r="DB58" s="45">
        <f>IFERROR(_xlfn.IFS($C58="1",('Inputs-System'!$C$30*'Coincidence Factors'!$B$10*(1+'Inputs-System'!$C$18)*(1+'Inputs-System'!$C$41)*('Inputs-Proposals'!$K$17*'Inputs-Proposals'!$K$19*(1-'Inputs-Proposals'!$K$20^(DB$3-'Inputs-System'!$C$7)))*(VLOOKUP(DB$3,Energy!$A$51:$K$83,5,FALSE))), $C58 = "2",('Inputs-System'!$C$30*'Coincidence Factors'!$B$10)*(1+'Inputs-System'!$C$18)*(1+'Inputs-System'!$C$41)*('Inputs-Proposals'!$K$23*'Inputs-Proposals'!$K$25*(1-'Inputs-Proposals'!$K$26^(DB$3-'Inputs-System'!$C$7)))*(VLOOKUP(DB$3,Energy!$A$51:$K$83,5,FALSE)), $C58= "3", ('Inputs-System'!$C$30*'Coincidence Factors'!$B$10*(1+'Inputs-System'!$C$18)*(1+'Inputs-System'!$C$41)*('Inputs-Proposals'!$K$29*'Inputs-Proposals'!$K$31*(1-'Inputs-Proposals'!$K$32^(DB$3-'Inputs-System'!$C$7)))*(VLOOKUP(DB$3,Energy!$A$51:$K$83,5,FALSE))), $C58= "0", 0), 0)</f>
        <v>0</v>
      </c>
      <c r="DC58" s="44">
        <f>IFERROR(_xlfn.IFS($C58="1",('Inputs-System'!$C$30*'Coincidence Factors'!$B$10*(1+'Inputs-System'!$C$18)*(1+'Inputs-System'!$C$41))*'Inputs-Proposals'!$K$17*'Inputs-Proposals'!$K$19*(1-'Inputs-Proposals'!$K$20^(DB$3-'Inputs-System'!$C$7))*(VLOOKUP(DB$3,'Embedded Emissions'!$A$47:$B$78,2,FALSE)+VLOOKUP(DB$3,'Embedded Emissions'!$A$129:$B$158,2,FALSE)), $C58 = "2",('Inputs-System'!$C$30*'Coincidence Factors'!$B$10*(1+'Inputs-System'!$C$18)*(1+'Inputs-System'!$C$41))*'Inputs-Proposals'!$K$23*'Inputs-Proposals'!$K$25*(1-'Inputs-Proposals'!$K$20^(DB$3-'Inputs-System'!$C$7))*(VLOOKUP(DB$3,'Embedded Emissions'!$A$47:$B$78,2,FALSE)+VLOOKUP(DB$3,'Embedded Emissions'!$A$129:$B$158,2,FALSE)), $C58 = "3", ('Inputs-System'!$C$30*'Coincidence Factors'!$B$10*(1+'Inputs-System'!$C$18)*(1+'Inputs-System'!$C$41))*'Inputs-Proposals'!$K$29*'Inputs-Proposals'!$K$31*(1-'Inputs-Proposals'!$K$20^(DB$3-'Inputs-System'!$C$7))*(VLOOKUP(DB$3,'Embedded Emissions'!$A$47:$B$78,2,FALSE)+VLOOKUP(DB$3,'Embedded Emissions'!$A$129:$B$158,2,FALSE)), $C58 = "0", 0), 0)</f>
        <v>0</v>
      </c>
      <c r="DD58" s="44">
        <f>IFERROR(_xlfn.IFS($C58="1",( 'Inputs-System'!$C$30*'Coincidence Factors'!$B$10*(1+'Inputs-System'!$C$18)*(1+'Inputs-System'!$C$41))*('Inputs-Proposals'!$K$17*'Inputs-Proposals'!$K$19*(1-'Inputs-Proposals'!$K$20)^(DB$3-'Inputs-System'!$C$7))*(VLOOKUP(DB$3,DRIPE!$A$54:$I$82,5,FALSE)+VLOOKUP(DB$3,DRIPE!$A$54:$I$82,9,FALSE))+ ('Inputs-System'!$C$26*'Coincidence Factors'!$B$6*(1+'Inputs-System'!$C$18)*(1+'Inputs-System'!$C$42))*'Inputs-Proposals'!$K$16*VLOOKUP(DB$3,DRIPE!$A$54:$I$82,8,FALSE), $C58 = "2",( 'Inputs-System'!$C$30*'Coincidence Factors'!$B$10*(1+'Inputs-System'!$C$18)*(1+'Inputs-System'!$C$41))*('Inputs-Proposals'!$K$23*'Inputs-Proposals'!$K$25*(1-'Inputs-Proposals'!$K$26)^(DB$3-'Inputs-System'!$C$7))*(VLOOKUP(DB$3,DRIPE!$A$54:$I$82,5,FALSE)+VLOOKUP(DB$3,DRIPE!$A$54:$I$82,9,FALSE))+ ('Inputs-System'!$C$26*'Coincidence Factors'!$B$6*(1+'Inputs-System'!$C$18)*(1+'Inputs-System'!$C$42))*'Inputs-Proposals'!$K$22*VLOOKUP(DB$3,DRIPE!$A$54:$I$82,8,FALSE), $C58= "3", ( 'Inputs-System'!$C$30*'Coincidence Factors'!$B$10*(1+'Inputs-System'!$C$18)*(1+'Inputs-System'!$C$41))*('Inputs-Proposals'!$K$29*'Inputs-Proposals'!$K$31*(1-'Inputs-Proposals'!$K$32)^(DB$3-'Inputs-System'!$C$7))*(VLOOKUP(DB$3,DRIPE!$A$54:$I$82,5,FALSE)+VLOOKUP(DB$3,DRIPE!$A$54:$I$82,9,FALSE))+ ('Inputs-System'!$C$26*'Coincidence Factors'!$B$6*(1+'Inputs-System'!$C$18)*(1+'Inputs-System'!$C$42))*'Inputs-Proposals'!$K$28*VLOOKUP(DB$3,DRIPE!$A$54:$I$82,8,FALSE), $C58 = "0", 0), 0)</f>
        <v>0</v>
      </c>
      <c r="DE58" s="45">
        <f>IFERROR(_xlfn.IFS($C58="1",('Inputs-System'!$C$26*'Coincidence Factors'!$B$10*(1+'Inputs-System'!$C$18)*(1+'Inputs-System'!$C$42))*'Inputs-Proposals'!$D$16*(VLOOKUP(DB$3,Capacity!$A$53:$E$85,4,FALSE)*(1+'Inputs-System'!$C$42)+VLOOKUP(DB$3,Capacity!$A$53:$E$85,5,FALSE)*(1+'Inputs-System'!$C$43)*'Inputs-System'!$C$29), $C58 = "2", ('Inputs-System'!$C$26*'Coincidence Factors'!$B$10*(1+'Inputs-System'!$C$18))*'Inputs-Proposals'!$D$22*(VLOOKUP(DB$3,Capacity!$A$53:$E$85,4,FALSE)*(1+'Inputs-System'!$C$42)+VLOOKUP(DB$3,Capacity!$A$53:$E$85,5,FALSE)*'Inputs-System'!$C$29*(1+'Inputs-System'!$C$43)), $C58 = "3", ('Inputs-System'!$C$26*'Coincidence Factors'!$B$10*(1+'Inputs-System'!$C$18))*'Inputs-Proposals'!$D$28*(VLOOKUP(DB$3,Capacity!$A$53:$E$85,4,FALSE)*(1+'Inputs-System'!$C$42)+VLOOKUP(DB$3,Capacity!$A$53:$E$85,5,FALSE)*'Inputs-System'!$C$29*(1+'Inputs-System'!$C$43)), $C58 = "0", 0), 0)</f>
        <v>0</v>
      </c>
      <c r="DF58" s="44">
        <v>0</v>
      </c>
      <c r="DG58" s="342">
        <f>IFERROR(_xlfn.IFS($C58="1", 'Inputs-System'!$C$30*'Coincidence Factors'!$B$10*'Inputs-Proposals'!$K$17*'Inputs-Proposals'!$K$19*(VLOOKUP(DB$3,'Non-Embedded Emissions'!$A$56:$D$90,2,FALSE)-VLOOKUP(DB$3,'Non-Embedded Emissions'!$F$57:$H$88,3,FALSE)+VLOOKUP(DB$3,'Non-Embedded Emissions'!$A$143:$D$174,2,FALSE)-VLOOKUP(DB$3,'Non-Embedded Emissions'!$F$143:$H$174,3,FALSE)+VLOOKUP(DB$3,'Non-Embedded Emissions'!$A$230:$D$259,2,FALSE)), $C58 = "2", 'Inputs-System'!$C$30*'Coincidence Factors'!$B$10*'Inputs-Proposals'!$K$23*'Inputs-Proposals'!$K$25*(VLOOKUP(DB$3,'Non-Embedded Emissions'!$A$56:$D$90,2,FALSE)-VLOOKUP(DB$3,'Non-Embedded Emissions'!$F$57:$H$88,3,FALSE)+VLOOKUP(DB$3,'Non-Embedded Emissions'!$A$143:$D$174,2,FALSE)-VLOOKUP(DB$3,'Non-Embedded Emissions'!$F$143:$H$174,3,FALSE)+VLOOKUP(DB$3,'Non-Embedded Emissions'!$A$230:$D$259,2,FALSE)), $C58 = "3", 'Inputs-System'!$C$30*'Coincidence Factors'!$B$10*'Inputs-Proposals'!$K$29*'Inputs-Proposals'!$K$31*(VLOOKUP(DB$3,'Non-Embedded Emissions'!$A$56:$D$90,2,FALSE)-VLOOKUP(DB$3,'Non-Embedded Emissions'!$F$57:$H$88,3,FALSE)+VLOOKUP(DB$3,'Non-Embedded Emissions'!$A$143:$D$174,2,FALSE)-VLOOKUP(DB$3,'Non-Embedded Emissions'!$F$143:$H$174,3,FALSE)+VLOOKUP(DB$3,'Non-Embedded Emissions'!$A$230:$D$259,2,FALSE)), $C58 = "0", 0), 0)</f>
        <v>0</v>
      </c>
      <c r="DH58" s="45">
        <f>IFERROR(_xlfn.IFS($C58="1",('Inputs-System'!$C$30*'Coincidence Factors'!$B$10*(1+'Inputs-System'!$C$18)*(1+'Inputs-System'!$C$41)*('Inputs-Proposals'!$K$17*'Inputs-Proposals'!$K$19*(1-'Inputs-Proposals'!$K$20^(DH$3-'Inputs-System'!$C$7)))*(VLOOKUP(DH$3,Energy!$A$51:$K$83,5,FALSE))), $C58 = "2",('Inputs-System'!$C$30*'Coincidence Factors'!$B$10)*(1+'Inputs-System'!$C$18)*(1+'Inputs-System'!$C$41)*('Inputs-Proposals'!$K$23*'Inputs-Proposals'!$K$25*(1-'Inputs-Proposals'!$K$26^(DH$3-'Inputs-System'!$C$7)))*(VLOOKUP(DH$3,Energy!$A$51:$K$83,5,FALSE)), $C58= "3", ('Inputs-System'!$C$30*'Coincidence Factors'!$B$10*(1+'Inputs-System'!$C$18)*(1+'Inputs-System'!$C$41)*('Inputs-Proposals'!$K$29*'Inputs-Proposals'!$K$31*(1-'Inputs-Proposals'!$K$32^(DH$3-'Inputs-System'!$C$7)))*(VLOOKUP(DH$3,Energy!$A$51:$K$83,5,FALSE))), $C58= "0", 0), 0)</f>
        <v>0</v>
      </c>
      <c r="DI58" s="44">
        <f>IFERROR(_xlfn.IFS($C58="1",('Inputs-System'!$C$30*'Coincidence Factors'!$B$10*(1+'Inputs-System'!$C$18)*(1+'Inputs-System'!$C$41))*'Inputs-Proposals'!$K$17*'Inputs-Proposals'!$K$19*(1-'Inputs-Proposals'!$K$20^(DH$3-'Inputs-System'!$C$7))*(VLOOKUP(DH$3,'Embedded Emissions'!$A$47:$B$78,2,FALSE)+VLOOKUP(DH$3,'Embedded Emissions'!$A$129:$B$158,2,FALSE)), $C58 = "2",('Inputs-System'!$C$30*'Coincidence Factors'!$B$10*(1+'Inputs-System'!$C$18)*(1+'Inputs-System'!$C$41))*'Inputs-Proposals'!$K$23*'Inputs-Proposals'!$K$25*(1-'Inputs-Proposals'!$K$20^(DH$3-'Inputs-System'!$C$7))*(VLOOKUP(DH$3,'Embedded Emissions'!$A$47:$B$78,2,FALSE)+VLOOKUP(DH$3,'Embedded Emissions'!$A$129:$B$158,2,FALSE)), $C58 = "3", ('Inputs-System'!$C$30*'Coincidence Factors'!$B$10*(1+'Inputs-System'!$C$18)*(1+'Inputs-System'!$C$41))*'Inputs-Proposals'!$K$29*'Inputs-Proposals'!$K$31*(1-'Inputs-Proposals'!$K$20^(DH$3-'Inputs-System'!$C$7))*(VLOOKUP(DH$3,'Embedded Emissions'!$A$47:$B$78,2,FALSE)+VLOOKUP(DH$3,'Embedded Emissions'!$A$129:$B$158,2,FALSE)), $C58 = "0", 0), 0)</f>
        <v>0</v>
      </c>
      <c r="DJ58" s="44">
        <f>IFERROR(_xlfn.IFS($C58="1",( 'Inputs-System'!$C$30*'Coincidence Factors'!$B$10*(1+'Inputs-System'!$C$18)*(1+'Inputs-System'!$C$41))*('Inputs-Proposals'!$K$17*'Inputs-Proposals'!$K$19*(1-'Inputs-Proposals'!$K$20)^(DH$3-'Inputs-System'!$C$7))*(VLOOKUP(DH$3,DRIPE!$A$54:$I$82,5,FALSE)+VLOOKUP(DH$3,DRIPE!$A$54:$I$82,9,FALSE))+ ('Inputs-System'!$C$26*'Coincidence Factors'!$B$6*(1+'Inputs-System'!$C$18)*(1+'Inputs-System'!$C$42))*'Inputs-Proposals'!$K$16*VLOOKUP(DH$3,DRIPE!$A$54:$I$82,8,FALSE), $C58 = "2",( 'Inputs-System'!$C$30*'Coincidence Factors'!$B$10*(1+'Inputs-System'!$C$18)*(1+'Inputs-System'!$C$41))*('Inputs-Proposals'!$K$23*'Inputs-Proposals'!$K$25*(1-'Inputs-Proposals'!$K$26)^(DH$3-'Inputs-System'!$C$7))*(VLOOKUP(DH$3,DRIPE!$A$54:$I$82,5,FALSE)+VLOOKUP(DH$3,DRIPE!$A$54:$I$82,9,FALSE))+ ('Inputs-System'!$C$26*'Coincidence Factors'!$B$6*(1+'Inputs-System'!$C$18)*(1+'Inputs-System'!$C$42))*'Inputs-Proposals'!$K$22*VLOOKUP(DH$3,DRIPE!$A$54:$I$82,8,FALSE), $C58= "3", ( 'Inputs-System'!$C$30*'Coincidence Factors'!$B$10*(1+'Inputs-System'!$C$18)*(1+'Inputs-System'!$C$41))*('Inputs-Proposals'!$K$29*'Inputs-Proposals'!$K$31*(1-'Inputs-Proposals'!$K$32)^(DH$3-'Inputs-System'!$C$7))*(VLOOKUP(DH$3,DRIPE!$A$54:$I$82,5,FALSE)+VLOOKUP(DH$3,DRIPE!$A$54:$I$82,9,FALSE))+ ('Inputs-System'!$C$26*'Coincidence Factors'!$B$6*(1+'Inputs-System'!$C$18)*(1+'Inputs-System'!$C$42))*'Inputs-Proposals'!$K$28*VLOOKUP(DH$3,DRIPE!$A$54:$I$82,8,FALSE), $C58 = "0", 0), 0)</f>
        <v>0</v>
      </c>
      <c r="DK58" s="45">
        <f>IFERROR(_xlfn.IFS($C58="1",('Inputs-System'!$C$26*'Coincidence Factors'!$B$10*(1+'Inputs-System'!$C$18)*(1+'Inputs-System'!$C$42))*'Inputs-Proposals'!$D$16*(VLOOKUP(DH$3,Capacity!$A$53:$E$85,4,FALSE)*(1+'Inputs-System'!$C$42)+VLOOKUP(DH$3,Capacity!$A$53:$E$85,5,FALSE)*(1+'Inputs-System'!$C$43)*'Inputs-System'!$C$29), $C58 = "2", ('Inputs-System'!$C$26*'Coincidence Factors'!$B$10*(1+'Inputs-System'!$C$18))*'Inputs-Proposals'!$D$22*(VLOOKUP(DH$3,Capacity!$A$53:$E$85,4,FALSE)*(1+'Inputs-System'!$C$42)+VLOOKUP(DH$3,Capacity!$A$53:$E$85,5,FALSE)*'Inputs-System'!$C$29*(1+'Inputs-System'!$C$43)), $C58 = "3", ('Inputs-System'!$C$26*'Coincidence Factors'!$B$10*(1+'Inputs-System'!$C$18))*'Inputs-Proposals'!$D$28*(VLOOKUP(DH$3,Capacity!$A$53:$E$85,4,FALSE)*(1+'Inputs-System'!$C$42)+VLOOKUP(DH$3,Capacity!$A$53:$E$85,5,FALSE)*'Inputs-System'!$C$29*(1+'Inputs-System'!$C$43)), $C58 = "0", 0), 0)</f>
        <v>0</v>
      </c>
      <c r="DL58" s="44">
        <v>0</v>
      </c>
      <c r="DM58" s="342">
        <f>IFERROR(_xlfn.IFS($C58="1", 'Inputs-System'!$C$30*'Coincidence Factors'!$B$10*'Inputs-Proposals'!$K$17*'Inputs-Proposals'!$K$19*(VLOOKUP(DH$3,'Non-Embedded Emissions'!$A$56:$D$90,2,FALSE)-VLOOKUP(DH$3,'Non-Embedded Emissions'!$F$57:$H$88,3,FALSE)+VLOOKUP(DH$3,'Non-Embedded Emissions'!$A$143:$D$174,2,FALSE)-VLOOKUP(DH$3,'Non-Embedded Emissions'!$F$143:$H$174,3,FALSE)+VLOOKUP(DH$3,'Non-Embedded Emissions'!$A$230:$D$259,2,FALSE)), $C58 = "2", 'Inputs-System'!$C$30*'Coincidence Factors'!$B$10*'Inputs-Proposals'!$K$23*'Inputs-Proposals'!$K$25*(VLOOKUP(DH$3,'Non-Embedded Emissions'!$A$56:$D$90,2,FALSE)-VLOOKUP(DH$3,'Non-Embedded Emissions'!$F$57:$H$88,3,FALSE)+VLOOKUP(DH$3,'Non-Embedded Emissions'!$A$143:$D$174,2,FALSE)-VLOOKUP(DH$3,'Non-Embedded Emissions'!$F$143:$H$174,3,FALSE)+VLOOKUP(DH$3,'Non-Embedded Emissions'!$A$230:$D$259,2,FALSE)), $C58 = "3", 'Inputs-System'!$C$30*'Coincidence Factors'!$B$10*'Inputs-Proposals'!$K$29*'Inputs-Proposals'!$K$31*(VLOOKUP(DH$3,'Non-Embedded Emissions'!$A$56:$D$90,2,FALSE)-VLOOKUP(DH$3,'Non-Embedded Emissions'!$F$57:$H$88,3,FALSE)+VLOOKUP(DH$3,'Non-Embedded Emissions'!$A$143:$D$174,2,FALSE)-VLOOKUP(DH$3,'Non-Embedded Emissions'!$F$143:$H$174,3,FALSE)+VLOOKUP(DH$3,'Non-Embedded Emissions'!$A$230:$D$259,2,FALSE)), $C58 = "0", 0), 0)</f>
        <v>0</v>
      </c>
      <c r="DN58" s="45">
        <f>IFERROR(_xlfn.IFS($C58="1",('Inputs-System'!$C$30*'Coincidence Factors'!$B$10*(1+'Inputs-System'!$C$18)*(1+'Inputs-System'!$C$41)*('Inputs-Proposals'!$K$17*'Inputs-Proposals'!$K$19*(1-'Inputs-Proposals'!$K$20^(DN$3-'Inputs-System'!$C$7)))*(VLOOKUP(DN$3,Energy!$A$51:$K$83,5,FALSE))), $C58 = "2",('Inputs-System'!$C$30*'Coincidence Factors'!$B$10)*(1+'Inputs-System'!$C$18)*(1+'Inputs-System'!$C$41)*('Inputs-Proposals'!$K$23*'Inputs-Proposals'!$K$25*(1-'Inputs-Proposals'!$K$26^(DN$3-'Inputs-System'!$C$7)))*(VLOOKUP(DN$3,Energy!$A$51:$K$83,5,FALSE)), $C58= "3", ('Inputs-System'!$C$30*'Coincidence Factors'!$B$10*(1+'Inputs-System'!$C$18)*(1+'Inputs-System'!$C$41)*('Inputs-Proposals'!$K$29*'Inputs-Proposals'!$K$31*(1-'Inputs-Proposals'!$K$32^(DN$3-'Inputs-System'!$C$7)))*(VLOOKUP(DN$3,Energy!$A$51:$K$83,5,FALSE))), $C58= "0", 0), 0)</f>
        <v>0</v>
      </c>
      <c r="DO58" s="44">
        <f>IFERROR(_xlfn.IFS($C58="1",('Inputs-System'!$C$30*'Coincidence Factors'!$B$10*(1+'Inputs-System'!$C$18)*(1+'Inputs-System'!$C$41))*'Inputs-Proposals'!$K$17*'Inputs-Proposals'!$K$19*(1-'Inputs-Proposals'!$K$20^(DN$3-'Inputs-System'!$C$7))*(VLOOKUP(DN$3,'Embedded Emissions'!$A$47:$B$78,2,FALSE)+VLOOKUP(DN$3,'Embedded Emissions'!$A$129:$B$158,2,FALSE)), $C58 = "2",('Inputs-System'!$C$30*'Coincidence Factors'!$B$10*(1+'Inputs-System'!$C$18)*(1+'Inputs-System'!$C$41))*'Inputs-Proposals'!$K$23*'Inputs-Proposals'!$K$25*(1-'Inputs-Proposals'!$K$20^(DN$3-'Inputs-System'!$C$7))*(VLOOKUP(DN$3,'Embedded Emissions'!$A$47:$B$78,2,FALSE)+VLOOKUP(DN$3,'Embedded Emissions'!$A$129:$B$158,2,FALSE)), $C58 = "3", ('Inputs-System'!$C$30*'Coincidence Factors'!$B$10*(1+'Inputs-System'!$C$18)*(1+'Inputs-System'!$C$41))*'Inputs-Proposals'!$K$29*'Inputs-Proposals'!$K$31*(1-'Inputs-Proposals'!$K$20^(DN$3-'Inputs-System'!$C$7))*(VLOOKUP(DN$3,'Embedded Emissions'!$A$47:$B$78,2,FALSE)+VLOOKUP(DN$3,'Embedded Emissions'!$A$129:$B$158,2,FALSE)), $C58 = "0", 0), 0)</f>
        <v>0</v>
      </c>
      <c r="DP58" s="44">
        <f>IFERROR(_xlfn.IFS($C58="1",( 'Inputs-System'!$C$30*'Coincidence Factors'!$B$10*(1+'Inputs-System'!$C$18)*(1+'Inputs-System'!$C$41))*('Inputs-Proposals'!$K$17*'Inputs-Proposals'!$K$19*(1-'Inputs-Proposals'!$K$20)^(DN$3-'Inputs-System'!$C$7))*(VLOOKUP(DN$3,DRIPE!$A$54:$I$82,5,FALSE)+VLOOKUP(DN$3,DRIPE!$A$54:$I$82,9,FALSE))+ ('Inputs-System'!$C$26*'Coincidence Factors'!$B$6*(1+'Inputs-System'!$C$18)*(1+'Inputs-System'!$C$42))*'Inputs-Proposals'!$K$16*VLOOKUP(DN$3,DRIPE!$A$54:$I$82,8,FALSE), $C58 = "2",( 'Inputs-System'!$C$30*'Coincidence Factors'!$B$10*(1+'Inputs-System'!$C$18)*(1+'Inputs-System'!$C$41))*('Inputs-Proposals'!$K$23*'Inputs-Proposals'!$K$25*(1-'Inputs-Proposals'!$K$26)^(DN$3-'Inputs-System'!$C$7))*(VLOOKUP(DN$3,DRIPE!$A$54:$I$82,5,FALSE)+VLOOKUP(DN$3,DRIPE!$A$54:$I$82,9,FALSE))+ ('Inputs-System'!$C$26*'Coincidence Factors'!$B$6*(1+'Inputs-System'!$C$18)*(1+'Inputs-System'!$C$42))*'Inputs-Proposals'!$K$22*VLOOKUP(DN$3,DRIPE!$A$54:$I$82,8,FALSE), $C58= "3", ( 'Inputs-System'!$C$30*'Coincidence Factors'!$B$10*(1+'Inputs-System'!$C$18)*(1+'Inputs-System'!$C$41))*('Inputs-Proposals'!$K$29*'Inputs-Proposals'!$K$31*(1-'Inputs-Proposals'!$K$32)^(DN$3-'Inputs-System'!$C$7))*(VLOOKUP(DN$3,DRIPE!$A$54:$I$82,5,FALSE)+VLOOKUP(DN$3,DRIPE!$A$54:$I$82,9,FALSE))+ ('Inputs-System'!$C$26*'Coincidence Factors'!$B$6*(1+'Inputs-System'!$C$18)*(1+'Inputs-System'!$C$42))*'Inputs-Proposals'!$K$28*VLOOKUP(DN$3,DRIPE!$A$54:$I$82,8,FALSE), $C58 = "0", 0), 0)</f>
        <v>0</v>
      </c>
      <c r="DQ58" s="45">
        <f>IFERROR(_xlfn.IFS($C58="1",('Inputs-System'!$C$26*'Coincidence Factors'!$B$10*(1+'Inputs-System'!$C$18)*(1+'Inputs-System'!$C$42))*'Inputs-Proposals'!$D$16*(VLOOKUP(DN$3,Capacity!$A$53:$E$85,4,FALSE)*(1+'Inputs-System'!$C$42)+VLOOKUP(DN$3,Capacity!$A$53:$E$85,5,FALSE)*(1+'Inputs-System'!$C$43)*'Inputs-System'!$C$29), $C58 = "2", ('Inputs-System'!$C$26*'Coincidence Factors'!$B$10*(1+'Inputs-System'!$C$18))*'Inputs-Proposals'!$D$22*(VLOOKUP(DN$3,Capacity!$A$53:$E$85,4,FALSE)*(1+'Inputs-System'!$C$42)+VLOOKUP(DN$3,Capacity!$A$53:$E$85,5,FALSE)*'Inputs-System'!$C$29*(1+'Inputs-System'!$C$43)), $C58 = "3", ('Inputs-System'!$C$26*'Coincidence Factors'!$B$10*(1+'Inputs-System'!$C$18))*'Inputs-Proposals'!$D$28*(VLOOKUP(DN$3,Capacity!$A$53:$E$85,4,FALSE)*(1+'Inputs-System'!$C$42)+VLOOKUP(DN$3,Capacity!$A$53:$E$85,5,FALSE)*'Inputs-System'!$C$29*(1+'Inputs-System'!$C$43)), $C58 = "0", 0), 0)</f>
        <v>0</v>
      </c>
      <c r="DR58" s="44">
        <v>0</v>
      </c>
      <c r="DS58" s="342">
        <f>IFERROR(_xlfn.IFS($C58="1", 'Inputs-System'!$C$30*'Coincidence Factors'!$B$10*'Inputs-Proposals'!$K$17*'Inputs-Proposals'!$K$19*(VLOOKUP(DN$3,'Non-Embedded Emissions'!$A$56:$D$90,2,FALSE)-VLOOKUP(DN$3,'Non-Embedded Emissions'!$F$57:$H$88,3,FALSE)+VLOOKUP(DN$3,'Non-Embedded Emissions'!$A$143:$D$174,2,FALSE)-VLOOKUP(DN$3,'Non-Embedded Emissions'!$F$143:$H$174,3,FALSE)+VLOOKUP(DN$3,'Non-Embedded Emissions'!$A$230:$D$259,2,FALSE)), $C58 = "2", 'Inputs-System'!$C$30*'Coincidence Factors'!$B$10*'Inputs-Proposals'!$K$23*'Inputs-Proposals'!$K$25*(VLOOKUP(DN$3,'Non-Embedded Emissions'!$A$56:$D$90,2,FALSE)-VLOOKUP(DN$3,'Non-Embedded Emissions'!$F$57:$H$88,3,FALSE)+VLOOKUP(DN$3,'Non-Embedded Emissions'!$A$143:$D$174,2,FALSE)-VLOOKUP(DN$3,'Non-Embedded Emissions'!$F$143:$H$174,3,FALSE)+VLOOKUP(DN$3,'Non-Embedded Emissions'!$A$230:$D$259,2,FALSE)), $C58 = "3", 'Inputs-System'!$C$30*'Coincidence Factors'!$B$10*'Inputs-Proposals'!$K$29*'Inputs-Proposals'!$K$31*(VLOOKUP(DN$3,'Non-Embedded Emissions'!$A$56:$D$90,2,FALSE)-VLOOKUP(DN$3,'Non-Embedded Emissions'!$F$57:$H$88,3,FALSE)+VLOOKUP(DN$3,'Non-Embedded Emissions'!$A$143:$D$174,2,FALSE)-VLOOKUP(DN$3,'Non-Embedded Emissions'!$F$143:$H$174,3,FALSE)+VLOOKUP(DN$3,'Non-Embedded Emissions'!$A$230:$D$259,2,FALSE)), $C58 = "0", 0), 0)</f>
        <v>0</v>
      </c>
      <c r="DT58" s="45">
        <f>IFERROR(_xlfn.IFS($C58="1",('Inputs-System'!$C$30*'Coincidence Factors'!$B$10*(1+'Inputs-System'!$C$18)*(1+'Inputs-System'!$C$41)*('Inputs-Proposals'!$K$17*'Inputs-Proposals'!$K$19*(1-'Inputs-Proposals'!$K$20^(DT$3-'Inputs-System'!$C$7)))*(VLOOKUP(DT$3,Energy!$A$51:$K$83,5,FALSE))), $C58 = "2",('Inputs-System'!$C$30*'Coincidence Factors'!$B$10)*(1+'Inputs-System'!$C$18)*(1+'Inputs-System'!$C$41)*('Inputs-Proposals'!$K$23*'Inputs-Proposals'!$K$25*(1-'Inputs-Proposals'!$K$26^(DT$3-'Inputs-System'!$C$7)))*(VLOOKUP(DT$3,Energy!$A$51:$K$83,5,FALSE)), $C58= "3", ('Inputs-System'!$C$30*'Coincidence Factors'!$B$10*(1+'Inputs-System'!$C$18)*(1+'Inputs-System'!$C$41)*('Inputs-Proposals'!$K$29*'Inputs-Proposals'!$K$31*(1-'Inputs-Proposals'!$K$32^(DT$3-'Inputs-System'!$C$7)))*(VLOOKUP(DT$3,Energy!$A$51:$K$83,5,FALSE))), $C58= "0", 0), 0)</f>
        <v>0</v>
      </c>
      <c r="DU58" s="44">
        <f>IFERROR(_xlfn.IFS($C58="1",('Inputs-System'!$C$30*'Coincidence Factors'!$B$10*(1+'Inputs-System'!$C$18)*(1+'Inputs-System'!$C$41))*'Inputs-Proposals'!$K$17*'Inputs-Proposals'!$K$19*(1-'Inputs-Proposals'!$K$20^(DT$3-'Inputs-System'!$C$7))*(VLOOKUP(DT$3,'Embedded Emissions'!$A$47:$B$78,2,FALSE)+VLOOKUP(DT$3,'Embedded Emissions'!$A$129:$B$158,2,FALSE)), $C58 = "2",('Inputs-System'!$C$30*'Coincidence Factors'!$B$10*(1+'Inputs-System'!$C$18)*(1+'Inputs-System'!$C$41))*'Inputs-Proposals'!$K$23*'Inputs-Proposals'!$K$25*(1-'Inputs-Proposals'!$K$20^(DT$3-'Inputs-System'!$C$7))*(VLOOKUP(DT$3,'Embedded Emissions'!$A$47:$B$78,2,FALSE)+VLOOKUP(DT$3,'Embedded Emissions'!$A$129:$B$158,2,FALSE)), $C58 = "3", ('Inputs-System'!$C$30*'Coincidence Factors'!$B$10*(1+'Inputs-System'!$C$18)*(1+'Inputs-System'!$C$41))*'Inputs-Proposals'!$K$29*'Inputs-Proposals'!$K$31*(1-'Inputs-Proposals'!$K$20^(DT$3-'Inputs-System'!$C$7))*(VLOOKUP(DT$3,'Embedded Emissions'!$A$47:$B$78,2,FALSE)+VLOOKUP(DT$3,'Embedded Emissions'!$A$129:$B$158,2,FALSE)), $C58 = "0", 0), 0)</f>
        <v>0</v>
      </c>
      <c r="DV58" s="44">
        <f>IFERROR(_xlfn.IFS($C58="1",( 'Inputs-System'!$C$30*'Coincidence Factors'!$B$10*(1+'Inputs-System'!$C$18)*(1+'Inputs-System'!$C$41))*('Inputs-Proposals'!$K$17*'Inputs-Proposals'!$K$19*(1-'Inputs-Proposals'!$K$20)^(DT$3-'Inputs-System'!$C$7))*(VLOOKUP(DT$3,DRIPE!$A$54:$I$82,5,FALSE)+VLOOKUP(DT$3,DRIPE!$A$54:$I$82,9,FALSE))+ ('Inputs-System'!$C$26*'Coincidence Factors'!$B$6*(1+'Inputs-System'!$C$18)*(1+'Inputs-System'!$C$42))*'Inputs-Proposals'!$K$16*VLOOKUP(DT$3,DRIPE!$A$54:$I$82,8,FALSE), $C58 = "2",( 'Inputs-System'!$C$30*'Coincidence Factors'!$B$10*(1+'Inputs-System'!$C$18)*(1+'Inputs-System'!$C$41))*('Inputs-Proposals'!$K$23*'Inputs-Proposals'!$K$25*(1-'Inputs-Proposals'!$K$26)^(DT$3-'Inputs-System'!$C$7))*(VLOOKUP(DT$3,DRIPE!$A$54:$I$82,5,FALSE)+VLOOKUP(DT$3,DRIPE!$A$54:$I$82,9,FALSE))+ ('Inputs-System'!$C$26*'Coincidence Factors'!$B$6*(1+'Inputs-System'!$C$18)*(1+'Inputs-System'!$C$42))*'Inputs-Proposals'!$K$22*VLOOKUP(DT$3,DRIPE!$A$54:$I$82,8,FALSE), $C58= "3", ( 'Inputs-System'!$C$30*'Coincidence Factors'!$B$10*(1+'Inputs-System'!$C$18)*(1+'Inputs-System'!$C$41))*('Inputs-Proposals'!$K$29*'Inputs-Proposals'!$K$31*(1-'Inputs-Proposals'!$K$32)^(DT$3-'Inputs-System'!$C$7))*(VLOOKUP(DT$3,DRIPE!$A$54:$I$82,5,FALSE)+VLOOKUP(DT$3,DRIPE!$A$54:$I$82,9,FALSE))+ ('Inputs-System'!$C$26*'Coincidence Factors'!$B$6*(1+'Inputs-System'!$C$18)*(1+'Inputs-System'!$C$42))*'Inputs-Proposals'!$K$28*VLOOKUP(DT$3,DRIPE!$A$54:$I$82,8,FALSE), $C58 = "0", 0), 0)</f>
        <v>0</v>
      </c>
      <c r="DW58" s="45">
        <f>IFERROR(_xlfn.IFS($C58="1",('Inputs-System'!$C$26*'Coincidence Factors'!$B$10*(1+'Inputs-System'!$C$18)*(1+'Inputs-System'!$C$42))*'Inputs-Proposals'!$D$16*(VLOOKUP(DT$3,Capacity!$A$53:$E$85,4,FALSE)*(1+'Inputs-System'!$C$42)+VLOOKUP(DT$3,Capacity!$A$53:$E$85,5,FALSE)*(1+'Inputs-System'!$C$43)*'Inputs-System'!$C$29), $C58 = "2", ('Inputs-System'!$C$26*'Coincidence Factors'!$B$10*(1+'Inputs-System'!$C$18))*'Inputs-Proposals'!$D$22*(VLOOKUP(DT$3,Capacity!$A$53:$E$85,4,FALSE)*(1+'Inputs-System'!$C$42)+VLOOKUP(DT$3,Capacity!$A$53:$E$85,5,FALSE)*'Inputs-System'!$C$29*(1+'Inputs-System'!$C$43)), $C58 = "3", ('Inputs-System'!$C$26*'Coincidence Factors'!$B$10*(1+'Inputs-System'!$C$18))*'Inputs-Proposals'!$D$28*(VLOOKUP(DT$3,Capacity!$A$53:$E$85,4,FALSE)*(1+'Inputs-System'!$C$42)+VLOOKUP(DT$3,Capacity!$A$53:$E$85,5,FALSE)*'Inputs-System'!$C$29*(1+'Inputs-System'!$C$43)), $C58 = "0", 0), 0)</f>
        <v>0</v>
      </c>
      <c r="DX58" s="44">
        <v>0</v>
      </c>
      <c r="DY58" s="342">
        <f>IFERROR(_xlfn.IFS($C58="1", 'Inputs-System'!$C$30*'Coincidence Factors'!$B$10*'Inputs-Proposals'!$K$17*'Inputs-Proposals'!$K$19*(VLOOKUP(DT$3,'Non-Embedded Emissions'!$A$56:$D$90,2,FALSE)-VLOOKUP(DT$3,'Non-Embedded Emissions'!$F$57:$H$88,3,FALSE)+VLOOKUP(DT$3,'Non-Embedded Emissions'!$A$143:$D$174,2,FALSE)-VLOOKUP(DT$3,'Non-Embedded Emissions'!$F$143:$H$174,3,FALSE)+VLOOKUP(DT$3,'Non-Embedded Emissions'!$A$230:$D$259,2,FALSE)), $C58 = "2", 'Inputs-System'!$C$30*'Coincidence Factors'!$B$10*'Inputs-Proposals'!$K$23*'Inputs-Proposals'!$K$25*(VLOOKUP(DT$3,'Non-Embedded Emissions'!$A$56:$D$90,2,FALSE)-VLOOKUP(DT$3,'Non-Embedded Emissions'!$F$57:$H$88,3,FALSE)+VLOOKUP(DT$3,'Non-Embedded Emissions'!$A$143:$D$174,2,FALSE)-VLOOKUP(DT$3,'Non-Embedded Emissions'!$F$143:$H$174,3,FALSE)+VLOOKUP(DT$3,'Non-Embedded Emissions'!$A$230:$D$259,2,FALSE)), $C58 = "3", 'Inputs-System'!$C$30*'Coincidence Factors'!$B$10*'Inputs-Proposals'!$K$29*'Inputs-Proposals'!$K$31*(VLOOKUP(DT$3,'Non-Embedded Emissions'!$A$56:$D$90,2,FALSE)-VLOOKUP(DT$3,'Non-Embedded Emissions'!$F$57:$H$88,3,FALSE)+VLOOKUP(DT$3,'Non-Embedded Emissions'!$A$143:$D$174,2,FALSE)-VLOOKUP(DT$3,'Non-Embedded Emissions'!$F$143:$H$174,3,FALSE)+VLOOKUP(DT$3,'Non-Embedded Emissions'!$A$230:$D$259,2,FALSE)), $C58 = "0", 0), 0)</f>
        <v>0</v>
      </c>
      <c r="DZ58" s="45">
        <f>IFERROR(_xlfn.IFS($C58="1",('Inputs-System'!$C$30*'Coincidence Factors'!$B$10*(1+'Inputs-System'!$C$18)*(1+'Inputs-System'!$C$41)*('Inputs-Proposals'!$K$17*'Inputs-Proposals'!$K$19*(1-'Inputs-Proposals'!$K$20^(DZ$3-'Inputs-System'!$C$7)))*(VLOOKUP(DZ$3,Energy!$A$51:$K$83,5,FALSE))), $C58 = "2",('Inputs-System'!$C$30*'Coincidence Factors'!$B$10)*(1+'Inputs-System'!$C$18)*(1+'Inputs-System'!$C$41)*('Inputs-Proposals'!$K$23*'Inputs-Proposals'!$K$25*(1-'Inputs-Proposals'!$K$26^(DZ$3-'Inputs-System'!$C$7)))*(VLOOKUP(DZ$3,Energy!$A$51:$K$83,5,FALSE)), $C58= "3", ('Inputs-System'!$C$30*'Coincidence Factors'!$B$10*(1+'Inputs-System'!$C$18)*(1+'Inputs-System'!$C$41)*('Inputs-Proposals'!$K$29*'Inputs-Proposals'!$K$31*(1-'Inputs-Proposals'!$K$32^(DZ$3-'Inputs-System'!$C$7)))*(VLOOKUP(DZ$3,Energy!$A$51:$K$83,5,FALSE))), $C58= "0", 0), 0)</f>
        <v>0</v>
      </c>
      <c r="EA58" s="44">
        <f>IFERROR(_xlfn.IFS($C58="1",('Inputs-System'!$C$30*'Coincidence Factors'!$B$10*(1+'Inputs-System'!$C$18)*(1+'Inputs-System'!$C$41))*'Inputs-Proposals'!$K$17*'Inputs-Proposals'!$K$19*(1-'Inputs-Proposals'!$K$20^(DZ$3-'Inputs-System'!$C$7))*(VLOOKUP(DZ$3,'Embedded Emissions'!$A$47:$B$78,2,FALSE)+VLOOKUP(DZ$3,'Embedded Emissions'!$A$129:$B$158,2,FALSE)), $C58 = "2",('Inputs-System'!$C$30*'Coincidence Factors'!$B$10*(1+'Inputs-System'!$C$18)*(1+'Inputs-System'!$C$41))*'Inputs-Proposals'!$K$23*'Inputs-Proposals'!$K$25*(1-'Inputs-Proposals'!$K$20^(DZ$3-'Inputs-System'!$C$7))*(VLOOKUP(DZ$3,'Embedded Emissions'!$A$47:$B$78,2,FALSE)+VLOOKUP(DZ$3,'Embedded Emissions'!$A$129:$B$158,2,FALSE)), $C58 = "3", ('Inputs-System'!$C$30*'Coincidence Factors'!$B$10*(1+'Inputs-System'!$C$18)*(1+'Inputs-System'!$C$41))*'Inputs-Proposals'!$K$29*'Inputs-Proposals'!$K$31*(1-'Inputs-Proposals'!$K$20^(DZ$3-'Inputs-System'!$C$7))*(VLOOKUP(DZ$3,'Embedded Emissions'!$A$47:$B$78,2,FALSE)+VLOOKUP(DZ$3,'Embedded Emissions'!$A$129:$B$158,2,FALSE)), $C58 = "0", 0), 0)</f>
        <v>0</v>
      </c>
      <c r="EB58" s="44">
        <f>IFERROR(_xlfn.IFS($C58="1",( 'Inputs-System'!$C$30*'Coincidence Factors'!$B$10*(1+'Inputs-System'!$C$18)*(1+'Inputs-System'!$C$41))*('Inputs-Proposals'!$K$17*'Inputs-Proposals'!$K$19*(1-'Inputs-Proposals'!$K$20)^(DZ$3-'Inputs-System'!$C$7))*(VLOOKUP(DZ$3,DRIPE!$A$54:$I$82,5,FALSE)+VLOOKUP(DZ$3,DRIPE!$A$54:$I$82,9,FALSE))+ ('Inputs-System'!$C$26*'Coincidence Factors'!$B$6*(1+'Inputs-System'!$C$18)*(1+'Inputs-System'!$C$42))*'Inputs-Proposals'!$K$16*VLOOKUP(DZ$3,DRIPE!$A$54:$I$82,8,FALSE), $C58 = "2",( 'Inputs-System'!$C$30*'Coincidence Factors'!$B$10*(1+'Inputs-System'!$C$18)*(1+'Inputs-System'!$C$41))*('Inputs-Proposals'!$K$23*'Inputs-Proposals'!$K$25*(1-'Inputs-Proposals'!$K$26)^(DZ$3-'Inputs-System'!$C$7))*(VLOOKUP(DZ$3,DRIPE!$A$54:$I$82,5,FALSE)+VLOOKUP(DZ$3,DRIPE!$A$54:$I$82,9,FALSE))+ ('Inputs-System'!$C$26*'Coincidence Factors'!$B$6*(1+'Inputs-System'!$C$18)*(1+'Inputs-System'!$C$42))*'Inputs-Proposals'!$K$22*VLOOKUP(DZ$3,DRIPE!$A$54:$I$82,8,FALSE), $C58= "3", ( 'Inputs-System'!$C$30*'Coincidence Factors'!$B$10*(1+'Inputs-System'!$C$18)*(1+'Inputs-System'!$C$41))*('Inputs-Proposals'!$K$29*'Inputs-Proposals'!$K$31*(1-'Inputs-Proposals'!$K$32)^(DZ$3-'Inputs-System'!$C$7))*(VLOOKUP(DZ$3,DRIPE!$A$54:$I$82,5,FALSE)+VLOOKUP(DZ$3,DRIPE!$A$54:$I$82,9,FALSE))+ ('Inputs-System'!$C$26*'Coincidence Factors'!$B$6*(1+'Inputs-System'!$C$18)*(1+'Inputs-System'!$C$42))*'Inputs-Proposals'!$K$28*VLOOKUP(DZ$3,DRIPE!$A$54:$I$82,8,FALSE), $C58 = "0", 0), 0)</f>
        <v>0</v>
      </c>
      <c r="EC58" s="45">
        <f>IFERROR(_xlfn.IFS($C58="1",('Inputs-System'!$C$26*'Coincidence Factors'!$B$10*(1+'Inputs-System'!$C$18)*(1+'Inputs-System'!$C$42))*'Inputs-Proposals'!$D$16*(VLOOKUP(DZ$3,Capacity!$A$53:$E$85,4,FALSE)*(1+'Inputs-System'!$C$42)+VLOOKUP(DZ$3,Capacity!$A$53:$E$85,5,FALSE)*(1+'Inputs-System'!$C$43)*'Inputs-System'!$C$29), $C58 = "2", ('Inputs-System'!$C$26*'Coincidence Factors'!$B$10*(1+'Inputs-System'!$C$18))*'Inputs-Proposals'!$D$22*(VLOOKUP(DZ$3,Capacity!$A$53:$E$85,4,FALSE)*(1+'Inputs-System'!$C$42)+VLOOKUP(DZ$3,Capacity!$A$53:$E$85,5,FALSE)*'Inputs-System'!$C$29*(1+'Inputs-System'!$C$43)), $C58 = "3", ('Inputs-System'!$C$26*'Coincidence Factors'!$B$10*(1+'Inputs-System'!$C$18))*'Inputs-Proposals'!$D$28*(VLOOKUP(DZ$3,Capacity!$A$53:$E$85,4,FALSE)*(1+'Inputs-System'!$C$42)+VLOOKUP(DZ$3,Capacity!$A$53:$E$85,5,FALSE)*'Inputs-System'!$C$29*(1+'Inputs-System'!$C$43)), $C58 = "0", 0), 0)</f>
        <v>0</v>
      </c>
      <c r="ED58" s="44">
        <v>0</v>
      </c>
      <c r="EE58" s="342">
        <f>IFERROR(_xlfn.IFS($C58="1", 'Inputs-System'!$C$30*'Coincidence Factors'!$B$10*'Inputs-Proposals'!$K$17*'Inputs-Proposals'!$K$19*(VLOOKUP(DZ$3,'Non-Embedded Emissions'!$A$56:$D$90,2,FALSE)-VLOOKUP(DZ$3,'Non-Embedded Emissions'!$F$57:$H$88,3,FALSE)+VLOOKUP(DZ$3,'Non-Embedded Emissions'!$A$143:$D$174,2,FALSE)-VLOOKUP(DZ$3,'Non-Embedded Emissions'!$F$143:$H$174,3,FALSE)+VLOOKUP(DZ$3,'Non-Embedded Emissions'!$A$230:$D$259,2,FALSE)), $C58 = "2", 'Inputs-System'!$C$30*'Coincidence Factors'!$B$10*'Inputs-Proposals'!$K$23*'Inputs-Proposals'!$K$25*(VLOOKUP(DZ$3,'Non-Embedded Emissions'!$A$56:$D$90,2,FALSE)-VLOOKUP(DZ$3,'Non-Embedded Emissions'!$F$57:$H$88,3,FALSE)+VLOOKUP(DZ$3,'Non-Embedded Emissions'!$A$143:$D$174,2,FALSE)-VLOOKUP(DZ$3,'Non-Embedded Emissions'!$F$143:$H$174,3,FALSE)+VLOOKUP(DZ$3,'Non-Embedded Emissions'!$A$230:$D$259,2,FALSE)), $C58 = "3", 'Inputs-System'!$C$30*'Coincidence Factors'!$B$10*'Inputs-Proposals'!$K$29*'Inputs-Proposals'!$K$31*(VLOOKUP(DZ$3,'Non-Embedded Emissions'!$A$56:$D$90,2,FALSE)-VLOOKUP(DZ$3,'Non-Embedded Emissions'!$F$57:$H$88,3,FALSE)+VLOOKUP(DZ$3,'Non-Embedded Emissions'!$A$143:$D$174,2,FALSE)-VLOOKUP(DZ$3,'Non-Embedded Emissions'!$F$143:$H$174,3,FALSE)+VLOOKUP(DZ$3,'Non-Embedded Emissions'!$A$230:$D$259,2,FALSE)), $C58 = "0", 0), 0)</f>
        <v>0</v>
      </c>
    </row>
    <row r="59" spans="1:135" x14ac:dyDescent="0.35">
      <c r="A59" s="707">
        <f>'Inputs-Proposals'!L2</f>
        <v>0</v>
      </c>
      <c r="B59" s="52" t="s">
        <v>90</v>
      </c>
      <c r="C59" s="52" t="str">
        <f>IFERROR(_xlfn.IFS('Benefits Calc'!B59='Inputs-Proposals'!$L$15, "1", 'Benefits Calc'!B59='Inputs-Proposals'!$L$21, "2", 'Benefits Calc'!B59='Inputs-Proposals'!$L$27, "3"), "0")</f>
        <v>0</v>
      </c>
      <c r="D59" s="323">
        <f t="shared" si="0"/>
        <v>0</v>
      </c>
      <c r="E59" s="44">
        <f t="shared" si="1"/>
        <v>0</v>
      </c>
      <c r="F59" s="44">
        <f t="shared" si="2"/>
        <v>0</v>
      </c>
      <c r="G59" s="44">
        <f t="shared" si="3"/>
        <v>0</v>
      </c>
      <c r="H59" s="44">
        <f t="shared" si="4"/>
        <v>0</v>
      </c>
      <c r="I59" s="44">
        <f t="shared" si="5"/>
        <v>0</v>
      </c>
      <c r="J59" s="322">
        <f>NPV('Inputs-System'!$C$20,P59+V59+AB59+AH59+AN59+AT59+AZ59+BF59+BL59+BR59+BX59+CD59+CJ59+CP59+CV59+DB59+DH59+DN59+DT59+DZ59)</f>
        <v>0</v>
      </c>
      <c r="K59" s="318">
        <f>NPV('Inputs-System'!$C$20,Q59+W59+AC59+AI59+AO59+AU59+BA59+BG59+BM59+BS59+BY59+CE59+CK59+CQ59+CW59+DC59+DI59+DO59+DU59+EA59)</f>
        <v>0</v>
      </c>
      <c r="L59" s="318">
        <f>NPV('Inputs-System'!$C$20,R59+X59+AD59+AJ59+AP59+AV59+BB59+BH59+BN59+BT59+BZ59+CF59+CL59+CR59+CX59+DD59+DJ59+DP59+DV59+EB59)</f>
        <v>0</v>
      </c>
      <c r="M59" s="318">
        <f>NPV('Inputs-System'!$C$20,S59+Y59+AE59+AK59+AQ59+AW59+BC59+BI59+BO59+BU59+CA59+CG59+CM59+CS59+CY59+DE59+DK59+DQ59+DW59+EC59)</f>
        <v>0</v>
      </c>
      <c r="N59" s="318">
        <f>NPV('Inputs-System'!$C$20,T59+Z59+AF59+AL59+AR59+AX59+BD59+BJ59+BP59+BV59+CB59+CH59+CN59+CT59+CZ59+DF59+DL59+DR59+DX59+ED59)</f>
        <v>0</v>
      </c>
      <c r="O59" s="319">
        <f>NPV('Inputs-System'!$C$20,U59+AA59+AG59+AM59+AS59+AY59+BE59+BK59+BQ59+BW59+CC59+CI59+CO59+CU59+DA59+DG59+DM59+DS59+DY59+EE59)</f>
        <v>0</v>
      </c>
      <c r="P59" s="326">
        <f>IFERROR(_xlfn.IFS($C59="1",('Inputs-System'!$C$30*'Coincidence Factors'!$B$5*(1+'Inputs-System'!$C$18)*(1+'Inputs-System'!$C$41)*('Inputs-Proposals'!$L$17*'Inputs-Proposals'!$L$19*(1-'Inputs-Proposals'!$L$20))*(VLOOKUP(P$3,Energy!$A$51:$K$83,5,FALSE)-VLOOKUP(P$3,Energy!$A$51:$K$83,6,FALSE))), $C59 = "2",('Inputs-System'!$C$30*'Coincidence Factors'!$B$5)*(1+'Inputs-System'!$C$18)*(1+'Inputs-System'!$C$41)*('Inputs-Proposals'!$L$23*'Inputs-Proposals'!$L$25*(1-'Inputs-Proposals'!$L$26))*(VLOOKUP(P$3,Energy!$A$51:$K$83,5,FALSE)-VLOOKUP(P$3,Energy!$A$51:$K$83,6,FALSE)), $C59= "3", ('Inputs-System'!$C$30*'Coincidence Factors'!$B$5*(1+'Inputs-System'!$C$18)*(1+'Inputs-System'!$C$41)*('Inputs-Proposals'!$L$29*'Inputs-Proposals'!$L$31*(1-'Inputs-Proposals'!$L$32))*(VLOOKUP(P$3,Energy!$A$51:$K$83,5,FALSE)-VLOOKUP(P$3,Energy!$A$51:$K$83,6,FALSE))), $C59= "0", 0), 0)</f>
        <v>0</v>
      </c>
      <c r="Q59" s="318">
        <f>IFERROR(_xlfn.IFS($C59="1", 'Inputs-System'!$C$30*'Coincidence Factors'!$B$5*(1+'Inputs-System'!$C$18)*(1+'Inputs-System'!$C$41)*'Inputs-Proposals'!$L$17*'Inputs-Proposals'!$L$19*(1-'Inputs-Proposals'!$L$20)*(VLOOKUP(P$3,'Embedded Emissions'!$A$47:$B$78,2,FALSE)+VLOOKUP(P$3,'Embedded Emissions'!$A$129:$B$158,2,FALSE)), $C59 = "2",'Inputs-System'!$C$30*'Coincidence Factors'!$B$5*(1+'Inputs-System'!$C$18)*(1+'Inputs-System'!$C$41)*'Inputs-Proposals'!$L$23*'Inputs-Proposals'!$L$25*(1-'Inputs-Proposals'!$L$20)*(VLOOKUP(P$3,'Embedded Emissions'!$A$47:$B$78,2,FALSE)+VLOOKUP(P$3,'Embedded Emissions'!$A$129:$B$158,2,FALSE)), $C59 = "3", 'Inputs-System'!$C$30*'Coincidence Factors'!$B$5*(1+'Inputs-System'!$C$18)*(1+'Inputs-System'!$C$41)*'Inputs-Proposals'!$L$29*'Inputs-Proposals'!$L$31*(1-'Inputs-Proposals'!$L$20)*(VLOOKUP(P$3,'Embedded Emissions'!$A$47:$B$78,2,FALSE)+VLOOKUP(P$3,'Embedded Emissions'!$A$129:$B$158,2,FALSE)), $C59 = "0", 0), 0)</f>
        <v>0</v>
      </c>
      <c r="R59" s="318">
        <f>IFERROR(_xlfn.IFS($C59="1",( 'Inputs-System'!$C$30*'Coincidence Factors'!$B$5*(1+'Inputs-System'!$C$18)*(1+'Inputs-System'!$C$41))*('Inputs-Proposals'!$L$17*'Inputs-Proposals'!$L$19*(1-'Inputs-Proposals'!$L$20))*(VLOOKUP(P$3,DRIPE!$A$54:$I$82,5,FALSE)-VLOOKUP(P$3,DRIPE!$A$54:$I$82,6,FALSE)+VLOOKUP(P$3,DRIPE!$A$54:$I$82,9,FALSE))+ ('Inputs-System'!$C$26*'Coincidence Factors'!$B$5*(1+'Inputs-System'!$C$18)*(1+'Inputs-System'!$C$42))*'Inputs-Proposals'!$L$16*VLOOKUP(P$3,DRIPE!$A$54:$I$80,8,FALSE), $C59 = "2",( 'Inputs-System'!$C$30*'Coincidence Factors'!$B$5*(1+'Inputs-System'!$C$18)*(1+'Inputs-System'!$C$41))*('Inputs-Proposals'!$L$23*'Inputs-Proposals'!$L$25*(1-'Inputs-Proposals'!$L$26))*(VLOOKUP(P$3,DRIPE!$A$54:$I$82,5,FALSE)-VLOOKUP(P$3,DRIPE!$A$54:$I$82,6,FALSE)+VLOOKUP(P$3,DRIPE!$A$54:$I$82,9,FALSE))+ ('Inputs-System'!$C$26*'Coincidence Factors'!$B$5*(1+'Inputs-System'!$C$18)*(1+'Inputs-System'!$C$41))+ ('Inputs-System'!$C$26*'Coincidence Factors'!$B$5)*'Inputs-Proposals'!$L$22*VLOOKUP(P$3,DRIPE!$A$54:$I$80,8,FALSE), $C59= "3", ('Inputs-System'!$C$30*'Coincidence Factors'!$B$5)*('Inputs-Proposals'!$L$29*'Inputs-Proposals'!$L$31*(1-'Inputs-Proposals'!$L$32))*(VLOOKUP(P$3,DRIPE!$A$54:$I$80,5,FALSE)-VLOOKUP(P$3,DRIPE!$A$54:$I$80,6,FALSE)+VLOOKUP(P$3,DRIPE!$A$54:$I$80,9,FALSE))+ ('Inputs-System'!$C$26*'Coincidence Factors'!$B$5*(1+'Inputs-System'!$C$18)*(1+'Inputs-System'!$C$42))*'Inputs-Proposals'!$L$28*VLOOKUP(P$3,DRIPE!$A$54:$I$80,8,FALSE), $C59 = "0", 0), 0)</f>
        <v>0</v>
      </c>
      <c r="S59" s="326">
        <f>IFERROR(_xlfn.IFS($C59="1",('Inputs-System'!$C$26*'Coincidence Factors'!$B$5*(1+'Inputs-System'!$C$18)*(1+'Inputs-System'!$C$42))*'Inputs-Proposals'!$L$16*(VLOOKUP(P$3,Capacity!$A$53:$E$85,4,FALSE)*(1+'Inputs-System'!$C$42)+VLOOKUP(P$3,Capacity!$A$53:$E$85,5,FALSE)*(1+'Inputs-System'!$C$43)*'Inputs-System'!$C$29), $C59 = "2", ('Inputs-System'!$C$26*'Coincidence Factors'!$B$5*(1+'Inputs-System'!$C$18))*'Inputs-Proposals'!$L$22*(VLOOKUP(P$3,Capacity!$A$53:$E$85,4,FALSE)*(1+'Inputs-System'!$C$42)+VLOOKUP(P$3,Capacity!$A$53:$E$85,5,FALSE)*'Inputs-System'!$C$29*(1+'Inputs-System'!$C$43)), $C59 = "3", ('Inputs-System'!$C$26*'Coincidence Factors'!$B$5*(1+'Inputs-System'!$C$18))*'Inputs-Proposals'!$L$28*(VLOOKUP(P$3,Capacity!$A$53:$E$85,4,FALSE)*(1+'Inputs-System'!$C$42)+VLOOKUP(P$3,Capacity!$A$53:$E$85,5,FALSE)*'Inputs-System'!$C$29*(1+'Inputs-System'!$C$43)), $C59 = "0", 0), 0)</f>
        <v>0</v>
      </c>
      <c r="T59" s="318">
        <v>0</v>
      </c>
      <c r="U59" s="318">
        <f>IFERROR(_xlfn.IFS($C59="1", 'Inputs-System'!$C$30*'Coincidence Factors'!$B$5*'Inputs-Proposals'!$L$17*'Inputs-Proposals'!$L$19*(VLOOKUP(P$3,'Non-Embedded Emissions'!$A$56:$D$90,2,FALSE)+VLOOKUP(P$3,'Non-Embedded Emissions'!$A$143:$D$174,2,FALSE)+VLOOKUP(P$3,'Non-Embedded Emissions'!$A$230:$D$259,2,FALSE)-VLOOKUP(P$3,'Non-Embedded Emissions'!$A$56:$D$90,3,FALSE)-VLOOKUP(P$3,'Non-Embedded Emissions'!$A$143:$D$174,3,FALSE)-VLOOKUP(P$3,'Non-Embedded Emissions'!$A$230:$D$259,3,FALSE)), $C59 = "2", 'Inputs-System'!$C$30*'Coincidence Factors'!$B$5*'Inputs-Proposals'!$L$23*'Inputs-Proposals'!$L$25*(VLOOKUP(P$3,'Non-Embedded Emissions'!$A$56:$D$90,2,FALSE)+VLOOKUP(P$3,'Non-Embedded Emissions'!$A$143:$D$174,2,FALSE)+VLOOKUP(P$3,'Non-Embedded Emissions'!$A$230:$D$259,2,FALSE)-VLOOKUP(P$3,'Non-Embedded Emissions'!$A$56:$D$90,3,FALSE)-VLOOKUP(P$3,'Non-Embedded Emissions'!$A$143:$D$174,3,FALSE)-VLOOKUP(P$3,'Non-Embedded Emissions'!$A$230:$D$259,3,FALSE)), $C59 = "3", 'Inputs-System'!$C$30*'Coincidence Factors'!$B$5*'Inputs-Proposals'!$L$29*'Inputs-Proposals'!$L$31*(VLOOKUP(P$3,'Non-Embedded Emissions'!$A$56:$D$90,2,FALSE)+VLOOKUP(P$3,'Non-Embedded Emissions'!$A$143:$D$174,2,FALSE)+VLOOKUP(P$3,'Non-Embedded Emissions'!$A$230:$D$259,2,FALSE)-VLOOKUP(P$3,'Non-Embedded Emissions'!$A$56:$D$90,3,FALSE)-VLOOKUP(P$3,'Non-Embedded Emissions'!$A$143:$D$174,3,FALSE)-VLOOKUP(P$3,'Non-Embedded Emissions'!$A$230:$D$259,3,FALSE)), $C59 = "0", 0), 0)</f>
        <v>0</v>
      </c>
      <c r="V59" s="344">
        <f>IFERROR(_xlfn.IFS($C59="1",('Inputs-System'!$C$30*'Coincidence Factors'!$B$5*(1+'Inputs-System'!$C$18)*(1+'Inputs-System'!$C$41)*('Inputs-Proposals'!$L$17*'Inputs-Proposals'!$L$19*(1-'Inputs-Proposals'!$L$20))*(VLOOKUP(V$3,Energy!$A$51:$K$83,5,FALSE)-VLOOKUP(V$3,Energy!$A$51:$K$83,6,FALSE))), $C59 = "2",('Inputs-System'!$C$30*'Coincidence Factors'!$B$5)*(1+'Inputs-System'!$C$18)*(1+'Inputs-System'!$C$41)*('Inputs-Proposals'!$L$23*'Inputs-Proposals'!$L$25*(1-'Inputs-Proposals'!$L$26))*(VLOOKUP(V$3,Energy!$A$51:$K$83,5,FALSE)-VLOOKUP(V$3,Energy!$A$51:$K$83,6,FALSE)), $C59= "3", ('Inputs-System'!$C$30*'Coincidence Factors'!$B$5*(1+'Inputs-System'!$C$18)*(1+'Inputs-System'!$C$41)*('Inputs-Proposals'!$L$29*'Inputs-Proposals'!$L$31*(1-'Inputs-Proposals'!$L$32))*(VLOOKUP(V$3,Energy!$A$51:$K$83,5,FALSE)-VLOOKUP(V$3,Energy!$A$51:$K$83,6,FALSE))), $C59= "0", 0), 0)</f>
        <v>0</v>
      </c>
      <c r="W59" s="100">
        <f>IFERROR(_xlfn.IFS($C59="1", 'Inputs-System'!$C$30*'Coincidence Factors'!$B$5*(1+'Inputs-System'!$C$18)*(1+'Inputs-System'!$C$41)*'Inputs-Proposals'!$L$17*'Inputs-Proposals'!$L$19*(1-'Inputs-Proposals'!$L$20)*(VLOOKUP(V$3,'Embedded Emissions'!$A$47:$B$78,2,FALSE)+VLOOKUP(V$3,'Embedded Emissions'!$A$129:$B$158,2,FALSE)), $C59 = "2",'Inputs-System'!$C$30*'Coincidence Factors'!$B$5*(1+'Inputs-System'!$C$18)*(1+'Inputs-System'!$C$41)*'Inputs-Proposals'!$L$23*'Inputs-Proposals'!$L$25*(1-'Inputs-Proposals'!$L$20)*(VLOOKUP(V$3,'Embedded Emissions'!$A$47:$B$78,2,FALSE)+VLOOKUP(V$3,'Embedded Emissions'!$A$129:$B$158,2,FALSE)), $C59 = "3", 'Inputs-System'!$C$30*'Coincidence Factors'!$B$5*(1+'Inputs-System'!$C$18)*(1+'Inputs-System'!$C$41)*'Inputs-Proposals'!$L$29*'Inputs-Proposals'!$L$31*(1-'Inputs-Proposals'!$L$20)*(VLOOKUP(V$3,'Embedded Emissions'!$A$47:$B$78,2,FALSE)+VLOOKUP(V$3,'Embedded Emissions'!$A$129:$B$158,2,FALSE)), $C59 = "0", 0), 0)</f>
        <v>0</v>
      </c>
      <c r="X59" s="318">
        <f>IFERROR(_xlfn.IFS($C59="1",( 'Inputs-System'!$C$30*'Coincidence Factors'!$B$5*(1+'Inputs-System'!$C$18)*(1+'Inputs-System'!$C$41))*('Inputs-Proposals'!$L$17*'Inputs-Proposals'!$L$19*(1-'Inputs-Proposals'!$L$20))*(VLOOKUP(V$3,DRIPE!$A$54:$I$82,5,FALSE)-VLOOKUP(V$3,DRIPE!$A$54:$I$82,6,FALSE)+VLOOKUP(V$3,DRIPE!$A$54:$I$82,9,FALSE))+ ('Inputs-System'!$C$26*'Coincidence Factors'!$B$5*(1+'Inputs-System'!$C$18)*(1+'Inputs-System'!$C$42))*'Inputs-Proposals'!$L$16*VLOOKUP(V$3,DRIPE!$A$54:$I$80,8,FALSE), $C59 = "2",( 'Inputs-System'!$C$30*'Coincidence Factors'!$B$5*(1+'Inputs-System'!$C$18)*(1+'Inputs-System'!$C$41))*('Inputs-Proposals'!$L$23*'Inputs-Proposals'!$L$25*(1-'Inputs-Proposals'!$L$26))*(VLOOKUP(V$3,DRIPE!$A$54:$I$82,5,FALSE)-VLOOKUP(V$3,DRIPE!$A$54:$I$82,6,FALSE)+VLOOKUP(V$3,DRIPE!$A$54:$I$82,9,FALSE))+ ('Inputs-System'!$C$26*'Coincidence Factors'!$B$5*(1+'Inputs-System'!$C$18)*(1+'Inputs-System'!$C$41))+ ('Inputs-System'!$C$26*'Coincidence Factors'!$B$5)*'Inputs-Proposals'!$L$22*VLOOKUP(V$3,DRIPE!$A$54:$I$80,8,FALSE), $C59= "3", ('Inputs-System'!$C$30*'Coincidence Factors'!$B$5)*('Inputs-Proposals'!$L$29*'Inputs-Proposals'!$L$31*(1-'Inputs-Proposals'!$L$32))*(VLOOKUP(V$3,DRIPE!$A$54:$I$80,5,FALSE)-VLOOKUP(V$3,DRIPE!$A$54:$I$80,6,FALSE)+VLOOKUP(V$3,DRIPE!$A$54:$I$80,9,FALSE))+ ('Inputs-System'!$C$26*'Coincidence Factors'!$B$5*(1+'Inputs-System'!$C$18)*(1+'Inputs-System'!$C$42))*'Inputs-Proposals'!$L$28*VLOOKUP(V$3,DRIPE!$A$54:$I$80,8,FALSE), $C59 = "0", 0), 0)</f>
        <v>0</v>
      </c>
      <c r="Y59" s="326">
        <f>IFERROR(_xlfn.IFS($C59="1",('Inputs-System'!$C$26*'Coincidence Factors'!$B$5*(1+'Inputs-System'!$C$18)*(1+'Inputs-System'!$C$42))*'Inputs-Proposals'!$L$16*(VLOOKUP(V$3,Capacity!$A$53:$E$85,4,FALSE)*(1+'Inputs-System'!$C$42)+VLOOKUP(V$3,Capacity!$A$53:$E$85,5,FALSE)*(1+'Inputs-System'!$C$43)*'Inputs-System'!$C$29), $C59 = "2", ('Inputs-System'!$C$26*'Coincidence Factors'!$B$5*(1+'Inputs-System'!$C$18))*'Inputs-Proposals'!$L$22*(VLOOKUP(V$3,Capacity!$A$53:$E$85,4,FALSE)*(1+'Inputs-System'!$C$42)+VLOOKUP(V$3,Capacity!$A$53:$E$85,5,FALSE)*'Inputs-System'!$C$29*(1+'Inputs-System'!$C$43)), $C59 = "3", ('Inputs-System'!$C$26*'Coincidence Factors'!$B$5*(1+'Inputs-System'!$C$18))*'Inputs-Proposals'!$L$28*(VLOOKUP(V$3,Capacity!$A$53:$E$85,4,FALSE)*(1+'Inputs-System'!$C$42)+VLOOKUP(V$3,Capacity!$A$53:$E$85,5,FALSE)*'Inputs-System'!$C$29*(1+'Inputs-System'!$C$43)), $C59 = "0", 0), 0)</f>
        <v>0</v>
      </c>
      <c r="Z59" s="100">
        <v>0</v>
      </c>
      <c r="AA59" s="346">
        <f>IFERROR(_xlfn.IFS($C59="1", 'Inputs-System'!$C$30*'Coincidence Factors'!$B$5*'Inputs-Proposals'!$L$17*'Inputs-Proposals'!$L$19*(VLOOKUP(V$3,'Non-Embedded Emissions'!$A$56:$D$90,2,FALSE)+VLOOKUP(V$3,'Non-Embedded Emissions'!$A$143:$D$174,2,FALSE)+VLOOKUP(V$3,'Non-Embedded Emissions'!$A$230:$D$259,2,FALSE)-VLOOKUP(V$3,'Non-Embedded Emissions'!$A$56:$D$90,3,FALSE)-VLOOKUP(V$3,'Non-Embedded Emissions'!$A$143:$D$174,3,FALSE)-VLOOKUP(V$3,'Non-Embedded Emissions'!$A$230:$D$259,3,FALSE)), $C59 = "2", 'Inputs-System'!$C$30*'Coincidence Factors'!$B$5*'Inputs-Proposals'!$L$23*'Inputs-Proposals'!$L$25*(VLOOKUP(V$3,'Non-Embedded Emissions'!$A$56:$D$90,2,FALSE)+VLOOKUP(V$3,'Non-Embedded Emissions'!$A$143:$D$174,2,FALSE)+VLOOKUP(V$3,'Non-Embedded Emissions'!$A$230:$D$259,2,FALSE)-VLOOKUP(V$3,'Non-Embedded Emissions'!$A$56:$D$90,3,FALSE)-VLOOKUP(V$3,'Non-Embedded Emissions'!$A$143:$D$174,3,FALSE)-VLOOKUP(V$3,'Non-Embedded Emissions'!$A$230:$D$259,3,FALSE)), $C59 = "3", 'Inputs-System'!$C$30*'Coincidence Factors'!$B$5*'Inputs-Proposals'!$L$29*'Inputs-Proposals'!$L$31*(VLOOKUP(V$3,'Non-Embedded Emissions'!$A$56:$D$90,2,FALSE)+VLOOKUP(V$3,'Non-Embedded Emissions'!$A$143:$D$174,2,FALSE)+VLOOKUP(V$3,'Non-Embedded Emissions'!$A$230:$D$259,2,FALSE)-VLOOKUP(V$3,'Non-Embedded Emissions'!$A$56:$D$90,3,FALSE)-VLOOKUP(V$3,'Non-Embedded Emissions'!$A$143:$D$174,3,FALSE)-VLOOKUP(V$3,'Non-Embedded Emissions'!$A$230:$D$259,3,FALSE)), $C59 = "0", 0), 0)</f>
        <v>0</v>
      </c>
      <c r="AB59" s="344">
        <f>IFERROR(_xlfn.IFS($C59="1",('Inputs-System'!$C$30*'Coincidence Factors'!$B$5*(1+'Inputs-System'!$C$18)*(1+'Inputs-System'!$C$41)*('Inputs-Proposals'!$L$17*'Inputs-Proposals'!$L$19*(1-'Inputs-Proposals'!$L$20))*(VLOOKUP(AB$3,Energy!$A$51:$K$83,5,FALSE)-VLOOKUP(AB$3,Energy!$A$51:$K$83,6,FALSE))), $C59 = "2",('Inputs-System'!$C$30*'Coincidence Factors'!$B$5)*(1+'Inputs-System'!$C$18)*(1+'Inputs-System'!$C$41)*('Inputs-Proposals'!$L$23*'Inputs-Proposals'!$L$25*(1-'Inputs-Proposals'!$L$26))*(VLOOKUP(AB$3,Energy!$A$51:$K$83,5,FALSE)-VLOOKUP(AB$3,Energy!$A$51:$K$83,6,FALSE)), $C59= "3", ('Inputs-System'!$C$30*'Coincidence Factors'!$B$5*(1+'Inputs-System'!$C$18)*(1+'Inputs-System'!$C$41)*('Inputs-Proposals'!$L$29*'Inputs-Proposals'!$L$31*(1-'Inputs-Proposals'!$L$32))*(VLOOKUP(AB$3,Energy!$A$51:$K$83,5,FALSE)-VLOOKUP(AB$3,Energy!$A$51:$K$83,6,FALSE))), $C59= "0", 0), 0)</f>
        <v>0</v>
      </c>
      <c r="AC59" s="100">
        <f>IFERROR(_xlfn.IFS($C59="1", 'Inputs-System'!$C$30*'Coincidence Factors'!$B$5*(1+'Inputs-System'!$C$18)*(1+'Inputs-System'!$C$41)*'Inputs-Proposals'!$L$17*'Inputs-Proposals'!$L$19*(1-'Inputs-Proposals'!$L$20)*(VLOOKUP(AB$3,'Embedded Emissions'!$A$47:$B$78,2,FALSE)+VLOOKUP(AB$3,'Embedded Emissions'!$A$129:$B$158,2,FALSE)), $C59 = "2",'Inputs-System'!$C$30*'Coincidence Factors'!$B$5*(1+'Inputs-System'!$C$18)*(1+'Inputs-System'!$C$41)*'Inputs-Proposals'!$L$23*'Inputs-Proposals'!$L$25*(1-'Inputs-Proposals'!$L$20)*(VLOOKUP(AB$3,'Embedded Emissions'!$A$47:$B$78,2,FALSE)+VLOOKUP(AB$3,'Embedded Emissions'!$A$129:$B$158,2,FALSE)), $C59 = "3", 'Inputs-System'!$C$30*'Coincidence Factors'!$B$5*(1+'Inputs-System'!$C$18)*(1+'Inputs-System'!$C$41)*'Inputs-Proposals'!$L$29*'Inputs-Proposals'!$L$31*(1-'Inputs-Proposals'!$L$20)*(VLOOKUP(AB$3,'Embedded Emissions'!$A$47:$B$78,2,FALSE)+VLOOKUP(AB$3,'Embedded Emissions'!$A$129:$B$158,2,FALSE)), $C59 = "0", 0), 0)</f>
        <v>0</v>
      </c>
      <c r="AD59" s="318">
        <f>IFERROR(_xlfn.IFS($C59="1",( 'Inputs-System'!$C$30*'Coincidence Factors'!$B$5*(1+'Inputs-System'!$C$18)*(1+'Inputs-System'!$C$41))*('Inputs-Proposals'!$L$17*'Inputs-Proposals'!$L$19*(1-'Inputs-Proposals'!$L$20))*(VLOOKUP(AB$3,DRIPE!$A$54:$I$82,5,FALSE)-VLOOKUP(AB$3,DRIPE!$A$54:$I$82,6,FALSE)+VLOOKUP(AB$3,DRIPE!$A$54:$I$82,9,FALSE))+ ('Inputs-System'!$C$26*'Coincidence Factors'!$B$5*(1+'Inputs-System'!$C$18)*(1+'Inputs-System'!$C$42))*'Inputs-Proposals'!$L$16*VLOOKUP(AB$3,DRIPE!$A$54:$I$80,8,FALSE), $C59 = "2",( 'Inputs-System'!$C$30*'Coincidence Factors'!$B$5*(1+'Inputs-System'!$C$18)*(1+'Inputs-System'!$C$41))*('Inputs-Proposals'!$L$23*'Inputs-Proposals'!$L$25*(1-'Inputs-Proposals'!$L$26))*(VLOOKUP(AB$3,DRIPE!$A$54:$I$82,5,FALSE)-VLOOKUP(AB$3,DRIPE!$A$54:$I$82,6,FALSE)+VLOOKUP(AB$3,DRIPE!$A$54:$I$82,9,FALSE))+ ('Inputs-System'!$C$26*'Coincidence Factors'!$B$5*(1+'Inputs-System'!$C$18)*(1+'Inputs-System'!$C$41))+ ('Inputs-System'!$C$26*'Coincidence Factors'!$B$5)*'Inputs-Proposals'!$L$22*VLOOKUP(AB$3,DRIPE!$A$54:$I$80,8,FALSE), $C59= "3", ('Inputs-System'!$C$30*'Coincidence Factors'!$B$5)*('Inputs-Proposals'!$L$29*'Inputs-Proposals'!$L$31*(1-'Inputs-Proposals'!$L$32))*(VLOOKUP(AB$3,DRIPE!$A$54:$I$80,5,FALSE)-VLOOKUP(AB$3,DRIPE!$A$54:$I$80,6,FALSE)+VLOOKUP(AB$3,DRIPE!$A$54:$I$80,9,FALSE))+ ('Inputs-System'!$C$26*'Coincidence Factors'!$B$5*(1+'Inputs-System'!$C$18)*(1+'Inputs-System'!$C$42))*'Inputs-Proposals'!$L$28*VLOOKUP(AB$3,DRIPE!$A$54:$I$80,8,FALSE), $C59 = "0", 0), 0)</f>
        <v>0</v>
      </c>
      <c r="AE59" s="326">
        <f>IFERROR(_xlfn.IFS($C59="1",('Inputs-System'!$C$26*'Coincidence Factors'!$B$5*(1+'Inputs-System'!$C$18)*(1+'Inputs-System'!$C$42))*'Inputs-Proposals'!$L$16*(VLOOKUP(AB$3,Capacity!$A$53:$E$85,4,FALSE)*(1+'Inputs-System'!$C$42)+VLOOKUP(AB$3,Capacity!$A$53:$E$85,5,FALSE)*(1+'Inputs-System'!$C$43)*'Inputs-System'!$C$29), $C59 = "2", ('Inputs-System'!$C$26*'Coincidence Factors'!$B$5*(1+'Inputs-System'!$C$18))*'Inputs-Proposals'!$L$22*(VLOOKUP(AB$3,Capacity!$A$53:$E$85,4,FALSE)*(1+'Inputs-System'!$C$42)+VLOOKUP(AB$3,Capacity!$A$53:$E$85,5,FALSE)*'Inputs-System'!$C$29*(1+'Inputs-System'!$C$43)), $C59 = "3", ('Inputs-System'!$C$26*'Coincidence Factors'!$B$5*(1+'Inputs-System'!$C$18))*'Inputs-Proposals'!$L$28*(VLOOKUP(AB$3,Capacity!$A$53:$E$85,4,FALSE)*(1+'Inputs-System'!$C$42)+VLOOKUP(AB$3,Capacity!$A$53:$E$85,5,FALSE)*'Inputs-System'!$C$29*(1+'Inputs-System'!$C$43)), $C59 = "0", 0), 0)</f>
        <v>0</v>
      </c>
      <c r="AF59" s="100">
        <v>0</v>
      </c>
      <c r="AG59" s="346">
        <f>IFERROR(_xlfn.IFS($C59="1", 'Inputs-System'!$C$30*'Coincidence Factors'!$B$5*'Inputs-Proposals'!$L$17*'Inputs-Proposals'!$L$19*(VLOOKUP(AB$3,'Non-Embedded Emissions'!$A$56:$D$90,2,FALSE)+VLOOKUP(AB$3,'Non-Embedded Emissions'!$A$143:$D$174,2,FALSE)+VLOOKUP(AB$3,'Non-Embedded Emissions'!$A$230:$D$259,2,FALSE)-VLOOKUP(AB$3,'Non-Embedded Emissions'!$A$56:$D$90,3,FALSE)-VLOOKUP(AB$3,'Non-Embedded Emissions'!$A$143:$D$174,3,FALSE)-VLOOKUP(AB$3,'Non-Embedded Emissions'!$A$230:$D$259,3,FALSE)), $C59 = "2", 'Inputs-System'!$C$30*'Coincidence Factors'!$B$5*'Inputs-Proposals'!$L$23*'Inputs-Proposals'!$L$25*(VLOOKUP(AB$3,'Non-Embedded Emissions'!$A$56:$D$90,2,FALSE)+VLOOKUP(AB$3,'Non-Embedded Emissions'!$A$143:$D$174,2,FALSE)+VLOOKUP(AB$3,'Non-Embedded Emissions'!$A$230:$D$259,2,FALSE)-VLOOKUP(AB$3,'Non-Embedded Emissions'!$A$56:$D$90,3,FALSE)-VLOOKUP(AB$3,'Non-Embedded Emissions'!$A$143:$D$174,3,FALSE)-VLOOKUP(AB$3,'Non-Embedded Emissions'!$A$230:$D$259,3,FALSE)), $C59 = "3", 'Inputs-System'!$C$30*'Coincidence Factors'!$B$5*'Inputs-Proposals'!$L$29*'Inputs-Proposals'!$L$31*(VLOOKUP(AB$3,'Non-Embedded Emissions'!$A$56:$D$90,2,FALSE)+VLOOKUP(AB$3,'Non-Embedded Emissions'!$A$143:$D$174,2,FALSE)+VLOOKUP(AB$3,'Non-Embedded Emissions'!$A$230:$D$259,2,FALSE)-VLOOKUP(AB$3,'Non-Embedded Emissions'!$A$56:$D$90,3,FALSE)-VLOOKUP(AB$3,'Non-Embedded Emissions'!$A$143:$D$174,3,FALSE)-VLOOKUP(AB$3,'Non-Embedded Emissions'!$A$230:$D$259,3,FALSE)), $C59 = "0", 0), 0)</f>
        <v>0</v>
      </c>
      <c r="AH59" s="344">
        <f>IFERROR(_xlfn.IFS($C59="1",('Inputs-System'!$C$30*'Coincidence Factors'!$B$5*(1+'Inputs-System'!$C$18)*(1+'Inputs-System'!$C$41)*('Inputs-Proposals'!$L$17*'Inputs-Proposals'!$L$19*(1-'Inputs-Proposals'!$L$20))*(VLOOKUP(AH$3,Energy!$A$51:$K$83,5,FALSE)-VLOOKUP(AH$3,Energy!$A$51:$K$83,6,FALSE))), $C59 = "2",('Inputs-System'!$C$30*'Coincidence Factors'!$B$5)*(1+'Inputs-System'!$C$18)*(1+'Inputs-System'!$C$41)*('Inputs-Proposals'!$L$23*'Inputs-Proposals'!$L$25*(1-'Inputs-Proposals'!$L$26))*(VLOOKUP(AH$3,Energy!$A$51:$K$83,5,FALSE)-VLOOKUP(AH$3,Energy!$A$51:$K$83,6,FALSE)), $C59= "3", ('Inputs-System'!$C$30*'Coincidence Factors'!$B$5*(1+'Inputs-System'!$C$18)*(1+'Inputs-System'!$C$41)*('Inputs-Proposals'!$L$29*'Inputs-Proposals'!$L$31*(1-'Inputs-Proposals'!$L$32))*(VLOOKUP(AH$3,Energy!$A$51:$K$83,5,FALSE)-VLOOKUP(AH$3,Energy!$A$51:$K$83,6,FALSE))), $C59= "0", 0), 0)</f>
        <v>0</v>
      </c>
      <c r="AI59" s="100">
        <f>IFERROR(_xlfn.IFS($C59="1", 'Inputs-System'!$C$30*'Coincidence Factors'!$B$5*(1+'Inputs-System'!$C$18)*(1+'Inputs-System'!$C$41)*'Inputs-Proposals'!$L$17*'Inputs-Proposals'!$L$19*(1-'Inputs-Proposals'!$L$20)*(VLOOKUP(AH$3,'Embedded Emissions'!$A$47:$B$78,2,FALSE)+VLOOKUP(AH$3,'Embedded Emissions'!$A$129:$B$158,2,FALSE)), $C59 = "2",'Inputs-System'!$C$30*'Coincidence Factors'!$B$5*(1+'Inputs-System'!$C$18)*(1+'Inputs-System'!$C$41)*'Inputs-Proposals'!$L$23*'Inputs-Proposals'!$L$25*(1-'Inputs-Proposals'!$L$20)*(VLOOKUP(AH$3,'Embedded Emissions'!$A$47:$B$78,2,FALSE)+VLOOKUP(AH$3,'Embedded Emissions'!$A$129:$B$158,2,FALSE)), $C59 = "3", 'Inputs-System'!$C$30*'Coincidence Factors'!$B$5*(1+'Inputs-System'!$C$18)*(1+'Inputs-System'!$C$41)*'Inputs-Proposals'!$L$29*'Inputs-Proposals'!$L$31*(1-'Inputs-Proposals'!$L$20)*(VLOOKUP(AH$3,'Embedded Emissions'!$A$47:$B$78,2,FALSE)+VLOOKUP(AH$3,'Embedded Emissions'!$A$129:$B$158,2,FALSE)), $C59 = "0", 0), 0)</f>
        <v>0</v>
      </c>
      <c r="AJ59" s="318">
        <f>IFERROR(_xlfn.IFS($C59="1",( 'Inputs-System'!$C$30*'Coincidence Factors'!$B$5*(1+'Inputs-System'!$C$18)*(1+'Inputs-System'!$C$41))*('Inputs-Proposals'!$L$17*'Inputs-Proposals'!$L$19*(1-'Inputs-Proposals'!$L$20))*(VLOOKUP(AH$3,DRIPE!$A$54:$I$82,5,FALSE)-VLOOKUP(AH$3,DRIPE!$A$54:$I$82,6,FALSE)+VLOOKUP(AH$3,DRIPE!$A$54:$I$82,9,FALSE))+ ('Inputs-System'!$C$26*'Coincidence Factors'!$B$5*(1+'Inputs-System'!$C$18)*(1+'Inputs-System'!$C$42))*'Inputs-Proposals'!$L$16*VLOOKUP(AH$3,DRIPE!$A$54:$I$80,8,FALSE), $C59 = "2",( 'Inputs-System'!$C$30*'Coincidence Factors'!$B$5*(1+'Inputs-System'!$C$18)*(1+'Inputs-System'!$C$41))*('Inputs-Proposals'!$L$23*'Inputs-Proposals'!$L$25*(1-'Inputs-Proposals'!$L$26))*(VLOOKUP(AH$3,DRIPE!$A$54:$I$82,5,FALSE)-VLOOKUP(AH$3,DRIPE!$A$54:$I$82,6,FALSE)+VLOOKUP(AH$3,DRIPE!$A$54:$I$82,9,FALSE))+ ('Inputs-System'!$C$26*'Coincidence Factors'!$B$5*(1+'Inputs-System'!$C$18)*(1+'Inputs-System'!$C$41))+ ('Inputs-System'!$C$26*'Coincidence Factors'!$B$5)*'Inputs-Proposals'!$L$22*VLOOKUP(AH$3,DRIPE!$A$54:$I$80,8,FALSE), $C59= "3", ('Inputs-System'!$C$30*'Coincidence Factors'!$B$5)*('Inputs-Proposals'!$L$29*'Inputs-Proposals'!$L$31*(1-'Inputs-Proposals'!$L$32))*(VLOOKUP(AH$3,DRIPE!$A$54:$I$80,5,FALSE)-VLOOKUP(AH$3,DRIPE!$A$54:$I$80,6,FALSE)+VLOOKUP(AH$3,DRIPE!$A$54:$I$80,9,FALSE))+ ('Inputs-System'!$C$26*'Coincidence Factors'!$B$5*(1+'Inputs-System'!$C$18)*(1+'Inputs-System'!$C$42))*'Inputs-Proposals'!$L$28*VLOOKUP(AH$3,DRIPE!$A$54:$I$80,8,FALSE), $C59 = "0", 0), 0)</f>
        <v>0</v>
      </c>
      <c r="AK59" s="326">
        <f>IFERROR(_xlfn.IFS($C59="1",('Inputs-System'!$C$26*'Coincidence Factors'!$B$5*(1+'Inputs-System'!$C$18)*(1+'Inputs-System'!$C$42))*'Inputs-Proposals'!$L$16*(VLOOKUP(AH$3,Capacity!$A$53:$E$85,4,FALSE)*(1+'Inputs-System'!$C$42)+VLOOKUP(AH$3,Capacity!$A$53:$E$85,5,FALSE)*(1+'Inputs-System'!$C$43)*'Inputs-System'!$C$29), $C59 = "2", ('Inputs-System'!$C$26*'Coincidence Factors'!$B$5*(1+'Inputs-System'!$C$18))*'Inputs-Proposals'!$L$22*(VLOOKUP(AH$3,Capacity!$A$53:$E$85,4,FALSE)*(1+'Inputs-System'!$C$42)+VLOOKUP(AH$3,Capacity!$A$53:$E$85,5,FALSE)*'Inputs-System'!$C$29*(1+'Inputs-System'!$C$43)), $C59 = "3", ('Inputs-System'!$C$26*'Coincidence Factors'!$B$5*(1+'Inputs-System'!$C$18))*'Inputs-Proposals'!$L$28*(VLOOKUP(AH$3,Capacity!$A$53:$E$85,4,FALSE)*(1+'Inputs-System'!$C$42)+VLOOKUP(AH$3,Capacity!$A$53:$E$85,5,FALSE)*'Inputs-System'!$C$29*(1+'Inputs-System'!$C$43)), $C59 = "0", 0), 0)</f>
        <v>0</v>
      </c>
      <c r="AL59" s="100">
        <v>0</v>
      </c>
      <c r="AM59" s="346">
        <f>IFERROR(_xlfn.IFS($C59="1", 'Inputs-System'!$C$30*'Coincidence Factors'!$B$5*'Inputs-Proposals'!$L$17*'Inputs-Proposals'!$L$19*(VLOOKUP(AH$3,'Non-Embedded Emissions'!$A$56:$D$90,2,FALSE)+VLOOKUP(AH$3,'Non-Embedded Emissions'!$A$143:$D$174,2,FALSE)+VLOOKUP(AH$3,'Non-Embedded Emissions'!$A$230:$D$259,2,FALSE)-VLOOKUP(AH$3,'Non-Embedded Emissions'!$A$56:$D$90,3,FALSE)-VLOOKUP(AH$3,'Non-Embedded Emissions'!$A$143:$D$174,3,FALSE)-VLOOKUP(AH$3,'Non-Embedded Emissions'!$A$230:$D$259,3,FALSE)), $C59 = "2", 'Inputs-System'!$C$30*'Coincidence Factors'!$B$5*'Inputs-Proposals'!$L$23*'Inputs-Proposals'!$L$25*(VLOOKUP(AH$3,'Non-Embedded Emissions'!$A$56:$D$90,2,FALSE)+VLOOKUP(AH$3,'Non-Embedded Emissions'!$A$143:$D$174,2,FALSE)+VLOOKUP(AH$3,'Non-Embedded Emissions'!$A$230:$D$259,2,FALSE)-VLOOKUP(AH$3,'Non-Embedded Emissions'!$A$56:$D$90,3,FALSE)-VLOOKUP(AH$3,'Non-Embedded Emissions'!$A$143:$D$174,3,FALSE)-VLOOKUP(AH$3,'Non-Embedded Emissions'!$A$230:$D$259,3,FALSE)), $C59 = "3", 'Inputs-System'!$C$30*'Coincidence Factors'!$B$5*'Inputs-Proposals'!$L$29*'Inputs-Proposals'!$L$31*(VLOOKUP(AH$3,'Non-Embedded Emissions'!$A$56:$D$90,2,FALSE)+VLOOKUP(AH$3,'Non-Embedded Emissions'!$A$143:$D$174,2,FALSE)+VLOOKUP(AH$3,'Non-Embedded Emissions'!$A$230:$D$259,2,FALSE)-VLOOKUP(AH$3,'Non-Embedded Emissions'!$A$56:$D$90,3,FALSE)-VLOOKUP(AH$3,'Non-Embedded Emissions'!$A$143:$D$174,3,FALSE)-VLOOKUP(AH$3,'Non-Embedded Emissions'!$A$230:$D$259,3,FALSE)), $C59 = "0", 0), 0)</f>
        <v>0</v>
      </c>
      <c r="AN59" s="344">
        <f>IFERROR(_xlfn.IFS($C59="1",('Inputs-System'!$C$30*'Coincidence Factors'!$B$5*(1+'Inputs-System'!$C$18)*(1+'Inputs-System'!$C$41)*('Inputs-Proposals'!$L$17*'Inputs-Proposals'!$L$19*(1-'Inputs-Proposals'!$L$20))*(VLOOKUP(AN$3,Energy!$A$51:$K$83,5,FALSE)-VLOOKUP(AN$3,Energy!$A$51:$K$83,6,FALSE))), $C59 = "2",('Inputs-System'!$C$30*'Coincidence Factors'!$B$5)*(1+'Inputs-System'!$C$18)*(1+'Inputs-System'!$C$41)*('Inputs-Proposals'!$L$23*'Inputs-Proposals'!$L$25*(1-'Inputs-Proposals'!$L$26))*(VLOOKUP(AN$3,Energy!$A$51:$K$83,5,FALSE)-VLOOKUP(AN$3,Energy!$A$51:$K$83,6,FALSE)), $C59= "3", ('Inputs-System'!$C$30*'Coincidence Factors'!$B$5*(1+'Inputs-System'!$C$18)*(1+'Inputs-System'!$C$41)*('Inputs-Proposals'!$L$29*'Inputs-Proposals'!$L$31*(1-'Inputs-Proposals'!$L$32))*(VLOOKUP(AN$3,Energy!$A$51:$K$83,5,FALSE)-VLOOKUP(AN$3,Energy!$A$51:$K$83,6,FALSE))), $C59= "0", 0), 0)</f>
        <v>0</v>
      </c>
      <c r="AO59" s="100">
        <f>IFERROR(_xlfn.IFS($C59="1", 'Inputs-System'!$C$30*'Coincidence Factors'!$B$5*(1+'Inputs-System'!$C$18)*(1+'Inputs-System'!$C$41)*'Inputs-Proposals'!$L$17*'Inputs-Proposals'!$L$19*(1-'Inputs-Proposals'!$L$20)*(VLOOKUP(AN$3,'Embedded Emissions'!$A$47:$B$78,2,FALSE)+VLOOKUP(AN$3,'Embedded Emissions'!$A$129:$B$158,2,FALSE)), $C59 = "2",'Inputs-System'!$C$30*'Coincidence Factors'!$B$5*(1+'Inputs-System'!$C$18)*(1+'Inputs-System'!$C$41)*'Inputs-Proposals'!$L$23*'Inputs-Proposals'!$L$25*(1-'Inputs-Proposals'!$L$20)*(VLOOKUP(AN$3,'Embedded Emissions'!$A$47:$B$78,2,FALSE)+VLOOKUP(AN$3,'Embedded Emissions'!$A$129:$B$158,2,FALSE)), $C59 = "3", 'Inputs-System'!$C$30*'Coincidence Factors'!$B$5*(1+'Inputs-System'!$C$18)*(1+'Inputs-System'!$C$41)*'Inputs-Proposals'!$L$29*'Inputs-Proposals'!$L$31*(1-'Inputs-Proposals'!$L$20)*(VLOOKUP(AN$3,'Embedded Emissions'!$A$47:$B$78,2,FALSE)+VLOOKUP(AN$3,'Embedded Emissions'!$A$129:$B$158,2,FALSE)), $C59 = "0", 0), 0)</f>
        <v>0</v>
      </c>
      <c r="AP59" s="318">
        <f>IFERROR(_xlfn.IFS($C59="1",( 'Inputs-System'!$C$30*'Coincidence Factors'!$B$5*(1+'Inputs-System'!$C$18)*(1+'Inputs-System'!$C$41))*('Inputs-Proposals'!$L$17*'Inputs-Proposals'!$L$19*(1-'Inputs-Proposals'!$L$20))*(VLOOKUP(AN$3,DRIPE!$A$54:$I$82,5,FALSE)-VLOOKUP(AN$3,DRIPE!$A$54:$I$82,6,FALSE)+VLOOKUP(AN$3,DRIPE!$A$54:$I$82,9,FALSE))+ ('Inputs-System'!$C$26*'Coincidence Factors'!$B$5*(1+'Inputs-System'!$C$18)*(1+'Inputs-System'!$C$42))*'Inputs-Proposals'!$L$16*VLOOKUP(AN$3,DRIPE!$A$54:$I$80,8,FALSE), $C59 = "2",( 'Inputs-System'!$C$30*'Coincidence Factors'!$B$5*(1+'Inputs-System'!$C$18)*(1+'Inputs-System'!$C$41))*('Inputs-Proposals'!$L$23*'Inputs-Proposals'!$L$25*(1-'Inputs-Proposals'!$L$26))*(VLOOKUP(AN$3,DRIPE!$A$54:$I$82,5,FALSE)-VLOOKUP(AN$3,DRIPE!$A$54:$I$82,6,FALSE)+VLOOKUP(AN$3,DRIPE!$A$54:$I$82,9,FALSE))+ ('Inputs-System'!$C$26*'Coincidence Factors'!$B$5*(1+'Inputs-System'!$C$18)*(1+'Inputs-System'!$C$41))+ ('Inputs-System'!$C$26*'Coincidence Factors'!$B$5)*'Inputs-Proposals'!$L$22*VLOOKUP(AN$3,DRIPE!$A$54:$I$80,8,FALSE), $C59= "3", ('Inputs-System'!$C$30*'Coincidence Factors'!$B$5)*('Inputs-Proposals'!$L$29*'Inputs-Proposals'!$L$31*(1-'Inputs-Proposals'!$L$32))*(VLOOKUP(AN$3,DRIPE!$A$54:$I$80,5,FALSE)-VLOOKUP(AN$3,DRIPE!$A$54:$I$80,6,FALSE)+VLOOKUP(AN$3,DRIPE!$A$54:$I$80,9,FALSE))+ ('Inputs-System'!$C$26*'Coincidence Factors'!$B$5*(1+'Inputs-System'!$C$18)*(1+'Inputs-System'!$C$42))*'Inputs-Proposals'!$L$28*VLOOKUP(AN$3,DRIPE!$A$54:$I$80,8,FALSE), $C59 = "0", 0), 0)</f>
        <v>0</v>
      </c>
      <c r="AQ59" s="326">
        <f>IFERROR(_xlfn.IFS($C59="1",('Inputs-System'!$C$26*'Coincidence Factors'!$B$5*(1+'Inputs-System'!$C$18)*(1+'Inputs-System'!$C$42))*'Inputs-Proposals'!$L$16*(VLOOKUP(AN$3,Capacity!$A$53:$E$85,4,FALSE)*(1+'Inputs-System'!$C$42)+VLOOKUP(AN$3,Capacity!$A$53:$E$85,5,FALSE)*(1+'Inputs-System'!$C$43)*'Inputs-System'!$C$29), $C59 = "2", ('Inputs-System'!$C$26*'Coincidence Factors'!$B$5*(1+'Inputs-System'!$C$18))*'Inputs-Proposals'!$L$22*(VLOOKUP(AN$3,Capacity!$A$53:$E$85,4,FALSE)*(1+'Inputs-System'!$C$42)+VLOOKUP(AN$3,Capacity!$A$53:$E$85,5,FALSE)*'Inputs-System'!$C$29*(1+'Inputs-System'!$C$43)), $C59 = "3", ('Inputs-System'!$C$26*'Coincidence Factors'!$B$5*(1+'Inputs-System'!$C$18))*'Inputs-Proposals'!$L$28*(VLOOKUP(AN$3,Capacity!$A$53:$E$85,4,FALSE)*(1+'Inputs-System'!$C$42)+VLOOKUP(AN$3,Capacity!$A$53:$E$85,5,FALSE)*'Inputs-System'!$C$29*(1+'Inputs-System'!$C$43)), $C59 = "0", 0), 0)</f>
        <v>0</v>
      </c>
      <c r="AR59" s="100">
        <v>0</v>
      </c>
      <c r="AS59" s="346">
        <f>IFERROR(_xlfn.IFS($C59="1", 'Inputs-System'!$C$30*'Coincidence Factors'!$B$5*'Inputs-Proposals'!$L$17*'Inputs-Proposals'!$L$19*(VLOOKUP(AN$3,'Non-Embedded Emissions'!$A$56:$D$90,2,FALSE)+VLOOKUP(AN$3,'Non-Embedded Emissions'!$A$143:$D$174,2,FALSE)+VLOOKUP(AN$3,'Non-Embedded Emissions'!$A$230:$D$259,2,FALSE)-VLOOKUP(AN$3,'Non-Embedded Emissions'!$A$56:$D$90,3,FALSE)-VLOOKUP(AN$3,'Non-Embedded Emissions'!$A$143:$D$174,3,FALSE)-VLOOKUP(AN$3,'Non-Embedded Emissions'!$A$230:$D$259,3,FALSE)), $C59 = "2", 'Inputs-System'!$C$30*'Coincidence Factors'!$B$5*'Inputs-Proposals'!$L$23*'Inputs-Proposals'!$L$25*(VLOOKUP(AN$3,'Non-Embedded Emissions'!$A$56:$D$90,2,FALSE)+VLOOKUP(AN$3,'Non-Embedded Emissions'!$A$143:$D$174,2,FALSE)+VLOOKUP(AN$3,'Non-Embedded Emissions'!$A$230:$D$259,2,FALSE)-VLOOKUP(AN$3,'Non-Embedded Emissions'!$A$56:$D$90,3,FALSE)-VLOOKUP(AN$3,'Non-Embedded Emissions'!$A$143:$D$174,3,FALSE)-VLOOKUP(AN$3,'Non-Embedded Emissions'!$A$230:$D$259,3,FALSE)), $C59 = "3", 'Inputs-System'!$C$30*'Coincidence Factors'!$B$5*'Inputs-Proposals'!$L$29*'Inputs-Proposals'!$L$31*(VLOOKUP(AN$3,'Non-Embedded Emissions'!$A$56:$D$90,2,FALSE)+VLOOKUP(AN$3,'Non-Embedded Emissions'!$A$143:$D$174,2,FALSE)+VLOOKUP(AN$3,'Non-Embedded Emissions'!$A$230:$D$259,2,FALSE)-VLOOKUP(AN$3,'Non-Embedded Emissions'!$A$56:$D$90,3,FALSE)-VLOOKUP(AN$3,'Non-Embedded Emissions'!$A$143:$D$174,3,FALSE)-VLOOKUP(AN$3,'Non-Embedded Emissions'!$A$230:$D$259,3,FALSE)), $C59 = "0", 0), 0)</f>
        <v>0</v>
      </c>
      <c r="AT59" s="344">
        <f>IFERROR(_xlfn.IFS($C59="1",('Inputs-System'!$C$30*'Coincidence Factors'!$B$5*(1+'Inputs-System'!$C$18)*(1+'Inputs-System'!$C$41)*('Inputs-Proposals'!$L$17*'Inputs-Proposals'!$L$19*(1-'Inputs-Proposals'!$L$20))*(VLOOKUP(AT$3,Energy!$A$51:$K$83,5,FALSE)-VLOOKUP(AT$3,Energy!$A$51:$K$83,6,FALSE))), $C59 = "2",('Inputs-System'!$C$30*'Coincidence Factors'!$B$5)*(1+'Inputs-System'!$C$18)*(1+'Inputs-System'!$C$41)*('Inputs-Proposals'!$L$23*'Inputs-Proposals'!$L$25*(1-'Inputs-Proposals'!$L$26))*(VLOOKUP(AT$3,Energy!$A$51:$K$83,5,FALSE)-VLOOKUP(AT$3,Energy!$A$51:$K$83,6,FALSE)), $C59= "3", ('Inputs-System'!$C$30*'Coincidence Factors'!$B$5*(1+'Inputs-System'!$C$18)*(1+'Inputs-System'!$C$41)*('Inputs-Proposals'!$L$29*'Inputs-Proposals'!$L$31*(1-'Inputs-Proposals'!$L$32))*(VLOOKUP(AT$3,Energy!$A$51:$K$83,5,FALSE)-VLOOKUP(AT$3,Energy!$A$51:$K$83,6,FALSE))), $C59= "0", 0), 0)</f>
        <v>0</v>
      </c>
      <c r="AU59" s="100">
        <f>IFERROR(_xlfn.IFS($C59="1", 'Inputs-System'!$C$30*'Coincidence Factors'!$B$5*(1+'Inputs-System'!$C$18)*(1+'Inputs-System'!$C$41)*'Inputs-Proposals'!$L$17*'Inputs-Proposals'!$L$19*(1-'Inputs-Proposals'!$L$20)*(VLOOKUP(AT$3,'Embedded Emissions'!$A$47:$B$78,2,FALSE)+VLOOKUP(AT$3,'Embedded Emissions'!$A$129:$B$158,2,FALSE)), $C59 = "2",'Inputs-System'!$C$30*'Coincidence Factors'!$B$5*(1+'Inputs-System'!$C$18)*(1+'Inputs-System'!$C$41)*'Inputs-Proposals'!$L$23*'Inputs-Proposals'!$L$25*(1-'Inputs-Proposals'!$L$20)*(VLOOKUP(AT$3,'Embedded Emissions'!$A$47:$B$78,2,FALSE)+VLOOKUP(AT$3,'Embedded Emissions'!$A$129:$B$158,2,FALSE)), $C59 = "3", 'Inputs-System'!$C$30*'Coincidence Factors'!$B$5*(1+'Inputs-System'!$C$18)*(1+'Inputs-System'!$C$41)*'Inputs-Proposals'!$L$29*'Inputs-Proposals'!$L$31*(1-'Inputs-Proposals'!$L$20)*(VLOOKUP(AT$3,'Embedded Emissions'!$A$47:$B$78,2,FALSE)+VLOOKUP(AT$3,'Embedded Emissions'!$A$129:$B$158,2,FALSE)), $C59 = "0", 0), 0)</f>
        <v>0</v>
      </c>
      <c r="AV59" s="318">
        <f>IFERROR(_xlfn.IFS($C59="1",( 'Inputs-System'!$C$30*'Coincidence Factors'!$B$5*(1+'Inputs-System'!$C$18)*(1+'Inputs-System'!$C$41))*('Inputs-Proposals'!$L$17*'Inputs-Proposals'!$L$19*(1-'Inputs-Proposals'!$L$20))*(VLOOKUP(AT$3,DRIPE!$A$54:$I$82,5,FALSE)-VLOOKUP(AT$3,DRIPE!$A$54:$I$82,6,FALSE)+VLOOKUP(AT$3,DRIPE!$A$54:$I$82,9,FALSE))+ ('Inputs-System'!$C$26*'Coincidence Factors'!$B$5*(1+'Inputs-System'!$C$18)*(1+'Inputs-System'!$C$42))*'Inputs-Proposals'!$L$16*VLOOKUP(AT$3,DRIPE!$A$54:$I$80,8,FALSE), $C59 = "2",( 'Inputs-System'!$C$30*'Coincidence Factors'!$B$5*(1+'Inputs-System'!$C$18)*(1+'Inputs-System'!$C$41))*('Inputs-Proposals'!$L$23*'Inputs-Proposals'!$L$25*(1-'Inputs-Proposals'!$L$26))*(VLOOKUP(AT$3,DRIPE!$A$54:$I$82,5,FALSE)-VLOOKUP(AT$3,DRIPE!$A$54:$I$82,6,FALSE)+VLOOKUP(AT$3,DRIPE!$A$54:$I$82,9,FALSE))+ ('Inputs-System'!$C$26*'Coincidence Factors'!$B$5*(1+'Inputs-System'!$C$18)*(1+'Inputs-System'!$C$41))+ ('Inputs-System'!$C$26*'Coincidence Factors'!$B$5)*'Inputs-Proposals'!$L$22*VLOOKUP(AT$3,DRIPE!$A$54:$I$80,8,FALSE), $C59= "3", ('Inputs-System'!$C$30*'Coincidence Factors'!$B$5)*('Inputs-Proposals'!$L$29*'Inputs-Proposals'!$L$31*(1-'Inputs-Proposals'!$L$32))*(VLOOKUP(AT$3,DRIPE!$A$54:$I$80,5,FALSE)-VLOOKUP(AT$3,DRIPE!$A$54:$I$80,6,FALSE)+VLOOKUP(AT$3,DRIPE!$A$54:$I$80,9,FALSE))+ ('Inputs-System'!$C$26*'Coincidence Factors'!$B$5*(1+'Inputs-System'!$C$18)*(1+'Inputs-System'!$C$42))*'Inputs-Proposals'!$L$28*VLOOKUP(AT$3,DRIPE!$A$54:$I$80,8,FALSE), $C59 = "0", 0), 0)</f>
        <v>0</v>
      </c>
      <c r="AW59" s="326">
        <f>IFERROR(_xlfn.IFS($C59="1",('Inputs-System'!$C$26*'Coincidence Factors'!$B$5*(1+'Inputs-System'!$C$18)*(1+'Inputs-System'!$C$42))*'Inputs-Proposals'!$L$16*(VLOOKUP(AT$3,Capacity!$A$53:$E$85,4,FALSE)*(1+'Inputs-System'!$C$42)+VLOOKUP(AT$3,Capacity!$A$53:$E$85,5,FALSE)*(1+'Inputs-System'!$C$43)*'Inputs-System'!$C$29), $C59 = "2", ('Inputs-System'!$C$26*'Coincidence Factors'!$B$5*(1+'Inputs-System'!$C$18))*'Inputs-Proposals'!$L$22*(VLOOKUP(AT$3,Capacity!$A$53:$E$85,4,FALSE)*(1+'Inputs-System'!$C$42)+VLOOKUP(AT$3,Capacity!$A$53:$E$85,5,FALSE)*'Inputs-System'!$C$29*(1+'Inputs-System'!$C$43)), $C59 = "3", ('Inputs-System'!$C$26*'Coincidence Factors'!$B$5*(1+'Inputs-System'!$C$18))*'Inputs-Proposals'!$L$28*(VLOOKUP(AT$3,Capacity!$A$53:$E$85,4,FALSE)*(1+'Inputs-System'!$C$42)+VLOOKUP(AT$3,Capacity!$A$53:$E$85,5,FALSE)*'Inputs-System'!$C$29*(1+'Inputs-System'!$C$43)), $C59 = "0", 0), 0)</f>
        <v>0</v>
      </c>
      <c r="AX59" s="100">
        <v>0</v>
      </c>
      <c r="AY59" s="346">
        <f>IFERROR(_xlfn.IFS($C59="1", 'Inputs-System'!$C$30*'Coincidence Factors'!$B$5*'Inputs-Proposals'!$L$17*'Inputs-Proposals'!$L$19*(VLOOKUP(AT$3,'Non-Embedded Emissions'!$A$56:$D$90,2,FALSE)+VLOOKUP(AT$3,'Non-Embedded Emissions'!$A$143:$D$174,2,FALSE)+VLOOKUP(AT$3,'Non-Embedded Emissions'!$A$230:$D$259,2,FALSE)-VLOOKUP(AT$3,'Non-Embedded Emissions'!$A$56:$D$90,3,FALSE)-VLOOKUP(AT$3,'Non-Embedded Emissions'!$A$143:$D$174,3,FALSE)-VLOOKUP(AT$3,'Non-Embedded Emissions'!$A$230:$D$259,3,FALSE)), $C59 = "2", 'Inputs-System'!$C$30*'Coincidence Factors'!$B$5*'Inputs-Proposals'!$L$23*'Inputs-Proposals'!$L$25*(VLOOKUP(AT$3,'Non-Embedded Emissions'!$A$56:$D$90,2,FALSE)+VLOOKUP(AT$3,'Non-Embedded Emissions'!$A$143:$D$174,2,FALSE)+VLOOKUP(AT$3,'Non-Embedded Emissions'!$A$230:$D$259,2,FALSE)-VLOOKUP(AT$3,'Non-Embedded Emissions'!$A$56:$D$90,3,FALSE)-VLOOKUP(AT$3,'Non-Embedded Emissions'!$A$143:$D$174,3,FALSE)-VLOOKUP(AT$3,'Non-Embedded Emissions'!$A$230:$D$259,3,FALSE)), $C59 = "3", 'Inputs-System'!$C$30*'Coincidence Factors'!$B$5*'Inputs-Proposals'!$L$29*'Inputs-Proposals'!$L$31*(VLOOKUP(AT$3,'Non-Embedded Emissions'!$A$56:$D$90,2,FALSE)+VLOOKUP(AT$3,'Non-Embedded Emissions'!$A$143:$D$174,2,FALSE)+VLOOKUP(AT$3,'Non-Embedded Emissions'!$A$230:$D$259,2,FALSE)-VLOOKUP(AT$3,'Non-Embedded Emissions'!$A$56:$D$90,3,FALSE)-VLOOKUP(AT$3,'Non-Embedded Emissions'!$A$143:$D$174,3,FALSE)-VLOOKUP(AT$3,'Non-Embedded Emissions'!$A$230:$D$259,3,FALSE)), $C59 = "0", 0), 0)</f>
        <v>0</v>
      </c>
      <c r="AZ59" s="344">
        <f>IFERROR(_xlfn.IFS($C59="1",('Inputs-System'!$C$30*'Coincidence Factors'!$B$5*(1+'Inputs-System'!$C$18)*(1+'Inputs-System'!$C$41)*('Inputs-Proposals'!$L$17*'Inputs-Proposals'!$L$19*(1-'Inputs-Proposals'!$L$20))*(VLOOKUP(AZ$3,Energy!$A$51:$K$83,5,FALSE)-VLOOKUP(AZ$3,Energy!$A$51:$K$83,6,FALSE))), $C59 = "2",('Inputs-System'!$C$30*'Coincidence Factors'!$B$5)*(1+'Inputs-System'!$C$18)*(1+'Inputs-System'!$C$41)*('Inputs-Proposals'!$L$23*'Inputs-Proposals'!$L$25*(1-'Inputs-Proposals'!$L$26))*(VLOOKUP(AZ$3,Energy!$A$51:$K$83,5,FALSE)-VLOOKUP(AZ$3,Energy!$A$51:$K$83,6,FALSE)), $C59= "3", ('Inputs-System'!$C$30*'Coincidence Factors'!$B$5*(1+'Inputs-System'!$C$18)*(1+'Inputs-System'!$C$41)*('Inputs-Proposals'!$L$29*'Inputs-Proposals'!$L$31*(1-'Inputs-Proposals'!$L$32))*(VLOOKUP(AZ$3,Energy!$A$51:$K$83,5,FALSE)-VLOOKUP(AZ$3,Energy!$A$51:$K$83,6,FALSE))), $C59= "0", 0), 0)</f>
        <v>0</v>
      </c>
      <c r="BA59" s="100">
        <f>IFERROR(_xlfn.IFS($C59="1", 'Inputs-System'!$C$30*'Coincidence Factors'!$B$5*(1+'Inputs-System'!$C$18)*(1+'Inputs-System'!$C$41)*'Inputs-Proposals'!$L$17*'Inputs-Proposals'!$L$19*(1-'Inputs-Proposals'!$L$20)*(VLOOKUP(AZ$3,'Embedded Emissions'!$A$47:$B$78,2,FALSE)+VLOOKUP(AZ$3,'Embedded Emissions'!$A$129:$B$158,2,FALSE)), $C59 = "2",'Inputs-System'!$C$30*'Coincidence Factors'!$B$5*(1+'Inputs-System'!$C$18)*(1+'Inputs-System'!$C$41)*'Inputs-Proposals'!$L$23*'Inputs-Proposals'!$L$25*(1-'Inputs-Proposals'!$L$20)*(VLOOKUP(AZ$3,'Embedded Emissions'!$A$47:$B$78,2,FALSE)+VLOOKUP(AZ$3,'Embedded Emissions'!$A$129:$B$158,2,FALSE)), $C59 = "3", 'Inputs-System'!$C$30*'Coincidence Factors'!$B$5*(1+'Inputs-System'!$C$18)*(1+'Inputs-System'!$C$41)*'Inputs-Proposals'!$L$29*'Inputs-Proposals'!$L$31*(1-'Inputs-Proposals'!$L$20)*(VLOOKUP(AZ$3,'Embedded Emissions'!$A$47:$B$78,2,FALSE)+VLOOKUP(AZ$3,'Embedded Emissions'!$A$129:$B$158,2,FALSE)), $C59 = "0", 0), 0)</f>
        <v>0</v>
      </c>
      <c r="BB59" s="318">
        <f>IFERROR(_xlfn.IFS($C59="1",( 'Inputs-System'!$C$30*'Coincidence Factors'!$B$5*(1+'Inputs-System'!$C$18)*(1+'Inputs-System'!$C$41))*('Inputs-Proposals'!$L$17*'Inputs-Proposals'!$L$19*(1-'Inputs-Proposals'!$L$20))*(VLOOKUP(AZ$3,DRIPE!$A$54:$I$82,5,FALSE)-VLOOKUP(AZ$3,DRIPE!$A$54:$I$82,6,FALSE)+VLOOKUP(AZ$3,DRIPE!$A$54:$I$82,9,FALSE))+ ('Inputs-System'!$C$26*'Coincidence Factors'!$B$5*(1+'Inputs-System'!$C$18)*(1+'Inputs-System'!$C$42))*'Inputs-Proposals'!$L$16*VLOOKUP(AZ$3,DRIPE!$A$54:$I$80,8,FALSE), $C59 = "2",( 'Inputs-System'!$C$30*'Coincidence Factors'!$B$5*(1+'Inputs-System'!$C$18)*(1+'Inputs-System'!$C$41))*('Inputs-Proposals'!$L$23*'Inputs-Proposals'!$L$25*(1-'Inputs-Proposals'!$L$26))*(VLOOKUP(AZ$3,DRIPE!$A$54:$I$82,5,FALSE)-VLOOKUP(AZ$3,DRIPE!$A$54:$I$82,6,FALSE)+VLOOKUP(AZ$3,DRIPE!$A$54:$I$82,9,FALSE))+ ('Inputs-System'!$C$26*'Coincidence Factors'!$B$5*(1+'Inputs-System'!$C$18)*(1+'Inputs-System'!$C$41))+ ('Inputs-System'!$C$26*'Coincidence Factors'!$B$5)*'Inputs-Proposals'!$L$22*VLOOKUP(AZ$3,DRIPE!$A$54:$I$80,8,FALSE), $C59= "3", ('Inputs-System'!$C$30*'Coincidence Factors'!$B$5)*('Inputs-Proposals'!$L$29*'Inputs-Proposals'!$L$31*(1-'Inputs-Proposals'!$L$32))*(VLOOKUP(AZ$3,DRIPE!$A$54:$I$80,5,FALSE)-VLOOKUP(AZ$3,DRIPE!$A$54:$I$80,6,FALSE)+VLOOKUP(AZ$3,DRIPE!$A$54:$I$80,9,FALSE))+ ('Inputs-System'!$C$26*'Coincidence Factors'!$B$5*(1+'Inputs-System'!$C$18)*(1+'Inputs-System'!$C$42))*'Inputs-Proposals'!$L$28*VLOOKUP(AZ$3,DRIPE!$A$54:$I$80,8,FALSE), $C59 = "0", 0), 0)</f>
        <v>0</v>
      </c>
      <c r="BC59" s="326">
        <f>IFERROR(_xlfn.IFS($C59="1",('Inputs-System'!$C$26*'Coincidence Factors'!$B$5*(1+'Inputs-System'!$C$18)*(1+'Inputs-System'!$C$42))*'Inputs-Proposals'!$L$16*(VLOOKUP(AZ$3,Capacity!$A$53:$E$85,4,FALSE)*(1+'Inputs-System'!$C$42)+VLOOKUP(AZ$3,Capacity!$A$53:$E$85,5,FALSE)*(1+'Inputs-System'!$C$43)*'Inputs-System'!$C$29), $C59 = "2", ('Inputs-System'!$C$26*'Coincidence Factors'!$B$5*(1+'Inputs-System'!$C$18))*'Inputs-Proposals'!$L$22*(VLOOKUP(AZ$3,Capacity!$A$53:$E$85,4,FALSE)*(1+'Inputs-System'!$C$42)+VLOOKUP(AZ$3,Capacity!$A$53:$E$85,5,FALSE)*'Inputs-System'!$C$29*(1+'Inputs-System'!$C$43)), $C59 = "3", ('Inputs-System'!$C$26*'Coincidence Factors'!$B$5*(1+'Inputs-System'!$C$18))*'Inputs-Proposals'!$L$28*(VLOOKUP(AZ$3,Capacity!$A$53:$E$85,4,FALSE)*(1+'Inputs-System'!$C$42)+VLOOKUP(AZ$3,Capacity!$A$53:$E$85,5,FALSE)*'Inputs-System'!$C$29*(1+'Inputs-System'!$C$43)), $C59 = "0", 0), 0)</f>
        <v>0</v>
      </c>
      <c r="BD59" s="100">
        <v>0</v>
      </c>
      <c r="BE59" s="346">
        <f>IFERROR(_xlfn.IFS($C59="1", 'Inputs-System'!$C$30*'Coincidence Factors'!$B$5*'Inputs-Proposals'!$L$17*'Inputs-Proposals'!$L$19*(VLOOKUP(AZ$3,'Non-Embedded Emissions'!$A$56:$D$90,2,FALSE)+VLOOKUP(AZ$3,'Non-Embedded Emissions'!$A$143:$D$174,2,FALSE)+VLOOKUP(AZ$3,'Non-Embedded Emissions'!$A$230:$D$259,2,FALSE)-VLOOKUP(AZ$3,'Non-Embedded Emissions'!$A$56:$D$90,3,FALSE)-VLOOKUP(AZ$3,'Non-Embedded Emissions'!$A$143:$D$174,3,FALSE)-VLOOKUP(AZ$3,'Non-Embedded Emissions'!$A$230:$D$259,3,FALSE)), $C59 = "2", 'Inputs-System'!$C$30*'Coincidence Factors'!$B$5*'Inputs-Proposals'!$L$23*'Inputs-Proposals'!$L$25*(VLOOKUP(AZ$3,'Non-Embedded Emissions'!$A$56:$D$90,2,FALSE)+VLOOKUP(AZ$3,'Non-Embedded Emissions'!$A$143:$D$174,2,FALSE)+VLOOKUP(AZ$3,'Non-Embedded Emissions'!$A$230:$D$259,2,FALSE)-VLOOKUP(AZ$3,'Non-Embedded Emissions'!$A$56:$D$90,3,FALSE)-VLOOKUP(AZ$3,'Non-Embedded Emissions'!$A$143:$D$174,3,FALSE)-VLOOKUP(AZ$3,'Non-Embedded Emissions'!$A$230:$D$259,3,FALSE)), $C59 = "3", 'Inputs-System'!$C$30*'Coincidence Factors'!$B$5*'Inputs-Proposals'!$L$29*'Inputs-Proposals'!$L$31*(VLOOKUP(AZ$3,'Non-Embedded Emissions'!$A$56:$D$90,2,FALSE)+VLOOKUP(AZ$3,'Non-Embedded Emissions'!$A$143:$D$174,2,FALSE)+VLOOKUP(AZ$3,'Non-Embedded Emissions'!$A$230:$D$259,2,FALSE)-VLOOKUP(AZ$3,'Non-Embedded Emissions'!$A$56:$D$90,3,FALSE)-VLOOKUP(AZ$3,'Non-Embedded Emissions'!$A$143:$D$174,3,FALSE)-VLOOKUP(AZ$3,'Non-Embedded Emissions'!$A$230:$D$259,3,FALSE)), $C59 = "0", 0), 0)</f>
        <v>0</v>
      </c>
      <c r="BF59" s="344">
        <f>IFERROR(_xlfn.IFS($C59="1",('Inputs-System'!$C$30*'Coincidence Factors'!$B$5*(1+'Inputs-System'!$C$18)*(1+'Inputs-System'!$C$41)*('Inputs-Proposals'!$L$17*'Inputs-Proposals'!$L$19*(1-'Inputs-Proposals'!$L$20))*(VLOOKUP(BF$3,Energy!$A$51:$K$83,5,FALSE)-VLOOKUP(BF$3,Energy!$A$51:$K$83,6,FALSE))), $C59 = "2",('Inputs-System'!$C$30*'Coincidence Factors'!$B$5)*(1+'Inputs-System'!$C$18)*(1+'Inputs-System'!$C$41)*('Inputs-Proposals'!$L$23*'Inputs-Proposals'!$L$25*(1-'Inputs-Proposals'!$L$26))*(VLOOKUP(BF$3,Energy!$A$51:$K$83,5,FALSE)-VLOOKUP(BF$3,Energy!$A$51:$K$83,6,FALSE)), $C59= "3", ('Inputs-System'!$C$30*'Coincidence Factors'!$B$5*(1+'Inputs-System'!$C$18)*(1+'Inputs-System'!$C$41)*('Inputs-Proposals'!$L$29*'Inputs-Proposals'!$L$31*(1-'Inputs-Proposals'!$L$32))*(VLOOKUP(BF$3,Energy!$A$51:$K$83,5,FALSE)-VLOOKUP(BF$3,Energy!$A$51:$K$83,6,FALSE))), $C59= "0", 0), 0)</f>
        <v>0</v>
      </c>
      <c r="BG59" s="100">
        <f>IFERROR(_xlfn.IFS($C59="1", 'Inputs-System'!$C$30*'Coincidence Factors'!$B$5*(1+'Inputs-System'!$C$18)*(1+'Inputs-System'!$C$41)*'Inputs-Proposals'!$L$17*'Inputs-Proposals'!$L$19*(1-'Inputs-Proposals'!$L$20)*(VLOOKUP(BF$3,'Embedded Emissions'!$A$47:$B$78,2,FALSE)+VLOOKUP(BF$3,'Embedded Emissions'!$A$129:$B$158,2,FALSE)), $C59 = "2",'Inputs-System'!$C$30*'Coincidence Factors'!$B$5*(1+'Inputs-System'!$C$18)*(1+'Inputs-System'!$C$41)*'Inputs-Proposals'!$L$23*'Inputs-Proposals'!$L$25*(1-'Inputs-Proposals'!$L$20)*(VLOOKUP(BF$3,'Embedded Emissions'!$A$47:$B$78,2,FALSE)+VLOOKUP(BF$3,'Embedded Emissions'!$A$129:$B$158,2,FALSE)), $C59 = "3", 'Inputs-System'!$C$30*'Coincidence Factors'!$B$5*(1+'Inputs-System'!$C$18)*(1+'Inputs-System'!$C$41)*'Inputs-Proposals'!$L$29*'Inputs-Proposals'!$L$31*(1-'Inputs-Proposals'!$L$20)*(VLOOKUP(BF$3,'Embedded Emissions'!$A$47:$B$78,2,FALSE)+VLOOKUP(BF$3,'Embedded Emissions'!$A$129:$B$158,2,FALSE)), $C59 = "0", 0), 0)</f>
        <v>0</v>
      </c>
      <c r="BH59" s="318">
        <f>IFERROR(_xlfn.IFS($C59="1",( 'Inputs-System'!$C$30*'Coincidence Factors'!$B$5*(1+'Inputs-System'!$C$18)*(1+'Inputs-System'!$C$41))*('Inputs-Proposals'!$L$17*'Inputs-Proposals'!$L$19*(1-'Inputs-Proposals'!$L$20))*(VLOOKUP(BF$3,DRIPE!$A$54:$I$82,5,FALSE)-VLOOKUP(BF$3,DRIPE!$A$54:$I$82,6,FALSE)+VLOOKUP(BF$3,DRIPE!$A$54:$I$82,9,FALSE))+ ('Inputs-System'!$C$26*'Coincidence Factors'!$B$5*(1+'Inputs-System'!$C$18)*(1+'Inputs-System'!$C$42))*'Inputs-Proposals'!$L$16*VLOOKUP(BF$3,DRIPE!$A$54:$I$80,8,FALSE), $C59 = "2",( 'Inputs-System'!$C$30*'Coincidence Factors'!$B$5*(1+'Inputs-System'!$C$18)*(1+'Inputs-System'!$C$41))*('Inputs-Proposals'!$L$23*'Inputs-Proposals'!$L$25*(1-'Inputs-Proposals'!$L$26))*(VLOOKUP(BF$3,DRIPE!$A$54:$I$82,5,FALSE)-VLOOKUP(BF$3,DRIPE!$A$54:$I$82,6,FALSE)+VLOOKUP(BF$3,DRIPE!$A$54:$I$82,9,FALSE))+ ('Inputs-System'!$C$26*'Coincidence Factors'!$B$5*(1+'Inputs-System'!$C$18)*(1+'Inputs-System'!$C$41))+ ('Inputs-System'!$C$26*'Coincidence Factors'!$B$5)*'Inputs-Proposals'!$L$22*VLOOKUP(BF$3,DRIPE!$A$54:$I$80,8,FALSE), $C59= "3", ('Inputs-System'!$C$30*'Coincidence Factors'!$B$5)*('Inputs-Proposals'!$L$29*'Inputs-Proposals'!$L$31*(1-'Inputs-Proposals'!$L$32))*(VLOOKUP(BF$3,DRIPE!$A$54:$I$80,5,FALSE)-VLOOKUP(BF$3,DRIPE!$A$54:$I$80,6,FALSE)+VLOOKUP(BF$3,DRIPE!$A$54:$I$80,9,FALSE))+ ('Inputs-System'!$C$26*'Coincidence Factors'!$B$5*(1+'Inputs-System'!$C$18)*(1+'Inputs-System'!$C$42))*'Inputs-Proposals'!$L$28*VLOOKUP(BF$3,DRIPE!$A$54:$I$80,8,FALSE), $C59 = "0", 0), 0)</f>
        <v>0</v>
      </c>
      <c r="BI59" s="326">
        <f>IFERROR(_xlfn.IFS($C59="1",('Inputs-System'!$C$26*'Coincidence Factors'!$B$5*(1+'Inputs-System'!$C$18)*(1+'Inputs-System'!$C$42))*'Inputs-Proposals'!$L$16*(VLOOKUP(BF$3,Capacity!$A$53:$E$85,4,FALSE)*(1+'Inputs-System'!$C$42)+VLOOKUP(BF$3,Capacity!$A$53:$E$85,5,FALSE)*(1+'Inputs-System'!$C$43)*'Inputs-System'!$C$29), $C59 = "2", ('Inputs-System'!$C$26*'Coincidence Factors'!$B$5*(1+'Inputs-System'!$C$18))*'Inputs-Proposals'!$L$22*(VLOOKUP(BF$3,Capacity!$A$53:$E$85,4,FALSE)*(1+'Inputs-System'!$C$42)+VLOOKUP(BF$3,Capacity!$A$53:$E$85,5,FALSE)*'Inputs-System'!$C$29*(1+'Inputs-System'!$C$43)), $C59 = "3", ('Inputs-System'!$C$26*'Coincidence Factors'!$B$5*(1+'Inputs-System'!$C$18))*'Inputs-Proposals'!$L$28*(VLOOKUP(BF$3,Capacity!$A$53:$E$85,4,FALSE)*(1+'Inputs-System'!$C$42)+VLOOKUP(BF$3,Capacity!$A$53:$E$85,5,FALSE)*'Inputs-System'!$C$29*(1+'Inputs-System'!$C$43)), $C59 = "0", 0), 0)</f>
        <v>0</v>
      </c>
      <c r="BJ59" s="100">
        <v>0</v>
      </c>
      <c r="BK59" s="346">
        <f>IFERROR(_xlfn.IFS($C59="1", 'Inputs-System'!$C$30*'Coincidence Factors'!$B$5*'Inputs-Proposals'!$L$17*'Inputs-Proposals'!$L$19*(VLOOKUP(BF$3,'Non-Embedded Emissions'!$A$56:$D$90,2,FALSE)+VLOOKUP(BF$3,'Non-Embedded Emissions'!$A$143:$D$174,2,FALSE)+VLOOKUP(BF$3,'Non-Embedded Emissions'!$A$230:$D$259,2,FALSE)-VLOOKUP(BF$3,'Non-Embedded Emissions'!$A$56:$D$90,3,FALSE)-VLOOKUP(BF$3,'Non-Embedded Emissions'!$A$143:$D$174,3,FALSE)-VLOOKUP(BF$3,'Non-Embedded Emissions'!$A$230:$D$259,3,FALSE)), $C59 = "2", 'Inputs-System'!$C$30*'Coincidence Factors'!$B$5*'Inputs-Proposals'!$L$23*'Inputs-Proposals'!$L$25*(VLOOKUP(BF$3,'Non-Embedded Emissions'!$A$56:$D$90,2,FALSE)+VLOOKUP(BF$3,'Non-Embedded Emissions'!$A$143:$D$174,2,FALSE)+VLOOKUP(BF$3,'Non-Embedded Emissions'!$A$230:$D$259,2,FALSE)-VLOOKUP(BF$3,'Non-Embedded Emissions'!$A$56:$D$90,3,FALSE)-VLOOKUP(BF$3,'Non-Embedded Emissions'!$A$143:$D$174,3,FALSE)-VLOOKUP(BF$3,'Non-Embedded Emissions'!$A$230:$D$259,3,FALSE)), $C59 = "3", 'Inputs-System'!$C$30*'Coincidence Factors'!$B$5*'Inputs-Proposals'!$L$29*'Inputs-Proposals'!$L$31*(VLOOKUP(BF$3,'Non-Embedded Emissions'!$A$56:$D$90,2,FALSE)+VLOOKUP(BF$3,'Non-Embedded Emissions'!$A$143:$D$174,2,FALSE)+VLOOKUP(BF$3,'Non-Embedded Emissions'!$A$230:$D$259,2,FALSE)-VLOOKUP(BF$3,'Non-Embedded Emissions'!$A$56:$D$90,3,FALSE)-VLOOKUP(BF$3,'Non-Embedded Emissions'!$A$143:$D$174,3,FALSE)-VLOOKUP(BF$3,'Non-Embedded Emissions'!$A$230:$D$259,3,FALSE)), $C59 = "0", 0), 0)</f>
        <v>0</v>
      </c>
      <c r="BL59" s="344">
        <f>IFERROR(_xlfn.IFS($C59="1",('Inputs-System'!$C$30*'Coincidence Factors'!$B$5*(1+'Inputs-System'!$C$18)*(1+'Inputs-System'!$C$41)*('Inputs-Proposals'!$L$17*'Inputs-Proposals'!$L$19*(1-'Inputs-Proposals'!$L$20))*(VLOOKUP(BL$3,Energy!$A$51:$K$83,5,FALSE)-VLOOKUP(BL$3,Energy!$A$51:$K$83,6,FALSE))), $C59 = "2",('Inputs-System'!$C$30*'Coincidence Factors'!$B$5)*(1+'Inputs-System'!$C$18)*(1+'Inputs-System'!$C$41)*('Inputs-Proposals'!$L$23*'Inputs-Proposals'!$L$25*(1-'Inputs-Proposals'!$L$26))*(VLOOKUP(BL$3,Energy!$A$51:$K$83,5,FALSE)-VLOOKUP(BL$3,Energy!$A$51:$K$83,6,FALSE)), $C59= "3", ('Inputs-System'!$C$30*'Coincidence Factors'!$B$5*(1+'Inputs-System'!$C$18)*(1+'Inputs-System'!$C$41)*('Inputs-Proposals'!$L$29*'Inputs-Proposals'!$L$31*(1-'Inputs-Proposals'!$L$32))*(VLOOKUP(BL$3,Energy!$A$51:$K$83,5,FALSE)-VLOOKUP(BL$3,Energy!$A$51:$K$83,6,FALSE))), $C59= "0", 0), 0)</f>
        <v>0</v>
      </c>
      <c r="BM59" s="100">
        <f>IFERROR(_xlfn.IFS($C59="1", 'Inputs-System'!$C$30*'Coincidence Factors'!$B$5*(1+'Inputs-System'!$C$18)*(1+'Inputs-System'!$C$41)*'Inputs-Proposals'!$L$17*'Inputs-Proposals'!$L$19*(1-'Inputs-Proposals'!$L$20)*(VLOOKUP(BL$3,'Embedded Emissions'!$A$47:$B$78,2,FALSE)+VLOOKUP(BL$3,'Embedded Emissions'!$A$129:$B$158,2,FALSE)), $C59 = "2",'Inputs-System'!$C$30*'Coincidence Factors'!$B$5*(1+'Inputs-System'!$C$18)*(1+'Inputs-System'!$C$41)*'Inputs-Proposals'!$L$23*'Inputs-Proposals'!$L$25*(1-'Inputs-Proposals'!$L$20)*(VLOOKUP(BL$3,'Embedded Emissions'!$A$47:$B$78,2,FALSE)+VLOOKUP(BL$3,'Embedded Emissions'!$A$129:$B$158,2,FALSE)), $C59 = "3", 'Inputs-System'!$C$30*'Coincidence Factors'!$B$5*(1+'Inputs-System'!$C$18)*(1+'Inputs-System'!$C$41)*'Inputs-Proposals'!$L$29*'Inputs-Proposals'!$L$31*(1-'Inputs-Proposals'!$L$20)*(VLOOKUP(BL$3,'Embedded Emissions'!$A$47:$B$78,2,FALSE)+VLOOKUP(BL$3,'Embedded Emissions'!$A$129:$B$158,2,FALSE)), $C59 = "0", 0), 0)</f>
        <v>0</v>
      </c>
      <c r="BN59" s="318">
        <f>IFERROR(_xlfn.IFS($C59="1",( 'Inputs-System'!$C$30*'Coincidence Factors'!$B$5*(1+'Inputs-System'!$C$18)*(1+'Inputs-System'!$C$41))*('Inputs-Proposals'!$L$17*'Inputs-Proposals'!$L$19*(1-'Inputs-Proposals'!$L$20))*(VLOOKUP(BL$3,DRIPE!$A$54:$I$82,5,FALSE)-VLOOKUP(BL$3,DRIPE!$A$54:$I$82,6,FALSE)+VLOOKUP(BL$3,DRIPE!$A$54:$I$82,9,FALSE))+ ('Inputs-System'!$C$26*'Coincidence Factors'!$B$5*(1+'Inputs-System'!$C$18)*(1+'Inputs-System'!$C$42))*'Inputs-Proposals'!$L$16*VLOOKUP(BL$3,DRIPE!$A$54:$I$80,8,FALSE), $C59 = "2",( 'Inputs-System'!$C$30*'Coincidence Factors'!$B$5*(1+'Inputs-System'!$C$18)*(1+'Inputs-System'!$C$41))*('Inputs-Proposals'!$L$23*'Inputs-Proposals'!$L$25*(1-'Inputs-Proposals'!$L$26))*(VLOOKUP(BL$3,DRIPE!$A$54:$I$82,5,FALSE)-VLOOKUP(BL$3,DRIPE!$A$54:$I$82,6,FALSE)+VLOOKUP(BL$3,DRIPE!$A$54:$I$82,9,FALSE))+ ('Inputs-System'!$C$26*'Coincidence Factors'!$B$5*(1+'Inputs-System'!$C$18)*(1+'Inputs-System'!$C$41))+ ('Inputs-System'!$C$26*'Coincidence Factors'!$B$5)*'Inputs-Proposals'!$L$22*VLOOKUP(BL$3,DRIPE!$A$54:$I$80,8,FALSE), $C59= "3", ('Inputs-System'!$C$30*'Coincidence Factors'!$B$5)*('Inputs-Proposals'!$L$29*'Inputs-Proposals'!$L$31*(1-'Inputs-Proposals'!$L$32))*(VLOOKUP(BL$3,DRIPE!$A$54:$I$80,5,FALSE)-VLOOKUP(BL$3,DRIPE!$A$54:$I$80,6,FALSE)+VLOOKUP(BL$3,DRIPE!$A$54:$I$80,9,FALSE))+ ('Inputs-System'!$C$26*'Coincidence Factors'!$B$5*(1+'Inputs-System'!$C$18)*(1+'Inputs-System'!$C$42))*'Inputs-Proposals'!$L$28*VLOOKUP(BL$3,DRIPE!$A$54:$I$80,8,FALSE), $C59 = "0", 0), 0)</f>
        <v>0</v>
      </c>
      <c r="BO59" s="326">
        <f>IFERROR(_xlfn.IFS($C59="1",('Inputs-System'!$C$26*'Coincidence Factors'!$B$5*(1+'Inputs-System'!$C$18)*(1+'Inputs-System'!$C$42))*'Inputs-Proposals'!$L$16*(VLOOKUP(BL$3,Capacity!$A$53:$E$85,4,FALSE)*(1+'Inputs-System'!$C$42)+VLOOKUP(BL$3,Capacity!$A$53:$E$85,5,FALSE)*(1+'Inputs-System'!$C$43)*'Inputs-System'!$C$29), $C59 = "2", ('Inputs-System'!$C$26*'Coincidence Factors'!$B$5*(1+'Inputs-System'!$C$18))*'Inputs-Proposals'!$L$22*(VLOOKUP(BL$3,Capacity!$A$53:$E$85,4,FALSE)*(1+'Inputs-System'!$C$42)+VLOOKUP(BL$3,Capacity!$A$53:$E$85,5,FALSE)*'Inputs-System'!$C$29*(1+'Inputs-System'!$C$43)), $C59 = "3", ('Inputs-System'!$C$26*'Coincidence Factors'!$B$5*(1+'Inputs-System'!$C$18))*'Inputs-Proposals'!$L$28*(VLOOKUP(BL$3,Capacity!$A$53:$E$85,4,FALSE)*(1+'Inputs-System'!$C$42)+VLOOKUP(BL$3,Capacity!$A$53:$E$85,5,FALSE)*'Inputs-System'!$C$29*(1+'Inputs-System'!$C$43)), $C59 = "0", 0), 0)</f>
        <v>0</v>
      </c>
      <c r="BP59" s="100">
        <v>0</v>
      </c>
      <c r="BQ59" s="346">
        <f>IFERROR(_xlfn.IFS($C59="1", 'Inputs-System'!$C$30*'Coincidence Factors'!$B$5*'Inputs-Proposals'!$L$17*'Inputs-Proposals'!$L$19*(VLOOKUP(BL$3,'Non-Embedded Emissions'!$A$56:$D$90,2,FALSE)+VLOOKUP(BL$3,'Non-Embedded Emissions'!$A$143:$D$174,2,FALSE)+VLOOKUP(BL$3,'Non-Embedded Emissions'!$A$230:$D$259,2,FALSE)-VLOOKUP(BL$3,'Non-Embedded Emissions'!$A$56:$D$90,3,FALSE)-VLOOKUP(BL$3,'Non-Embedded Emissions'!$A$143:$D$174,3,FALSE)-VLOOKUP(BL$3,'Non-Embedded Emissions'!$A$230:$D$259,3,FALSE)), $C59 = "2", 'Inputs-System'!$C$30*'Coincidence Factors'!$B$5*'Inputs-Proposals'!$L$23*'Inputs-Proposals'!$L$25*(VLOOKUP(BL$3,'Non-Embedded Emissions'!$A$56:$D$90,2,FALSE)+VLOOKUP(BL$3,'Non-Embedded Emissions'!$A$143:$D$174,2,FALSE)+VLOOKUP(BL$3,'Non-Embedded Emissions'!$A$230:$D$259,2,FALSE)-VLOOKUP(BL$3,'Non-Embedded Emissions'!$A$56:$D$90,3,FALSE)-VLOOKUP(BL$3,'Non-Embedded Emissions'!$A$143:$D$174,3,FALSE)-VLOOKUP(BL$3,'Non-Embedded Emissions'!$A$230:$D$259,3,FALSE)), $C59 = "3", 'Inputs-System'!$C$30*'Coincidence Factors'!$B$5*'Inputs-Proposals'!$L$29*'Inputs-Proposals'!$L$31*(VLOOKUP(BL$3,'Non-Embedded Emissions'!$A$56:$D$90,2,FALSE)+VLOOKUP(BL$3,'Non-Embedded Emissions'!$A$143:$D$174,2,FALSE)+VLOOKUP(BL$3,'Non-Embedded Emissions'!$A$230:$D$259,2,FALSE)-VLOOKUP(BL$3,'Non-Embedded Emissions'!$A$56:$D$90,3,FALSE)-VLOOKUP(BL$3,'Non-Embedded Emissions'!$A$143:$D$174,3,FALSE)-VLOOKUP(BL$3,'Non-Embedded Emissions'!$A$230:$D$259,3,FALSE)), $C59 = "0", 0), 0)</f>
        <v>0</v>
      </c>
      <c r="BR59" s="344">
        <f>IFERROR(_xlfn.IFS($C59="1",('Inputs-System'!$C$30*'Coincidence Factors'!$B$5*(1+'Inputs-System'!$C$18)*(1+'Inputs-System'!$C$41)*('Inputs-Proposals'!$L$17*'Inputs-Proposals'!$L$19*(1-'Inputs-Proposals'!$L$20))*(VLOOKUP(BR$3,Energy!$A$51:$K$83,5,FALSE)-VLOOKUP(BR$3,Energy!$A$51:$K$83,6,FALSE))), $C59 = "2",('Inputs-System'!$C$30*'Coincidence Factors'!$B$5)*(1+'Inputs-System'!$C$18)*(1+'Inputs-System'!$C$41)*('Inputs-Proposals'!$L$23*'Inputs-Proposals'!$L$25*(1-'Inputs-Proposals'!$L$26))*(VLOOKUP(BR$3,Energy!$A$51:$K$83,5,FALSE)-VLOOKUP(BR$3,Energy!$A$51:$K$83,6,FALSE)), $C59= "3", ('Inputs-System'!$C$30*'Coincidence Factors'!$B$5*(1+'Inputs-System'!$C$18)*(1+'Inputs-System'!$C$41)*('Inputs-Proposals'!$L$29*'Inputs-Proposals'!$L$31*(1-'Inputs-Proposals'!$L$32))*(VLOOKUP(BR$3,Energy!$A$51:$K$83,5,FALSE)-VLOOKUP(BR$3,Energy!$A$51:$K$83,6,FALSE))), $C59= "0", 0), 0)</f>
        <v>0</v>
      </c>
      <c r="BS59" s="100">
        <f>IFERROR(_xlfn.IFS($C59="1", 'Inputs-System'!$C$30*'Coincidence Factors'!$B$5*(1+'Inputs-System'!$C$18)*(1+'Inputs-System'!$C$41)*'Inputs-Proposals'!$L$17*'Inputs-Proposals'!$L$19*(1-'Inputs-Proposals'!$L$20)*(VLOOKUP(BR$3,'Embedded Emissions'!$A$47:$B$78,2,FALSE)+VLOOKUP(BR$3,'Embedded Emissions'!$A$129:$B$158,2,FALSE)), $C59 = "2",'Inputs-System'!$C$30*'Coincidence Factors'!$B$5*(1+'Inputs-System'!$C$18)*(1+'Inputs-System'!$C$41)*'Inputs-Proposals'!$L$23*'Inputs-Proposals'!$L$25*(1-'Inputs-Proposals'!$L$20)*(VLOOKUP(BR$3,'Embedded Emissions'!$A$47:$B$78,2,FALSE)+VLOOKUP(BR$3,'Embedded Emissions'!$A$129:$B$158,2,FALSE)), $C59 = "3", 'Inputs-System'!$C$30*'Coincidence Factors'!$B$5*(1+'Inputs-System'!$C$18)*(1+'Inputs-System'!$C$41)*'Inputs-Proposals'!$L$29*'Inputs-Proposals'!$L$31*(1-'Inputs-Proposals'!$L$20)*(VLOOKUP(BR$3,'Embedded Emissions'!$A$47:$B$78,2,FALSE)+VLOOKUP(BR$3,'Embedded Emissions'!$A$129:$B$158,2,FALSE)), $C59 = "0", 0), 0)</f>
        <v>0</v>
      </c>
      <c r="BT59" s="318">
        <f>IFERROR(_xlfn.IFS($C59="1",( 'Inputs-System'!$C$30*'Coincidence Factors'!$B$5*(1+'Inputs-System'!$C$18)*(1+'Inputs-System'!$C$41))*('Inputs-Proposals'!$L$17*'Inputs-Proposals'!$L$19*(1-'Inputs-Proposals'!$L$20))*(VLOOKUP(BR$3,DRIPE!$A$54:$I$82,5,FALSE)-VLOOKUP(BR$3,DRIPE!$A$54:$I$82,6,FALSE)+VLOOKUP(BR$3,DRIPE!$A$54:$I$82,9,FALSE))+ ('Inputs-System'!$C$26*'Coincidence Factors'!$B$5*(1+'Inputs-System'!$C$18)*(1+'Inputs-System'!$C$42))*'Inputs-Proposals'!$L$16*VLOOKUP(BR$3,DRIPE!$A$54:$I$80,8,FALSE), $C59 = "2",( 'Inputs-System'!$C$30*'Coincidence Factors'!$B$5*(1+'Inputs-System'!$C$18)*(1+'Inputs-System'!$C$41))*('Inputs-Proposals'!$L$23*'Inputs-Proposals'!$L$25*(1-'Inputs-Proposals'!$L$26))*(VLOOKUP(BR$3,DRIPE!$A$54:$I$82,5,FALSE)-VLOOKUP(BR$3,DRIPE!$A$54:$I$82,6,FALSE)+VLOOKUP(BR$3,DRIPE!$A$54:$I$82,9,FALSE))+ ('Inputs-System'!$C$26*'Coincidence Factors'!$B$5*(1+'Inputs-System'!$C$18)*(1+'Inputs-System'!$C$41))+ ('Inputs-System'!$C$26*'Coincidence Factors'!$B$5)*'Inputs-Proposals'!$L$22*VLOOKUP(BR$3,DRIPE!$A$54:$I$80,8,FALSE), $C59= "3", ('Inputs-System'!$C$30*'Coincidence Factors'!$B$5)*('Inputs-Proposals'!$L$29*'Inputs-Proposals'!$L$31*(1-'Inputs-Proposals'!$L$32))*(VLOOKUP(BR$3,DRIPE!$A$54:$I$80,5,FALSE)-VLOOKUP(BR$3,DRIPE!$A$54:$I$80,6,FALSE)+VLOOKUP(BR$3,DRIPE!$A$54:$I$80,9,FALSE))+ ('Inputs-System'!$C$26*'Coincidence Factors'!$B$5*(1+'Inputs-System'!$C$18)*(1+'Inputs-System'!$C$42))*'Inputs-Proposals'!$L$28*VLOOKUP(BR$3,DRIPE!$A$54:$I$80,8,FALSE), $C59 = "0", 0), 0)</f>
        <v>0</v>
      </c>
      <c r="BU59" s="326">
        <f>IFERROR(_xlfn.IFS($C59="1",('Inputs-System'!$C$26*'Coincidence Factors'!$B$5*(1+'Inputs-System'!$C$18)*(1+'Inputs-System'!$C$42))*'Inputs-Proposals'!$L$16*(VLOOKUP(BR$3,Capacity!$A$53:$E$85,4,FALSE)*(1+'Inputs-System'!$C$42)+VLOOKUP(BR$3,Capacity!$A$53:$E$85,5,FALSE)*(1+'Inputs-System'!$C$43)*'Inputs-System'!$C$29), $C59 = "2", ('Inputs-System'!$C$26*'Coincidence Factors'!$B$5*(1+'Inputs-System'!$C$18))*'Inputs-Proposals'!$L$22*(VLOOKUP(BR$3,Capacity!$A$53:$E$85,4,FALSE)*(1+'Inputs-System'!$C$42)+VLOOKUP(BR$3,Capacity!$A$53:$E$85,5,FALSE)*'Inputs-System'!$C$29*(1+'Inputs-System'!$C$43)), $C59 = "3", ('Inputs-System'!$C$26*'Coincidence Factors'!$B$5*(1+'Inputs-System'!$C$18))*'Inputs-Proposals'!$L$28*(VLOOKUP(BR$3,Capacity!$A$53:$E$85,4,FALSE)*(1+'Inputs-System'!$C$42)+VLOOKUP(BR$3,Capacity!$A$53:$E$85,5,FALSE)*'Inputs-System'!$C$29*(1+'Inputs-System'!$C$43)), $C59 = "0", 0), 0)</f>
        <v>0</v>
      </c>
      <c r="BV59" s="100">
        <v>0</v>
      </c>
      <c r="BW59" s="346">
        <f>IFERROR(_xlfn.IFS($C59="1", 'Inputs-System'!$C$30*'Coincidence Factors'!$B$5*'Inputs-Proposals'!$L$17*'Inputs-Proposals'!$L$19*(VLOOKUP(BR$3,'Non-Embedded Emissions'!$A$56:$D$90,2,FALSE)+VLOOKUP(BR$3,'Non-Embedded Emissions'!$A$143:$D$174,2,FALSE)+VLOOKUP(BR$3,'Non-Embedded Emissions'!$A$230:$D$259,2,FALSE)-VLOOKUP(BR$3,'Non-Embedded Emissions'!$A$56:$D$90,3,FALSE)-VLOOKUP(BR$3,'Non-Embedded Emissions'!$A$143:$D$174,3,FALSE)-VLOOKUP(BR$3,'Non-Embedded Emissions'!$A$230:$D$259,3,FALSE)), $C59 = "2", 'Inputs-System'!$C$30*'Coincidence Factors'!$B$5*'Inputs-Proposals'!$L$23*'Inputs-Proposals'!$L$25*(VLOOKUP(BR$3,'Non-Embedded Emissions'!$A$56:$D$90,2,FALSE)+VLOOKUP(BR$3,'Non-Embedded Emissions'!$A$143:$D$174,2,FALSE)+VLOOKUP(BR$3,'Non-Embedded Emissions'!$A$230:$D$259,2,FALSE)-VLOOKUP(BR$3,'Non-Embedded Emissions'!$A$56:$D$90,3,FALSE)-VLOOKUP(BR$3,'Non-Embedded Emissions'!$A$143:$D$174,3,FALSE)-VLOOKUP(BR$3,'Non-Embedded Emissions'!$A$230:$D$259,3,FALSE)), $C59 = "3", 'Inputs-System'!$C$30*'Coincidence Factors'!$B$5*'Inputs-Proposals'!$L$29*'Inputs-Proposals'!$L$31*(VLOOKUP(BR$3,'Non-Embedded Emissions'!$A$56:$D$90,2,FALSE)+VLOOKUP(BR$3,'Non-Embedded Emissions'!$A$143:$D$174,2,FALSE)+VLOOKUP(BR$3,'Non-Embedded Emissions'!$A$230:$D$259,2,FALSE)-VLOOKUP(BR$3,'Non-Embedded Emissions'!$A$56:$D$90,3,FALSE)-VLOOKUP(BR$3,'Non-Embedded Emissions'!$A$143:$D$174,3,FALSE)-VLOOKUP(BR$3,'Non-Embedded Emissions'!$A$230:$D$259,3,FALSE)), $C59 = "0", 0), 0)</f>
        <v>0</v>
      </c>
      <c r="BX59" s="344">
        <f>IFERROR(_xlfn.IFS($C59="1",('Inputs-System'!$C$30*'Coincidence Factors'!$B$5*(1+'Inputs-System'!$C$18)*(1+'Inputs-System'!$C$41)*('Inputs-Proposals'!$L$17*'Inputs-Proposals'!$L$19*(1-'Inputs-Proposals'!$L$20))*(VLOOKUP(BX$3,Energy!$A$51:$K$83,5,FALSE)-VLOOKUP(BX$3,Energy!$A$51:$K$83,6,FALSE))), $C59 = "2",('Inputs-System'!$C$30*'Coincidence Factors'!$B$5)*(1+'Inputs-System'!$C$18)*(1+'Inputs-System'!$C$41)*('Inputs-Proposals'!$L$23*'Inputs-Proposals'!$L$25*(1-'Inputs-Proposals'!$L$26))*(VLOOKUP(BX$3,Energy!$A$51:$K$83,5,FALSE)-VLOOKUP(BX$3,Energy!$A$51:$K$83,6,FALSE)), $C59= "3", ('Inputs-System'!$C$30*'Coincidence Factors'!$B$5*(1+'Inputs-System'!$C$18)*(1+'Inputs-System'!$C$41)*('Inputs-Proposals'!$L$29*'Inputs-Proposals'!$L$31*(1-'Inputs-Proposals'!$L$32))*(VLOOKUP(BX$3,Energy!$A$51:$K$83,5,FALSE)-VLOOKUP(BX$3,Energy!$A$51:$K$83,6,FALSE))), $C59= "0", 0), 0)</f>
        <v>0</v>
      </c>
      <c r="BY59" s="100">
        <f>IFERROR(_xlfn.IFS($C59="1", 'Inputs-System'!$C$30*'Coincidence Factors'!$B$5*(1+'Inputs-System'!$C$18)*(1+'Inputs-System'!$C$41)*'Inputs-Proposals'!$L$17*'Inputs-Proposals'!$L$19*(1-'Inputs-Proposals'!$L$20)*(VLOOKUP(BX$3,'Embedded Emissions'!$A$47:$B$78,2,FALSE)+VLOOKUP(BX$3,'Embedded Emissions'!$A$129:$B$158,2,FALSE)), $C59 = "2",'Inputs-System'!$C$30*'Coincidence Factors'!$B$5*(1+'Inputs-System'!$C$18)*(1+'Inputs-System'!$C$41)*'Inputs-Proposals'!$L$23*'Inputs-Proposals'!$L$25*(1-'Inputs-Proposals'!$L$20)*(VLOOKUP(BX$3,'Embedded Emissions'!$A$47:$B$78,2,FALSE)+VLOOKUP(BX$3,'Embedded Emissions'!$A$129:$B$158,2,FALSE)), $C59 = "3", 'Inputs-System'!$C$30*'Coincidence Factors'!$B$5*(1+'Inputs-System'!$C$18)*(1+'Inputs-System'!$C$41)*'Inputs-Proposals'!$L$29*'Inputs-Proposals'!$L$31*(1-'Inputs-Proposals'!$L$20)*(VLOOKUP(BX$3,'Embedded Emissions'!$A$47:$B$78,2,FALSE)+VLOOKUP(BX$3,'Embedded Emissions'!$A$129:$B$158,2,FALSE)), $C59 = "0", 0), 0)</f>
        <v>0</v>
      </c>
      <c r="BZ59" s="318">
        <f>IFERROR(_xlfn.IFS($C59="1",( 'Inputs-System'!$C$30*'Coincidence Factors'!$B$5*(1+'Inputs-System'!$C$18)*(1+'Inputs-System'!$C$41))*('Inputs-Proposals'!$L$17*'Inputs-Proposals'!$L$19*(1-'Inputs-Proposals'!$L$20))*(VLOOKUP(BX$3,DRIPE!$A$54:$I$82,5,FALSE)-VLOOKUP(BX$3,DRIPE!$A$54:$I$82,6,FALSE)+VLOOKUP(BX$3,DRIPE!$A$54:$I$82,9,FALSE))+ ('Inputs-System'!$C$26*'Coincidence Factors'!$B$5*(1+'Inputs-System'!$C$18)*(1+'Inputs-System'!$C$42))*'Inputs-Proposals'!$L$16*VLOOKUP(BX$3,DRIPE!$A$54:$I$80,8,FALSE), $C59 = "2",( 'Inputs-System'!$C$30*'Coincidence Factors'!$B$5*(1+'Inputs-System'!$C$18)*(1+'Inputs-System'!$C$41))*('Inputs-Proposals'!$L$23*'Inputs-Proposals'!$L$25*(1-'Inputs-Proposals'!$L$26))*(VLOOKUP(BX$3,DRIPE!$A$54:$I$82,5,FALSE)-VLOOKUP(BX$3,DRIPE!$A$54:$I$82,6,FALSE)+VLOOKUP(BX$3,DRIPE!$A$54:$I$82,9,FALSE))+ ('Inputs-System'!$C$26*'Coincidence Factors'!$B$5*(1+'Inputs-System'!$C$18)*(1+'Inputs-System'!$C$41))+ ('Inputs-System'!$C$26*'Coincidence Factors'!$B$5)*'Inputs-Proposals'!$L$22*VLOOKUP(BX$3,DRIPE!$A$54:$I$80,8,FALSE), $C59= "3", ('Inputs-System'!$C$30*'Coincidence Factors'!$B$5)*('Inputs-Proposals'!$L$29*'Inputs-Proposals'!$L$31*(1-'Inputs-Proposals'!$L$32))*(VLOOKUP(BX$3,DRIPE!$A$54:$I$80,5,FALSE)-VLOOKUP(BX$3,DRIPE!$A$54:$I$80,6,FALSE)+VLOOKUP(BX$3,DRIPE!$A$54:$I$80,9,FALSE))+ ('Inputs-System'!$C$26*'Coincidence Factors'!$B$5*(1+'Inputs-System'!$C$18)*(1+'Inputs-System'!$C$42))*'Inputs-Proposals'!$L$28*VLOOKUP(BX$3,DRIPE!$A$54:$I$80,8,FALSE), $C59 = "0", 0), 0)</f>
        <v>0</v>
      </c>
      <c r="CA59" s="326">
        <f>IFERROR(_xlfn.IFS($C59="1",('Inputs-System'!$C$26*'Coincidence Factors'!$B$5*(1+'Inputs-System'!$C$18)*(1+'Inputs-System'!$C$42))*'Inputs-Proposals'!$L$16*(VLOOKUP(BX$3,Capacity!$A$53:$E$85,4,FALSE)*(1+'Inputs-System'!$C$42)+VLOOKUP(BX$3,Capacity!$A$53:$E$85,5,FALSE)*(1+'Inputs-System'!$C$43)*'Inputs-System'!$C$29), $C59 = "2", ('Inputs-System'!$C$26*'Coincidence Factors'!$B$5*(1+'Inputs-System'!$C$18))*'Inputs-Proposals'!$L$22*(VLOOKUP(BX$3,Capacity!$A$53:$E$85,4,FALSE)*(1+'Inputs-System'!$C$42)+VLOOKUP(BX$3,Capacity!$A$53:$E$85,5,FALSE)*'Inputs-System'!$C$29*(1+'Inputs-System'!$C$43)), $C59 = "3", ('Inputs-System'!$C$26*'Coincidence Factors'!$B$5*(1+'Inputs-System'!$C$18))*'Inputs-Proposals'!$L$28*(VLOOKUP(BX$3,Capacity!$A$53:$E$85,4,FALSE)*(1+'Inputs-System'!$C$42)+VLOOKUP(BX$3,Capacity!$A$53:$E$85,5,FALSE)*'Inputs-System'!$C$29*(1+'Inputs-System'!$C$43)), $C59 = "0", 0), 0)</f>
        <v>0</v>
      </c>
      <c r="CB59" s="100">
        <v>0</v>
      </c>
      <c r="CC59" s="346">
        <f>IFERROR(_xlfn.IFS($C59="1", 'Inputs-System'!$C$30*'Coincidence Factors'!$B$5*'Inputs-Proposals'!$L$17*'Inputs-Proposals'!$L$19*(VLOOKUP(BX$3,'Non-Embedded Emissions'!$A$56:$D$90,2,FALSE)+VLOOKUP(BX$3,'Non-Embedded Emissions'!$A$143:$D$174,2,FALSE)+VLOOKUP(BX$3,'Non-Embedded Emissions'!$A$230:$D$259,2,FALSE)-VLOOKUP(BX$3,'Non-Embedded Emissions'!$A$56:$D$90,3,FALSE)-VLOOKUP(BX$3,'Non-Embedded Emissions'!$A$143:$D$174,3,FALSE)-VLOOKUP(BX$3,'Non-Embedded Emissions'!$A$230:$D$259,3,FALSE)), $C59 = "2", 'Inputs-System'!$C$30*'Coincidence Factors'!$B$5*'Inputs-Proposals'!$L$23*'Inputs-Proposals'!$L$25*(VLOOKUP(BX$3,'Non-Embedded Emissions'!$A$56:$D$90,2,FALSE)+VLOOKUP(BX$3,'Non-Embedded Emissions'!$A$143:$D$174,2,FALSE)+VLOOKUP(BX$3,'Non-Embedded Emissions'!$A$230:$D$259,2,FALSE)-VLOOKUP(BX$3,'Non-Embedded Emissions'!$A$56:$D$90,3,FALSE)-VLOOKUP(BX$3,'Non-Embedded Emissions'!$A$143:$D$174,3,FALSE)-VLOOKUP(BX$3,'Non-Embedded Emissions'!$A$230:$D$259,3,FALSE)), $C59 = "3", 'Inputs-System'!$C$30*'Coincidence Factors'!$B$5*'Inputs-Proposals'!$L$29*'Inputs-Proposals'!$L$31*(VLOOKUP(BX$3,'Non-Embedded Emissions'!$A$56:$D$90,2,FALSE)+VLOOKUP(BX$3,'Non-Embedded Emissions'!$A$143:$D$174,2,FALSE)+VLOOKUP(BX$3,'Non-Embedded Emissions'!$A$230:$D$259,2,FALSE)-VLOOKUP(BX$3,'Non-Embedded Emissions'!$A$56:$D$90,3,FALSE)-VLOOKUP(BX$3,'Non-Embedded Emissions'!$A$143:$D$174,3,FALSE)-VLOOKUP(BX$3,'Non-Embedded Emissions'!$A$230:$D$259,3,FALSE)), $C59 = "0", 0), 0)</f>
        <v>0</v>
      </c>
      <c r="CD59" s="344">
        <f>IFERROR(_xlfn.IFS($C59="1",('Inputs-System'!$C$30*'Coincidence Factors'!$B$5*(1+'Inputs-System'!$C$18)*(1+'Inputs-System'!$C$41)*('Inputs-Proposals'!$L$17*'Inputs-Proposals'!$L$19*(1-'Inputs-Proposals'!$L$20))*(VLOOKUP(CD$3,Energy!$A$51:$K$83,5,FALSE)-VLOOKUP(CD$3,Energy!$A$51:$K$83,6,FALSE))), $C59 = "2",('Inputs-System'!$C$30*'Coincidence Factors'!$B$5)*(1+'Inputs-System'!$C$18)*(1+'Inputs-System'!$C$41)*('Inputs-Proposals'!$L$23*'Inputs-Proposals'!$L$25*(1-'Inputs-Proposals'!$L$26))*(VLOOKUP(CD$3,Energy!$A$51:$K$83,5,FALSE)-VLOOKUP(CD$3,Energy!$A$51:$K$83,6,FALSE)), $C59= "3", ('Inputs-System'!$C$30*'Coincidence Factors'!$B$5*(1+'Inputs-System'!$C$18)*(1+'Inputs-System'!$C$41)*('Inputs-Proposals'!$L$29*'Inputs-Proposals'!$L$31*(1-'Inputs-Proposals'!$L$32))*(VLOOKUP(CD$3,Energy!$A$51:$K$83,5,FALSE)-VLOOKUP(CD$3,Energy!$A$51:$K$83,6,FALSE))), $C59= "0", 0), 0)</f>
        <v>0</v>
      </c>
      <c r="CE59" s="100">
        <f>IFERROR(_xlfn.IFS($C59="1", 'Inputs-System'!$C$30*'Coincidence Factors'!$B$5*(1+'Inputs-System'!$C$18)*(1+'Inputs-System'!$C$41)*'Inputs-Proposals'!$L$17*'Inputs-Proposals'!$L$19*(1-'Inputs-Proposals'!$L$20)*(VLOOKUP(CD$3,'Embedded Emissions'!$A$47:$B$78,2,FALSE)+VLOOKUP(CD$3,'Embedded Emissions'!$A$129:$B$158,2,FALSE)), $C59 = "2",'Inputs-System'!$C$30*'Coincidence Factors'!$B$5*(1+'Inputs-System'!$C$18)*(1+'Inputs-System'!$C$41)*'Inputs-Proposals'!$L$23*'Inputs-Proposals'!$L$25*(1-'Inputs-Proposals'!$L$20)*(VLOOKUP(CD$3,'Embedded Emissions'!$A$47:$B$78,2,FALSE)+VLOOKUP(CD$3,'Embedded Emissions'!$A$129:$B$158,2,FALSE)), $C59 = "3", 'Inputs-System'!$C$30*'Coincidence Factors'!$B$5*(1+'Inputs-System'!$C$18)*(1+'Inputs-System'!$C$41)*'Inputs-Proposals'!$L$29*'Inputs-Proposals'!$L$31*(1-'Inputs-Proposals'!$L$20)*(VLOOKUP(CD$3,'Embedded Emissions'!$A$47:$B$78,2,FALSE)+VLOOKUP(CD$3,'Embedded Emissions'!$A$129:$B$158,2,FALSE)), $C59 = "0", 0), 0)</f>
        <v>0</v>
      </c>
      <c r="CF59" s="318">
        <f>IFERROR(_xlfn.IFS($C59="1",( 'Inputs-System'!$C$30*'Coincidence Factors'!$B$5*(1+'Inputs-System'!$C$18)*(1+'Inputs-System'!$C$41))*('Inputs-Proposals'!$L$17*'Inputs-Proposals'!$L$19*(1-'Inputs-Proposals'!$L$20))*(VLOOKUP(CD$3,DRIPE!$A$54:$I$82,5,FALSE)-VLOOKUP(CD$3,DRIPE!$A$54:$I$82,6,FALSE)+VLOOKUP(CD$3,DRIPE!$A$54:$I$82,9,FALSE))+ ('Inputs-System'!$C$26*'Coincidence Factors'!$B$5*(1+'Inputs-System'!$C$18)*(1+'Inputs-System'!$C$42))*'Inputs-Proposals'!$L$16*VLOOKUP(CD$3,DRIPE!$A$54:$I$80,8,FALSE), $C59 = "2",( 'Inputs-System'!$C$30*'Coincidence Factors'!$B$5*(1+'Inputs-System'!$C$18)*(1+'Inputs-System'!$C$41))*('Inputs-Proposals'!$L$23*'Inputs-Proposals'!$L$25*(1-'Inputs-Proposals'!$L$26))*(VLOOKUP(CD$3,DRIPE!$A$54:$I$82,5,FALSE)-VLOOKUP(CD$3,DRIPE!$A$54:$I$82,6,FALSE)+VLOOKUP(CD$3,DRIPE!$A$54:$I$82,9,FALSE))+ ('Inputs-System'!$C$26*'Coincidence Factors'!$B$5*(1+'Inputs-System'!$C$18)*(1+'Inputs-System'!$C$41))+ ('Inputs-System'!$C$26*'Coincidence Factors'!$B$5)*'Inputs-Proposals'!$L$22*VLOOKUP(CD$3,DRIPE!$A$54:$I$80,8,FALSE), $C59= "3", ('Inputs-System'!$C$30*'Coincidence Factors'!$B$5)*('Inputs-Proposals'!$L$29*'Inputs-Proposals'!$L$31*(1-'Inputs-Proposals'!$L$32))*(VLOOKUP(CD$3,DRIPE!$A$54:$I$80,5,FALSE)-VLOOKUP(CD$3,DRIPE!$A$54:$I$80,6,FALSE)+VLOOKUP(CD$3,DRIPE!$A$54:$I$80,9,FALSE))+ ('Inputs-System'!$C$26*'Coincidence Factors'!$B$5*(1+'Inputs-System'!$C$18)*(1+'Inputs-System'!$C$42))*'Inputs-Proposals'!$L$28*VLOOKUP(CD$3,DRIPE!$A$54:$I$80,8,FALSE), $C59 = "0", 0), 0)</f>
        <v>0</v>
      </c>
      <c r="CG59" s="326">
        <f>IFERROR(_xlfn.IFS($C59="1",('Inputs-System'!$C$26*'Coincidence Factors'!$B$5*(1+'Inputs-System'!$C$18)*(1+'Inputs-System'!$C$42))*'Inputs-Proposals'!$L$16*(VLOOKUP(CD$3,Capacity!$A$53:$E$85,4,FALSE)*(1+'Inputs-System'!$C$42)+VLOOKUP(CD$3,Capacity!$A$53:$E$85,5,FALSE)*(1+'Inputs-System'!$C$43)*'Inputs-System'!$C$29), $C59 = "2", ('Inputs-System'!$C$26*'Coincidence Factors'!$B$5*(1+'Inputs-System'!$C$18))*'Inputs-Proposals'!$L$22*(VLOOKUP(CD$3,Capacity!$A$53:$E$85,4,FALSE)*(1+'Inputs-System'!$C$42)+VLOOKUP(CD$3,Capacity!$A$53:$E$85,5,FALSE)*'Inputs-System'!$C$29*(1+'Inputs-System'!$C$43)), $C59 = "3", ('Inputs-System'!$C$26*'Coincidence Factors'!$B$5*(1+'Inputs-System'!$C$18))*'Inputs-Proposals'!$L$28*(VLOOKUP(CD$3,Capacity!$A$53:$E$85,4,FALSE)*(1+'Inputs-System'!$C$42)+VLOOKUP(CD$3,Capacity!$A$53:$E$85,5,FALSE)*'Inputs-System'!$C$29*(1+'Inputs-System'!$C$43)), $C59 = "0", 0), 0)</f>
        <v>0</v>
      </c>
      <c r="CH59" s="100">
        <v>0</v>
      </c>
      <c r="CI59" s="346">
        <f>IFERROR(_xlfn.IFS($C59="1", 'Inputs-System'!$C$30*'Coincidence Factors'!$B$5*'Inputs-Proposals'!$L$17*'Inputs-Proposals'!$L$19*(VLOOKUP(CD$3,'Non-Embedded Emissions'!$A$56:$D$90,2,FALSE)+VLOOKUP(CD$3,'Non-Embedded Emissions'!$A$143:$D$174,2,FALSE)+VLOOKUP(CD$3,'Non-Embedded Emissions'!$A$230:$D$259,2,FALSE)-VLOOKUP(CD$3,'Non-Embedded Emissions'!$A$56:$D$90,3,FALSE)-VLOOKUP(CD$3,'Non-Embedded Emissions'!$A$143:$D$174,3,FALSE)-VLOOKUP(CD$3,'Non-Embedded Emissions'!$A$230:$D$259,3,FALSE)), $C59 = "2", 'Inputs-System'!$C$30*'Coincidence Factors'!$B$5*'Inputs-Proposals'!$L$23*'Inputs-Proposals'!$L$25*(VLOOKUP(CD$3,'Non-Embedded Emissions'!$A$56:$D$90,2,FALSE)+VLOOKUP(CD$3,'Non-Embedded Emissions'!$A$143:$D$174,2,FALSE)+VLOOKUP(CD$3,'Non-Embedded Emissions'!$A$230:$D$259,2,FALSE)-VLOOKUP(CD$3,'Non-Embedded Emissions'!$A$56:$D$90,3,FALSE)-VLOOKUP(CD$3,'Non-Embedded Emissions'!$A$143:$D$174,3,FALSE)-VLOOKUP(CD$3,'Non-Embedded Emissions'!$A$230:$D$259,3,FALSE)), $C59 = "3", 'Inputs-System'!$C$30*'Coincidence Factors'!$B$5*'Inputs-Proposals'!$L$29*'Inputs-Proposals'!$L$31*(VLOOKUP(CD$3,'Non-Embedded Emissions'!$A$56:$D$90,2,FALSE)+VLOOKUP(CD$3,'Non-Embedded Emissions'!$A$143:$D$174,2,FALSE)+VLOOKUP(CD$3,'Non-Embedded Emissions'!$A$230:$D$259,2,FALSE)-VLOOKUP(CD$3,'Non-Embedded Emissions'!$A$56:$D$90,3,FALSE)-VLOOKUP(CD$3,'Non-Embedded Emissions'!$A$143:$D$174,3,FALSE)-VLOOKUP(CD$3,'Non-Embedded Emissions'!$A$230:$D$259,3,FALSE)), $C59 = "0", 0), 0)</f>
        <v>0</v>
      </c>
      <c r="CJ59" s="344">
        <f>IFERROR(_xlfn.IFS($C59="1",('Inputs-System'!$C$30*'Coincidence Factors'!$B$5*(1+'Inputs-System'!$C$18)*(1+'Inputs-System'!$C$41)*('Inputs-Proposals'!$L$17*'Inputs-Proposals'!$L$19*(1-'Inputs-Proposals'!$L$20))*(VLOOKUP(CJ$3,Energy!$A$51:$K$83,5,FALSE)-VLOOKUP(CJ$3,Energy!$A$51:$K$83,6,FALSE))), $C59 = "2",('Inputs-System'!$C$30*'Coincidence Factors'!$B$5)*(1+'Inputs-System'!$C$18)*(1+'Inputs-System'!$C$41)*('Inputs-Proposals'!$L$23*'Inputs-Proposals'!$L$25*(1-'Inputs-Proposals'!$L$26))*(VLOOKUP(CJ$3,Energy!$A$51:$K$83,5,FALSE)-VLOOKUP(CJ$3,Energy!$A$51:$K$83,6,FALSE)), $C59= "3", ('Inputs-System'!$C$30*'Coincidence Factors'!$B$5*(1+'Inputs-System'!$C$18)*(1+'Inputs-System'!$C$41)*('Inputs-Proposals'!$L$29*'Inputs-Proposals'!$L$31*(1-'Inputs-Proposals'!$L$32))*(VLOOKUP(CJ$3,Energy!$A$51:$K$83,5,FALSE)-VLOOKUP(CJ$3,Energy!$A$51:$K$83,6,FALSE))), $C59= "0", 0), 0)</f>
        <v>0</v>
      </c>
      <c r="CK59" s="100">
        <f>IFERROR(_xlfn.IFS($C59="1", 'Inputs-System'!$C$30*'Coincidence Factors'!$B$5*(1+'Inputs-System'!$C$18)*(1+'Inputs-System'!$C$41)*'Inputs-Proposals'!$L$17*'Inputs-Proposals'!$L$19*(1-'Inputs-Proposals'!$L$20)*(VLOOKUP(CJ$3,'Embedded Emissions'!$A$47:$B$78,2,FALSE)+VLOOKUP(CJ$3,'Embedded Emissions'!$A$129:$B$158,2,FALSE)), $C59 = "2",'Inputs-System'!$C$30*'Coincidence Factors'!$B$5*(1+'Inputs-System'!$C$18)*(1+'Inputs-System'!$C$41)*'Inputs-Proposals'!$L$23*'Inputs-Proposals'!$L$25*(1-'Inputs-Proposals'!$L$20)*(VLOOKUP(CJ$3,'Embedded Emissions'!$A$47:$B$78,2,FALSE)+VLOOKUP(CJ$3,'Embedded Emissions'!$A$129:$B$158,2,FALSE)), $C59 = "3", 'Inputs-System'!$C$30*'Coincidence Factors'!$B$5*(1+'Inputs-System'!$C$18)*(1+'Inputs-System'!$C$41)*'Inputs-Proposals'!$L$29*'Inputs-Proposals'!$L$31*(1-'Inputs-Proposals'!$L$20)*(VLOOKUP(CJ$3,'Embedded Emissions'!$A$47:$B$78,2,FALSE)+VLOOKUP(CJ$3,'Embedded Emissions'!$A$129:$B$158,2,FALSE)), $C59 = "0", 0), 0)</f>
        <v>0</v>
      </c>
      <c r="CL59" s="318">
        <f>IFERROR(_xlfn.IFS($C59="1",( 'Inputs-System'!$C$30*'Coincidence Factors'!$B$5*(1+'Inputs-System'!$C$18)*(1+'Inputs-System'!$C$41))*('Inputs-Proposals'!$L$17*'Inputs-Proposals'!$L$19*(1-'Inputs-Proposals'!$L$20))*(VLOOKUP(CJ$3,DRIPE!$A$54:$I$82,5,FALSE)-VLOOKUP(CJ$3,DRIPE!$A$54:$I$82,6,FALSE)+VLOOKUP(CJ$3,DRIPE!$A$54:$I$82,9,FALSE))+ ('Inputs-System'!$C$26*'Coincidence Factors'!$B$5*(1+'Inputs-System'!$C$18)*(1+'Inputs-System'!$C$42))*'Inputs-Proposals'!$L$16*VLOOKUP(CJ$3,DRIPE!$A$54:$I$80,8,FALSE), $C59 = "2",( 'Inputs-System'!$C$30*'Coincidence Factors'!$B$5*(1+'Inputs-System'!$C$18)*(1+'Inputs-System'!$C$41))*('Inputs-Proposals'!$L$23*'Inputs-Proposals'!$L$25*(1-'Inputs-Proposals'!$L$26))*(VLOOKUP(CJ$3,DRIPE!$A$54:$I$82,5,FALSE)-VLOOKUP(CJ$3,DRIPE!$A$54:$I$82,6,FALSE)+VLOOKUP(CJ$3,DRIPE!$A$54:$I$82,9,FALSE))+ ('Inputs-System'!$C$26*'Coincidence Factors'!$B$5*(1+'Inputs-System'!$C$18)*(1+'Inputs-System'!$C$41))+ ('Inputs-System'!$C$26*'Coincidence Factors'!$B$5)*'Inputs-Proposals'!$L$22*VLOOKUP(CJ$3,DRIPE!$A$54:$I$80,8,FALSE), $C59= "3", ('Inputs-System'!$C$30*'Coincidence Factors'!$B$5)*('Inputs-Proposals'!$L$29*'Inputs-Proposals'!$L$31*(1-'Inputs-Proposals'!$L$32))*(VLOOKUP(CJ$3,DRIPE!$A$54:$I$80,5,FALSE)-VLOOKUP(CJ$3,DRIPE!$A$54:$I$80,6,FALSE)+VLOOKUP(CJ$3,DRIPE!$A$54:$I$80,9,FALSE))+ ('Inputs-System'!$C$26*'Coincidence Factors'!$B$5*(1+'Inputs-System'!$C$18)*(1+'Inputs-System'!$C$42))*'Inputs-Proposals'!$L$28*VLOOKUP(CJ$3,DRIPE!$A$54:$I$80,8,FALSE), $C59 = "0", 0), 0)</f>
        <v>0</v>
      </c>
      <c r="CM59" s="326">
        <f>IFERROR(_xlfn.IFS($C59="1",('Inputs-System'!$C$26*'Coincidence Factors'!$B$5*(1+'Inputs-System'!$C$18)*(1+'Inputs-System'!$C$42))*'Inputs-Proposals'!$L$16*(VLOOKUP(CJ$3,Capacity!$A$53:$E$85,4,FALSE)*(1+'Inputs-System'!$C$42)+VLOOKUP(CJ$3,Capacity!$A$53:$E$85,5,FALSE)*(1+'Inputs-System'!$C$43)*'Inputs-System'!$C$29), $C59 = "2", ('Inputs-System'!$C$26*'Coincidence Factors'!$B$5*(1+'Inputs-System'!$C$18))*'Inputs-Proposals'!$L$22*(VLOOKUP(CJ$3,Capacity!$A$53:$E$85,4,FALSE)*(1+'Inputs-System'!$C$42)+VLOOKUP(CJ$3,Capacity!$A$53:$E$85,5,FALSE)*'Inputs-System'!$C$29*(1+'Inputs-System'!$C$43)), $C59 = "3", ('Inputs-System'!$C$26*'Coincidence Factors'!$B$5*(1+'Inputs-System'!$C$18))*'Inputs-Proposals'!$L$28*(VLOOKUP(CJ$3,Capacity!$A$53:$E$85,4,FALSE)*(1+'Inputs-System'!$C$42)+VLOOKUP(CJ$3,Capacity!$A$53:$E$85,5,FALSE)*'Inputs-System'!$C$29*(1+'Inputs-System'!$C$43)), $C59 = "0", 0), 0)</f>
        <v>0</v>
      </c>
      <c r="CN59" s="100">
        <v>0</v>
      </c>
      <c r="CO59" s="346">
        <f>IFERROR(_xlfn.IFS($C59="1", 'Inputs-System'!$C$30*'Coincidence Factors'!$B$5*'Inputs-Proposals'!$L$17*'Inputs-Proposals'!$L$19*(VLOOKUP(CJ$3,'Non-Embedded Emissions'!$A$56:$D$90,2,FALSE)+VLOOKUP(CJ$3,'Non-Embedded Emissions'!$A$143:$D$174,2,FALSE)+VLOOKUP(CJ$3,'Non-Embedded Emissions'!$A$230:$D$259,2,FALSE)-VLOOKUP(CJ$3,'Non-Embedded Emissions'!$A$56:$D$90,3,FALSE)-VLOOKUP(CJ$3,'Non-Embedded Emissions'!$A$143:$D$174,3,FALSE)-VLOOKUP(CJ$3,'Non-Embedded Emissions'!$A$230:$D$259,3,FALSE)), $C59 = "2", 'Inputs-System'!$C$30*'Coincidence Factors'!$B$5*'Inputs-Proposals'!$L$23*'Inputs-Proposals'!$L$25*(VLOOKUP(CJ$3,'Non-Embedded Emissions'!$A$56:$D$90,2,FALSE)+VLOOKUP(CJ$3,'Non-Embedded Emissions'!$A$143:$D$174,2,FALSE)+VLOOKUP(CJ$3,'Non-Embedded Emissions'!$A$230:$D$259,2,FALSE)-VLOOKUP(CJ$3,'Non-Embedded Emissions'!$A$56:$D$90,3,FALSE)-VLOOKUP(CJ$3,'Non-Embedded Emissions'!$A$143:$D$174,3,FALSE)-VLOOKUP(CJ$3,'Non-Embedded Emissions'!$A$230:$D$259,3,FALSE)), $C59 = "3", 'Inputs-System'!$C$30*'Coincidence Factors'!$B$5*'Inputs-Proposals'!$L$29*'Inputs-Proposals'!$L$31*(VLOOKUP(CJ$3,'Non-Embedded Emissions'!$A$56:$D$90,2,FALSE)+VLOOKUP(CJ$3,'Non-Embedded Emissions'!$A$143:$D$174,2,FALSE)+VLOOKUP(CJ$3,'Non-Embedded Emissions'!$A$230:$D$259,2,FALSE)-VLOOKUP(CJ$3,'Non-Embedded Emissions'!$A$56:$D$90,3,FALSE)-VLOOKUP(CJ$3,'Non-Embedded Emissions'!$A$143:$D$174,3,FALSE)-VLOOKUP(CJ$3,'Non-Embedded Emissions'!$A$230:$D$259,3,FALSE)), $C59 = "0", 0), 0)</f>
        <v>0</v>
      </c>
      <c r="CP59" s="344">
        <f>IFERROR(_xlfn.IFS($C59="1",('Inputs-System'!$C$30*'Coincidence Factors'!$B$5*(1+'Inputs-System'!$C$18)*(1+'Inputs-System'!$C$41)*('Inputs-Proposals'!$L$17*'Inputs-Proposals'!$L$19*(1-'Inputs-Proposals'!$L$20))*(VLOOKUP(CP$3,Energy!$A$51:$K$83,5,FALSE)-VLOOKUP(CP$3,Energy!$A$51:$K$83,6,FALSE))), $C59 = "2",('Inputs-System'!$C$30*'Coincidence Factors'!$B$5)*(1+'Inputs-System'!$C$18)*(1+'Inputs-System'!$C$41)*('Inputs-Proposals'!$L$23*'Inputs-Proposals'!$L$25*(1-'Inputs-Proposals'!$L$26))*(VLOOKUP(CP$3,Energy!$A$51:$K$83,5,FALSE)-VLOOKUP(CP$3,Energy!$A$51:$K$83,6,FALSE)), $C59= "3", ('Inputs-System'!$C$30*'Coincidence Factors'!$B$5*(1+'Inputs-System'!$C$18)*(1+'Inputs-System'!$C$41)*('Inputs-Proposals'!$L$29*'Inputs-Proposals'!$L$31*(1-'Inputs-Proposals'!$L$32))*(VLOOKUP(CP$3,Energy!$A$51:$K$83,5,FALSE)-VLOOKUP(CP$3,Energy!$A$51:$K$83,6,FALSE))), $C59= "0", 0), 0)</f>
        <v>0</v>
      </c>
      <c r="CQ59" s="100">
        <f>IFERROR(_xlfn.IFS($C59="1", 'Inputs-System'!$C$30*'Coincidence Factors'!$B$5*(1+'Inputs-System'!$C$18)*(1+'Inputs-System'!$C$41)*'Inputs-Proposals'!$L$17*'Inputs-Proposals'!$L$19*(1-'Inputs-Proposals'!$L$20)*(VLOOKUP(CP$3,'Embedded Emissions'!$A$47:$B$78,2,FALSE)+VLOOKUP(CP$3,'Embedded Emissions'!$A$129:$B$158,2,FALSE)), $C59 = "2",'Inputs-System'!$C$30*'Coincidence Factors'!$B$5*(1+'Inputs-System'!$C$18)*(1+'Inputs-System'!$C$41)*'Inputs-Proposals'!$L$23*'Inputs-Proposals'!$L$25*(1-'Inputs-Proposals'!$L$20)*(VLOOKUP(CP$3,'Embedded Emissions'!$A$47:$B$78,2,FALSE)+VLOOKUP(CP$3,'Embedded Emissions'!$A$129:$B$158,2,FALSE)), $C59 = "3", 'Inputs-System'!$C$30*'Coincidence Factors'!$B$5*(1+'Inputs-System'!$C$18)*(1+'Inputs-System'!$C$41)*'Inputs-Proposals'!$L$29*'Inputs-Proposals'!$L$31*(1-'Inputs-Proposals'!$L$20)*(VLOOKUP(CP$3,'Embedded Emissions'!$A$47:$B$78,2,FALSE)+VLOOKUP(CP$3,'Embedded Emissions'!$A$129:$B$158,2,FALSE)), $C59 = "0", 0), 0)</f>
        <v>0</v>
      </c>
      <c r="CR59" s="318">
        <f>IFERROR(_xlfn.IFS($C59="1",( 'Inputs-System'!$C$30*'Coincidence Factors'!$B$5*(1+'Inputs-System'!$C$18)*(1+'Inputs-System'!$C$41))*('Inputs-Proposals'!$L$17*'Inputs-Proposals'!$L$19*(1-'Inputs-Proposals'!$L$20))*(VLOOKUP(CP$3,DRIPE!$A$54:$I$82,5,FALSE)-VLOOKUP(CP$3,DRIPE!$A$54:$I$82,6,FALSE)+VLOOKUP(CP$3,DRIPE!$A$54:$I$82,9,FALSE))+ ('Inputs-System'!$C$26*'Coincidence Factors'!$B$5*(1+'Inputs-System'!$C$18)*(1+'Inputs-System'!$C$42))*'Inputs-Proposals'!$L$16*VLOOKUP(CP$3,DRIPE!$A$54:$I$80,8,FALSE), $C59 = "2",( 'Inputs-System'!$C$30*'Coincidence Factors'!$B$5*(1+'Inputs-System'!$C$18)*(1+'Inputs-System'!$C$41))*('Inputs-Proposals'!$L$23*'Inputs-Proposals'!$L$25*(1-'Inputs-Proposals'!$L$26))*(VLOOKUP(CP$3,DRIPE!$A$54:$I$82,5,FALSE)-VLOOKUP(CP$3,DRIPE!$A$54:$I$82,6,FALSE)+VLOOKUP(CP$3,DRIPE!$A$54:$I$82,9,FALSE))+ ('Inputs-System'!$C$26*'Coincidence Factors'!$B$5*(1+'Inputs-System'!$C$18)*(1+'Inputs-System'!$C$41))+ ('Inputs-System'!$C$26*'Coincidence Factors'!$B$5)*'Inputs-Proposals'!$L$22*VLOOKUP(CP$3,DRIPE!$A$54:$I$80,8,FALSE), $C59= "3", ('Inputs-System'!$C$30*'Coincidence Factors'!$B$5)*('Inputs-Proposals'!$L$29*'Inputs-Proposals'!$L$31*(1-'Inputs-Proposals'!$L$32))*(VLOOKUP(CP$3,DRIPE!$A$54:$I$80,5,FALSE)-VLOOKUP(CP$3,DRIPE!$A$54:$I$80,6,FALSE)+VLOOKUP(CP$3,DRIPE!$A$54:$I$80,9,FALSE))+ ('Inputs-System'!$C$26*'Coincidence Factors'!$B$5*(1+'Inputs-System'!$C$18)*(1+'Inputs-System'!$C$42))*'Inputs-Proposals'!$L$28*VLOOKUP(CP$3,DRIPE!$A$54:$I$80,8,FALSE), $C59 = "0", 0), 0)</f>
        <v>0</v>
      </c>
      <c r="CS59" s="326">
        <f>IFERROR(_xlfn.IFS($C59="1",('Inputs-System'!$C$26*'Coincidence Factors'!$B$5*(1+'Inputs-System'!$C$18)*(1+'Inputs-System'!$C$42))*'Inputs-Proposals'!$L$16*(VLOOKUP(CP$3,Capacity!$A$53:$E$85,4,FALSE)*(1+'Inputs-System'!$C$42)+VLOOKUP(CP$3,Capacity!$A$53:$E$85,5,FALSE)*(1+'Inputs-System'!$C$43)*'Inputs-System'!$C$29), $C59 = "2", ('Inputs-System'!$C$26*'Coincidence Factors'!$B$5*(1+'Inputs-System'!$C$18))*'Inputs-Proposals'!$L$22*(VLOOKUP(CP$3,Capacity!$A$53:$E$85,4,FALSE)*(1+'Inputs-System'!$C$42)+VLOOKUP(CP$3,Capacity!$A$53:$E$85,5,FALSE)*'Inputs-System'!$C$29*(1+'Inputs-System'!$C$43)), $C59 = "3", ('Inputs-System'!$C$26*'Coincidence Factors'!$B$5*(1+'Inputs-System'!$C$18))*'Inputs-Proposals'!$L$28*(VLOOKUP(CP$3,Capacity!$A$53:$E$85,4,FALSE)*(1+'Inputs-System'!$C$42)+VLOOKUP(CP$3,Capacity!$A$53:$E$85,5,FALSE)*'Inputs-System'!$C$29*(1+'Inputs-System'!$C$43)), $C59 = "0", 0), 0)</f>
        <v>0</v>
      </c>
      <c r="CT59" s="100">
        <v>0</v>
      </c>
      <c r="CU59" s="346">
        <f>IFERROR(_xlfn.IFS($C59="1", 'Inputs-System'!$C$30*'Coincidence Factors'!$B$5*'Inputs-Proposals'!$L$17*'Inputs-Proposals'!$L$19*(VLOOKUP(CP$3,'Non-Embedded Emissions'!$A$56:$D$90,2,FALSE)+VLOOKUP(CP$3,'Non-Embedded Emissions'!$A$143:$D$174,2,FALSE)+VLOOKUP(CP$3,'Non-Embedded Emissions'!$A$230:$D$259,2,FALSE)-VLOOKUP(CP$3,'Non-Embedded Emissions'!$A$56:$D$90,3,FALSE)-VLOOKUP(CP$3,'Non-Embedded Emissions'!$A$143:$D$174,3,FALSE)-VLOOKUP(CP$3,'Non-Embedded Emissions'!$A$230:$D$259,3,FALSE)), $C59 = "2", 'Inputs-System'!$C$30*'Coincidence Factors'!$B$5*'Inputs-Proposals'!$L$23*'Inputs-Proposals'!$L$25*(VLOOKUP(CP$3,'Non-Embedded Emissions'!$A$56:$D$90,2,FALSE)+VLOOKUP(CP$3,'Non-Embedded Emissions'!$A$143:$D$174,2,FALSE)+VLOOKUP(CP$3,'Non-Embedded Emissions'!$A$230:$D$259,2,FALSE)-VLOOKUP(CP$3,'Non-Embedded Emissions'!$A$56:$D$90,3,FALSE)-VLOOKUP(CP$3,'Non-Embedded Emissions'!$A$143:$D$174,3,FALSE)-VLOOKUP(CP$3,'Non-Embedded Emissions'!$A$230:$D$259,3,FALSE)), $C59 = "3", 'Inputs-System'!$C$30*'Coincidence Factors'!$B$5*'Inputs-Proposals'!$L$29*'Inputs-Proposals'!$L$31*(VLOOKUP(CP$3,'Non-Embedded Emissions'!$A$56:$D$90,2,FALSE)+VLOOKUP(CP$3,'Non-Embedded Emissions'!$A$143:$D$174,2,FALSE)+VLOOKUP(CP$3,'Non-Embedded Emissions'!$A$230:$D$259,2,FALSE)-VLOOKUP(CP$3,'Non-Embedded Emissions'!$A$56:$D$90,3,FALSE)-VLOOKUP(CP$3,'Non-Embedded Emissions'!$A$143:$D$174,3,FALSE)-VLOOKUP(CP$3,'Non-Embedded Emissions'!$A$230:$D$259,3,FALSE)), $C59 = "0", 0), 0)</f>
        <v>0</v>
      </c>
      <c r="CV59" s="344">
        <f>IFERROR(_xlfn.IFS($C59="1",('Inputs-System'!$C$30*'Coincidence Factors'!$B$5*(1+'Inputs-System'!$C$18)*(1+'Inputs-System'!$C$41)*('Inputs-Proposals'!$L$17*'Inputs-Proposals'!$L$19*(1-'Inputs-Proposals'!$L$20))*(VLOOKUP(CV$3,Energy!$A$51:$K$83,5,FALSE)-VLOOKUP(CV$3,Energy!$A$51:$K$83,6,FALSE))), $C59 = "2",('Inputs-System'!$C$30*'Coincidence Factors'!$B$5)*(1+'Inputs-System'!$C$18)*(1+'Inputs-System'!$C$41)*('Inputs-Proposals'!$L$23*'Inputs-Proposals'!$L$25*(1-'Inputs-Proposals'!$L$26))*(VLOOKUP(CV$3,Energy!$A$51:$K$83,5,FALSE)-VLOOKUP(CV$3,Energy!$A$51:$K$83,6,FALSE)), $C59= "3", ('Inputs-System'!$C$30*'Coincidence Factors'!$B$5*(1+'Inputs-System'!$C$18)*(1+'Inputs-System'!$C$41)*('Inputs-Proposals'!$L$29*'Inputs-Proposals'!$L$31*(1-'Inputs-Proposals'!$L$32))*(VLOOKUP(CV$3,Energy!$A$51:$K$83,5,FALSE)-VLOOKUP(CV$3,Energy!$A$51:$K$83,6,FALSE))), $C59= "0", 0), 0)</f>
        <v>0</v>
      </c>
      <c r="CW59" s="100">
        <f>IFERROR(_xlfn.IFS($C59="1", 'Inputs-System'!$C$30*'Coincidence Factors'!$B$5*(1+'Inputs-System'!$C$18)*(1+'Inputs-System'!$C$41)*'Inputs-Proposals'!$L$17*'Inputs-Proposals'!$L$19*(1-'Inputs-Proposals'!$L$20)*(VLOOKUP(CV$3,'Embedded Emissions'!$A$47:$B$78,2,FALSE)+VLOOKUP(CV$3,'Embedded Emissions'!$A$129:$B$158,2,FALSE)), $C59 = "2",'Inputs-System'!$C$30*'Coincidence Factors'!$B$5*(1+'Inputs-System'!$C$18)*(1+'Inputs-System'!$C$41)*'Inputs-Proposals'!$L$23*'Inputs-Proposals'!$L$25*(1-'Inputs-Proposals'!$L$20)*(VLOOKUP(CV$3,'Embedded Emissions'!$A$47:$B$78,2,FALSE)+VLOOKUP(CV$3,'Embedded Emissions'!$A$129:$B$158,2,FALSE)), $C59 = "3", 'Inputs-System'!$C$30*'Coincidence Factors'!$B$5*(1+'Inputs-System'!$C$18)*(1+'Inputs-System'!$C$41)*'Inputs-Proposals'!$L$29*'Inputs-Proposals'!$L$31*(1-'Inputs-Proposals'!$L$20)*(VLOOKUP(CV$3,'Embedded Emissions'!$A$47:$B$78,2,FALSE)+VLOOKUP(CV$3,'Embedded Emissions'!$A$129:$B$158,2,FALSE)), $C59 = "0", 0), 0)</f>
        <v>0</v>
      </c>
      <c r="CX59" s="318">
        <f>IFERROR(_xlfn.IFS($C59="1",( 'Inputs-System'!$C$30*'Coincidence Factors'!$B$5*(1+'Inputs-System'!$C$18)*(1+'Inputs-System'!$C$41))*('Inputs-Proposals'!$L$17*'Inputs-Proposals'!$L$19*(1-'Inputs-Proposals'!$L$20))*(VLOOKUP(CV$3,DRIPE!$A$54:$I$82,5,FALSE)-VLOOKUP(CV$3,DRIPE!$A$54:$I$82,6,FALSE)+VLOOKUP(CV$3,DRIPE!$A$54:$I$82,9,FALSE))+ ('Inputs-System'!$C$26*'Coincidence Factors'!$B$5*(1+'Inputs-System'!$C$18)*(1+'Inputs-System'!$C$42))*'Inputs-Proposals'!$L$16*VLOOKUP(CV$3,DRIPE!$A$54:$I$80,8,FALSE), $C59 = "2",( 'Inputs-System'!$C$30*'Coincidence Factors'!$B$5*(1+'Inputs-System'!$C$18)*(1+'Inputs-System'!$C$41))*('Inputs-Proposals'!$L$23*'Inputs-Proposals'!$L$25*(1-'Inputs-Proposals'!$L$26))*(VLOOKUP(CV$3,DRIPE!$A$54:$I$82,5,FALSE)-VLOOKUP(CV$3,DRIPE!$A$54:$I$82,6,FALSE)+VLOOKUP(CV$3,DRIPE!$A$54:$I$82,9,FALSE))+ ('Inputs-System'!$C$26*'Coincidence Factors'!$B$5*(1+'Inputs-System'!$C$18)*(1+'Inputs-System'!$C$41))+ ('Inputs-System'!$C$26*'Coincidence Factors'!$B$5)*'Inputs-Proposals'!$L$22*VLOOKUP(CV$3,DRIPE!$A$54:$I$80,8,FALSE), $C59= "3", ('Inputs-System'!$C$30*'Coincidence Factors'!$B$5)*('Inputs-Proposals'!$L$29*'Inputs-Proposals'!$L$31*(1-'Inputs-Proposals'!$L$32))*(VLOOKUP(CV$3,DRIPE!$A$54:$I$80,5,FALSE)-VLOOKUP(CV$3,DRIPE!$A$54:$I$80,6,FALSE)+VLOOKUP(CV$3,DRIPE!$A$54:$I$80,9,FALSE))+ ('Inputs-System'!$C$26*'Coincidence Factors'!$B$5*(1+'Inputs-System'!$C$18)*(1+'Inputs-System'!$C$42))*'Inputs-Proposals'!$L$28*VLOOKUP(CV$3,DRIPE!$A$54:$I$80,8,FALSE), $C59 = "0", 0), 0)</f>
        <v>0</v>
      </c>
      <c r="CY59" s="326">
        <f>IFERROR(_xlfn.IFS($C59="1",('Inputs-System'!$C$26*'Coincidence Factors'!$B$5*(1+'Inputs-System'!$C$18)*(1+'Inputs-System'!$C$42))*'Inputs-Proposals'!$L$16*(VLOOKUP(CV$3,Capacity!$A$53:$E$85,4,FALSE)*(1+'Inputs-System'!$C$42)+VLOOKUP(CV$3,Capacity!$A$53:$E$85,5,FALSE)*(1+'Inputs-System'!$C$43)*'Inputs-System'!$C$29), $C59 = "2", ('Inputs-System'!$C$26*'Coincidence Factors'!$B$5*(1+'Inputs-System'!$C$18))*'Inputs-Proposals'!$L$22*(VLOOKUP(CV$3,Capacity!$A$53:$E$85,4,FALSE)*(1+'Inputs-System'!$C$42)+VLOOKUP(CV$3,Capacity!$A$53:$E$85,5,FALSE)*'Inputs-System'!$C$29*(1+'Inputs-System'!$C$43)), $C59 = "3", ('Inputs-System'!$C$26*'Coincidence Factors'!$B$5*(1+'Inputs-System'!$C$18))*'Inputs-Proposals'!$L$28*(VLOOKUP(CV$3,Capacity!$A$53:$E$85,4,FALSE)*(1+'Inputs-System'!$C$42)+VLOOKUP(CV$3,Capacity!$A$53:$E$85,5,FALSE)*'Inputs-System'!$C$29*(1+'Inputs-System'!$C$43)), $C59 = "0", 0), 0)</f>
        <v>0</v>
      </c>
      <c r="CZ59" s="100">
        <v>0</v>
      </c>
      <c r="DA59" s="346">
        <f>IFERROR(_xlfn.IFS($C59="1", 'Inputs-System'!$C$30*'Coincidence Factors'!$B$5*'Inputs-Proposals'!$L$17*'Inputs-Proposals'!$L$19*(VLOOKUP(CV$3,'Non-Embedded Emissions'!$A$56:$D$90,2,FALSE)+VLOOKUP(CV$3,'Non-Embedded Emissions'!$A$143:$D$174,2,FALSE)+VLOOKUP(CV$3,'Non-Embedded Emissions'!$A$230:$D$259,2,FALSE)-VLOOKUP(CV$3,'Non-Embedded Emissions'!$A$56:$D$90,3,FALSE)-VLOOKUP(CV$3,'Non-Embedded Emissions'!$A$143:$D$174,3,FALSE)-VLOOKUP(CV$3,'Non-Embedded Emissions'!$A$230:$D$259,3,FALSE)), $C59 = "2", 'Inputs-System'!$C$30*'Coincidence Factors'!$B$5*'Inputs-Proposals'!$L$23*'Inputs-Proposals'!$L$25*(VLOOKUP(CV$3,'Non-Embedded Emissions'!$A$56:$D$90,2,FALSE)+VLOOKUP(CV$3,'Non-Embedded Emissions'!$A$143:$D$174,2,FALSE)+VLOOKUP(CV$3,'Non-Embedded Emissions'!$A$230:$D$259,2,FALSE)-VLOOKUP(CV$3,'Non-Embedded Emissions'!$A$56:$D$90,3,FALSE)-VLOOKUP(CV$3,'Non-Embedded Emissions'!$A$143:$D$174,3,FALSE)-VLOOKUP(CV$3,'Non-Embedded Emissions'!$A$230:$D$259,3,FALSE)), $C59 = "3", 'Inputs-System'!$C$30*'Coincidence Factors'!$B$5*'Inputs-Proposals'!$L$29*'Inputs-Proposals'!$L$31*(VLOOKUP(CV$3,'Non-Embedded Emissions'!$A$56:$D$90,2,FALSE)+VLOOKUP(CV$3,'Non-Embedded Emissions'!$A$143:$D$174,2,FALSE)+VLOOKUP(CV$3,'Non-Embedded Emissions'!$A$230:$D$259,2,FALSE)-VLOOKUP(CV$3,'Non-Embedded Emissions'!$A$56:$D$90,3,FALSE)-VLOOKUP(CV$3,'Non-Embedded Emissions'!$A$143:$D$174,3,FALSE)-VLOOKUP(CV$3,'Non-Embedded Emissions'!$A$230:$D$259,3,FALSE)), $C59 = "0", 0), 0)</f>
        <v>0</v>
      </c>
      <c r="DB59" s="344">
        <f>IFERROR(_xlfn.IFS($C59="1",('Inputs-System'!$C$30*'Coincidence Factors'!$B$5*(1+'Inputs-System'!$C$18)*(1+'Inputs-System'!$C$41)*('Inputs-Proposals'!$L$17*'Inputs-Proposals'!$L$19*(1-'Inputs-Proposals'!$L$20))*(VLOOKUP(DB$3,Energy!$A$51:$K$83,5,FALSE)-VLOOKUP(DB$3,Energy!$A$51:$K$83,6,FALSE))), $C59 = "2",('Inputs-System'!$C$30*'Coincidence Factors'!$B$5)*(1+'Inputs-System'!$C$18)*(1+'Inputs-System'!$C$41)*('Inputs-Proposals'!$L$23*'Inputs-Proposals'!$L$25*(1-'Inputs-Proposals'!$L$26))*(VLOOKUP(DB$3,Energy!$A$51:$K$83,5,FALSE)-VLOOKUP(DB$3,Energy!$A$51:$K$83,6,FALSE)), $C59= "3", ('Inputs-System'!$C$30*'Coincidence Factors'!$B$5*(1+'Inputs-System'!$C$18)*(1+'Inputs-System'!$C$41)*('Inputs-Proposals'!$L$29*'Inputs-Proposals'!$L$31*(1-'Inputs-Proposals'!$L$32))*(VLOOKUP(DB$3,Energy!$A$51:$K$83,5,FALSE)-VLOOKUP(DB$3,Energy!$A$51:$K$83,6,FALSE))), $C59= "0", 0), 0)</f>
        <v>0</v>
      </c>
      <c r="DC59" s="100">
        <f>IFERROR(_xlfn.IFS($C59="1", 'Inputs-System'!$C$30*'Coincidence Factors'!$B$5*(1+'Inputs-System'!$C$18)*(1+'Inputs-System'!$C$41)*'Inputs-Proposals'!$L$17*'Inputs-Proposals'!$L$19*(1-'Inputs-Proposals'!$L$20)*(VLOOKUP(DB$3,'Embedded Emissions'!$A$47:$B$78,2,FALSE)+VLOOKUP(DB$3,'Embedded Emissions'!$A$129:$B$158,2,FALSE)), $C59 = "2",'Inputs-System'!$C$30*'Coincidence Factors'!$B$5*(1+'Inputs-System'!$C$18)*(1+'Inputs-System'!$C$41)*'Inputs-Proposals'!$L$23*'Inputs-Proposals'!$L$25*(1-'Inputs-Proposals'!$L$20)*(VLOOKUP(DB$3,'Embedded Emissions'!$A$47:$B$78,2,FALSE)+VLOOKUP(DB$3,'Embedded Emissions'!$A$129:$B$158,2,FALSE)), $C59 = "3", 'Inputs-System'!$C$30*'Coincidence Factors'!$B$5*(1+'Inputs-System'!$C$18)*(1+'Inputs-System'!$C$41)*'Inputs-Proposals'!$L$29*'Inputs-Proposals'!$L$31*(1-'Inputs-Proposals'!$L$20)*(VLOOKUP(DB$3,'Embedded Emissions'!$A$47:$B$78,2,FALSE)+VLOOKUP(DB$3,'Embedded Emissions'!$A$129:$B$158,2,FALSE)), $C59 = "0", 0), 0)</f>
        <v>0</v>
      </c>
      <c r="DD59" s="318">
        <f>IFERROR(_xlfn.IFS($C59="1",( 'Inputs-System'!$C$30*'Coincidence Factors'!$B$5*(1+'Inputs-System'!$C$18)*(1+'Inputs-System'!$C$41))*('Inputs-Proposals'!$L$17*'Inputs-Proposals'!$L$19*(1-'Inputs-Proposals'!$L$20))*(VLOOKUP(DB$3,DRIPE!$A$54:$I$82,5,FALSE)-VLOOKUP(DB$3,DRIPE!$A$54:$I$82,6,FALSE)+VLOOKUP(DB$3,DRIPE!$A$54:$I$82,9,FALSE))+ ('Inputs-System'!$C$26*'Coincidence Factors'!$B$5*(1+'Inputs-System'!$C$18)*(1+'Inputs-System'!$C$42))*'Inputs-Proposals'!$L$16*VLOOKUP(DB$3,DRIPE!$A$54:$I$80,8,FALSE), $C59 = "2",( 'Inputs-System'!$C$30*'Coincidence Factors'!$B$5*(1+'Inputs-System'!$C$18)*(1+'Inputs-System'!$C$41))*('Inputs-Proposals'!$L$23*'Inputs-Proposals'!$L$25*(1-'Inputs-Proposals'!$L$26))*(VLOOKUP(DB$3,DRIPE!$A$54:$I$82,5,FALSE)-VLOOKUP(DB$3,DRIPE!$A$54:$I$82,6,FALSE)+VLOOKUP(DB$3,DRIPE!$A$54:$I$82,9,FALSE))+ ('Inputs-System'!$C$26*'Coincidence Factors'!$B$5*(1+'Inputs-System'!$C$18)*(1+'Inputs-System'!$C$41))+ ('Inputs-System'!$C$26*'Coincidence Factors'!$B$5)*'Inputs-Proposals'!$L$22*VLOOKUP(DB$3,DRIPE!$A$54:$I$80,8,FALSE), $C59= "3", ('Inputs-System'!$C$30*'Coincidence Factors'!$B$5)*('Inputs-Proposals'!$L$29*'Inputs-Proposals'!$L$31*(1-'Inputs-Proposals'!$L$32))*(VLOOKUP(DB$3,DRIPE!$A$54:$I$80,5,FALSE)-VLOOKUP(DB$3,DRIPE!$A$54:$I$80,6,FALSE)+VLOOKUP(DB$3,DRIPE!$A$54:$I$80,9,FALSE))+ ('Inputs-System'!$C$26*'Coincidence Factors'!$B$5*(1+'Inputs-System'!$C$18)*(1+'Inputs-System'!$C$42))*'Inputs-Proposals'!$L$28*VLOOKUP(DB$3,DRIPE!$A$54:$I$80,8,FALSE), $C59 = "0", 0), 0)</f>
        <v>0</v>
      </c>
      <c r="DE59" s="326">
        <f>IFERROR(_xlfn.IFS($C59="1",('Inputs-System'!$C$26*'Coincidence Factors'!$B$5*(1+'Inputs-System'!$C$18)*(1+'Inputs-System'!$C$42))*'Inputs-Proposals'!$L$16*(VLOOKUP(DB$3,Capacity!$A$53:$E$85,4,FALSE)*(1+'Inputs-System'!$C$42)+VLOOKUP(DB$3,Capacity!$A$53:$E$85,5,FALSE)*(1+'Inputs-System'!$C$43)*'Inputs-System'!$C$29), $C59 = "2", ('Inputs-System'!$C$26*'Coincidence Factors'!$B$5*(1+'Inputs-System'!$C$18))*'Inputs-Proposals'!$L$22*(VLOOKUP(DB$3,Capacity!$A$53:$E$85,4,FALSE)*(1+'Inputs-System'!$C$42)+VLOOKUP(DB$3,Capacity!$A$53:$E$85,5,FALSE)*'Inputs-System'!$C$29*(1+'Inputs-System'!$C$43)), $C59 = "3", ('Inputs-System'!$C$26*'Coincidence Factors'!$B$5*(1+'Inputs-System'!$C$18))*'Inputs-Proposals'!$L$28*(VLOOKUP(DB$3,Capacity!$A$53:$E$85,4,FALSE)*(1+'Inputs-System'!$C$42)+VLOOKUP(DB$3,Capacity!$A$53:$E$85,5,FALSE)*'Inputs-System'!$C$29*(1+'Inputs-System'!$C$43)), $C59 = "0", 0), 0)</f>
        <v>0</v>
      </c>
      <c r="DF59" s="100">
        <v>0</v>
      </c>
      <c r="DG59" s="346">
        <f>IFERROR(_xlfn.IFS($C59="1", 'Inputs-System'!$C$30*'Coincidence Factors'!$B$5*'Inputs-Proposals'!$L$17*'Inputs-Proposals'!$L$19*(VLOOKUP(DB$3,'Non-Embedded Emissions'!$A$56:$D$90,2,FALSE)+VLOOKUP(DB$3,'Non-Embedded Emissions'!$A$143:$D$174,2,FALSE)+VLOOKUP(DB$3,'Non-Embedded Emissions'!$A$230:$D$259,2,FALSE)-VLOOKUP(DB$3,'Non-Embedded Emissions'!$A$56:$D$90,3,FALSE)-VLOOKUP(DB$3,'Non-Embedded Emissions'!$A$143:$D$174,3,FALSE)-VLOOKUP(DB$3,'Non-Embedded Emissions'!$A$230:$D$259,3,FALSE)), $C59 = "2", 'Inputs-System'!$C$30*'Coincidence Factors'!$B$5*'Inputs-Proposals'!$L$23*'Inputs-Proposals'!$L$25*(VLOOKUP(DB$3,'Non-Embedded Emissions'!$A$56:$D$90,2,FALSE)+VLOOKUP(DB$3,'Non-Embedded Emissions'!$A$143:$D$174,2,FALSE)+VLOOKUP(DB$3,'Non-Embedded Emissions'!$A$230:$D$259,2,FALSE)-VLOOKUP(DB$3,'Non-Embedded Emissions'!$A$56:$D$90,3,FALSE)-VLOOKUP(DB$3,'Non-Embedded Emissions'!$A$143:$D$174,3,FALSE)-VLOOKUP(DB$3,'Non-Embedded Emissions'!$A$230:$D$259,3,FALSE)), $C59 = "3", 'Inputs-System'!$C$30*'Coincidence Factors'!$B$5*'Inputs-Proposals'!$L$29*'Inputs-Proposals'!$L$31*(VLOOKUP(DB$3,'Non-Embedded Emissions'!$A$56:$D$90,2,FALSE)+VLOOKUP(DB$3,'Non-Embedded Emissions'!$A$143:$D$174,2,FALSE)+VLOOKUP(DB$3,'Non-Embedded Emissions'!$A$230:$D$259,2,FALSE)-VLOOKUP(DB$3,'Non-Embedded Emissions'!$A$56:$D$90,3,FALSE)-VLOOKUP(DB$3,'Non-Embedded Emissions'!$A$143:$D$174,3,FALSE)-VLOOKUP(DB$3,'Non-Embedded Emissions'!$A$230:$D$259,3,FALSE)), $C59 = "0", 0), 0)</f>
        <v>0</v>
      </c>
      <c r="DH59" s="344">
        <f>IFERROR(_xlfn.IFS($C59="1",('Inputs-System'!$C$30*'Coincidence Factors'!$B$5*(1+'Inputs-System'!$C$18)*(1+'Inputs-System'!$C$41)*('Inputs-Proposals'!$L$17*'Inputs-Proposals'!$L$19*(1-'Inputs-Proposals'!$L$20))*(VLOOKUP(DH$3,Energy!$A$51:$K$83,5,FALSE)-VLOOKUP(DH$3,Energy!$A$51:$K$83,6,FALSE))), $C59 = "2",('Inputs-System'!$C$30*'Coincidence Factors'!$B$5)*(1+'Inputs-System'!$C$18)*(1+'Inputs-System'!$C$41)*('Inputs-Proposals'!$L$23*'Inputs-Proposals'!$L$25*(1-'Inputs-Proposals'!$L$26))*(VLOOKUP(DH$3,Energy!$A$51:$K$83,5,FALSE)-VLOOKUP(DH$3,Energy!$A$51:$K$83,6,FALSE)), $C59= "3", ('Inputs-System'!$C$30*'Coincidence Factors'!$B$5*(1+'Inputs-System'!$C$18)*(1+'Inputs-System'!$C$41)*('Inputs-Proposals'!$L$29*'Inputs-Proposals'!$L$31*(1-'Inputs-Proposals'!$L$32))*(VLOOKUP(DH$3,Energy!$A$51:$K$83,5,FALSE)-VLOOKUP(DH$3,Energy!$A$51:$K$83,6,FALSE))), $C59= "0", 0), 0)</f>
        <v>0</v>
      </c>
      <c r="DI59" s="100">
        <f>IFERROR(_xlfn.IFS($C59="1", 'Inputs-System'!$C$30*'Coincidence Factors'!$B$5*(1+'Inputs-System'!$C$18)*(1+'Inputs-System'!$C$41)*'Inputs-Proposals'!$L$17*'Inputs-Proposals'!$L$19*(1-'Inputs-Proposals'!$L$20)*(VLOOKUP(DH$3,'Embedded Emissions'!$A$47:$B$78,2,FALSE)+VLOOKUP(DH$3,'Embedded Emissions'!$A$129:$B$158,2,FALSE)), $C59 = "2",'Inputs-System'!$C$30*'Coincidence Factors'!$B$5*(1+'Inputs-System'!$C$18)*(1+'Inputs-System'!$C$41)*'Inputs-Proposals'!$L$23*'Inputs-Proposals'!$L$25*(1-'Inputs-Proposals'!$L$20)*(VLOOKUP(DH$3,'Embedded Emissions'!$A$47:$B$78,2,FALSE)+VLOOKUP(DH$3,'Embedded Emissions'!$A$129:$B$158,2,FALSE)), $C59 = "3", 'Inputs-System'!$C$30*'Coincidence Factors'!$B$5*(1+'Inputs-System'!$C$18)*(1+'Inputs-System'!$C$41)*'Inputs-Proposals'!$L$29*'Inputs-Proposals'!$L$31*(1-'Inputs-Proposals'!$L$20)*(VLOOKUP(DH$3,'Embedded Emissions'!$A$47:$B$78,2,FALSE)+VLOOKUP(DH$3,'Embedded Emissions'!$A$129:$B$158,2,FALSE)), $C59 = "0", 0), 0)</f>
        <v>0</v>
      </c>
      <c r="DJ59" s="318">
        <f>IFERROR(_xlfn.IFS($C59="1",( 'Inputs-System'!$C$30*'Coincidence Factors'!$B$5*(1+'Inputs-System'!$C$18)*(1+'Inputs-System'!$C$41))*('Inputs-Proposals'!$L$17*'Inputs-Proposals'!$L$19*(1-'Inputs-Proposals'!$L$20))*(VLOOKUP(DH$3,DRIPE!$A$54:$I$82,5,FALSE)-VLOOKUP(DH$3,DRIPE!$A$54:$I$82,6,FALSE)+VLOOKUP(DH$3,DRIPE!$A$54:$I$82,9,FALSE))+ ('Inputs-System'!$C$26*'Coincidence Factors'!$B$5*(1+'Inputs-System'!$C$18)*(1+'Inputs-System'!$C$42))*'Inputs-Proposals'!$L$16*VLOOKUP(DH$3,DRIPE!$A$54:$I$80,8,FALSE), $C59 = "2",( 'Inputs-System'!$C$30*'Coincidence Factors'!$B$5*(1+'Inputs-System'!$C$18)*(1+'Inputs-System'!$C$41))*('Inputs-Proposals'!$L$23*'Inputs-Proposals'!$L$25*(1-'Inputs-Proposals'!$L$26))*(VLOOKUP(DH$3,DRIPE!$A$54:$I$82,5,FALSE)-VLOOKUP(DH$3,DRIPE!$A$54:$I$82,6,FALSE)+VLOOKUP(DH$3,DRIPE!$A$54:$I$82,9,FALSE))+ ('Inputs-System'!$C$26*'Coincidence Factors'!$B$5*(1+'Inputs-System'!$C$18)*(1+'Inputs-System'!$C$41))+ ('Inputs-System'!$C$26*'Coincidence Factors'!$B$5)*'Inputs-Proposals'!$L$22*VLOOKUP(DH$3,DRIPE!$A$54:$I$80,8,FALSE), $C59= "3", ('Inputs-System'!$C$30*'Coincidence Factors'!$B$5)*('Inputs-Proposals'!$L$29*'Inputs-Proposals'!$L$31*(1-'Inputs-Proposals'!$L$32))*(VLOOKUP(DH$3,DRIPE!$A$54:$I$80,5,FALSE)-VLOOKUP(DH$3,DRIPE!$A$54:$I$80,6,FALSE)+VLOOKUP(DH$3,DRIPE!$A$54:$I$80,9,FALSE))+ ('Inputs-System'!$C$26*'Coincidence Factors'!$B$5*(1+'Inputs-System'!$C$18)*(1+'Inputs-System'!$C$42))*'Inputs-Proposals'!$L$28*VLOOKUP(DH$3,DRIPE!$A$54:$I$80,8,FALSE), $C59 = "0", 0), 0)</f>
        <v>0</v>
      </c>
      <c r="DK59" s="326">
        <f>IFERROR(_xlfn.IFS($C59="1",('Inputs-System'!$C$26*'Coincidence Factors'!$B$5*(1+'Inputs-System'!$C$18)*(1+'Inputs-System'!$C$42))*'Inputs-Proposals'!$L$16*(VLOOKUP(DH$3,Capacity!$A$53:$E$85,4,FALSE)*(1+'Inputs-System'!$C$42)+VLOOKUP(DH$3,Capacity!$A$53:$E$85,5,FALSE)*(1+'Inputs-System'!$C$43)*'Inputs-System'!$C$29), $C59 = "2", ('Inputs-System'!$C$26*'Coincidence Factors'!$B$5*(1+'Inputs-System'!$C$18))*'Inputs-Proposals'!$L$22*(VLOOKUP(DH$3,Capacity!$A$53:$E$85,4,FALSE)*(1+'Inputs-System'!$C$42)+VLOOKUP(DH$3,Capacity!$A$53:$E$85,5,FALSE)*'Inputs-System'!$C$29*(1+'Inputs-System'!$C$43)), $C59 = "3", ('Inputs-System'!$C$26*'Coincidence Factors'!$B$5*(1+'Inputs-System'!$C$18))*'Inputs-Proposals'!$L$28*(VLOOKUP(DH$3,Capacity!$A$53:$E$85,4,FALSE)*(1+'Inputs-System'!$C$42)+VLOOKUP(DH$3,Capacity!$A$53:$E$85,5,FALSE)*'Inputs-System'!$C$29*(1+'Inputs-System'!$C$43)), $C59 = "0", 0), 0)</f>
        <v>0</v>
      </c>
      <c r="DL59" s="100">
        <v>0</v>
      </c>
      <c r="DM59" s="346">
        <f>IFERROR(_xlfn.IFS($C59="1", 'Inputs-System'!$C$30*'Coincidence Factors'!$B$5*'Inputs-Proposals'!$L$17*'Inputs-Proposals'!$L$19*(VLOOKUP(DH$3,'Non-Embedded Emissions'!$A$56:$D$90,2,FALSE)+VLOOKUP(DH$3,'Non-Embedded Emissions'!$A$143:$D$174,2,FALSE)+VLOOKUP(DH$3,'Non-Embedded Emissions'!$A$230:$D$259,2,FALSE)-VLOOKUP(DH$3,'Non-Embedded Emissions'!$A$56:$D$90,3,FALSE)-VLOOKUP(DH$3,'Non-Embedded Emissions'!$A$143:$D$174,3,FALSE)-VLOOKUP(DH$3,'Non-Embedded Emissions'!$A$230:$D$259,3,FALSE)), $C59 = "2", 'Inputs-System'!$C$30*'Coincidence Factors'!$B$5*'Inputs-Proposals'!$L$23*'Inputs-Proposals'!$L$25*(VLOOKUP(DH$3,'Non-Embedded Emissions'!$A$56:$D$90,2,FALSE)+VLOOKUP(DH$3,'Non-Embedded Emissions'!$A$143:$D$174,2,FALSE)+VLOOKUP(DH$3,'Non-Embedded Emissions'!$A$230:$D$259,2,FALSE)-VLOOKUP(DH$3,'Non-Embedded Emissions'!$A$56:$D$90,3,FALSE)-VLOOKUP(DH$3,'Non-Embedded Emissions'!$A$143:$D$174,3,FALSE)-VLOOKUP(DH$3,'Non-Embedded Emissions'!$A$230:$D$259,3,FALSE)), $C59 = "3", 'Inputs-System'!$C$30*'Coincidence Factors'!$B$5*'Inputs-Proposals'!$L$29*'Inputs-Proposals'!$L$31*(VLOOKUP(DH$3,'Non-Embedded Emissions'!$A$56:$D$90,2,FALSE)+VLOOKUP(DH$3,'Non-Embedded Emissions'!$A$143:$D$174,2,FALSE)+VLOOKUP(DH$3,'Non-Embedded Emissions'!$A$230:$D$259,2,FALSE)-VLOOKUP(DH$3,'Non-Embedded Emissions'!$A$56:$D$90,3,FALSE)-VLOOKUP(DH$3,'Non-Embedded Emissions'!$A$143:$D$174,3,FALSE)-VLOOKUP(DH$3,'Non-Embedded Emissions'!$A$230:$D$259,3,FALSE)), $C59 = "0", 0), 0)</f>
        <v>0</v>
      </c>
      <c r="DN59" s="344">
        <f>IFERROR(_xlfn.IFS($C59="1",('Inputs-System'!$C$30*'Coincidence Factors'!$B$5*(1+'Inputs-System'!$C$18)*(1+'Inputs-System'!$C$41)*('Inputs-Proposals'!$L$17*'Inputs-Proposals'!$L$19*(1-'Inputs-Proposals'!$L$20))*(VLOOKUP(DN$3,Energy!$A$51:$K$83,5,FALSE)-VLOOKUP(DN$3,Energy!$A$51:$K$83,6,FALSE))), $C59 = "2",('Inputs-System'!$C$30*'Coincidence Factors'!$B$5)*(1+'Inputs-System'!$C$18)*(1+'Inputs-System'!$C$41)*('Inputs-Proposals'!$L$23*'Inputs-Proposals'!$L$25*(1-'Inputs-Proposals'!$L$26))*(VLOOKUP(DN$3,Energy!$A$51:$K$83,5,FALSE)-VLOOKUP(DN$3,Energy!$A$51:$K$83,6,FALSE)), $C59= "3", ('Inputs-System'!$C$30*'Coincidence Factors'!$B$5*(1+'Inputs-System'!$C$18)*(1+'Inputs-System'!$C$41)*('Inputs-Proposals'!$L$29*'Inputs-Proposals'!$L$31*(1-'Inputs-Proposals'!$L$32))*(VLOOKUP(DN$3,Energy!$A$51:$K$83,5,FALSE)-VLOOKUP(DN$3,Energy!$A$51:$K$83,6,FALSE))), $C59= "0", 0), 0)</f>
        <v>0</v>
      </c>
      <c r="DO59" s="100">
        <f>IFERROR(_xlfn.IFS($C59="1", 'Inputs-System'!$C$30*'Coincidence Factors'!$B$5*(1+'Inputs-System'!$C$18)*(1+'Inputs-System'!$C$41)*'Inputs-Proposals'!$L$17*'Inputs-Proposals'!$L$19*(1-'Inputs-Proposals'!$L$20)*(VLOOKUP(DN$3,'Embedded Emissions'!$A$47:$B$78,2,FALSE)+VLOOKUP(DN$3,'Embedded Emissions'!$A$129:$B$158,2,FALSE)), $C59 = "2",'Inputs-System'!$C$30*'Coincidence Factors'!$B$5*(1+'Inputs-System'!$C$18)*(1+'Inputs-System'!$C$41)*'Inputs-Proposals'!$L$23*'Inputs-Proposals'!$L$25*(1-'Inputs-Proposals'!$L$20)*(VLOOKUP(DN$3,'Embedded Emissions'!$A$47:$B$78,2,FALSE)+VLOOKUP(DN$3,'Embedded Emissions'!$A$129:$B$158,2,FALSE)), $C59 = "3", 'Inputs-System'!$C$30*'Coincidence Factors'!$B$5*(1+'Inputs-System'!$C$18)*(1+'Inputs-System'!$C$41)*'Inputs-Proposals'!$L$29*'Inputs-Proposals'!$L$31*(1-'Inputs-Proposals'!$L$20)*(VLOOKUP(DN$3,'Embedded Emissions'!$A$47:$B$78,2,FALSE)+VLOOKUP(DN$3,'Embedded Emissions'!$A$129:$B$158,2,FALSE)), $C59 = "0", 0), 0)</f>
        <v>0</v>
      </c>
      <c r="DP59" s="318">
        <f>IFERROR(_xlfn.IFS($C59="1",( 'Inputs-System'!$C$30*'Coincidence Factors'!$B$5*(1+'Inputs-System'!$C$18)*(1+'Inputs-System'!$C$41))*('Inputs-Proposals'!$L$17*'Inputs-Proposals'!$L$19*(1-'Inputs-Proposals'!$L$20))*(VLOOKUP(DN$3,DRIPE!$A$54:$I$82,5,FALSE)-VLOOKUP(DN$3,DRIPE!$A$54:$I$82,6,FALSE)+VLOOKUP(DN$3,DRIPE!$A$54:$I$82,9,FALSE))+ ('Inputs-System'!$C$26*'Coincidence Factors'!$B$5*(1+'Inputs-System'!$C$18)*(1+'Inputs-System'!$C$42))*'Inputs-Proposals'!$L$16*VLOOKUP(DN$3,DRIPE!$A$54:$I$80,8,FALSE), $C59 = "2",( 'Inputs-System'!$C$30*'Coincidence Factors'!$B$5*(1+'Inputs-System'!$C$18)*(1+'Inputs-System'!$C$41))*('Inputs-Proposals'!$L$23*'Inputs-Proposals'!$L$25*(1-'Inputs-Proposals'!$L$26))*(VLOOKUP(DN$3,DRIPE!$A$54:$I$82,5,FALSE)-VLOOKUP(DN$3,DRIPE!$A$54:$I$82,6,FALSE)+VLOOKUP(DN$3,DRIPE!$A$54:$I$82,9,FALSE))+ ('Inputs-System'!$C$26*'Coincidence Factors'!$B$5*(1+'Inputs-System'!$C$18)*(1+'Inputs-System'!$C$41))+ ('Inputs-System'!$C$26*'Coincidence Factors'!$B$5)*'Inputs-Proposals'!$L$22*VLOOKUP(DN$3,DRIPE!$A$54:$I$80,8,FALSE), $C59= "3", ('Inputs-System'!$C$30*'Coincidence Factors'!$B$5)*('Inputs-Proposals'!$L$29*'Inputs-Proposals'!$L$31*(1-'Inputs-Proposals'!$L$32))*(VLOOKUP(DN$3,DRIPE!$A$54:$I$80,5,FALSE)-VLOOKUP(DN$3,DRIPE!$A$54:$I$80,6,FALSE)+VLOOKUP(DN$3,DRIPE!$A$54:$I$80,9,FALSE))+ ('Inputs-System'!$C$26*'Coincidence Factors'!$B$5*(1+'Inputs-System'!$C$18)*(1+'Inputs-System'!$C$42))*'Inputs-Proposals'!$L$28*VLOOKUP(DN$3,DRIPE!$A$54:$I$80,8,FALSE), $C59 = "0", 0), 0)</f>
        <v>0</v>
      </c>
      <c r="DQ59" s="326">
        <f>IFERROR(_xlfn.IFS($C59="1",('Inputs-System'!$C$26*'Coincidence Factors'!$B$5*(1+'Inputs-System'!$C$18)*(1+'Inputs-System'!$C$42))*'Inputs-Proposals'!$L$16*(VLOOKUP(DN$3,Capacity!$A$53:$E$85,4,FALSE)*(1+'Inputs-System'!$C$42)+VLOOKUP(DN$3,Capacity!$A$53:$E$85,5,FALSE)*(1+'Inputs-System'!$C$43)*'Inputs-System'!$C$29), $C59 = "2", ('Inputs-System'!$C$26*'Coincidence Factors'!$B$5*(1+'Inputs-System'!$C$18))*'Inputs-Proposals'!$L$22*(VLOOKUP(DN$3,Capacity!$A$53:$E$85,4,FALSE)*(1+'Inputs-System'!$C$42)+VLOOKUP(DN$3,Capacity!$A$53:$E$85,5,FALSE)*'Inputs-System'!$C$29*(1+'Inputs-System'!$C$43)), $C59 = "3", ('Inputs-System'!$C$26*'Coincidence Factors'!$B$5*(1+'Inputs-System'!$C$18))*'Inputs-Proposals'!$L$28*(VLOOKUP(DN$3,Capacity!$A$53:$E$85,4,FALSE)*(1+'Inputs-System'!$C$42)+VLOOKUP(DN$3,Capacity!$A$53:$E$85,5,FALSE)*'Inputs-System'!$C$29*(1+'Inputs-System'!$C$43)), $C59 = "0", 0), 0)</f>
        <v>0</v>
      </c>
      <c r="DR59" s="100">
        <v>0</v>
      </c>
      <c r="DS59" s="346">
        <f>IFERROR(_xlfn.IFS($C59="1", 'Inputs-System'!$C$30*'Coincidence Factors'!$B$5*'Inputs-Proposals'!$L$17*'Inputs-Proposals'!$L$19*(VLOOKUP(DN$3,'Non-Embedded Emissions'!$A$56:$D$90,2,FALSE)+VLOOKUP(DN$3,'Non-Embedded Emissions'!$A$143:$D$174,2,FALSE)+VLOOKUP(DN$3,'Non-Embedded Emissions'!$A$230:$D$259,2,FALSE)-VLOOKUP(DN$3,'Non-Embedded Emissions'!$A$56:$D$90,3,FALSE)-VLOOKUP(DN$3,'Non-Embedded Emissions'!$A$143:$D$174,3,FALSE)-VLOOKUP(DN$3,'Non-Embedded Emissions'!$A$230:$D$259,3,FALSE)), $C59 = "2", 'Inputs-System'!$C$30*'Coincidence Factors'!$B$5*'Inputs-Proposals'!$L$23*'Inputs-Proposals'!$L$25*(VLOOKUP(DN$3,'Non-Embedded Emissions'!$A$56:$D$90,2,FALSE)+VLOOKUP(DN$3,'Non-Embedded Emissions'!$A$143:$D$174,2,FALSE)+VLOOKUP(DN$3,'Non-Embedded Emissions'!$A$230:$D$259,2,FALSE)-VLOOKUP(DN$3,'Non-Embedded Emissions'!$A$56:$D$90,3,FALSE)-VLOOKUP(DN$3,'Non-Embedded Emissions'!$A$143:$D$174,3,FALSE)-VLOOKUP(DN$3,'Non-Embedded Emissions'!$A$230:$D$259,3,FALSE)), $C59 = "3", 'Inputs-System'!$C$30*'Coincidence Factors'!$B$5*'Inputs-Proposals'!$L$29*'Inputs-Proposals'!$L$31*(VLOOKUP(DN$3,'Non-Embedded Emissions'!$A$56:$D$90,2,FALSE)+VLOOKUP(DN$3,'Non-Embedded Emissions'!$A$143:$D$174,2,FALSE)+VLOOKUP(DN$3,'Non-Embedded Emissions'!$A$230:$D$259,2,FALSE)-VLOOKUP(DN$3,'Non-Embedded Emissions'!$A$56:$D$90,3,FALSE)-VLOOKUP(DN$3,'Non-Embedded Emissions'!$A$143:$D$174,3,FALSE)-VLOOKUP(DN$3,'Non-Embedded Emissions'!$A$230:$D$259,3,FALSE)), $C59 = "0", 0), 0)</f>
        <v>0</v>
      </c>
      <c r="DT59" s="344">
        <f>IFERROR(_xlfn.IFS($C59="1",('Inputs-System'!$C$30*'Coincidence Factors'!$B$5*(1+'Inputs-System'!$C$18)*(1+'Inputs-System'!$C$41)*('Inputs-Proposals'!$L$17*'Inputs-Proposals'!$L$19*(1-'Inputs-Proposals'!$L$20))*(VLOOKUP(DT$3,Energy!$A$51:$K$83,5,FALSE)-VLOOKUP(DT$3,Energy!$A$51:$K$83,6,FALSE))), $C59 = "2",('Inputs-System'!$C$30*'Coincidence Factors'!$B$5)*(1+'Inputs-System'!$C$18)*(1+'Inputs-System'!$C$41)*('Inputs-Proposals'!$L$23*'Inputs-Proposals'!$L$25*(1-'Inputs-Proposals'!$L$26))*(VLOOKUP(DT$3,Energy!$A$51:$K$83,5,FALSE)-VLOOKUP(DT$3,Energy!$A$51:$K$83,6,FALSE)), $C59= "3", ('Inputs-System'!$C$30*'Coincidence Factors'!$B$5*(1+'Inputs-System'!$C$18)*(1+'Inputs-System'!$C$41)*('Inputs-Proposals'!$L$29*'Inputs-Proposals'!$L$31*(1-'Inputs-Proposals'!$L$32))*(VLOOKUP(DT$3,Energy!$A$51:$K$83,5,FALSE)-VLOOKUP(DT$3,Energy!$A$51:$K$83,6,FALSE))), $C59= "0", 0), 0)</f>
        <v>0</v>
      </c>
      <c r="DU59" s="100">
        <f>IFERROR(_xlfn.IFS($C59="1", 'Inputs-System'!$C$30*'Coincidence Factors'!$B$5*(1+'Inputs-System'!$C$18)*(1+'Inputs-System'!$C$41)*'Inputs-Proposals'!$L$17*'Inputs-Proposals'!$L$19*(1-'Inputs-Proposals'!$L$20)*(VLOOKUP(DT$3,'Embedded Emissions'!$A$47:$B$78,2,FALSE)+VLOOKUP(DT$3,'Embedded Emissions'!$A$129:$B$158,2,FALSE)), $C59 = "2",'Inputs-System'!$C$30*'Coincidence Factors'!$B$5*(1+'Inputs-System'!$C$18)*(1+'Inputs-System'!$C$41)*'Inputs-Proposals'!$L$23*'Inputs-Proposals'!$L$25*(1-'Inputs-Proposals'!$L$20)*(VLOOKUP(DT$3,'Embedded Emissions'!$A$47:$B$78,2,FALSE)+VLOOKUP(DT$3,'Embedded Emissions'!$A$129:$B$158,2,FALSE)), $C59 = "3", 'Inputs-System'!$C$30*'Coincidence Factors'!$B$5*(1+'Inputs-System'!$C$18)*(1+'Inputs-System'!$C$41)*'Inputs-Proposals'!$L$29*'Inputs-Proposals'!$L$31*(1-'Inputs-Proposals'!$L$20)*(VLOOKUP(DT$3,'Embedded Emissions'!$A$47:$B$78,2,FALSE)+VLOOKUP(DT$3,'Embedded Emissions'!$A$129:$B$158,2,FALSE)), $C59 = "0", 0), 0)</f>
        <v>0</v>
      </c>
      <c r="DV59" s="318">
        <f>IFERROR(_xlfn.IFS($C59="1",( 'Inputs-System'!$C$30*'Coincidence Factors'!$B$5*(1+'Inputs-System'!$C$18)*(1+'Inputs-System'!$C$41))*('Inputs-Proposals'!$L$17*'Inputs-Proposals'!$L$19*(1-'Inputs-Proposals'!$L$20))*(VLOOKUP(DT$3,DRIPE!$A$54:$I$82,5,FALSE)-VLOOKUP(DT$3,DRIPE!$A$54:$I$82,6,FALSE)+VLOOKUP(DT$3,DRIPE!$A$54:$I$82,9,FALSE))+ ('Inputs-System'!$C$26*'Coincidence Factors'!$B$5*(1+'Inputs-System'!$C$18)*(1+'Inputs-System'!$C$42))*'Inputs-Proposals'!$L$16*VLOOKUP(DT$3,DRIPE!$A$54:$I$80,8,FALSE), $C59 = "2",( 'Inputs-System'!$C$30*'Coincidence Factors'!$B$5*(1+'Inputs-System'!$C$18)*(1+'Inputs-System'!$C$41))*('Inputs-Proposals'!$L$23*'Inputs-Proposals'!$L$25*(1-'Inputs-Proposals'!$L$26))*(VLOOKUP(DT$3,DRIPE!$A$54:$I$82,5,FALSE)-VLOOKUP(DT$3,DRIPE!$A$54:$I$82,6,FALSE)+VLOOKUP(DT$3,DRIPE!$A$54:$I$82,9,FALSE))+ ('Inputs-System'!$C$26*'Coincidence Factors'!$B$5*(1+'Inputs-System'!$C$18)*(1+'Inputs-System'!$C$41))+ ('Inputs-System'!$C$26*'Coincidence Factors'!$B$5)*'Inputs-Proposals'!$L$22*VLOOKUP(DT$3,DRIPE!$A$54:$I$80,8,FALSE), $C59= "3", ('Inputs-System'!$C$30*'Coincidence Factors'!$B$5)*('Inputs-Proposals'!$L$29*'Inputs-Proposals'!$L$31*(1-'Inputs-Proposals'!$L$32))*(VLOOKUP(DT$3,DRIPE!$A$54:$I$80,5,FALSE)-VLOOKUP(DT$3,DRIPE!$A$54:$I$80,6,FALSE)+VLOOKUP(DT$3,DRIPE!$A$54:$I$80,9,FALSE))+ ('Inputs-System'!$C$26*'Coincidence Factors'!$B$5*(1+'Inputs-System'!$C$18)*(1+'Inputs-System'!$C$42))*'Inputs-Proposals'!$L$28*VLOOKUP(DT$3,DRIPE!$A$54:$I$80,8,FALSE), $C59 = "0", 0), 0)</f>
        <v>0</v>
      </c>
      <c r="DW59" s="326">
        <f>IFERROR(_xlfn.IFS($C59="1",('Inputs-System'!$C$26*'Coincidence Factors'!$B$5*(1+'Inputs-System'!$C$18)*(1+'Inputs-System'!$C$42))*'Inputs-Proposals'!$L$16*(VLOOKUP(DT$3,Capacity!$A$53:$E$85,4,FALSE)*(1+'Inputs-System'!$C$42)+VLOOKUP(DT$3,Capacity!$A$53:$E$85,5,FALSE)*(1+'Inputs-System'!$C$43)*'Inputs-System'!$C$29), $C59 = "2", ('Inputs-System'!$C$26*'Coincidence Factors'!$B$5*(1+'Inputs-System'!$C$18))*'Inputs-Proposals'!$L$22*(VLOOKUP(DT$3,Capacity!$A$53:$E$85,4,FALSE)*(1+'Inputs-System'!$C$42)+VLOOKUP(DT$3,Capacity!$A$53:$E$85,5,FALSE)*'Inputs-System'!$C$29*(1+'Inputs-System'!$C$43)), $C59 = "3", ('Inputs-System'!$C$26*'Coincidence Factors'!$B$5*(1+'Inputs-System'!$C$18))*'Inputs-Proposals'!$L$28*(VLOOKUP(DT$3,Capacity!$A$53:$E$85,4,FALSE)*(1+'Inputs-System'!$C$42)+VLOOKUP(DT$3,Capacity!$A$53:$E$85,5,FALSE)*'Inputs-System'!$C$29*(1+'Inputs-System'!$C$43)), $C59 = "0", 0), 0)</f>
        <v>0</v>
      </c>
      <c r="DX59" s="100">
        <v>0</v>
      </c>
      <c r="DY59" s="346">
        <f>IFERROR(_xlfn.IFS($C59="1", 'Inputs-System'!$C$30*'Coincidence Factors'!$B$5*'Inputs-Proposals'!$L$17*'Inputs-Proposals'!$L$19*(VLOOKUP(DT$3,'Non-Embedded Emissions'!$A$56:$D$90,2,FALSE)+VLOOKUP(DT$3,'Non-Embedded Emissions'!$A$143:$D$174,2,FALSE)+VLOOKUP(DT$3,'Non-Embedded Emissions'!$A$230:$D$259,2,FALSE)-VLOOKUP(DT$3,'Non-Embedded Emissions'!$A$56:$D$90,3,FALSE)-VLOOKUP(DT$3,'Non-Embedded Emissions'!$A$143:$D$174,3,FALSE)-VLOOKUP(DT$3,'Non-Embedded Emissions'!$A$230:$D$259,3,FALSE)), $C59 = "2", 'Inputs-System'!$C$30*'Coincidence Factors'!$B$5*'Inputs-Proposals'!$L$23*'Inputs-Proposals'!$L$25*(VLOOKUP(DT$3,'Non-Embedded Emissions'!$A$56:$D$90,2,FALSE)+VLOOKUP(DT$3,'Non-Embedded Emissions'!$A$143:$D$174,2,FALSE)+VLOOKUP(DT$3,'Non-Embedded Emissions'!$A$230:$D$259,2,FALSE)-VLOOKUP(DT$3,'Non-Embedded Emissions'!$A$56:$D$90,3,FALSE)-VLOOKUP(DT$3,'Non-Embedded Emissions'!$A$143:$D$174,3,FALSE)-VLOOKUP(DT$3,'Non-Embedded Emissions'!$A$230:$D$259,3,FALSE)), $C59 = "3", 'Inputs-System'!$C$30*'Coincidence Factors'!$B$5*'Inputs-Proposals'!$L$29*'Inputs-Proposals'!$L$31*(VLOOKUP(DT$3,'Non-Embedded Emissions'!$A$56:$D$90,2,FALSE)+VLOOKUP(DT$3,'Non-Embedded Emissions'!$A$143:$D$174,2,FALSE)+VLOOKUP(DT$3,'Non-Embedded Emissions'!$A$230:$D$259,2,FALSE)-VLOOKUP(DT$3,'Non-Embedded Emissions'!$A$56:$D$90,3,FALSE)-VLOOKUP(DT$3,'Non-Embedded Emissions'!$A$143:$D$174,3,FALSE)-VLOOKUP(DT$3,'Non-Embedded Emissions'!$A$230:$D$259,3,FALSE)), $C59 = "0", 0), 0)</f>
        <v>0</v>
      </c>
      <c r="DZ59" s="344">
        <f>IFERROR(_xlfn.IFS($C59="1",('Inputs-System'!$C$30*'Coincidence Factors'!$B$5*(1+'Inputs-System'!$C$18)*(1+'Inputs-System'!$C$41)*('Inputs-Proposals'!$L$17*'Inputs-Proposals'!$L$19*(1-'Inputs-Proposals'!$L$20))*(VLOOKUP(DZ$3,Energy!$A$51:$K$83,5,FALSE)-VLOOKUP(DZ$3,Energy!$A$51:$K$83,6,FALSE))), $C59 = "2",('Inputs-System'!$C$30*'Coincidence Factors'!$B$5)*(1+'Inputs-System'!$C$18)*(1+'Inputs-System'!$C$41)*('Inputs-Proposals'!$L$23*'Inputs-Proposals'!$L$25*(1-'Inputs-Proposals'!$L$26))*(VLOOKUP(DZ$3,Energy!$A$51:$K$83,5,FALSE)-VLOOKUP(DZ$3,Energy!$A$51:$K$83,6,FALSE)), $C59= "3", ('Inputs-System'!$C$30*'Coincidence Factors'!$B$5*(1+'Inputs-System'!$C$18)*(1+'Inputs-System'!$C$41)*('Inputs-Proposals'!$L$29*'Inputs-Proposals'!$L$31*(1-'Inputs-Proposals'!$L$32))*(VLOOKUP(DZ$3,Energy!$A$51:$K$83,5,FALSE)-VLOOKUP(DZ$3,Energy!$A$51:$K$83,6,FALSE))), $C59= "0", 0), 0)</f>
        <v>0</v>
      </c>
      <c r="EA59" s="100">
        <f>IFERROR(_xlfn.IFS($C59="1", 'Inputs-System'!$C$30*'Coincidence Factors'!$B$5*(1+'Inputs-System'!$C$18)*(1+'Inputs-System'!$C$41)*'Inputs-Proposals'!$L$17*'Inputs-Proposals'!$L$19*(1-'Inputs-Proposals'!$L$20)*(VLOOKUP(DZ$3,'Embedded Emissions'!$A$47:$B$78,2,FALSE)+VLOOKUP(DZ$3,'Embedded Emissions'!$A$129:$B$158,2,FALSE)), $C59 = "2",'Inputs-System'!$C$30*'Coincidence Factors'!$B$5*(1+'Inputs-System'!$C$18)*(1+'Inputs-System'!$C$41)*'Inputs-Proposals'!$L$23*'Inputs-Proposals'!$L$25*(1-'Inputs-Proposals'!$L$20)*(VLOOKUP(DZ$3,'Embedded Emissions'!$A$47:$B$78,2,FALSE)+VLOOKUP(DZ$3,'Embedded Emissions'!$A$129:$B$158,2,FALSE)), $C59 = "3", 'Inputs-System'!$C$30*'Coincidence Factors'!$B$5*(1+'Inputs-System'!$C$18)*(1+'Inputs-System'!$C$41)*'Inputs-Proposals'!$L$29*'Inputs-Proposals'!$L$31*(1-'Inputs-Proposals'!$L$20)*(VLOOKUP(DZ$3,'Embedded Emissions'!$A$47:$B$78,2,FALSE)+VLOOKUP(DZ$3,'Embedded Emissions'!$A$129:$B$158,2,FALSE)), $C59 = "0", 0), 0)</f>
        <v>0</v>
      </c>
      <c r="EB59" s="318">
        <f>IFERROR(_xlfn.IFS($C59="1",( 'Inputs-System'!$C$30*'Coincidence Factors'!$B$5*(1+'Inputs-System'!$C$18)*(1+'Inputs-System'!$C$41))*('Inputs-Proposals'!$L$17*'Inputs-Proposals'!$L$19*(1-'Inputs-Proposals'!$L$20))*(VLOOKUP(DZ$3,DRIPE!$A$54:$I$82,5,FALSE)-VLOOKUP(DZ$3,DRIPE!$A$54:$I$82,6,FALSE)+VLOOKUP(DZ$3,DRIPE!$A$54:$I$82,9,FALSE))+ ('Inputs-System'!$C$26*'Coincidence Factors'!$B$5*(1+'Inputs-System'!$C$18)*(1+'Inputs-System'!$C$42))*'Inputs-Proposals'!$L$16*VLOOKUP(DZ$3,DRIPE!$A$54:$I$80,8,FALSE), $C59 = "2",( 'Inputs-System'!$C$30*'Coincidence Factors'!$B$5*(1+'Inputs-System'!$C$18)*(1+'Inputs-System'!$C$41))*('Inputs-Proposals'!$L$23*'Inputs-Proposals'!$L$25*(1-'Inputs-Proposals'!$L$26))*(VLOOKUP(DZ$3,DRIPE!$A$54:$I$82,5,FALSE)-VLOOKUP(DZ$3,DRIPE!$A$54:$I$82,6,FALSE)+VLOOKUP(DZ$3,DRIPE!$A$54:$I$82,9,FALSE))+ ('Inputs-System'!$C$26*'Coincidence Factors'!$B$5*(1+'Inputs-System'!$C$18)*(1+'Inputs-System'!$C$41))+ ('Inputs-System'!$C$26*'Coincidence Factors'!$B$5)*'Inputs-Proposals'!$L$22*VLOOKUP(DZ$3,DRIPE!$A$54:$I$80,8,FALSE), $C59= "3", ('Inputs-System'!$C$30*'Coincidence Factors'!$B$5)*('Inputs-Proposals'!$L$29*'Inputs-Proposals'!$L$31*(1-'Inputs-Proposals'!$L$32))*(VLOOKUP(DZ$3,DRIPE!$A$54:$I$80,5,FALSE)-VLOOKUP(DZ$3,DRIPE!$A$54:$I$80,6,FALSE)+VLOOKUP(DZ$3,DRIPE!$A$54:$I$80,9,FALSE))+ ('Inputs-System'!$C$26*'Coincidence Factors'!$B$5*(1+'Inputs-System'!$C$18)*(1+'Inputs-System'!$C$42))*'Inputs-Proposals'!$L$28*VLOOKUP(DZ$3,DRIPE!$A$54:$I$80,8,FALSE), $C59 = "0", 0), 0)</f>
        <v>0</v>
      </c>
      <c r="EC59" s="326">
        <f>IFERROR(_xlfn.IFS($C59="1",('Inputs-System'!$C$26*'Coincidence Factors'!$B$5*(1+'Inputs-System'!$C$18)*(1+'Inputs-System'!$C$42))*'Inputs-Proposals'!$L$16*(VLOOKUP(DZ$3,Capacity!$A$53:$E$85,4,FALSE)*(1+'Inputs-System'!$C$42)+VLOOKUP(DZ$3,Capacity!$A$53:$E$85,5,FALSE)*(1+'Inputs-System'!$C$43)*'Inputs-System'!$C$29), $C59 = "2", ('Inputs-System'!$C$26*'Coincidence Factors'!$B$5*(1+'Inputs-System'!$C$18))*'Inputs-Proposals'!$L$22*(VLOOKUP(DZ$3,Capacity!$A$53:$E$85,4,FALSE)*(1+'Inputs-System'!$C$42)+VLOOKUP(DZ$3,Capacity!$A$53:$E$85,5,FALSE)*'Inputs-System'!$C$29*(1+'Inputs-System'!$C$43)), $C59 = "3", ('Inputs-System'!$C$26*'Coincidence Factors'!$B$5*(1+'Inputs-System'!$C$18))*'Inputs-Proposals'!$L$28*(VLOOKUP(DZ$3,Capacity!$A$53:$E$85,4,FALSE)*(1+'Inputs-System'!$C$42)+VLOOKUP(DZ$3,Capacity!$A$53:$E$85,5,FALSE)*'Inputs-System'!$C$29*(1+'Inputs-System'!$C$43)), $C59 = "0", 0), 0)</f>
        <v>0</v>
      </c>
      <c r="ED59" s="100">
        <v>0</v>
      </c>
      <c r="EE59" s="346">
        <f>IFERROR(_xlfn.IFS($C59="1", 'Inputs-System'!$C$30*'Coincidence Factors'!$B$5*'Inputs-Proposals'!$L$17*'Inputs-Proposals'!$L$19*(VLOOKUP(DZ$3,'Non-Embedded Emissions'!$A$56:$D$90,2,FALSE)+VLOOKUP(DZ$3,'Non-Embedded Emissions'!$A$143:$D$174,2,FALSE)+VLOOKUP(DZ$3,'Non-Embedded Emissions'!$A$230:$D$259,2,FALSE)-VLOOKUP(DZ$3,'Non-Embedded Emissions'!$A$56:$D$90,3,FALSE)-VLOOKUP(DZ$3,'Non-Embedded Emissions'!$A$143:$D$174,3,FALSE)-VLOOKUP(DZ$3,'Non-Embedded Emissions'!$A$230:$D$259,3,FALSE)), $C59 = "2", 'Inputs-System'!$C$30*'Coincidence Factors'!$B$5*'Inputs-Proposals'!$L$23*'Inputs-Proposals'!$L$25*(VLOOKUP(DZ$3,'Non-Embedded Emissions'!$A$56:$D$90,2,FALSE)+VLOOKUP(DZ$3,'Non-Embedded Emissions'!$A$143:$D$174,2,FALSE)+VLOOKUP(DZ$3,'Non-Embedded Emissions'!$A$230:$D$259,2,FALSE)-VLOOKUP(DZ$3,'Non-Embedded Emissions'!$A$56:$D$90,3,FALSE)-VLOOKUP(DZ$3,'Non-Embedded Emissions'!$A$143:$D$174,3,FALSE)-VLOOKUP(DZ$3,'Non-Embedded Emissions'!$A$230:$D$259,3,FALSE)), $C59 = "3", 'Inputs-System'!$C$30*'Coincidence Factors'!$B$5*'Inputs-Proposals'!$L$29*'Inputs-Proposals'!$L$31*(VLOOKUP(DZ$3,'Non-Embedded Emissions'!$A$56:$D$90,2,FALSE)+VLOOKUP(DZ$3,'Non-Embedded Emissions'!$A$143:$D$174,2,FALSE)+VLOOKUP(DZ$3,'Non-Embedded Emissions'!$A$230:$D$259,2,FALSE)-VLOOKUP(DZ$3,'Non-Embedded Emissions'!$A$56:$D$90,3,FALSE)-VLOOKUP(DZ$3,'Non-Embedded Emissions'!$A$143:$D$174,3,FALSE)-VLOOKUP(DZ$3,'Non-Embedded Emissions'!$A$230:$D$259,3,FALSE)), $C59 = "0", 0), 0)</f>
        <v>0</v>
      </c>
    </row>
    <row r="60" spans="1:135" x14ac:dyDescent="0.35">
      <c r="A60" s="708"/>
      <c r="B60" s="3" t="s">
        <v>158</v>
      </c>
      <c r="C60" s="3" t="str">
        <f>IFERROR(_xlfn.IFS('Benefits Calc'!B60='Inputs-Proposals'!$L$15, "1", 'Benefits Calc'!B60='Inputs-Proposals'!$L$21, "2", 'Benefits Calc'!B60='Inputs-Proposals'!$L$27, "3"), "0")</f>
        <v>0</v>
      </c>
      <c r="D60" s="323">
        <f t="shared" si="0"/>
        <v>0</v>
      </c>
      <c r="E60" s="44">
        <f t="shared" si="1"/>
        <v>0</v>
      </c>
      <c r="F60" s="44">
        <f t="shared" si="2"/>
        <v>0</v>
      </c>
      <c r="G60" s="44">
        <f t="shared" si="3"/>
        <v>0</v>
      </c>
      <c r="H60" s="44">
        <f t="shared" si="4"/>
        <v>0</v>
      </c>
      <c r="I60" s="44">
        <f t="shared" si="5"/>
        <v>0</v>
      </c>
      <c r="J60" s="323">
        <f>NPV('Inputs-System'!$C$20,P60+V60+AB60+AH60+AN60+AT60+AZ60+BF60+BL60+BR60+BX60+CD60+CJ60+CP60+CV60+DB60+DH60+DN60+DT60+DZ60)</f>
        <v>0</v>
      </c>
      <c r="K60" s="44">
        <f>NPV('Inputs-System'!$C$20,Q60+W60+AC60+AI60+AO60+AU60+BA60+BG60+BM60+BS60+BY60+CE60+CK60+CQ60+CW60+DC60+DI60+DO60+DU60+EA60)</f>
        <v>0</v>
      </c>
      <c r="L60" s="44">
        <f>NPV('Inputs-System'!$C$20,R60+X60+AD60+AJ60+AP60+AV60+BB60+BH60+BN60+BT60+BZ60+CF60+CL60+CR60+CX60+DD60+DJ60+DP60+DV60+EB60)</f>
        <v>0</v>
      </c>
      <c r="M60" s="44">
        <f>NPV('Inputs-System'!$C$20,S60+Y60+AE60+AK60+AQ60+AW60+BC60+BI60+BO60+BU60+CA60+CG60+CM60+CS60+CY60+DE60+DK60+DQ60+DW60+EC60)</f>
        <v>0</v>
      </c>
      <c r="N60" s="44">
        <f>NPV('Inputs-System'!$C$20,T60+Z60+AF60+AL60+AR60+AX60+BD60+BJ60+BP60+BV60+CB60+CH60+CN60+CT60+CZ60+DF60+DL60+DR60+DX60+ED60)</f>
        <v>0</v>
      </c>
      <c r="O60" s="119">
        <f>NPV('Inputs-System'!$C$20,U60+AA60+AG60+AM60+AS60+AY60+BE60+BK60+BQ60+BW60+CC60+CI60+CO60+CU60+DA60+DG60+DM60+DS60+DY60+EE60)</f>
        <v>0</v>
      </c>
      <c r="P60" s="45">
        <f>IFERROR(_xlfn.IFS($C60="1",('Inputs-System'!$C$30*'Coincidence Factors'!$B$6*(1+'Inputs-System'!$C$18)*(1+'Inputs-System'!$C$41)*('Inputs-Proposals'!$L$17*'Inputs-Proposals'!$L$19*(1-'Inputs-Proposals'!$L$20^(P$3-'Inputs-System'!$C$7+1)))*(VLOOKUP(P$3,Energy!$A$51:$K$83,5,FALSE))), $C60 = "2",('Inputs-System'!$C$30*'Coincidence Factors'!$B$6)*(1+'Inputs-System'!$C$18)*(1+'Inputs-System'!$C$41)*('Inputs-Proposals'!$L$23*'Inputs-Proposals'!$L$25*(1-'Inputs-Proposals'!$L$26^(P$3-'Inputs-System'!$C$7+1)))*(VLOOKUP(P$3,Energy!$A$51:$K$83,5,FALSE)), $C60= "3", ('Inputs-System'!$C$30*'Coincidence Factors'!$B$6*(1+'Inputs-System'!$C$18)*(1+'Inputs-System'!$C$41)*('Inputs-Proposals'!$L$29*'Inputs-Proposals'!$L$31*(1-'Inputs-Proposals'!$L$32^(P$3-'Inputs-System'!$C$7+1)))*(VLOOKUP(P$3,Energy!$A$51:$K$83,5,FALSE))), $C60= "0", 0), 0)</f>
        <v>0</v>
      </c>
      <c r="Q60" s="44">
        <f>IFERROR(_xlfn.IFS($C60="1",('Inputs-System'!$C$30*'Coincidence Factors'!$B$6*(1+'Inputs-System'!$C$18)*(1+'Inputs-System'!$C$41))*'Inputs-Proposals'!$L$17*'Inputs-Proposals'!$L$19*(1-'Inputs-Proposals'!$L$20^(P$3-'Inputs-System'!$C$7+1))*(VLOOKUP(P$3,'Embedded Emissions'!$A$47:$B$78,2,FALSE)+VLOOKUP(P$3,'Embedded Emissions'!$A$129:$B$158,2,FALSE)), $C60 = "2",('Inputs-System'!$C$30*'Coincidence Factors'!$B$6*(1+'Inputs-System'!$C$18)*(1+'Inputs-System'!$C$41))*'Inputs-Proposals'!$L$23*'Inputs-Proposals'!$L$25*(1-'Inputs-Proposals'!$L$20^(P$3-'Inputs-System'!$C$7+1))*(VLOOKUP(P$3,'Embedded Emissions'!$A$47:$B$78,2,FALSE)+VLOOKUP(P$3,'Embedded Emissions'!$A$129:$B$158,2,FALSE)), $C60 = "3", ('Inputs-System'!$C$30*'Coincidence Factors'!$B$6*(1+'Inputs-System'!$C$18)*(1+'Inputs-System'!$C$41))*'Inputs-Proposals'!$L$29*'Inputs-Proposals'!$L$31*(1-'Inputs-Proposals'!$L$20^(P$3-'Inputs-System'!$C$7+1))*(VLOOKUP(P$3,'Embedded Emissions'!$A$47:$B$78,2,FALSE)+VLOOKUP(P$3,'Embedded Emissions'!$A$129:$B$158,2,FALSE)), $C60 = "0", 0), 0)</f>
        <v>0</v>
      </c>
      <c r="R60" s="44">
        <f>IFERROR(_xlfn.IFS($C60="1",( 'Inputs-System'!$C$30*'Coincidence Factors'!$B$6*(1+'Inputs-System'!$C$18)*(1+'Inputs-System'!$C$41))*('Inputs-Proposals'!$L$17*'Inputs-Proposals'!$L$19*(1-'Inputs-Proposals'!$L$20)^(P$3-'Inputs-System'!$C$7))*(VLOOKUP(P$3,DRIPE!$A$54:$I$82,5,FALSE)+VLOOKUP(P$3,DRIPE!$A$54:$I$82,9,FALSE))+ ('Inputs-System'!$C$26*'Coincidence Factors'!$B$6*(1+'Inputs-System'!$C$18)*(1+'Inputs-System'!$C$42))*'Inputs-Proposals'!$L$16*VLOOKUP(P$3,DRIPE!$A$54:$I$82,8,FALSE), $C60 = "2",( 'Inputs-System'!$C$30*'Coincidence Factors'!$B$6*(1+'Inputs-System'!$C$18)*(1+'Inputs-System'!$C$41))*('Inputs-Proposals'!$L$23*'Inputs-Proposals'!$L$25*(1-'Inputs-Proposals'!$L$26)^(P$3-'Inputs-System'!$C$7))*(VLOOKUP(P$3,DRIPE!$A$54:$I$82,5,FALSE)+VLOOKUP(P$3,DRIPE!$A$54:$I$82,9,FALSE))+ ('Inputs-System'!$C$26*'Coincidence Factors'!$B$6*(1+'Inputs-System'!$C$18)*(1+'Inputs-System'!$C$42))*'Inputs-Proposals'!$L$22*VLOOKUP(P$3,DRIPE!$A$54:$I$82,8,FALSE), $C60= "3", ( 'Inputs-System'!$C$30*'Coincidence Factors'!$B$6*(1+'Inputs-System'!$C$18)*(1+'Inputs-System'!$C$41))*('Inputs-Proposals'!$L$29*'Inputs-Proposals'!$L$31*(1-'Inputs-Proposals'!$L$32)^(P$3-'Inputs-System'!$C$7))*(VLOOKUP(P$3,DRIPE!$A$54:$I$82,5,FALSE)+VLOOKUP(P$3,DRIPE!$A$54:$I$82,9,FALSE))+ ('Inputs-System'!$C$26*'Coincidence Factors'!$B$6*(1+'Inputs-System'!$C$18)*(1+'Inputs-System'!$C$42))*'Inputs-Proposals'!$L$28*VLOOKUP(P$3,DRIPE!$A$54:$I$82,8,FALSE), $C60 = "0", 0), 0)</f>
        <v>0</v>
      </c>
      <c r="S60" s="45">
        <f>IFERROR(_xlfn.IFS($C60="1",('Inputs-System'!$C$26*'Coincidence Factors'!$B$6*(1+'Inputs-System'!$C$18))*'Inputs-Proposals'!$L$16*(VLOOKUP(P$3,Capacity!$A$53:$E$85,4,FALSE)*(1+'Inputs-System'!$C$42)+VLOOKUP(P$3,Capacity!$A$53:$E$85,5,FALSE)*'Inputs-System'!$C$29*(1+'Inputs-System'!$C$43)), $C60 = "2", ('Inputs-System'!$C$26*'Coincidence Factors'!$B$6*(1+'Inputs-System'!$C$18))*'Inputs-Proposals'!$L$22*(VLOOKUP(P$3,Capacity!$A$53:$E$85,4,FALSE)*(1+'Inputs-System'!$C$42)+VLOOKUP(P$3,Capacity!$A$53:$E$85,5,FALSE)*'Inputs-System'!$C$29*(1+'Inputs-System'!$C$43)), $C60 = "3",('Inputs-System'!$C$26*'Coincidence Factors'!$B$6*(1+'Inputs-System'!$C$18))*'Inputs-Proposals'!$L$28*(VLOOKUP(P$3,Capacity!$A$53:$E$85,4,FALSE)*(1+'Inputs-System'!$C$42)+VLOOKUP(P$3,Capacity!$A$53:$E$85,5,FALSE)*'Inputs-System'!$C$29*(1+'Inputs-System'!$C$43)), $C60 = "0", 0), 0)</f>
        <v>0</v>
      </c>
      <c r="T60" s="44">
        <v>0</v>
      </c>
      <c r="U60" s="44">
        <f>IFERROR(_xlfn.IFS($C60="1", 'Inputs-System'!$C$30*'Coincidence Factors'!$B$6*'Inputs-Proposals'!$L$17*'Inputs-Proposals'!$L$19*(VLOOKUP(P$3,'Non-Embedded Emissions'!$A$56:$D$90,2,FALSE)+VLOOKUP(P$3,'Non-Embedded Emissions'!$A$143:$D$174,2,FALSE)+VLOOKUP(P$3,'Non-Embedded Emissions'!$A$230:$D$259,2,FALSE)), $C60 = "2", 'Inputs-System'!$C$30*'Coincidence Factors'!$B$6*'Inputs-Proposals'!$L$23*'Inputs-Proposals'!$L$25*(VLOOKUP(P$3,'Non-Embedded Emissions'!$A$56:$D$90,2,FALSE)+VLOOKUP(P$3,'Non-Embedded Emissions'!$A$143:$D$174,2,FALSE)+VLOOKUP(P$3,'Non-Embedded Emissions'!$A$230:$D$259,2,FALSE)), $C60 = "3", 'Inputs-System'!$C$30*'Coincidence Factors'!$B$6*'Inputs-Proposals'!$L$29*'Inputs-Proposals'!$L$31*(VLOOKUP(P$3,'Non-Embedded Emissions'!$A$56:$D$90,2,FALSE)+VLOOKUP(P$3,'Non-Embedded Emissions'!$A$143:$D$174,2,FALSE)+VLOOKUP(P$3,'Non-Embedded Emissions'!$A$230:$D$259,2,FALSE)), $C60 = "0", 0), 0)</f>
        <v>0</v>
      </c>
      <c r="V60" s="347">
        <f>IFERROR(_xlfn.IFS($C60="1",('Inputs-System'!$C$30*'Coincidence Factors'!$B$6*(1+'Inputs-System'!$C$18)*(1+'Inputs-System'!$C$41)*('Inputs-Proposals'!$L$17*'Inputs-Proposals'!$L$19*(1-'Inputs-Proposals'!$L$20^(V$3-'Inputs-System'!$C$7)))*(VLOOKUP(V$3,Energy!$A$51:$K$83,5,FALSE))), $C60 = "2",('Inputs-System'!$C$30*'Coincidence Factors'!$B$6)*(1+'Inputs-System'!$C$18)*(1+'Inputs-System'!$C$41)*('Inputs-Proposals'!$L$23*'Inputs-Proposals'!$L$25*(1-'Inputs-Proposals'!$L$26^(V$3-'Inputs-System'!$C$7)))*(VLOOKUP(V$3,Energy!$A$51:$K$83,5,FALSE)), $C60= "3", ('Inputs-System'!$C$30*'Coincidence Factors'!$B$6*(1+'Inputs-System'!$C$18)*(1+'Inputs-System'!$C$41)*('Inputs-Proposals'!$L$29*'Inputs-Proposals'!$L$31*(1-'Inputs-Proposals'!$L$32^(V$3-'Inputs-System'!$C$7)))*(VLOOKUP(V$3,Energy!$A$51:$K$83,5,FALSE))), $C60= "0", 0), 0)</f>
        <v>0</v>
      </c>
      <c r="W60" s="44">
        <f>IFERROR(_xlfn.IFS($C60="1",('Inputs-System'!$C$30*'Coincidence Factors'!$B$6*(1+'Inputs-System'!$C$18)*(1+'Inputs-System'!$C$41))*'Inputs-Proposals'!$L$17*'Inputs-Proposals'!$L$19*(1-'Inputs-Proposals'!$L$20^(V$3-'Inputs-System'!$C$7))*(VLOOKUP(V$3,'Embedded Emissions'!$A$47:$B$78,2,FALSE)+VLOOKUP(V$3,'Embedded Emissions'!$A$129:$B$158,2,FALSE)), $C60 = "2",('Inputs-System'!$C$30*'Coincidence Factors'!$B$6*(1+'Inputs-System'!$C$18)*(1+'Inputs-System'!$C$41))*'Inputs-Proposals'!$L$23*'Inputs-Proposals'!$L$25*(1-'Inputs-Proposals'!$L$20^(V$3-'Inputs-System'!$C$7))*(VLOOKUP(V$3,'Embedded Emissions'!$A$47:$B$78,2,FALSE)+VLOOKUP(V$3,'Embedded Emissions'!$A$129:$B$158,2,FALSE)), $C60 = "3", ('Inputs-System'!$C$30*'Coincidence Factors'!$B$6*(1+'Inputs-System'!$C$18)*(1+'Inputs-System'!$C$41))*'Inputs-Proposals'!$L$29*'Inputs-Proposals'!$L$31*(1-'Inputs-Proposals'!$L$20^(V$3-'Inputs-System'!$C$7))*(VLOOKUP(V$3,'Embedded Emissions'!$A$47:$B$78,2,FALSE)+VLOOKUP(V$3,'Embedded Emissions'!$A$129:$B$158,2,FALSE)), $C60 = "0", 0), 0)</f>
        <v>0</v>
      </c>
      <c r="X60" s="44">
        <f>IFERROR(_xlfn.IFS($C60="1",( 'Inputs-System'!$C$30*'Coincidence Factors'!$B$6*(1+'Inputs-System'!$C$18)*(1+'Inputs-System'!$C$41))*('Inputs-Proposals'!$L$17*'Inputs-Proposals'!$L$19*(1-'Inputs-Proposals'!$L$20)^(V$3-'Inputs-System'!$C$7))*(VLOOKUP(V$3,DRIPE!$A$54:$I$82,5,FALSE)+VLOOKUP(V$3,DRIPE!$A$54:$I$82,9,FALSE))+ ('Inputs-System'!$C$26*'Coincidence Factors'!$B$6*(1+'Inputs-System'!$C$18)*(1+'Inputs-System'!$C$42))*'Inputs-Proposals'!$L$16*VLOOKUP(V$3,DRIPE!$A$54:$I$82,8,FALSE), $C60 = "2",( 'Inputs-System'!$C$30*'Coincidence Factors'!$B$6*(1+'Inputs-System'!$C$18)*(1+'Inputs-System'!$C$41))*('Inputs-Proposals'!$L$23*'Inputs-Proposals'!$L$25*(1-'Inputs-Proposals'!$L$26)^(V$3-'Inputs-System'!$C$7))*(VLOOKUP(V$3,DRIPE!$A$54:$I$82,5,FALSE)+VLOOKUP(V$3,DRIPE!$A$54:$I$82,9,FALSE))+ ('Inputs-System'!$C$26*'Coincidence Factors'!$B$6*(1+'Inputs-System'!$C$18)*(1+'Inputs-System'!$C$42))*'Inputs-Proposals'!$L$22*VLOOKUP(V$3,DRIPE!$A$54:$I$82,8,FALSE), $C60= "3", ( 'Inputs-System'!$C$30*'Coincidence Factors'!$B$6*(1+'Inputs-System'!$C$18)*(1+'Inputs-System'!$C$41))*('Inputs-Proposals'!$L$29*'Inputs-Proposals'!$L$31*(1-'Inputs-Proposals'!$L$32)^(V$3-'Inputs-System'!$C$7))*(VLOOKUP(V$3,DRIPE!$A$54:$I$82,5,FALSE)+VLOOKUP(V$3,DRIPE!$A$54:$I$82,9,FALSE))+ ('Inputs-System'!$C$26*'Coincidence Factors'!$B$6*(1+'Inputs-System'!$C$18)*(1+'Inputs-System'!$C$42))*'Inputs-Proposals'!$L$28*VLOOKUP(V$3,DRIPE!$A$54:$I$82,8,FALSE), $C60 = "0", 0), 0)</f>
        <v>0</v>
      </c>
      <c r="Y60" s="45">
        <f>IFERROR(_xlfn.IFS($C60="1",('Inputs-System'!$C$26*'Coincidence Factors'!$B$6*(1+'Inputs-System'!$C$18))*'Inputs-Proposals'!$L$16*(VLOOKUP(V$3,Capacity!$A$53:$E$85,4,FALSE)*(1+'Inputs-System'!$C$42)+VLOOKUP(V$3,Capacity!$A$53:$E$85,5,FALSE)*'Inputs-System'!$C$29*(1+'Inputs-System'!$C$43)), $C60 = "2", ('Inputs-System'!$C$26*'Coincidence Factors'!$B$6*(1+'Inputs-System'!$C$18))*'Inputs-Proposals'!$L$22*(VLOOKUP(V$3,Capacity!$A$53:$E$85,4,FALSE)*(1+'Inputs-System'!$C$42)+VLOOKUP(V$3,Capacity!$A$53:$E$85,5,FALSE)*'Inputs-System'!$C$29*(1+'Inputs-System'!$C$43)), $C60 = "3",('Inputs-System'!$C$26*'Coincidence Factors'!$B$6*(1+'Inputs-System'!$C$18))*'Inputs-Proposals'!$L$28*(VLOOKUP(V$3,Capacity!$A$53:$E$85,4,FALSE)*(1+'Inputs-System'!$C$42)+VLOOKUP(V$3,Capacity!$A$53:$E$85,5,FALSE)*'Inputs-System'!$C$29*(1+'Inputs-System'!$C$43)), $C60 = "0", 0), 0)</f>
        <v>0</v>
      </c>
      <c r="Z60" s="44">
        <v>0</v>
      </c>
      <c r="AA60" s="342">
        <f>IFERROR(_xlfn.IFS($C60="1", 'Inputs-System'!$C$30*'Coincidence Factors'!$B$6*'Inputs-Proposals'!$L$17*'Inputs-Proposals'!$L$19*(VLOOKUP(V$3,'Non-Embedded Emissions'!$A$56:$D$90,2,FALSE)+VLOOKUP(V$3,'Non-Embedded Emissions'!$A$143:$D$174,2,FALSE)+VLOOKUP(V$3,'Non-Embedded Emissions'!$A$230:$D$259,2,FALSE)), $C60 = "2", 'Inputs-System'!$C$30*'Coincidence Factors'!$B$6*'Inputs-Proposals'!$L$23*'Inputs-Proposals'!$L$25*(VLOOKUP(V$3,'Non-Embedded Emissions'!$A$56:$D$90,2,FALSE)+VLOOKUP(V$3,'Non-Embedded Emissions'!$A$143:$D$174,2,FALSE)+VLOOKUP(V$3,'Non-Embedded Emissions'!$A$230:$D$259,2,FALSE)), $C60 = "3", 'Inputs-System'!$C$30*'Coincidence Factors'!$B$6*'Inputs-Proposals'!$L$29*'Inputs-Proposals'!$L$31*(VLOOKUP(V$3,'Non-Embedded Emissions'!$A$56:$D$90,2,FALSE)+VLOOKUP(V$3,'Non-Embedded Emissions'!$A$143:$D$174,2,FALSE)+VLOOKUP(V$3,'Non-Embedded Emissions'!$A$230:$D$259,2,FALSE)), $C60 = "0", 0), 0)</f>
        <v>0</v>
      </c>
      <c r="AB60" s="347">
        <f>IFERROR(_xlfn.IFS($C60="1",('Inputs-System'!$C$30*'Coincidence Factors'!$B$6*(1+'Inputs-System'!$C$18)*(1+'Inputs-System'!$C$41)*('Inputs-Proposals'!$L$17*'Inputs-Proposals'!$L$19*(1-'Inputs-Proposals'!$L$20^(AB$3-'Inputs-System'!$C$7)))*(VLOOKUP(AB$3,Energy!$A$51:$K$83,5,FALSE))), $C60 = "2",('Inputs-System'!$C$30*'Coincidence Factors'!$B$6)*(1+'Inputs-System'!$C$18)*(1+'Inputs-System'!$C$41)*('Inputs-Proposals'!$L$23*'Inputs-Proposals'!$L$25*(1-'Inputs-Proposals'!$L$26^(AB$3-'Inputs-System'!$C$7)))*(VLOOKUP(AB$3,Energy!$A$51:$K$83,5,FALSE)), $C60= "3", ('Inputs-System'!$C$30*'Coincidence Factors'!$B$6*(1+'Inputs-System'!$C$18)*(1+'Inputs-System'!$C$41)*('Inputs-Proposals'!$L$29*'Inputs-Proposals'!$L$31*(1-'Inputs-Proposals'!$L$32^(AB$3-'Inputs-System'!$C$7)))*(VLOOKUP(AB$3,Energy!$A$51:$K$83,5,FALSE))), $C60= "0", 0), 0)</f>
        <v>0</v>
      </c>
      <c r="AC60" s="44">
        <f>IFERROR(_xlfn.IFS($C60="1",('Inputs-System'!$C$30*'Coincidence Factors'!$B$6*(1+'Inputs-System'!$C$18)*(1+'Inputs-System'!$C$41))*'Inputs-Proposals'!$L$17*'Inputs-Proposals'!$L$19*(1-'Inputs-Proposals'!$L$20^(AB$3-'Inputs-System'!$C$7))*(VLOOKUP(AB$3,'Embedded Emissions'!$A$47:$B$78,2,FALSE)+VLOOKUP(AB$3,'Embedded Emissions'!$A$129:$B$158,2,FALSE)), $C60 = "2",('Inputs-System'!$C$30*'Coincidence Factors'!$B$6*(1+'Inputs-System'!$C$18)*(1+'Inputs-System'!$C$41))*'Inputs-Proposals'!$L$23*'Inputs-Proposals'!$L$25*(1-'Inputs-Proposals'!$L$20^(AB$3-'Inputs-System'!$C$7))*(VLOOKUP(AB$3,'Embedded Emissions'!$A$47:$B$78,2,FALSE)+VLOOKUP(AB$3,'Embedded Emissions'!$A$129:$B$158,2,FALSE)), $C60 = "3", ('Inputs-System'!$C$30*'Coincidence Factors'!$B$6*(1+'Inputs-System'!$C$18)*(1+'Inputs-System'!$C$41))*'Inputs-Proposals'!$L$29*'Inputs-Proposals'!$L$31*(1-'Inputs-Proposals'!$L$20^(AB$3-'Inputs-System'!$C$7))*(VLOOKUP(AB$3,'Embedded Emissions'!$A$47:$B$78,2,FALSE)+VLOOKUP(AB$3,'Embedded Emissions'!$A$129:$B$158,2,FALSE)), $C60 = "0", 0), 0)</f>
        <v>0</v>
      </c>
      <c r="AD60" s="44">
        <f>IFERROR(_xlfn.IFS($C60="1",( 'Inputs-System'!$C$30*'Coincidence Factors'!$B$6*(1+'Inputs-System'!$C$18)*(1+'Inputs-System'!$C$41))*('Inputs-Proposals'!$L$17*'Inputs-Proposals'!$L$19*(1-'Inputs-Proposals'!$L$20)^(AB$3-'Inputs-System'!$C$7))*(VLOOKUP(AB$3,DRIPE!$A$54:$I$82,5,FALSE)+VLOOKUP(AB$3,DRIPE!$A$54:$I$82,9,FALSE))+ ('Inputs-System'!$C$26*'Coincidence Factors'!$B$6*(1+'Inputs-System'!$C$18)*(1+'Inputs-System'!$C$42))*'Inputs-Proposals'!$L$16*VLOOKUP(AB$3,DRIPE!$A$54:$I$82,8,FALSE), $C60 = "2",( 'Inputs-System'!$C$30*'Coincidence Factors'!$B$6*(1+'Inputs-System'!$C$18)*(1+'Inputs-System'!$C$41))*('Inputs-Proposals'!$L$23*'Inputs-Proposals'!$L$25*(1-'Inputs-Proposals'!$L$26)^(AB$3-'Inputs-System'!$C$7))*(VLOOKUP(AB$3,DRIPE!$A$54:$I$82,5,FALSE)+VLOOKUP(AB$3,DRIPE!$A$54:$I$82,9,FALSE))+ ('Inputs-System'!$C$26*'Coincidence Factors'!$B$6*(1+'Inputs-System'!$C$18)*(1+'Inputs-System'!$C$42))*'Inputs-Proposals'!$L$22*VLOOKUP(AB$3,DRIPE!$A$54:$I$82,8,FALSE), $C60= "3", ( 'Inputs-System'!$C$30*'Coincidence Factors'!$B$6*(1+'Inputs-System'!$C$18)*(1+'Inputs-System'!$C$41))*('Inputs-Proposals'!$L$29*'Inputs-Proposals'!$L$31*(1-'Inputs-Proposals'!$L$32)^(AB$3-'Inputs-System'!$C$7))*(VLOOKUP(AB$3,DRIPE!$A$54:$I$82,5,FALSE)+VLOOKUP(AB$3,DRIPE!$A$54:$I$82,9,FALSE))+ ('Inputs-System'!$C$26*'Coincidence Factors'!$B$6*(1+'Inputs-System'!$C$18)*(1+'Inputs-System'!$C$42))*'Inputs-Proposals'!$L$28*VLOOKUP(AB$3,DRIPE!$A$54:$I$82,8,FALSE), $C60 = "0", 0), 0)</f>
        <v>0</v>
      </c>
      <c r="AE60" s="45">
        <f>IFERROR(_xlfn.IFS($C60="1",('Inputs-System'!$C$26*'Coincidence Factors'!$B$6*(1+'Inputs-System'!$C$18))*'Inputs-Proposals'!$L$16*(VLOOKUP(AB$3,Capacity!$A$53:$E$85,4,FALSE)*(1+'Inputs-System'!$C$42)+VLOOKUP(AB$3,Capacity!$A$53:$E$85,5,FALSE)*'Inputs-System'!$C$29*(1+'Inputs-System'!$C$43)), $C60 = "2", ('Inputs-System'!$C$26*'Coincidence Factors'!$B$6*(1+'Inputs-System'!$C$18))*'Inputs-Proposals'!$L$22*(VLOOKUP(AB$3,Capacity!$A$53:$E$85,4,FALSE)*(1+'Inputs-System'!$C$42)+VLOOKUP(AB$3,Capacity!$A$53:$E$85,5,FALSE)*'Inputs-System'!$C$29*(1+'Inputs-System'!$C$43)), $C60 = "3",('Inputs-System'!$C$26*'Coincidence Factors'!$B$6*(1+'Inputs-System'!$C$18))*'Inputs-Proposals'!$L$28*(VLOOKUP(AB$3,Capacity!$A$53:$E$85,4,FALSE)*(1+'Inputs-System'!$C$42)+VLOOKUP(AB$3,Capacity!$A$53:$E$85,5,FALSE)*'Inputs-System'!$C$29*(1+'Inputs-System'!$C$43)), $C60 = "0", 0), 0)</f>
        <v>0</v>
      </c>
      <c r="AF60" s="44">
        <v>0</v>
      </c>
      <c r="AG60" s="342">
        <f>IFERROR(_xlfn.IFS($C60="1", 'Inputs-System'!$C$30*'Coincidence Factors'!$B$6*'Inputs-Proposals'!$L$17*'Inputs-Proposals'!$L$19*(VLOOKUP(AB$3,'Non-Embedded Emissions'!$A$56:$D$90,2,FALSE)+VLOOKUP(AB$3,'Non-Embedded Emissions'!$A$143:$D$174,2,FALSE)+VLOOKUP(AB$3,'Non-Embedded Emissions'!$A$230:$D$259,2,FALSE)), $C60 = "2", 'Inputs-System'!$C$30*'Coincidence Factors'!$B$6*'Inputs-Proposals'!$L$23*'Inputs-Proposals'!$L$25*(VLOOKUP(AB$3,'Non-Embedded Emissions'!$A$56:$D$90,2,FALSE)+VLOOKUP(AB$3,'Non-Embedded Emissions'!$A$143:$D$174,2,FALSE)+VLOOKUP(AB$3,'Non-Embedded Emissions'!$A$230:$D$259,2,FALSE)), $C60 = "3", 'Inputs-System'!$C$30*'Coincidence Factors'!$B$6*'Inputs-Proposals'!$L$29*'Inputs-Proposals'!$L$31*(VLOOKUP(AB$3,'Non-Embedded Emissions'!$A$56:$D$90,2,FALSE)+VLOOKUP(AB$3,'Non-Embedded Emissions'!$A$143:$D$174,2,FALSE)+VLOOKUP(AB$3,'Non-Embedded Emissions'!$A$230:$D$259,2,FALSE)), $C60 = "0", 0), 0)</f>
        <v>0</v>
      </c>
      <c r="AH60" s="347">
        <f>IFERROR(_xlfn.IFS($C60="1",('Inputs-System'!$C$30*'Coincidence Factors'!$B$6*(1+'Inputs-System'!$C$18)*(1+'Inputs-System'!$C$41)*('Inputs-Proposals'!$L$17*'Inputs-Proposals'!$L$19*(1-'Inputs-Proposals'!$L$20^(AH$3-'Inputs-System'!$C$7)))*(VLOOKUP(AH$3,Energy!$A$51:$K$83,5,FALSE))), $C60 = "2",('Inputs-System'!$C$30*'Coincidence Factors'!$B$6)*(1+'Inputs-System'!$C$18)*(1+'Inputs-System'!$C$41)*('Inputs-Proposals'!$L$23*'Inputs-Proposals'!$L$25*(1-'Inputs-Proposals'!$L$26^(AH$3-'Inputs-System'!$C$7)))*(VLOOKUP(AH$3,Energy!$A$51:$K$83,5,FALSE)), $C60= "3", ('Inputs-System'!$C$30*'Coincidence Factors'!$B$6*(1+'Inputs-System'!$C$18)*(1+'Inputs-System'!$C$41)*('Inputs-Proposals'!$L$29*'Inputs-Proposals'!$L$31*(1-'Inputs-Proposals'!$L$32^(AH$3-'Inputs-System'!$C$7)))*(VLOOKUP(AH$3,Energy!$A$51:$K$83,5,FALSE))), $C60= "0", 0), 0)</f>
        <v>0</v>
      </c>
      <c r="AI60" s="44">
        <f>IFERROR(_xlfn.IFS($C60="1",('Inputs-System'!$C$30*'Coincidence Factors'!$B$6*(1+'Inputs-System'!$C$18)*(1+'Inputs-System'!$C$41))*'Inputs-Proposals'!$L$17*'Inputs-Proposals'!$L$19*(1-'Inputs-Proposals'!$L$20^(AH$3-'Inputs-System'!$C$7))*(VLOOKUP(AH$3,'Embedded Emissions'!$A$47:$B$78,2,FALSE)+VLOOKUP(AH$3,'Embedded Emissions'!$A$129:$B$158,2,FALSE)), $C60 = "2",('Inputs-System'!$C$30*'Coincidence Factors'!$B$6*(1+'Inputs-System'!$C$18)*(1+'Inputs-System'!$C$41))*'Inputs-Proposals'!$L$23*'Inputs-Proposals'!$L$25*(1-'Inputs-Proposals'!$L$20^(AH$3-'Inputs-System'!$C$7))*(VLOOKUP(AH$3,'Embedded Emissions'!$A$47:$B$78,2,FALSE)+VLOOKUP(AH$3,'Embedded Emissions'!$A$129:$B$158,2,FALSE)), $C60 = "3", ('Inputs-System'!$C$30*'Coincidence Factors'!$B$6*(1+'Inputs-System'!$C$18)*(1+'Inputs-System'!$C$41))*'Inputs-Proposals'!$L$29*'Inputs-Proposals'!$L$31*(1-'Inputs-Proposals'!$L$20^(AH$3-'Inputs-System'!$C$7))*(VLOOKUP(AH$3,'Embedded Emissions'!$A$47:$B$78,2,FALSE)+VLOOKUP(AH$3,'Embedded Emissions'!$A$129:$B$158,2,FALSE)), $C60 = "0", 0), 0)</f>
        <v>0</v>
      </c>
      <c r="AJ60" s="44">
        <f>IFERROR(_xlfn.IFS($C60="1",( 'Inputs-System'!$C$30*'Coincidence Factors'!$B$6*(1+'Inputs-System'!$C$18)*(1+'Inputs-System'!$C$41))*('Inputs-Proposals'!$L$17*'Inputs-Proposals'!$L$19*(1-'Inputs-Proposals'!$L$20)^(AH$3-'Inputs-System'!$C$7))*(VLOOKUP(AH$3,DRIPE!$A$54:$I$82,5,FALSE)+VLOOKUP(AH$3,DRIPE!$A$54:$I$82,9,FALSE))+ ('Inputs-System'!$C$26*'Coincidence Factors'!$B$6*(1+'Inputs-System'!$C$18)*(1+'Inputs-System'!$C$42))*'Inputs-Proposals'!$L$16*VLOOKUP(AH$3,DRIPE!$A$54:$I$82,8,FALSE), $C60 = "2",( 'Inputs-System'!$C$30*'Coincidence Factors'!$B$6*(1+'Inputs-System'!$C$18)*(1+'Inputs-System'!$C$41))*('Inputs-Proposals'!$L$23*'Inputs-Proposals'!$L$25*(1-'Inputs-Proposals'!$L$26)^(AH$3-'Inputs-System'!$C$7))*(VLOOKUP(AH$3,DRIPE!$A$54:$I$82,5,FALSE)+VLOOKUP(AH$3,DRIPE!$A$54:$I$82,9,FALSE))+ ('Inputs-System'!$C$26*'Coincidence Factors'!$B$6*(1+'Inputs-System'!$C$18)*(1+'Inputs-System'!$C$42))*'Inputs-Proposals'!$L$22*VLOOKUP(AH$3,DRIPE!$A$54:$I$82,8,FALSE), $C60= "3", ( 'Inputs-System'!$C$30*'Coincidence Factors'!$B$6*(1+'Inputs-System'!$C$18)*(1+'Inputs-System'!$C$41))*('Inputs-Proposals'!$L$29*'Inputs-Proposals'!$L$31*(1-'Inputs-Proposals'!$L$32)^(AH$3-'Inputs-System'!$C$7))*(VLOOKUP(AH$3,DRIPE!$A$54:$I$82,5,FALSE)+VLOOKUP(AH$3,DRIPE!$A$54:$I$82,9,FALSE))+ ('Inputs-System'!$C$26*'Coincidence Factors'!$B$6*(1+'Inputs-System'!$C$18)*(1+'Inputs-System'!$C$42))*'Inputs-Proposals'!$L$28*VLOOKUP(AH$3,DRIPE!$A$54:$I$82,8,FALSE), $C60 = "0", 0), 0)</f>
        <v>0</v>
      </c>
      <c r="AK60" s="45">
        <f>IFERROR(_xlfn.IFS($C60="1",('Inputs-System'!$C$26*'Coincidence Factors'!$B$6*(1+'Inputs-System'!$C$18))*'Inputs-Proposals'!$L$16*(VLOOKUP(AH$3,Capacity!$A$53:$E$85,4,FALSE)*(1+'Inputs-System'!$C$42)+VLOOKUP(AH$3,Capacity!$A$53:$E$85,5,FALSE)*'Inputs-System'!$C$29*(1+'Inputs-System'!$C$43)), $C60 = "2", ('Inputs-System'!$C$26*'Coincidence Factors'!$B$6*(1+'Inputs-System'!$C$18))*'Inputs-Proposals'!$L$22*(VLOOKUP(AH$3,Capacity!$A$53:$E$85,4,FALSE)*(1+'Inputs-System'!$C$42)+VLOOKUP(AH$3,Capacity!$A$53:$E$85,5,FALSE)*'Inputs-System'!$C$29*(1+'Inputs-System'!$C$43)), $C60 = "3",('Inputs-System'!$C$26*'Coincidence Factors'!$B$6*(1+'Inputs-System'!$C$18))*'Inputs-Proposals'!$L$28*(VLOOKUP(AH$3,Capacity!$A$53:$E$85,4,FALSE)*(1+'Inputs-System'!$C$42)+VLOOKUP(AH$3,Capacity!$A$53:$E$85,5,FALSE)*'Inputs-System'!$C$29*(1+'Inputs-System'!$C$43)), $C60 = "0", 0), 0)</f>
        <v>0</v>
      </c>
      <c r="AL60" s="44">
        <v>0</v>
      </c>
      <c r="AM60" s="342">
        <f>IFERROR(_xlfn.IFS($C60="1", 'Inputs-System'!$C$30*'Coincidence Factors'!$B$6*'Inputs-Proposals'!$L$17*'Inputs-Proposals'!$L$19*(VLOOKUP(AH$3,'Non-Embedded Emissions'!$A$56:$D$90,2,FALSE)+VLOOKUP(AH$3,'Non-Embedded Emissions'!$A$143:$D$174,2,FALSE)+VLOOKUP(AH$3,'Non-Embedded Emissions'!$A$230:$D$259,2,FALSE)), $C60 = "2", 'Inputs-System'!$C$30*'Coincidence Factors'!$B$6*'Inputs-Proposals'!$L$23*'Inputs-Proposals'!$L$25*(VLOOKUP(AH$3,'Non-Embedded Emissions'!$A$56:$D$90,2,FALSE)+VLOOKUP(AH$3,'Non-Embedded Emissions'!$A$143:$D$174,2,FALSE)+VLOOKUP(AH$3,'Non-Embedded Emissions'!$A$230:$D$259,2,FALSE)), $C60 = "3", 'Inputs-System'!$C$30*'Coincidence Factors'!$B$6*'Inputs-Proposals'!$L$29*'Inputs-Proposals'!$L$31*(VLOOKUP(AH$3,'Non-Embedded Emissions'!$A$56:$D$90,2,FALSE)+VLOOKUP(AH$3,'Non-Embedded Emissions'!$A$143:$D$174,2,FALSE)+VLOOKUP(AH$3,'Non-Embedded Emissions'!$A$230:$D$259,2,FALSE)), $C60 = "0", 0), 0)</f>
        <v>0</v>
      </c>
      <c r="AN60" s="347">
        <f>IFERROR(_xlfn.IFS($C60="1",('Inputs-System'!$C$30*'Coincidence Factors'!$B$6*(1+'Inputs-System'!$C$18)*(1+'Inputs-System'!$C$41)*('Inputs-Proposals'!$L$17*'Inputs-Proposals'!$L$19*(1-'Inputs-Proposals'!$L$20^(AN$3-'Inputs-System'!$C$7)))*(VLOOKUP(AN$3,Energy!$A$51:$K$83,5,FALSE))), $C60 = "2",('Inputs-System'!$C$30*'Coincidence Factors'!$B$6)*(1+'Inputs-System'!$C$18)*(1+'Inputs-System'!$C$41)*('Inputs-Proposals'!$L$23*'Inputs-Proposals'!$L$25*(1-'Inputs-Proposals'!$L$26^(AN$3-'Inputs-System'!$C$7)))*(VLOOKUP(AN$3,Energy!$A$51:$K$83,5,FALSE)), $C60= "3", ('Inputs-System'!$C$30*'Coincidence Factors'!$B$6*(1+'Inputs-System'!$C$18)*(1+'Inputs-System'!$C$41)*('Inputs-Proposals'!$L$29*'Inputs-Proposals'!$L$31*(1-'Inputs-Proposals'!$L$32^(AN$3-'Inputs-System'!$C$7)))*(VLOOKUP(AN$3,Energy!$A$51:$K$83,5,FALSE))), $C60= "0", 0), 0)</f>
        <v>0</v>
      </c>
      <c r="AO60" s="44">
        <f>IFERROR(_xlfn.IFS($C60="1",('Inputs-System'!$C$30*'Coincidence Factors'!$B$6*(1+'Inputs-System'!$C$18)*(1+'Inputs-System'!$C$41))*'Inputs-Proposals'!$L$17*'Inputs-Proposals'!$L$19*(1-'Inputs-Proposals'!$L$20^(AN$3-'Inputs-System'!$C$7))*(VLOOKUP(AN$3,'Embedded Emissions'!$A$47:$B$78,2,FALSE)+VLOOKUP(AN$3,'Embedded Emissions'!$A$129:$B$158,2,FALSE)), $C60 = "2",('Inputs-System'!$C$30*'Coincidence Factors'!$B$6*(1+'Inputs-System'!$C$18)*(1+'Inputs-System'!$C$41))*'Inputs-Proposals'!$L$23*'Inputs-Proposals'!$L$25*(1-'Inputs-Proposals'!$L$20^(AN$3-'Inputs-System'!$C$7))*(VLOOKUP(AN$3,'Embedded Emissions'!$A$47:$B$78,2,FALSE)+VLOOKUP(AN$3,'Embedded Emissions'!$A$129:$B$158,2,FALSE)), $C60 = "3", ('Inputs-System'!$C$30*'Coincidence Factors'!$B$6*(1+'Inputs-System'!$C$18)*(1+'Inputs-System'!$C$41))*'Inputs-Proposals'!$L$29*'Inputs-Proposals'!$L$31*(1-'Inputs-Proposals'!$L$20^(AN$3-'Inputs-System'!$C$7))*(VLOOKUP(AN$3,'Embedded Emissions'!$A$47:$B$78,2,FALSE)+VLOOKUP(AN$3,'Embedded Emissions'!$A$129:$B$158,2,FALSE)), $C60 = "0", 0), 0)</f>
        <v>0</v>
      </c>
      <c r="AP60" s="44">
        <f>IFERROR(_xlfn.IFS($C60="1",( 'Inputs-System'!$C$30*'Coincidence Factors'!$B$6*(1+'Inputs-System'!$C$18)*(1+'Inputs-System'!$C$41))*('Inputs-Proposals'!$L$17*'Inputs-Proposals'!$L$19*(1-'Inputs-Proposals'!$L$20)^(AN$3-'Inputs-System'!$C$7))*(VLOOKUP(AN$3,DRIPE!$A$54:$I$82,5,FALSE)+VLOOKUP(AN$3,DRIPE!$A$54:$I$82,9,FALSE))+ ('Inputs-System'!$C$26*'Coincidence Factors'!$B$6*(1+'Inputs-System'!$C$18)*(1+'Inputs-System'!$C$42))*'Inputs-Proposals'!$L$16*VLOOKUP(AN$3,DRIPE!$A$54:$I$82,8,FALSE), $C60 = "2",( 'Inputs-System'!$C$30*'Coincidence Factors'!$B$6*(1+'Inputs-System'!$C$18)*(1+'Inputs-System'!$C$41))*('Inputs-Proposals'!$L$23*'Inputs-Proposals'!$L$25*(1-'Inputs-Proposals'!$L$26)^(AN$3-'Inputs-System'!$C$7))*(VLOOKUP(AN$3,DRIPE!$A$54:$I$82,5,FALSE)+VLOOKUP(AN$3,DRIPE!$A$54:$I$82,9,FALSE))+ ('Inputs-System'!$C$26*'Coincidence Factors'!$B$6*(1+'Inputs-System'!$C$18)*(1+'Inputs-System'!$C$42))*'Inputs-Proposals'!$L$22*VLOOKUP(AN$3,DRIPE!$A$54:$I$82,8,FALSE), $C60= "3", ( 'Inputs-System'!$C$30*'Coincidence Factors'!$B$6*(1+'Inputs-System'!$C$18)*(1+'Inputs-System'!$C$41))*('Inputs-Proposals'!$L$29*'Inputs-Proposals'!$L$31*(1-'Inputs-Proposals'!$L$32)^(AN$3-'Inputs-System'!$C$7))*(VLOOKUP(AN$3,DRIPE!$A$54:$I$82,5,FALSE)+VLOOKUP(AN$3,DRIPE!$A$54:$I$82,9,FALSE))+ ('Inputs-System'!$C$26*'Coincidence Factors'!$B$6*(1+'Inputs-System'!$C$18)*(1+'Inputs-System'!$C$42))*'Inputs-Proposals'!$L$28*VLOOKUP(AN$3,DRIPE!$A$54:$I$82,8,FALSE), $C60 = "0", 0), 0)</f>
        <v>0</v>
      </c>
      <c r="AQ60" s="45">
        <f>IFERROR(_xlfn.IFS($C60="1",('Inputs-System'!$C$26*'Coincidence Factors'!$B$6*(1+'Inputs-System'!$C$18))*'Inputs-Proposals'!$L$16*(VLOOKUP(AN$3,Capacity!$A$53:$E$85,4,FALSE)*(1+'Inputs-System'!$C$42)+VLOOKUP(AN$3,Capacity!$A$53:$E$85,5,FALSE)*'Inputs-System'!$C$29*(1+'Inputs-System'!$C$43)), $C60 = "2", ('Inputs-System'!$C$26*'Coincidence Factors'!$B$6*(1+'Inputs-System'!$C$18))*'Inputs-Proposals'!$L$22*(VLOOKUP(AN$3,Capacity!$A$53:$E$85,4,FALSE)*(1+'Inputs-System'!$C$42)+VLOOKUP(AN$3,Capacity!$A$53:$E$85,5,FALSE)*'Inputs-System'!$C$29*(1+'Inputs-System'!$C$43)), $C60 = "3",('Inputs-System'!$C$26*'Coincidence Factors'!$B$6*(1+'Inputs-System'!$C$18))*'Inputs-Proposals'!$L$28*(VLOOKUP(AN$3,Capacity!$A$53:$E$85,4,FALSE)*(1+'Inputs-System'!$C$42)+VLOOKUP(AN$3,Capacity!$A$53:$E$85,5,FALSE)*'Inputs-System'!$C$29*(1+'Inputs-System'!$C$43)), $C60 = "0", 0), 0)</f>
        <v>0</v>
      </c>
      <c r="AR60" s="44">
        <v>0</v>
      </c>
      <c r="AS60" s="342">
        <f>IFERROR(_xlfn.IFS($C60="1", 'Inputs-System'!$C$30*'Coincidence Factors'!$B$6*'Inputs-Proposals'!$L$17*'Inputs-Proposals'!$L$19*(VLOOKUP(AN$3,'Non-Embedded Emissions'!$A$56:$D$90,2,FALSE)+VLOOKUP(AN$3,'Non-Embedded Emissions'!$A$143:$D$174,2,FALSE)+VLOOKUP(AN$3,'Non-Embedded Emissions'!$A$230:$D$259,2,FALSE)), $C60 = "2", 'Inputs-System'!$C$30*'Coincidence Factors'!$B$6*'Inputs-Proposals'!$L$23*'Inputs-Proposals'!$L$25*(VLOOKUP(AN$3,'Non-Embedded Emissions'!$A$56:$D$90,2,FALSE)+VLOOKUP(AN$3,'Non-Embedded Emissions'!$A$143:$D$174,2,FALSE)+VLOOKUP(AN$3,'Non-Embedded Emissions'!$A$230:$D$259,2,FALSE)), $C60 = "3", 'Inputs-System'!$C$30*'Coincidence Factors'!$B$6*'Inputs-Proposals'!$L$29*'Inputs-Proposals'!$L$31*(VLOOKUP(AN$3,'Non-Embedded Emissions'!$A$56:$D$90,2,FALSE)+VLOOKUP(AN$3,'Non-Embedded Emissions'!$A$143:$D$174,2,FALSE)+VLOOKUP(AN$3,'Non-Embedded Emissions'!$A$230:$D$259,2,FALSE)), $C60 = "0", 0), 0)</f>
        <v>0</v>
      </c>
      <c r="AT60" s="347">
        <f>IFERROR(_xlfn.IFS($C60="1",('Inputs-System'!$C$30*'Coincidence Factors'!$B$6*(1+'Inputs-System'!$C$18)*(1+'Inputs-System'!$C$41)*('Inputs-Proposals'!$L$17*'Inputs-Proposals'!$L$19*(1-'Inputs-Proposals'!$L$20^(AT$3-'Inputs-System'!$C$7)))*(VLOOKUP(AT$3,Energy!$A$51:$K$83,5,FALSE))), $C60 = "2",('Inputs-System'!$C$30*'Coincidence Factors'!$B$6)*(1+'Inputs-System'!$C$18)*(1+'Inputs-System'!$C$41)*('Inputs-Proposals'!$L$23*'Inputs-Proposals'!$L$25*(1-'Inputs-Proposals'!$L$26^(AT$3-'Inputs-System'!$C$7)))*(VLOOKUP(AT$3,Energy!$A$51:$K$83,5,FALSE)), $C60= "3", ('Inputs-System'!$C$30*'Coincidence Factors'!$B$6*(1+'Inputs-System'!$C$18)*(1+'Inputs-System'!$C$41)*('Inputs-Proposals'!$L$29*'Inputs-Proposals'!$L$31*(1-'Inputs-Proposals'!$L$32^(AT$3-'Inputs-System'!$C$7)))*(VLOOKUP(AT$3,Energy!$A$51:$K$83,5,FALSE))), $C60= "0", 0), 0)</f>
        <v>0</v>
      </c>
      <c r="AU60" s="44">
        <f>IFERROR(_xlfn.IFS($C60="1",('Inputs-System'!$C$30*'Coincidence Factors'!$B$6*(1+'Inputs-System'!$C$18)*(1+'Inputs-System'!$C$41))*'Inputs-Proposals'!$L$17*'Inputs-Proposals'!$L$19*(1-'Inputs-Proposals'!$L$20^(AT$3-'Inputs-System'!$C$7))*(VLOOKUP(AT$3,'Embedded Emissions'!$A$47:$B$78,2,FALSE)+VLOOKUP(AT$3,'Embedded Emissions'!$A$129:$B$158,2,FALSE)), $C60 = "2",('Inputs-System'!$C$30*'Coincidence Factors'!$B$6*(1+'Inputs-System'!$C$18)*(1+'Inputs-System'!$C$41))*'Inputs-Proposals'!$L$23*'Inputs-Proposals'!$L$25*(1-'Inputs-Proposals'!$L$20^(AT$3-'Inputs-System'!$C$7))*(VLOOKUP(AT$3,'Embedded Emissions'!$A$47:$B$78,2,FALSE)+VLOOKUP(AT$3,'Embedded Emissions'!$A$129:$B$158,2,FALSE)), $C60 = "3", ('Inputs-System'!$C$30*'Coincidence Factors'!$B$6*(1+'Inputs-System'!$C$18)*(1+'Inputs-System'!$C$41))*'Inputs-Proposals'!$L$29*'Inputs-Proposals'!$L$31*(1-'Inputs-Proposals'!$L$20^(AT$3-'Inputs-System'!$C$7))*(VLOOKUP(AT$3,'Embedded Emissions'!$A$47:$B$78,2,FALSE)+VLOOKUP(AT$3,'Embedded Emissions'!$A$129:$B$158,2,FALSE)), $C60 = "0", 0), 0)</f>
        <v>0</v>
      </c>
      <c r="AV60" s="44">
        <f>IFERROR(_xlfn.IFS($C60="1",( 'Inputs-System'!$C$30*'Coincidence Factors'!$B$6*(1+'Inputs-System'!$C$18)*(1+'Inputs-System'!$C$41))*('Inputs-Proposals'!$L$17*'Inputs-Proposals'!$L$19*(1-'Inputs-Proposals'!$L$20)^(AT$3-'Inputs-System'!$C$7))*(VLOOKUP(AT$3,DRIPE!$A$54:$I$82,5,FALSE)+VLOOKUP(AT$3,DRIPE!$A$54:$I$82,9,FALSE))+ ('Inputs-System'!$C$26*'Coincidence Factors'!$B$6*(1+'Inputs-System'!$C$18)*(1+'Inputs-System'!$C$42))*'Inputs-Proposals'!$L$16*VLOOKUP(AT$3,DRIPE!$A$54:$I$82,8,FALSE), $C60 = "2",( 'Inputs-System'!$C$30*'Coincidence Factors'!$B$6*(1+'Inputs-System'!$C$18)*(1+'Inputs-System'!$C$41))*('Inputs-Proposals'!$L$23*'Inputs-Proposals'!$L$25*(1-'Inputs-Proposals'!$L$26)^(AT$3-'Inputs-System'!$C$7))*(VLOOKUP(AT$3,DRIPE!$A$54:$I$82,5,FALSE)+VLOOKUP(AT$3,DRIPE!$A$54:$I$82,9,FALSE))+ ('Inputs-System'!$C$26*'Coincidence Factors'!$B$6*(1+'Inputs-System'!$C$18)*(1+'Inputs-System'!$C$42))*'Inputs-Proposals'!$L$22*VLOOKUP(AT$3,DRIPE!$A$54:$I$82,8,FALSE), $C60= "3", ( 'Inputs-System'!$C$30*'Coincidence Factors'!$B$6*(1+'Inputs-System'!$C$18)*(1+'Inputs-System'!$C$41))*('Inputs-Proposals'!$L$29*'Inputs-Proposals'!$L$31*(1-'Inputs-Proposals'!$L$32)^(AT$3-'Inputs-System'!$C$7))*(VLOOKUP(AT$3,DRIPE!$A$54:$I$82,5,FALSE)+VLOOKUP(AT$3,DRIPE!$A$54:$I$82,9,FALSE))+ ('Inputs-System'!$C$26*'Coincidence Factors'!$B$6*(1+'Inputs-System'!$C$18)*(1+'Inputs-System'!$C$42))*'Inputs-Proposals'!$L$28*VLOOKUP(AT$3,DRIPE!$A$54:$I$82,8,FALSE), $C60 = "0", 0), 0)</f>
        <v>0</v>
      </c>
      <c r="AW60" s="45">
        <f>IFERROR(_xlfn.IFS($C60="1",('Inputs-System'!$C$26*'Coincidence Factors'!$B$6*(1+'Inputs-System'!$C$18))*'Inputs-Proposals'!$L$16*(VLOOKUP(AT$3,Capacity!$A$53:$E$85,4,FALSE)*(1+'Inputs-System'!$C$42)+VLOOKUP(AT$3,Capacity!$A$53:$E$85,5,FALSE)*'Inputs-System'!$C$29*(1+'Inputs-System'!$C$43)), $C60 = "2", ('Inputs-System'!$C$26*'Coincidence Factors'!$B$6*(1+'Inputs-System'!$C$18))*'Inputs-Proposals'!$L$22*(VLOOKUP(AT$3,Capacity!$A$53:$E$85,4,FALSE)*(1+'Inputs-System'!$C$42)+VLOOKUP(AT$3,Capacity!$A$53:$E$85,5,FALSE)*'Inputs-System'!$C$29*(1+'Inputs-System'!$C$43)), $C60 = "3",('Inputs-System'!$C$26*'Coincidence Factors'!$B$6*(1+'Inputs-System'!$C$18))*'Inputs-Proposals'!$L$28*(VLOOKUP(AT$3,Capacity!$A$53:$E$85,4,FALSE)*(1+'Inputs-System'!$C$42)+VLOOKUP(AT$3,Capacity!$A$53:$E$85,5,FALSE)*'Inputs-System'!$C$29*(1+'Inputs-System'!$C$43)), $C60 = "0", 0), 0)</f>
        <v>0</v>
      </c>
      <c r="AX60" s="44">
        <v>0</v>
      </c>
      <c r="AY60" s="342">
        <f>IFERROR(_xlfn.IFS($C60="1", 'Inputs-System'!$C$30*'Coincidence Factors'!$B$6*'Inputs-Proposals'!$L$17*'Inputs-Proposals'!$L$19*(VLOOKUP(AT$3,'Non-Embedded Emissions'!$A$56:$D$90,2,FALSE)+VLOOKUP(AT$3,'Non-Embedded Emissions'!$A$143:$D$174,2,FALSE)+VLOOKUP(AT$3,'Non-Embedded Emissions'!$A$230:$D$259,2,FALSE)), $C60 = "2", 'Inputs-System'!$C$30*'Coincidence Factors'!$B$6*'Inputs-Proposals'!$L$23*'Inputs-Proposals'!$L$25*(VLOOKUP(AT$3,'Non-Embedded Emissions'!$A$56:$D$90,2,FALSE)+VLOOKUP(AT$3,'Non-Embedded Emissions'!$A$143:$D$174,2,FALSE)+VLOOKUP(AT$3,'Non-Embedded Emissions'!$A$230:$D$259,2,FALSE)), $C60 = "3", 'Inputs-System'!$C$30*'Coincidence Factors'!$B$6*'Inputs-Proposals'!$L$29*'Inputs-Proposals'!$L$31*(VLOOKUP(AT$3,'Non-Embedded Emissions'!$A$56:$D$90,2,FALSE)+VLOOKUP(AT$3,'Non-Embedded Emissions'!$A$143:$D$174,2,FALSE)+VLOOKUP(AT$3,'Non-Embedded Emissions'!$A$230:$D$259,2,FALSE)), $C60 = "0", 0), 0)</f>
        <v>0</v>
      </c>
      <c r="AZ60" s="347">
        <f>IFERROR(_xlfn.IFS($C60="1",('Inputs-System'!$C$30*'Coincidence Factors'!$B$6*(1+'Inputs-System'!$C$18)*(1+'Inputs-System'!$C$41)*('Inputs-Proposals'!$L$17*'Inputs-Proposals'!$L$19*(1-'Inputs-Proposals'!$L$20^(AZ$3-'Inputs-System'!$C$7)))*(VLOOKUP(AZ$3,Energy!$A$51:$K$83,5,FALSE))), $C60 = "2",('Inputs-System'!$C$30*'Coincidence Factors'!$B$6)*(1+'Inputs-System'!$C$18)*(1+'Inputs-System'!$C$41)*('Inputs-Proposals'!$L$23*'Inputs-Proposals'!$L$25*(1-'Inputs-Proposals'!$L$26^(AZ$3-'Inputs-System'!$C$7)))*(VLOOKUP(AZ$3,Energy!$A$51:$K$83,5,FALSE)), $C60= "3", ('Inputs-System'!$C$30*'Coincidence Factors'!$B$6*(1+'Inputs-System'!$C$18)*(1+'Inputs-System'!$C$41)*('Inputs-Proposals'!$L$29*'Inputs-Proposals'!$L$31*(1-'Inputs-Proposals'!$L$32^(AZ$3-'Inputs-System'!$C$7)))*(VLOOKUP(AZ$3,Energy!$A$51:$K$83,5,FALSE))), $C60= "0", 0), 0)</f>
        <v>0</v>
      </c>
      <c r="BA60" s="44">
        <f>IFERROR(_xlfn.IFS($C60="1",('Inputs-System'!$C$30*'Coincidence Factors'!$B$6*(1+'Inputs-System'!$C$18)*(1+'Inputs-System'!$C$41))*'Inputs-Proposals'!$L$17*'Inputs-Proposals'!$L$19*(1-'Inputs-Proposals'!$L$20^(AZ$3-'Inputs-System'!$C$7))*(VLOOKUP(AZ$3,'Embedded Emissions'!$A$47:$B$78,2,FALSE)+VLOOKUP(AZ$3,'Embedded Emissions'!$A$129:$B$158,2,FALSE)), $C60 = "2",('Inputs-System'!$C$30*'Coincidence Factors'!$B$6*(1+'Inputs-System'!$C$18)*(1+'Inputs-System'!$C$41))*'Inputs-Proposals'!$L$23*'Inputs-Proposals'!$L$25*(1-'Inputs-Proposals'!$L$20^(AZ$3-'Inputs-System'!$C$7))*(VLOOKUP(AZ$3,'Embedded Emissions'!$A$47:$B$78,2,FALSE)+VLOOKUP(AZ$3,'Embedded Emissions'!$A$129:$B$158,2,FALSE)), $C60 = "3", ('Inputs-System'!$C$30*'Coincidence Factors'!$B$6*(1+'Inputs-System'!$C$18)*(1+'Inputs-System'!$C$41))*'Inputs-Proposals'!$L$29*'Inputs-Proposals'!$L$31*(1-'Inputs-Proposals'!$L$20^(AZ$3-'Inputs-System'!$C$7))*(VLOOKUP(AZ$3,'Embedded Emissions'!$A$47:$B$78,2,FALSE)+VLOOKUP(AZ$3,'Embedded Emissions'!$A$129:$B$158,2,FALSE)), $C60 = "0", 0), 0)</f>
        <v>0</v>
      </c>
      <c r="BB60" s="44">
        <f>IFERROR(_xlfn.IFS($C60="1",( 'Inputs-System'!$C$30*'Coincidence Factors'!$B$6*(1+'Inputs-System'!$C$18)*(1+'Inputs-System'!$C$41))*('Inputs-Proposals'!$L$17*'Inputs-Proposals'!$L$19*(1-'Inputs-Proposals'!$L$20)^(AZ$3-'Inputs-System'!$C$7))*(VLOOKUP(AZ$3,DRIPE!$A$54:$I$82,5,FALSE)+VLOOKUP(AZ$3,DRIPE!$A$54:$I$82,9,FALSE))+ ('Inputs-System'!$C$26*'Coincidence Factors'!$B$6*(1+'Inputs-System'!$C$18)*(1+'Inputs-System'!$C$42))*'Inputs-Proposals'!$L$16*VLOOKUP(AZ$3,DRIPE!$A$54:$I$82,8,FALSE), $C60 = "2",( 'Inputs-System'!$C$30*'Coincidence Factors'!$B$6*(1+'Inputs-System'!$C$18)*(1+'Inputs-System'!$C$41))*('Inputs-Proposals'!$L$23*'Inputs-Proposals'!$L$25*(1-'Inputs-Proposals'!$L$26)^(AZ$3-'Inputs-System'!$C$7))*(VLOOKUP(AZ$3,DRIPE!$A$54:$I$82,5,FALSE)+VLOOKUP(AZ$3,DRIPE!$A$54:$I$82,9,FALSE))+ ('Inputs-System'!$C$26*'Coincidence Factors'!$B$6*(1+'Inputs-System'!$C$18)*(1+'Inputs-System'!$C$42))*'Inputs-Proposals'!$L$22*VLOOKUP(AZ$3,DRIPE!$A$54:$I$82,8,FALSE), $C60= "3", ( 'Inputs-System'!$C$30*'Coincidence Factors'!$B$6*(1+'Inputs-System'!$C$18)*(1+'Inputs-System'!$C$41))*('Inputs-Proposals'!$L$29*'Inputs-Proposals'!$L$31*(1-'Inputs-Proposals'!$L$32)^(AZ$3-'Inputs-System'!$C$7))*(VLOOKUP(AZ$3,DRIPE!$A$54:$I$82,5,FALSE)+VLOOKUP(AZ$3,DRIPE!$A$54:$I$82,9,FALSE))+ ('Inputs-System'!$C$26*'Coincidence Factors'!$B$6*(1+'Inputs-System'!$C$18)*(1+'Inputs-System'!$C$42))*'Inputs-Proposals'!$L$28*VLOOKUP(AZ$3,DRIPE!$A$54:$I$82,8,FALSE), $C60 = "0", 0), 0)</f>
        <v>0</v>
      </c>
      <c r="BC60" s="45">
        <f>IFERROR(_xlfn.IFS($C60="1",('Inputs-System'!$C$26*'Coincidence Factors'!$B$6*(1+'Inputs-System'!$C$18))*'Inputs-Proposals'!$L$16*(VLOOKUP(AZ$3,Capacity!$A$53:$E$85,4,FALSE)*(1+'Inputs-System'!$C$42)+VLOOKUP(AZ$3,Capacity!$A$53:$E$85,5,FALSE)*'Inputs-System'!$C$29*(1+'Inputs-System'!$C$43)), $C60 = "2", ('Inputs-System'!$C$26*'Coincidence Factors'!$B$6*(1+'Inputs-System'!$C$18))*'Inputs-Proposals'!$L$22*(VLOOKUP(AZ$3,Capacity!$A$53:$E$85,4,FALSE)*(1+'Inputs-System'!$C$42)+VLOOKUP(AZ$3,Capacity!$A$53:$E$85,5,FALSE)*'Inputs-System'!$C$29*(1+'Inputs-System'!$C$43)), $C60 = "3",('Inputs-System'!$C$26*'Coincidence Factors'!$B$6*(1+'Inputs-System'!$C$18))*'Inputs-Proposals'!$L$28*(VLOOKUP(AZ$3,Capacity!$A$53:$E$85,4,FALSE)*(1+'Inputs-System'!$C$42)+VLOOKUP(AZ$3,Capacity!$A$53:$E$85,5,FALSE)*'Inputs-System'!$C$29*(1+'Inputs-System'!$C$43)), $C60 = "0", 0), 0)</f>
        <v>0</v>
      </c>
      <c r="BD60" s="44">
        <v>0</v>
      </c>
      <c r="BE60" s="342">
        <f>IFERROR(_xlfn.IFS($C60="1", 'Inputs-System'!$C$30*'Coincidence Factors'!$B$6*'Inputs-Proposals'!$L$17*'Inputs-Proposals'!$L$19*(VLOOKUP(AZ$3,'Non-Embedded Emissions'!$A$56:$D$90,2,FALSE)+VLOOKUP(AZ$3,'Non-Embedded Emissions'!$A$143:$D$174,2,FALSE)+VLOOKUP(AZ$3,'Non-Embedded Emissions'!$A$230:$D$259,2,FALSE)), $C60 = "2", 'Inputs-System'!$C$30*'Coincidence Factors'!$B$6*'Inputs-Proposals'!$L$23*'Inputs-Proposals'!$L$25*(VLOOKUP(AZ$3,'Non-Embedded Emissions'!$A$56:$D$90,2,FALSE)+VLOOKUP(AZ$3,'Non-Embedded Emissions'!$A$143:$D$174,2,FALSE)+VLOOKUP(AZ$3,'Non-Embedded Emissions'!$A$230:$D$259,2,FALSE)), $C60 = "3", 'Inputs-System'!$C$30*'Coincidence Factors'!$B$6*'Inputs-Proposals'!$L$29*'Inputs-Proposals'!$L$31*(VLOOKUP(AZ$3,'Non-Embedded Emissions'!$A$56:$D$90,2,FALSE)+VLOOKUP(AZ$3,'Non-Embedded Emissions'!$A$143:$D$174,2,FALSE)+VLOOKUP(AZ$3,'Non-Embedded Emissions'!$A$230:$D$259,2,FALSE)), $C60 = "0", 0), 0)</f>
        <v>0</v>
      </c>
      <c r="BF60" s="347">
        <f>IFERROR(_xlfn.IFS($C60="1",('Inputs-System'!$C$30*'Coincidence Factors'!$B$6*(1+'Inputs-System'!$C$18)*(1+'Inputs-System'!$C$41)*('Inputs-Proposals'!$L$17*'Inputs-Proposals'!$L$19*(1-'Inputs-Proposals'!$L$20^(BF$3-'Inputs-System'!$C$7)))*(VLOOKUP(BF$3,Energy!$A$51:$K$83,5,FALSE))), $C60 = "2",('Inputs-System'!$C$30*'Coincidence Factors'!$B$6)*(1+'Inputs-System'!$C$18)*(1+'Inputs-System'!$C$41)*('Inputs-Proposals'!$L$23*'Inputs-Proposals'!$L$25*(1-'Inputs-Proposals'!$L$26^(BF$3-'Inputs-System'!$C$7)))*(VLOOKUP(BF$3,Energy!$A$51:$K$83,5,FALSE)), $C60= "3", ('Inputs-System'!$C$30*'Coincidence Factors'!$B$6*(1+'Inputs-System'!$C$18)*(1+'Inputs-System'!$C$41)*('Inputs-Proposals'!$L$29*'Inputs-Proposals'!$L$31*(1-'Inputs-Proposals'!$L$32^(BF$3-'Inputs-System'!$C$7)))*(VLOOKUP(BF$3,Energy!$A$51:$K$83,5,FALSE))), $C60= "0", 0), 0)</f>
        <v>0</v>
      </c>
      <c r="BG60" s="44">
        <f>IFERROR(_xlfn.IFS($C60="1",('Inputs-System'!$C$30*'Coincidence Factors'!$B$6*(1+'Inputs-System'!$C$18)*(1+'Inputs-System'!$C$41))*'Inputs-Proposals'!$L$17*'Inputs-Proposals'!$L$19*(1-'Inputs-Proposals'!$L$20^(BF$3-'Inputs-System'!$C$7))*(VLOOKUP(BF$3,'Embedded Emissions'!$A$47:$B$78,2,FALSE)+VLOOKUP(BF$3,'Embedded Emissions'!$A$129:$B$158,2,FALSE)), $C60 = "2",('Inputs-System'!$C$30*'Coincidence Factors'!$B$6*(1+'Inputs-System'!$C$18)*(1+'Inputs-System'!$C$41))*'Inputs-Proposals'!$L$23*'Inputs-Proposals'!$L$25*(1-'Inputs-Proposals'!$L$20^(BF$3-'Inputs-System'!$C$7))*(VLOOKUP(BF$3,'Embedded Emissions'!$A$47:$B$78,2,FALSE)+VLOOKUP(BF$3,'Embedded Emissions'!$A$129:$B$158,2,FALSE)), $C60 = "3", ('Inputs-System'!$C$30*'Coincidence Factors'!$B$6*(1+'Inputs-System'!$C$18)*(1+'Inputs-System'!$C$41))*'Inputs-Proposals'!$L$29*'Inputs-Proposals'!$L$31*(1-'Inputs-Proposals'!$L$20^(BF$3-'Inputs-System'!$C$7))*(VLOOKUP(BF$3,'Embedded Emissions'!$A$47:$B$78,2,FALSE)+VLOOKUP(BF$3,'Embedded Emissions'!$A$129:$B$158,2,FALSE)), $C60 = "0", 0), 0)</f>
        <v>0</v>
      </c>
      <c r="BH60" s="44">
        <f>IFERROR(_xlfn.IFS($C60="1",( 'Inputs-System'!$C$30*'Coincidence Factors'!$B$6*(1+'Inputs-System'!$C$18)*(1+'Inputs-System'!$C$41))*('Inputs-Proposals'!$L$17*'Inputs-Proposals'!$L$19*(1-'Inputs-Proposals'!$L$20)^(BF$3-'Inputs-System'!$C$7))*(VLOOKUP(BF$3,DRIPE!$A$54:$I$82,5,FALSE)+VLOOKUP(BF$3,DRIPE!$A$54:$I$82,9,FALSE))+ ('Inputs-System'!$C$26*'Coincidence Factors'!$B$6*(1+'Inputs-System'!$C$18)*(1+'Inputs-System'!$C$42))*'Inputs-Proposals'!$L$16*VLOOKUP(BF$3,DRIPE!$A$54:$I$82,8,FALSE), $C60 = "2",( 'Inputs-System'!$C$30*'Coincidence Factors'!$B$6*(1+'Inputs-System'!$C$18)*(1+'Inputs-System'!$C$41))*('Inputs-Proposals'!$L$23*'Inputs-Proposals'!$L$25*(1-'Inputs-Proposals'!$L$26)^(BF$3-'Inputs-System'!$C$7))*(VLOOKUP(BF$3,DRIPE!$A$54:$I$82,5,FALSE)+VLOOKUP(BF$3,DRIPE!$A$54:$I$82,9,FALSE))+ ('Inputs-System'!$C$26*'Coincidence Factors'!$B$6*(1+'Inputs-System'!$C$18)*(1+'Inputs-System'!$C$42))*'Inputs-Proposals'!$L$22*VLOOKUP(BF$3,DRIPE!$A$54:$I$82,8,FALSE), $C60= "3", ( 'Inputs-System'!$C$30*'Coincidence Factors'!$B$6*(1+'Inputs-System'!$C$18)*(1+'Inputs-System'!$C$41))*('Inputs-Proposals'!$L$29*'Inputs-Proposals'!$L$31*(1-'Inputs-Proposals'!$L$32)^(BF$3-'Inputs-System'!$C$7))*(VLOOKUP(BF$3,DRIPE!$A$54:$I$82,5,FALSE)+VLOOKUP(BF$3,DRIPE!$A$54:$I$82,9,FALSE))+ ('Inputs-System'!$C$26*'Coincidence Factors'!$B$6*(1+'Inputs-System'!$C$18)*(1+'Inputs-System'!$C$42))*'Inputs-Proposals'!$L$28*VLOOKUP(BF$3,DRIPE!$A$54:$I$82,8,FALSE), $C60 = "0", 0), 0)</f>
        <v>0</v>
      </c>
      <c r="BI60" s="45">
        <f>IFERROR(_xlfn.IFS($C60="1",('Inputs-System'!$C$26*'Coincidence Factors'!$B$6*(1+'Inputs-System'!$C$18))*'Inputs-Proposals'!$L$16*(VLOOKUP(BF$3,Capacity!$A$53:$E$85,4,FALSE)*(1+'Inputs-System'!$C$42)+VLOOKUP(BF$3,Capacity!$A$53:$E$85,5,FALSE)*'Inputs-System'!$C$29*(1+'Inputs-System'!$C$43)), $C60 = "2", ('Inputs-System'!$C$26*'Coincidence Factors'!$B$6*(1+'Inputs-System'!$C$18))*'Inputs-Proposals'!$L$22*(VLOOKUP(BF$3,Capacity!$A$53:$E$85,4,FALSE)*(1+'Inputs-System'!$C$42)+VLOOKUP(BF$3,Capacity!$A$53:$E$85,5,FALSE)*'Inputs-System'!$C$29*(1+'Inputs-System'!$C$43)), $C60 = "3",('Inputs-System'!$C$26*'Coincidence Factors'!$B$6*(1+'Inputs-System'!$C$18))*'Inputs-Proposals'!$L$28*(VLOOKUP(BF$3,Capacity!$A$53:$E$85,4,FALSE)*(1+'Inputs-System'!$C$42)+VLOOKUP(BF$3,Capacity!$A$53:$E$85,5,FALSE)*'Inputs-System'!$C$29*(1+'Inputs-System'!$C$43)), $C60 = "0", 0), 0)</f>
        <v>0</v>
      </c>
      <c r="BJ60" s="44">
        <v>0</v>
      </c>
      <c r="BK60" s="342">
        <f>IFERROR(_xlfn.IFS($C60="1", 'Inputs-System'!$C$30*'Coincidence Factors'!$B$6*'Inputs-Proposals'!$L$17*'Inputs-Proposals'!$L$19*(VLOOKUP(BF$3,'Non-Embedded Emissions'!$A$56:$D$90,2,FALSE)+VLOOKUP(BF$3,'Non-Embedded Emissions'!$A$143:$D$174,2,FALSE)+VLOOKUP(BF$3,'Non-Embedded Emissions'!$A$230:$D$259,2,FALSE)), $C60 = "2", 'Inputs-System'!$C$30*'Coincidence Factors'!$B$6*'Inputs-Proposals'!$L$23*'Inputs-Proposals'!$L$25*(VLOOKUP(BF$3,'Non-Embedded Emissions'!$A$56:$D$90,2,FALSE)+VLOOKUP(BF$3,'Non-Embedded Emissions'!$A$143:$D$174,2,FALSE)+VLOOKUP(BF$3,'Non-Embedded Emissions'!$A$230:$D$259,2,FALSE)), $C60 = "3", 'Inputs-System'!$C$30*'Coincidence Factors'!$B$6*'Inputs-Proposals'!$L$29*'Inputs-Proposals'!$L$31*(VLOOKUP(BF$3,'Non-Embedded Emissions'!$A$56:$D$90,2,FALSE)+VLOOKUP(BF$3,'Non-Embedded Emissions'!$A$143:$D$174,2,FALSE)+VLOOKUP(BF$3,'Non-Embedded Emissions'!$A$230:$D$259,2,FALSE)), $C60 = "0", 0), 0)</f>
        <v>0</v>
      </c>
      <c r="BL60" s="347">
        <f>IFERROR(_xlfn.IFS($C60="1",('Inputs-System'!$C$30*'Coincidence Factors'!$B$6*(1+'Inputs-System'!$C$18)*(1+'Inputs-System'!$C$41)*('Inputs-Proposals'!$L$17*'Inputs-Proposals'!$L$19*(1-'Inputs-Proposals'!$L$20^(BL$3-'Inputs-System'!$C$7)))*(VLOOKUP(BL$3,Energy!$A$51:$K$83,5,FALSE))), $C60 = "2",('Inputs-System'!$C$30*'Coincidence Factors'!$B$6)*(1+'Inputs-System'!$C$18)*(1+'Inputs-System'!$C$41)*('Inputs-Proposals'!$L$23*'Inputs-Proposals'!$L$25*(1-'Inputs-Proposals'!$L$26^(BL$3-'Inputs-System'!$C$7)))*(VLOOKUP(BL$3,Energy!$A$51:$K$83,5,FALSE)), $C60= "3", ('Inputs-System'!$C$30*'Coincidence Factors'!$B$6*(1+'Inputs-System'!$C$18)*(1+'Inputs-System'!$C$41)*('Inputs-Proposals'!$L$29*'Inputs-Proposals'!$L$31*(1-'Inputs-Proposals'!$L$32^(BL$3-'Inputs-System'!$C$7)))*(VLOOKUP(BL$3,Energy!$A$51:$K$83,5,FALSE))), $C60= "0", 0), 0)</f>
        <v>0</v>
      </c>
      <c r="BM60" s="44">
        <f>IFERROR(_xlfn.IFS($C60="1",('Inputs-System'!$C$30*'Coincidence Factors'!$B$6*(1+'Inputs-System'!$C$18)*(1+'Inputs-System'!$C$41))*'Inputs-Proposals'!$L$17*'Inputs-Proposals'!$L$19*(1-'Inputs-Proposals'!$L$20^(BL$3-'Inputs-System'!$C$7))*(VLOOKUP(BL$3,'Embedded Emissions'!$A$47:$B$78,2,FALSE)+VLOOKUP(BL$3,'Embedded Emissions'!$A$129:$B$158,2,FALSE)), $C60 = "2",('Inputs-System'!$C$30*'Coincidence Factors'!$B$6*(1+'Inputs-System'!$C$18)*(1+'Inputs-System'!$C$41))*'Inputs-Proposals'!$L$23*'Inputs-Proposals'!$L$25*(1-'Inputs-Proposals'!$L$20^(BL$3-'Inputs-System'!$C$7))*(VLOOKUP(BL$3,'Embedded Emissions'!$A$47:$B$78,2,FALSE)+VLOOKUP(BL$3,'Embedded Emissions'!$A$129:$B$158,2,FALSE)), $C60 = "3", ('Inputs-System'!$C$30*'Coincidence Factors'!$B$6*(1+'Inputs-System'!$C$18)*(1+'Inputs-System'!$C$41))*'Inputs-Proposals'!$L$29*'Inputs-Proposals'!$L$31*(1-'Inputs-Proposals'!$L$20^(BL$3-'Inputs-System'!$C$7))*(VLOOKUP(BL$3,'Embedded Emissions'!$A$47:$B$78,2,FALSE)+VLOOKUP(BL$3,'Embedded Emissions'!$A$129:$B$158,2,FALSE)), $C60 = "0", 0), 0)</f>
        <v>0</v>
      </c>
      <c r="BN60" s="44">
        <f>IFERROR(_xlfn.IFS($C60="1",( 'Inputs-System'!$C$30*'Coincidence Factors'!$B$6*(1+'Inputs-System'!$C$18)*(1+'Inputs-System'!$C$41))*('Inputs-Proposals'!$L$17*'Inputs-Proposals'!$L$19*(1-'Inputs-Proposals'!$L$20)^(BL$3-'Inputs-System'!$C$7))*(VLOOKUP(BL$3,DRIPE!$A$54:$I$82,5,FALSE)+VLOOKUP(BL$3,DRIPE!$A$54:$I$82,9,FALSE))+ ('Inputs-System'!$C$26*'Coincidence Factors'!$B$6*(1+'Inputs-System'!$C$18)*(1+'Inputs-System'!$C$42))*'Inputs-Proposals'!$L$16*VLOOKUP(BL$3,DRIPE!$A$54:$I$82,8,FALSE), $C60 = "2",( 'Inputs-System'!$C$30*'Coincidence Factors'!$B$6*(1+'Inputs-System'!$C$18)*(1+'Inputs-System'!$C$41))*('Inputs-Proposals'!$L$23*'Inputs-Proposals'!$L$25*(1-'Inputs-Proposals'!$L$26)^(BL$3-'Inputs-System'!$C$7))*(VLOOKUP(BL$3,DRIPE!$A$54:$I$82,5,FALSE)+VLOOKUP(BL$3,DRIPE!$A$54:$I$82,9,FALSE))+ ('Inputs-System'!$C$26*'Coincidence Factors'!$B$6*(1+'Inputs-System'!$C$18)*(1+'Inputs-System'!$C$42))*'Inputs-Proposals'!$L$22*VLOOKUP(BL$3,DRIPE!$A$54:$I$82,8,FALSE), $C60= "3", ( 'Inputs-System'!$C$30*'Coincidence Factors'!$B$6*(1+'Inputs-System'!$C$18)*(1+'Inputs-System'!$C$41))*('Inputs-Proposals'!$L$29*'Inputs-Proposals'!$L$31*(1-'Inputs-Proposals'!$L$32)^(BL$3-'Inputs-System'!$C$7))*(VLOOKUP(BL$3,DRIPE!$A$54:$I$82,5,FALSE)+VLOOKUP(BL$3,DRIPE!$A$54:$I$82,9,FALSE))+ ('Inputs-System'!$C$26*'Coincidence Factors'!$B$6*(1+'Inputs-System'!$C$18)*(1+'Inputs-System'!$C$42))*'Inputs-Proposals'!$L$28*VLOOKUP(BL$3,DRIPE!$A$54:$I$82,8,FALSE), $C60 = "0", 0), 0)</f>
        <v>0</v>
      </c>
      <c r="BO60" s="45">
        <f>IFERROR(_xlfn.IFS($C60="1",('Inputs-System'!$C$26*'Coincidence Factors'!$B$6*(1+'Inputs-System'!$C$18))*'Inputs-Proposals'!$L$16*(VLOOKUP(BL$3,Capacity!$A$53:$E$85,4,FALSE)*(1+'Inputs-System'!$C$42)+VLOOKUP(BL$3,Capacity!$A$53:$E$85,5,FALSE)*'Inputs-System'!$C$29*(1+'Inputs-System'!$C$43)), $C60 = "2", ('Inputs-System'!$C$26*'Coincidence Factors'!$B$6*(1+'Inputs-System'!$C$18))*'Inputs-Proposals'!$L$22*(VLOOKUP(BL$3,Capacity!$A$53:$E$85,4,FALSE)*(1+'Inputs-System'!$C$42)+VLOOKUP(BL$3,Capacity!$A$53:$E$85,5,FALSE)*'Inputs-System'!$C$29*(1+'Inputs-System'!$C$43)), $C60 = "3",('Inputs-System'!$C$26*'Coincidence Factors'!$B$6*(1+'Inputs-System'!$C$18))*'Inputs-Proposals'!$L$28*(VLOOKUP(BL$3,Capacity!$A$53:$E$85,4,FALSE)*(1+'Inputs-System'!$C$42)+VLOOKUP(BL$3,Capacity!$A$53:$E$85,5,FALSE)*'Inputs-System'!$C$29*(1+'Inputs-System'!$C$43)), $C60 = "0", 0), 0)</f>
        <v>0</v>
      </c>
      <c r="BP60" s="44">
        <v>0</v>
      </c>
      <c r="BQ60" s="342">
        <f>IFERROR(_xlfn.IFS($C60="1", 'Inputs-System'!$C$30*'Coincidence Factors'!$B$6*'Inputs-Proposals'!$L$17*'Inputs-Proposals'!$L$19*(VLOOKUP(BL$3,'Non-Embedded Emissions'!$A$56:$D$90,2,FALSE)+VLOOKUP(BL$3,'Non-Embedded Emissions'!$A$143:$D$174,2,FALSE)+VLOOKUP(BL$3,'Non-Embedded Emissions'!$A$230:$D$259,2,FALSE)), $C60 = "2", 'Inputs-System'!$C$30*'Coincidence Factors'!$B$6*'Inputs-Proposals'!$L$23*'Inputs-Proposals'!$L$25*(VLOOKUP(BL$3,'Non-Embedded Emissions'!$A$56:$D$90,2,FALSE)+VLOOKUP(BL$3,'Non-Embedded Emissions'!$A$143:$D$174,2,FALSE)+VLOOKUP(BL$3,'Non-Embedded Emissions'!$A$230:$D$259,2,FALSE)), $C60 = "3", 'Inputs-System'!$C$30*'Coincidence Factors'!$B$6*'Inputs-Proposals'!$L$29*'Inputs-Proposals'!$L$31*(VLOOKUP(BL$3,'Non-Embedded Emissions'!$A$56:$D$90,2,FALSE)+VLOOKUP(BL$3,'Non-Embedded Emissions'!$A$143:$D$174,2,FALSE)+VLOOKUP(BL$3,'Non-Embedded Emissions'!$A$230:$D$259,2,FALSE)), $C60 = "0", 0), 0)</f>
        <v>0</v>
      </c>
      <c r="BR60" s="347">
        <f>IFERROR(_xlfn.IFS($C60="1",('Inputs-System'!$C$30*'Coincidence Factors'!$B$6*(1+'Inputs-System'!$C$18)*(1+'Inputs-System'!$C$41)*('Inputs-Proposals'!$L$17*'Inputs-Proposals'!$L$19*(1-'Inputs-Proposals'!$L$20^(BR$3-'Inputs-System'!$C$7)))*(VLOOKUP(BR$3,Energy!$A$51:$K$83,5,FALSE))), $C60 = "2",('Inputs-System'!$C$30*'Coincidence Factors'!$B$6)*(1+'Inputs-System'!$C$18)*(1+'Inputs-System'!$C$41)*('Inputs-Proposals'!$L$23*'Inputs-Proposals'!$L$25*(1-'Inputs-Proposals'!$L$26^(BR$3-'Inputs-System'!$C$7)))*(VLOOKUP(BR$3,Energy!$A$51:$K$83,5,FALSE)), $C60= "3", ('Inputs-System'!$C$30*'Coincidence Factors'!$B$6*(1+'Inputs-System'!$C$18)*(1+'Inputs-System'!$C$41)*('Inputs-Proposals'!$L$29*'Inputs-Proposals'!$L$31*(1-'Inputs-Proposals'!$L$32^(BR$3-'Inputs-System'!$C$7)))*(VLOOKUP(BR$3,Energy!$A$51:$K$83,5,FALSE))), $C60= "0", 0), 0)</f>
        <v>0</v>
      </c>
      <c r="BS60" s="44">
        <f>IFERROR(_xlfn.IFS($C60="1",('Inputs-System'!$C$30*'Coincidence Factors'!$B$6*(1+'Inputs-System'!$C$18)*(1+'Inputs-System'!$C$41))*'Inputs-Proposals'!$L$17*'Inputs-Proposals'!$L$19*(1-'Inputs-Proposals'!$L$20^(BR$3-'Inputs-System'!$C$7))*(VLOOKUP(BR$3,'Embedded Emissions'!$A$47:$B$78,2,FALSE)+VLOOKUP(BR$3,'Embedded Emissions'!$A$129:$B$158,2,FALSE)), $C60 = "2",('Inputs-System'!$C$30*'Coincidence Factors'!$B$6*(1+'Inputs-System'!$C$18)*(1+'Inputs-System'!$C$41))*'Inputs-Proposals'!$L$23*'Inputs-Proposals'!$L$25*(1-'Inputs-Proposals'!$L$20^(BR$3-'Inputs-System'!$C$7))*(VLOOKUP(BR$3,'Embedded Emissions'!$A$47:$B$78,2,FALSE)+VLOOKUP(BR$3,'Embedded Emissions'!$A$129:$B$158,2,FALSE)), $C60 = "3", ('Inputs-System'!$C$30*'Coincidence Factors'!$B$6*(1+'Inputs-System'!$C$18)*(1+'Inputs-System'!$C$41))*'Inputs-Proposals'!$L$29*'Inputs-Proposals'!$L$31*(1-'Inputs-Proposals'!$L$20^(BR$3-'Inputs-System'!$C$7))*(VLOOKUP(BR$3,'Embedded Emissions'!$A$47:$B$78,2,FALSE)+VLOOKUP(BR$3,'Embedded Emissions'!$A$129:$B$158,2,FALSE)), $C60 = "0", 0), 0)</f>
        <v>0</v>
      </c>
      <c r="BT60" s="44">
        <f>IFERROR(_xlfn.IFS($C60="1",( 'Inputs-System'!$C$30*'Coincidence Factors'!$B$6*(1+'Inputs-System'!$C$18)*(1+'Inputs-System'!$C$41))*('Inputs-Proposals'!$L$17*'Inputs-Proposals'!$L$19*(1-'Inputs-Proposals'!$L$20)^(BR$3-'Inputs-System'!$C$7))*(VLOOKUP(BR$3,DRIPE!$A$54:$I$82,5,FALSE)+VLOOKUP(BR$3,DRIPE!$A$54:$I$82,9,FALSE))+ ('Inputs-System'!$C$26*'Coincidence Factors'!$B$6*(1+'Inputs-System'!$C$18)*(1+'Inputs-System'!$C$42))*'Inputs-Proposals'!$L$16*VLOOKUP(BR$3,DRIPE!$A$54:$I$82,8,FALSE), $C60 = "2",( 'Inputs-System'!$C$30*'Coincidence Factors'!$B$6*(1+'Inputs-System'!$C$18)*(1+'Inputs-System'!$C$41))*('Inputs-Proposals'!$L$23*'Inputs-Proposals'!$L$25*(1-'Inputs-Proposals'!$L$26)^(BR$3-'Inputs-System'!$C$7))*(VLOOKUP(BR$3,DRIPE!$A$54:$I$82,5,FALSE)+VLOOKUP(BR$3,DRIPE!$A$54:$I$82,9,FALSE))+ ('Inputs-System'!$C$26*'Coincidence Factors'!$B$6*(1+'Inputs-System'!$C$18)*(1+'Inputs-System'!$C$42))*'Inputs-Proposals'!$L$22*VLOOKUP(BR$3,DRIPE!$A$54:$I$82,8,FALSE), $C60= "3", ( 'Inputs-System'!$C$30*'Coincidence Factors'!$B$6*(1+'Inputs-System'!$C$18)*(1+'Inputs-System'!$C$41))*('Inputs-Proposals'!$L$29*'Inputs-Proposals'!$L$31*(1-'Inputs-Proposals'!$L$32)^(BR$3-'Inputs-System'!$C$7))*(VLOOKUP(BR$3,DRIPE!$A$54:$I$82,5,FALSE)+VLOOKUP(BR$3,DRIPE!$A$54:$I$82,9,FALSE))+ ('Inputs-System'!$C$26*'Coincidence Factors'!$B$6*(1+'Inputs-System'!$C$18)*(1+'Inputs-System'!$C$42))*'Inputs-Proposals'!$L$28*VLOOKUP(BR$3,DRIPE!$A$54:$I$82,8,FALSE), $C60 = "0", 0), 0)</f>
        <v>0</v>
      </c>
      <c r="BU60" s="45">
        <f>IFERROR(_xlfn.IFS($C60="1",('Inputs-System'!$C$26*'Coincidence Factors'!$B$6*(1+'Inputs-System'!$C$18))*'Inputs-Proposals'!$L$16*(VLOOKUP(BR$3,Capacity!$A$53:$E$85,4,FALSE)*(1+'Inputs-System'!$C$42)+VLOOKUP(BR$3,Capacity!$A$53:$E$85,5,FALSE)*'Inputs-System'!$C$29*(1+'Inputs-System'!$C$43)), $C60 = "2", ('Inputs-System'!$C$26*'Coincidence Factors'!$B$6*(1+'Inputs-System'!$C$18))*'Inputs-Proposals'!$L$22*(VLOOKUP(BR$3,Capacity!$A$53:$E$85,4,FALSE)*(1+'Inputs-System'!$C$42)+VLOOKUP(BR$3,Capacity!$A$53:$E$85,5,FALSE)*'Inputs-System'!$C$29*(1+'Inputs-System'!$C$43)), $C60 = "3",('Inputs-System'!$C$26*'Coincidence Factors'!$B$6*(1+'Inputs-System'!$C$18))*'Inputs-Proposals'!$L$28*(VLOOKUP(BR$3,Capacity!$A$53:$E$85,4,FALSE)*(1+'Inputs-System'!$C$42)+VLOOKUP(BR$3,Capacity!$A$53:$E$85,5,FALSE)*'Inputs-System'!$C$29*(1+'Inputs-System'!$C$43)), $C60 = "0", 0), 0)</f>
        <v>0</v>
      </c>
      <c r="BV60" s="44">
        <v>0</v>
      </c>
      <c r="BW60" s="342">
        <f>IFERROR(_xlfn.IFS($C60="1", 'Inputs-System'!$C$30*'Coincidence Factors'!$B$6*'Inputs-Proposals'!$L$17*'Inputs-Proposals'!$L$19*(VLOOKUP(BR$3,'Non-Embedded Emissions'!$A$56:$D$90,2,FALSE)+VLOOKUP(BR$3,'Non-Embedded Emissions'!$A$143:$D$174,2,FALSE)+VLOOKUP(BR$3,'Non-Embedded Emissions'!$A$230:$D$259,2,FALSE)), $C60 = "2", 'Inputs-System'!$C$30*'Coincidence Factors'!$B$6*'Inputs-Proposals'!$L$23*'Inputs-Proposals'!$L$25*(VLOOKUP(BR$3,'Non-Embedded Emissions'!$A$56:$D$90,2,FALSE)+VLOOKUP(BR$3,'Non-Embedded Emissions'!$A$143:$D$174,2,FALSE)+VLOOKUP(BR$3,'Non-Embedded Emissions'!$A$230:$D$259,2,FALSE)), $C60 = "3", 'Inputs-System'!$C$30*'Coincidence Factors'!$B$6*'Inputs-Proposals'!$L$29*'Inputs-Proposals'!$L$31*(VLOOKUP(BR$3,'Non-Embedded Emissions'!$A$56:$D$90,2,FALSE)+VLOOKUP(BR$3,'Non-Embedded Emissions'!$A$143:$D$174,2,FALSE)+VLOOKUP(BR$3,'Non-Embedded Emissions'!$A$230:$D$259,2,FALSE)), $C60 = "0", 0), 0)</f>
        <v>0</v>
      </c>
      <c r="BX60" s="347">
        <f>IFERROR(_xlfn.IFS($C60="1",('Inputs-System'!$C$30*'Coincidence Factors'!$B$6*(1+'Inputs-System'!$C$18)*(1+'Inputs-System'!$C$41)*('Inputs-Proposals'!$L$17*'Inputs-Proposals'!$L$19*(1-'Inputs-Proposals'!$L$20^(BX$3-'Inputs-System'!$C$7)))*(VLOOKUP(BX$3,Energy!$A$51:$K$83,5,FALSE))), $C60 = "2",('Inputs-System'!$C$30*'Coincidence Factors'!$B$6)*(1+'Inputs-System'!$C$18)*(1+'Inputs-System'!$C$41)*('Inputs-Proposals'!$L$23*'Inputs-Proposals'!$L$25*(1-'Inputs-Proposals'!$L$26^(BX$3-'Inputs-System'!$C$7)))*(VLOOKUP(BX$3,Energy!$A$51:$K$83,5,FALSE)), $C60= "3", ('Inputs-System'!$C$30*'Coincidence Factors'!$B$6*(1+'Inputs-System'!$C$18)*(1+'Inputs-System'!$C$41)*('Inputs-Proposals'!$L$29*'Inputs-Proposals'!$L$31*(1-'Inputs-Proposals'!$L$32^(BX$3-'Inputs-System'!$C$7)))*(VLOOKUP(BX$3,Energy!$A$51:$K$83,5,FALSE))), $C60= "0", 0), 0)</f>
        <v>0</v>
      </c>
      <c r="BY60" s="44">
        <f>IFERROR(_xlfn.IFS($C60="1",('Inputs-System'!$C$30*'Coincidence Factors'!$B$6*(1+'Inputs-System'!$C$18)*(1+'Inputs-System'!$C$41))*'Inputs-Proposals'!$L$17*'Inputs-Proposals'!$L$19*(1-'Inputs-Proposals'!$L$20^(BX$3-'Inputs-System'!$C$7))*(VLOOKUP(BX$3,'Embedded Emissions'!$A$47:$B$78,2,FALSE)+VLOOKUP(BX$3,'Embedded Emissions'!$A$129:$B$158,2,FALSE)), $C60 = "2",('Inputs-System'!$C$30*'Coincidence Factors'!$B$6*(1+'Inputs-System'!$C$18)*(1+'Inputs-System'!$C$41))*'Inputs-Proposals'!$L$23*'Inputs-Proposals'!$L$25*(1-'Inputs-Proposals'!$L$20^(BX$3-'Inputs-System'!$C$7))*(VLOOKUP(BX$3,'Embedded Emissions'!$A$47:$B$78,2,FALSE)+VLOOKUP(BX$3,'Embedded Emissions'!$A$129:$B$158,2,FALSE)), $C60 = "3", ('Inputs-System'!$C$30*'Coincidence Factors'!$B$6*(1+'Inputs-System'!$C$18)*(1+'Inputs-System'!$C$41))*'Inputs-Proposals'!$L$29*'Inputs-Proposals'!$L$31*(1-'Inputs-Proposals'!$L$20^(BX$3-'Inputs-System'!$C$7))*(VLOOKUP(BX$3,'Embedded Emissions'!$A$47:$B$78,2,FALSE)+VLOOKUP(BX$3,'Embedded Emissions'!$A$129:$B$158,2,FALSE)), $C60 = "0", 0), 0)</f>
        <v>0</v>
      </c>
      <c r="BZ60" s="44">
        <f>IFERROR(_xlfn.IFS($C60="1",( 'Inputs-System'!$C$30*'Coincidence Factors'!$B$6*(1+'Inputs-System'!$C$18)*(1+'Inputs-System'!$C$41))*('Inputs-Proposals'!$L$17*'Inputs-Proposals'!$L$19*(1-'Inputs-Proposals'!$L$20)^(BX$3-'Inputs-System'!$C$7))*(VLOOKUP(BX$3,DRIPE!$A$54:$I$82,5,FALSE)+VLOOKUP(BX$3,DRIPE!$A$54:$I$82,9,FALSE))+ ('Inputs-System'!$C$26*'Coincidence Factors'!$B$6*(1+'Inputs-System'!$C$18)*(1+'Inputs-System'!$C$42))*'Inputs-Proposals'!$L$16*VLOOKUP(BX$3,DRIPE!$A$54:$I$82,8,FALSE), $C60 = "2",( 'Inputs-System'!$C$30*'Coincidence Factors'!$B$6*(1+'Inputs-System'!$C$18)*(1+'Inputs-System'!$C$41))*('Inputs-Proposals'!$L$23*'Inputs-Proposals'!$L$25*(1-'Inputs-Proposals'!$L$26)^(BX$3-'Inputs-System'!$C$7))*(VLOOKUP(BX$3,DRIPE!$A$54:$I$82,5,FALSE)+VLOOKUP(BX$3,DRIPE!$A$54:$I$82,9,FALSE))+ ('Inputs-System'!$C$26*'Coincidence Factors'!$B$6*(1+'Inputs-System'!$C$18)*(1+'Inputs-System'!$C$42))*'Inputs-Proposals'!$L$22*VLOOKUP(BX$3,DRIPE!$A$54:$I$82,8,FALSE), $C60= "3", ( 'Inputs-System'!$C$30*'Coincidence Factors'!$B$6*(1+'Inputs-System'!$C$18)*(1+'Inputs-System'!$C$41))*('Inputs-Proposals'!$L$29*'Inputs-Proposals'!$L$31*(1-'Inputs-Proposals'!$L$32)^(BX$3-'Inputs-System'!$C$7))*(VLOOKUP(BX$3,DRIPE!$A$54:$I$82,5,FALSE)+VLOOKUP(BX$3,DRIPE!$A$54:$I$82,9,FALSE))+ ('Inputs-System'!$C$26*'Coincidence Factors'!$B$6*(1+'Inputs-System'!$C$18)*(1+'Inputs-System'!$C$42))*'Inputs-Proposals'!$L$28*VLOOKUP(BX$3,DRIPE!$A$54:$I$82,8,FALSE), $C60 = "0", 0), 0)</f>
        <v>0</v>
      </c>
      <c r="CA60" s="45">
        <f>IFERROR(_xlfn.IFS($C60="1",('Inputs-System'!$C$26*'Coincidence Factors'!$B$6*(1+'Inputs-System'!$C$18))*'Inputs-Proposals'!$L$16*(VLOOKUP(BX$3,Capacity!$A$53:$E$85,4,FALSE)*(1+'Inputs-System'!$C$42)+VLOOKUP(BX$3,Capacity!$A$53:$E$85,5,FALSE)*'Inputs-System'!$C$29*(1+'Inputs-System'!$C$43)), $C60 = "2", ('Inputs-System'!$C$26*'Coincidence Factors'!$B$6*(1+'Inputs-System'!$C$18))*'Inputs-Proposals'!$L$22*(VLOOKUP(BX$3,Capacity!$A$53:$E$85,4,FALSE)*(1+'Inputs-System'!$C$42)+VLOOKUP(BX$3,Capacity!$A$53:$E$85,5,FALSE)*'Inputs-System'!$C$29*(1+'Inputs-System'!$C$43)), $C60 = "3",('Inputs-System'!$C$26*'Coincidence Factors'!$B$6*(1+'Inputs-System'!$C$18))*'Inputs-Proposals'!$L$28*(VLOOKUP(BX$3,Capacity!$A$53:$E$85,4,FALSE)*(1+'Inputs-System'!$C$42)+VLOOKUP(BX$3,Capacity!$A$53:$E$85,5,FALSE)*'Inputs-System'!$C$29*(1+'Inputs-System'!$C$43)), $C60 = "0", 0), 0)</f>
        <v>0</v>
      </c>
      <c r="CB60" s="44">
        <v>0</v>
      </c>
      <c r="CC60" s="342">
        <f>IFERROR(_xlfn.IFS($C60="1", 'Inputs-System'!$C$30*'Coincidence Factors'!$B$6*'Inputs-Proposals'!$L$17*'Inputs-Proposals'!$L$19*(VLOOKUP(BX$3,'Non-Embedded Emissions'!$A$56:$D$90,2,FALSE)+VLOOKUP(BX$3,'Non-Embedded Emissions'!$A$143:$D$174,2,FALSE)+VLOOKUP(BX$3,'Non-Embedded Emissions'!$A$230:$D$259,2,FALSE)), $C60 = "2", 'Inputs-System'!$C$30*'Coincidence Factors'!$B$6*'Inputs-Proposals'!$L$23*'Inputs-Proposals'!$L$25*(VLOOKUP(BX$3,'Non-Embedded Emissions'!$A$56:$D$90,2,FALSE)+VLOOKUP(BX$3,'Non-Embedded Emissions'!$A$143:$D$174,2,FALSE)+VLOOKUP(BX$3,'Non-Embedded Emissions'!$A$230:$D$259,2,FALSE)), $C60 = "3", 'Inputs-System'!$C$30*'Coincidence Factors'!$B$6*'Inputs-Proposals'!$L$29*'Inputs-Proposals'!$L$31*(VLOOKUP(BX$3,'Non-Embedded Emissions'!$A$56:$D$90,2,FALSE)+VLOOKUP(BX$3,'Non-Embedded Emissions'!$A$143:$D$174,2,FALSE)+VLOOKUP(BX$3,'Non-Embedded Emissions'!$A$230:$D$259,2,FALSE)), $C60 = "0", 0), 0)</f>
        <v>0</v>
      </c>
      <c r="CD60" s="347">
        <f>IFERROR(_xlfn.IFS($C60="1",('Inputs-System'!$C$30*'Coincidence Factors'!$B$6*(1+'Inputs-System'!$C$18)*(1+'Inputs-System'!$C$41)*('Inputs-Proposals'!$L$17*'Inputs-Proposals'!$L$19*(1-'Inputs-Proposals'!$L$20^(CD$3-'Inputs-System'!$C$7)))*(VLOOKUP(CD$3,Energy!$A$51:$K$83,5,FALSE))), $C60 = "2",('Inputs-System'!$C$30*'Coincidence Factors'!$B$6)*(1+'Inputs-System'!$C$18)*(1+'Inputs-System'!$C$41)*('Inputs-Proposals'!$L$23*'Inputs-Proposals'!$L$25*(1-'Inputs-Proposals'!$L$26^(CD$3-'Inputs-System'!$C$7)))*(VLOOKUP(CD$3,Energy!$A$51:$K$83,5,FALSE)), $C60= "3", ('Inputs-System'!$C$30*'Coincidence Factors'!$B$6*(1+'Inputs-System'!$C$18)*(1+'Inputs-System'!$C$41)*('Inputs-Proposals'!$L$29*'Inputs-Proposals'!$L$31*(1-'Inputs-Proposals'!$L$32^(CD$3-'Inputs-System'!$C$7)))*(VLOOKUP(CD$3,Energy!$A$51:$K$83,5,FALSE))), $C60= "0", 0), 0)</f>
        <v>0</v>
      </c>
      <c r="CE60" s="44">
        <f>IFERROR(_xlfn.IFS($C60="1",('Inputs-System'!$C$30*'Coincidence Factors'!$B$6*(1+'Inputs-System'!$C$18)*(1+'Inputs-System'!$C$41))*'Inputs-Proposals'!$L$17*'Inputs-Proposals'!$L$19*(1-'Inputs-Proposals'!$L$20^(CD$3-'Inputs-System'!$C$7))*(VLOOKUP(CD$3,'Embedded Emissions'!$A$47:$B$78,2,FALSE)+VLOOKUP(CD$3,'Embedded Emissions'!$A$129:$B$158,2,FALSE)), $C60 = "2",('Inputs-System'!$C$30*'Coincidence Factors'!$B$6*(1+'Inputs-System'!$C$18)*(1+'Inputs-System'!$C$41))*'Inputs-Proposals'!$L$23*'Inputs-Proposals'!$L$25*(1-'Inputs-Proposals'!$L$20^(CD$3-'Inputs-System'!$C$7))*(VLOOKUP(CD$3,'Embedded Emissions'!$A$47:$B$78,2,FALSE)+VLOOKUP(CD$3,'Embedded Emissions'!$A$129:$B$158,2,FALSE)), $C60 = "3", ('Inputs-System'!$C$30*'Coincidence Factors'!$B$6*(1+'Inputs-System'!$C$18)*(1+'Inputs-System'!$C$41))*'Inputs-Proposals'!$L$29*'Inputs-Proposals'!$L$31*(1-'Inputs-Proposals'!$L$20^(CD$3-'Inputs-System'!$C$7))*(VLOOKUP(CD$3,'Embedded Emissions'!$A$47:$B$78,2,FALSE)+VLOOKUP(CD$3,'Embedded Emissions'!$A$129:$B$158,2,FALSE)), $C60 = "0", 0), 0)</f>
        <v>0</v>
      </c>
      <c r="CF60" s="44">
        <f>IFERROR(_xlfn.IFS($C60="1",( 'Inputs-System'!$C$30*'Coincidence Factors'!$B$6*(1+'Inputs-System'!$C$18)*(1+'Inputs-System'!$C$41))*('Inputs-Proposals'!$L$17*'Inputs-Proposals'!$L$19*(1-'Inputs-Proposals'!$L$20)^(CD$3-'Inputs-System'!$C$7))*(VLOOKUP(CD$3,DRIPE!$A$54:$I$82,5,FALSE)+VLOOKUP(CD$3,DRIPE!$A$54:$I$82,9,FALSE))+ ('Inputs-System'!$C$26*'Coincidence Factors'!$B$6*(1+'Inputs-System'!$C$18)*(1+'Inputs-System'!$C$42))*'Inputs-Proposals'!$L$16*VLOOKUP(CD$3,DRIPE!$A$54:$I$82,8,FALSE), $C60 = "2",( 'Inputs-System'!$C$30*'Coincidence Factors'!$B$6*(1+'Inputs-System'!$C$18)*(1+'Inputs-System'!$C$41))*('Inputs-Proposals'!$L$23*'Inputs-Proposals'!$L$25*(1-'Inputs-Proposals'!$L$26)^(CD$3-'Inputs-System'!$C$7))*(VLOOKUP(CD$3,DRIPE!$A$54:$I$82,5,FALSE)+VLOOKUP(CD$3,DRIPE!$A$54:$I$82,9,FALSE))+ ('Inputs-System'!$C$26*'Coincidence Factors'!$B$6*(1+'Inputs-System'!$C$18)*(1+'Inputs-System'!$C$42))*'Inputs-Proposals'!$L$22*VLOOKUP(CD$3,DRIPE!$A$54:$I$82,8,FALSE), $C60= "3", ( 'Inputs-System'!$C$30*'Coincidence Factors'!$B$6*(1+'Inputs-System'!$C$18)*(1+'Inputs-System'!$C$41))*('Inputs-Proposals'!$L$29*'Inputs-Proposals'!$L$31*(1-'Inputs-Proposals'!$L$32)^(CD$3-'Inputs-System'!$C$7))*(VLOOKUP(CD$3,DRIPE!$A$54:$I$82,5,FALSE)+VLOOKUP(CD$3,DRIPE!$A$54:$I$82,9,FALSE))+ ('Inputs-System'!$C$26*'Coincidence Factors'!$B$6*(1+'Inputs-System'!$C$18)*(1+'Inputs-System'!$C$42))*'Inputs-Proposals'!$L$28*VLOOKUP(CD$3,DRIPE!$A$54:$I$82,8,FALSE), $C60 = "0", 0), 0)</f>
        <v>0</v>
      </c>
      <c r="CG60" s="45">
        <f>IFERROR(_xlfn.IFS($C60="1",('Inputs-System'!$C$26*'Coincidence Factors'!$B$6*(1+'Inputs-System'!$C$18))*'Inputs-Proposals'!$L$16*(VLOOKUP(CD$3,Capacity!$A$53:$E$85,4,FALSE)*(1+'Inputs-System'!$C$42)+VLOOKUP(CD$3,Capacity!$A$53:$E$85,5,FALSE)*'Inputs-System'!$C$29*(1+'Inputs-System'!$C$43)), $C60 = "2", ('Inputs-System'!$C$26*'Coincidence Factors'!$B$6*(1+'Inputs-System'!$C$18))*'Inputs-Proposals'!$L$22*(VLOOKUP(CD$3,Capacity!$A$53:$E$85,4,FALSE)*(1+'Inputs-System'!$C$42)+VLOOKUP(CD$3,Capacity!$A$53:$E$85,5,FALSE)*'Inputs-System'!$C$29*(1+'Inputs-System'!$C$43)), $C60 = "3",('Inputs-System'!$C$26*'Coincidence Factors'!$B$6*(1+'Inputs-System'!$C$18))*'Inputs-Proposals'!$L$28*(VLOOKUP(CD$3,Capacity!$A$53:$E$85,4,FALSE)*(1+'Inputs-System'!$C$42)+VLOOKUP(CD$3,Capacity!$A$53:$E$85,5,FALSE)*'Inputs-System'!$C$29*(1+'Inputs-System'!$C$43)), $C60 = "0", 0), 0)</f>
        <v>0</v>
      </c>
      <c r="CH60" s="44">
        <v>0</v>
      </c>
      <c r="CI60" s="342">
        <f>IFERROR(_xlfn.IFS($C60="1", 'Inputs-System'!$C$30*'Coincidence Factors'!$B$6*'Inputs-Proposals'!$L$17*'Inputs-Proposals'!$L$19*(VLOOKUP(CD$3,'Non-Embedded Emissions'!$A$56:$D$90,2,FALSE)+VLOOKUP(CD$3,'Non-Embedded Emissions'!$A$143:$D$174,2,FALSE)+VLOOKUP(CD$3,'Non-Embedded Emissions'!$A$230:$D$259,2,FALSE)), $C60 = "2", 'Inputs-System'!$C$30*'Coincidence Factors'!$B$6*'Inputs-Proposals'!$L$23*'Inputs-Proposals'!$L$25*(VLOOKUP(CD$3,'Non-Embedded Emissions'!$A$56:$D$90,2,FALSE)+VLOOKUP(CD$3,'Non-Embedded Emissions'!$A$143:$D$174,2,FALSE)+VLOOKUP(CD$3,'Non-Embedded Emissions'!$A$230:$D$259,2,FALSE)), $C60 = "3", 'Inputs-System'!$C$30*'Coincidence Factors'!$B$6*'Inputs-Proposals'!$L$29*'Inputs-Proposals'!$L$31*(VLOOKUP(CD$3,'Non-Embedded Emissions'!$A$56:$D$90,2,FALSE)+VLOOKUP(CD$3,'Non-Embedded Emissions'!$A$143:$D$174,2,FALSE)+VLOOKUP(CD$3,'Non-Embedded Emissions'!$A$230:$D$259,2,FALSE)), $C60 = "0", 0), 0)</f>
        <v>0</v>
      </c>
      <c r="CJ60" s="347">
        <f>IFERROR(_xlfn.IFS($C60="1",('Inputs-System'!$C$30*'Coincidence Factors'!$B$6*(1+'Inputs-System'!$C$18)*(1+'Inputs-System'!$C$41)*('Inputs-Proposals'!$L$17*'Inputs-Proposals'!$L$19*(1-'Inputs-Proposals'!$L$20^(CJ$3-'Inputs-System'!$C$7)))*(VLOOKUP(CJ$3,Energy!$A$51:$K$83,5,FALSE))), $C60 = "2",('Inputs-System'!$C$30*'Coincidence Factors'!$B$6)*(1+'Inputs-System'!$C$18)*(1+'Inputs-System'!$C$41)*('Inputs-Proposals'!$L$23*'Inputs-Proposals'!$L$25*(1-'Inputs-Proposals'!$L$26^(CJ$3-'Inputs-System'!$C$7)))*(VLOOKUP(CJ$3,Energy!$A$51:$K$83,5,FALSE)), $C60= "3", ('Inputs-System'!$C$30*'Coincidence Factors'!$B$6*(1+'Inputs-System'!$C$18)*(1+'Inputs-System'!$C$41)*('Inputs-Proposals'!$L$29*'Inputs-Proposals'!$L$31*(1-'Inputs-Proposals'!$L$32^(CJ$3-'Inputs-System'!$C$7)))*(VLOOKUP(CJ$3,Energy!$A$51:$K$83,5,FALSE))), $C60= "0", 0), 0)</f>
        <v>0</v>
      </c>
      <c r="CK60" s="44">
        <f>IFERROR(_xlfn.IFS($C60="1",('Inputs-System'!$C$30*'Coincidence Factors'!$B$6*(1+'Inputs-System'!$C$18)*(1+'Inputs-System'!$C$41))*'Inputs-Proposals'!$L$17*'Inputs-Proposals'!$L$19*(1-'Inputs-Proposals'!$L$20^(CJ$3-'Inputs-System'!$C$7))*(VLOOKUP(CJ$3,'Embedded Emissions'!$A$47:$B$78,2,FALSE)+VLOOKUP(CJ$3,'Embedded Emissions'!$A$129:$B$158,2,FALSE)), $C60 = "2",('Inputs-System'!$C$30*'Coincidence Factors'!$B$6*(1+'Inputs-System'!$C$18)*(1+'Inputs-System'!$C$41))*'Inputs-Proposals'!$L$23*'Inputs-Proposals'!$L$25*(1-'Inputs-Proposals'!$L$20^(CJ$3-'Inputs-System'!$C$7))*(VLOOKUP(CJ$3,'Embedded Emissions'!$A$47:$B$78,2,FALSE)+VLOOKUP(CJ$3,'Embedded Emissions'!$A$129:$B$158,2,FALSE)), $C60 = "3", ('Inputs-System'!$C$30*'Coincidence Factors'!$B$6*(1+'Inputs-System'!$C$18)*(1+'Inputs-System'!$C$41))*'Inputs-Proposals'!$L$29*'Inputs-Proposals'!$L$31*(1-'Inputs-Proposals'!$L$20^(CJ$3-'Inputs-System'!$C$7))*(VLOOKUP(CJ$3,'Embedded Emissions'!$A$47:$B$78,2,FALSE)+VLOOKUP(CJ$3,'Embedded Emissions'!$A$129:$B$158,2,FALSE)), $C60 = "0", 0), 0)</f>
        <v>0</v>
      </c>
      <c r="CL60" s="44">
        <f>IFERROR(_xlfn.IFS($C60="1",( 'Inputs-System'!$C$30*'Coincidence Factors'!$B$6*(1+'Inputs-System'!$C$18)*(1+'Inputs-System'!$C$41))*('Inputs-Proposals'!$L$17*'Inputs-Proposals'!$L$19*(1-'Inputs-Proposals'!$L$20)^(CJ$3-'Inputs-System'!$C$7))*(VLOOKUP(CJ$3,DRIPE!$A$54:$I$82,5,FALSE)+VLOOKUP(CJ$3,DRIPE!$A$54:$I$82,9,FALSE))+ ('Inputs-System'!$C$26*'Coincidence Factors'!$B$6*(1+'Inputs-System'!$C$18)*(1+'Inputs-System'!$C$42))*'Inputs-Proposals'!$L$16*VLOOKUP(CJ$3,DRIPE!$A$54:$I$82,8,FALSE), $C60 = "2",( 'Inputs-System'!$C$30*'Coincidence Factors'!$B$6*(1+'Inputs-System'!$C$18)*(1+'Inputs-System'!$C$41))*('Inputs-Proposals'!$L$23*'Inputs-Proposals'!$L$25*(1-'Inputs-Proposals'!$L$26)^(CJ$3-'Inputs-System'!$C$7))*(VLOOKUP(CJ$3,DRIPE!$A$54:$I$82,5,FALSE)+VLOOKUP(CJ$3,DRIPE!$A$54:$I$82,9,FALSE))+ ('Inputs-System'!$C$26*'Coincidence Factors'!$B$6*(1+'Inputs-System'!$C$18)*(1+'Inputs-System'!$C$42))*'Inputs-Proposals'!$L$22*VLOOKUP(CJ$3,DRIPE!$A$54:$I$82,8,FALSE), $C60= "3", ( 'Inputs-System'!$C$30*'Coincidence Factors'!$B$6*(1+'Inputs-System'!$C$18)*(1+'Inputs-System'!$C$41))*('Inputs-Proposals'!$L$29*'Inputs-Proposals'!$L$31*(1-'Inputs-Proposals'!$L$32)^(CJ$3-'Inputs-System'!$C$7))*(VLOOKUP(CJ$3,DRIPE!$A$54:$I$82,5,FALSE)+VLOOKUP(CJ$3,DRIPE!$A$54:$I$82,9,FALSE))+ ('Inputs-System'!$C$26*'Coincidence Factors'!$B$6*(1+'Inputs-System'!$C$18)*(1+'Inputs-System'!$C$42))*'Inputs-Proposals'!$L$28*VLOOKUP(CJ$3,DRIPE!$A$54:$I$82,8,FALSE), $C60 = "0", 0), 0)</f>
        <v>0</v>
      </c>
      <c r="CM60" s="45">
        <f>IFERROR(_xlfn.IFS($C60="1",('Inputs-System'!$C$26*'Coincidence Factors'!$B$6*(1+'Inputs-System'!$C$18))*'Inputs-Proposals'!$L$16*(VLOOKUP(CJ$3,Capacity!$A$53:$E$85,4,FALSE)*(1+'Inputs-System'!$C$42)+VLOOKUP(CJ$3,Capacity!$A$53:$E$85,5,FALSE)*'Inputs-System'!$C$29*(1+'Inputs-System'!$C$43)), $C60 = "2", ('Inputs-System'!$C$26*'Coincidence Factors'!$B$6*(1+'Inputs-System'!$C$18))*'Inputs-Proposals'!$L$22*(VLOOKUP(CJ$3,Capacity!$A$53:$E$85,4,FALSE)*(1+'Inputs-System'!$C$42)+VLOOKUP(CJ$3,Capacity!$A$53:$E$85,5,FALSE)*'Inputs-System'!$C$29*(1+'Inputs-System'!$C$43)), $C60 = "3",('Inputs-System'!$C$26*'Coincidence Factors'!$B$6*(1+'Inputs-System'!$C$18))*'Inputs-Proposals'!$L$28*(VLOOKUP(CJ$3,Capacity!$A$53:$E$85,4,FALSE)*(1+'Inputs-System'!$C$42)+VLOOKUP(CJ$3,Capacity!$A$53:$E$85,5,FALSE)*'Inputs-System'!$C$29*(1+'Inputs-System'!$C$43)), $C60 = "0", 0), 0)</f>
        <v>0</v>
      </c>
      <c r="CN60" s="44">
        <v>0</v>
      </c>
      <c r="CO60" s="342">
        <f>IFERROR(_xlfn.IFS($C60="1", 'Inputs-System'!$C$30*'Coincidence Factors'!$B$6*'Inputs-Proposals'!$L$17*'Inputs-Proposals'!$L$19*(VLOOKUP(CJ$3,'Non-Embedded Emissions'!$A$56:$D$90,2,FALSE)+VLOOKUP(CJ$3,'Non-Embedded Emissions'!$A$143:$D$174,2,FALSE)+VLOOKUP(CJ$3,'Non-Embedded Emissions'!$A$230:$D$259,2,FALSE)), $C60 = "2", 'Inputs-System'!$C$30*'Coincidence Factors'!$B$6*'Inputs-Proposals'!$L$23*'Inputs-Proposals'!$L$25*(VLOOKUP(CJ$3,'Non-Embedded Emissions'!$A$56:$D$90,2,FALSE)+VLOOKUP(CJ$3,'Non-Embedded Emissions'!$A$143:$D$174,2,FALSE)+VLOOKUP(CJ$3,'Non-Embedded Emissions'!$A$230:$D$259,2,FALSE)), $C60 = "3", 'Inputs-System'!$C$30*'Coincidence Factors'!$B$6*'Inputs-Proposals'!$L$29*'Inputs-Proposals'!$L$31*(VLOOKUP(CJ$3,'Non-Embedded Emissions'!$A$56:$D$90,2,FALSE)+VLOOKUP(CJ$3,'Non-Embedded Emissions'!$A$143:$D$174,2,FALSE)+VLOOKUP(CJ$3,'Non-Embedded Emissions'!$A$230:$D$259,2,FALSE)), $C60 = "0", 0), 0)</f>
        <v>0</v>
      </c>
      <c r="CP60" s="347">
        <f>IFERROR(_xlfn.IFS($C60="1",('Inputs-System'!$C$30*'Coincidence Factors'!$B$6*(1+'Inputs-System'!$C$18)*(1+'Inputs-System'!$C$41)*('Inputs-Proposals'!$L$17*'Inputs-Proposals'!$L$19*(1-'Inputs-Proposals'!$L$20^(CP$3-'Inputs-System'!$C$7)))*(VLOOKUP(CP$3,Energy!$A$51:$K$83,5,FALSE))), $C60 = "2",('Inputs-System'!$C$30*'Coincidence Factors'!$B$6)*(1+'Inputs-System'!$C$18)*(1+'Inputs-System'!$C$41)*('Inputs-Proposals'!$L$23*'Inputs-Proposals'!$L$25*(1-'Inputs-Proposals'!$L$26^(CP$3-'Inputs-System'!$C$7)))*(VLOOKUP(CP$3,Energy!$A$51:$K$83,5,FALSE)), $C60= "3", ('Inputs-System'!$C$30*'Coincidence Factors'!$B$6*(1+'Inputs-System'!$C$18)*(1+'Inputs-System'!$C$41)*('Inputs-Proposals'!$L$29*'Inputs-Proposals'!$L$31*(1-'Inputs-Proposals'!$L$32^(CP$3-'Inputs-System'!$C$7)))*(VLOOKUP(CP$3,Energy!$A$51:$K$83,5,FALSE))), $C60= "0", 0), 0)</f>
        <v>0</v>
      </c>
      <c r="CQ60" s="44">
        <f>IFERROR(_xlfn.IFS($C60="1",('Inputs-System'!$C$30*'Coincidence Factors'!$B$6*(1+'Inputs-System'!$C$18)*(1+'Inputs-System'!$C$41))*'Inputs-Proposals'!$L$17*'Inputs-Proposals'!$L$19*(1-'Inputs-Proposals'!$L$20^(CP$3-'Inputs-System'!$C$7))*(VLOOKUP(CP$3,'Embedded Emissions'!$A$47:$B$78,2,FALSE)+VLOOKUP(CP$3,'Embedded Emissions'!$A$129:$B$158,2,FALSE)), $C60 = "2",('Inputs-System'!$C$30*'Coincidence Factors'!$B$6*(1+'Inputs-System'!$C$18)*(1+'Inputs-System'!$C$41))*'Inputs-Proposals'!$L$23*'Inputs-Proposals'!$L$25*(1-'Inputs-Proposals'!$L$20^(CP$3-'Inputs-System'!$C$7))*(VLOOKUP(CP$3,'Embedded Emissions'!$A$47:$B$78,2,FALSE)+VLOOKUP(CP$3,'Embedded Emissions'!$A$129:$B$158,2,FALSE)), $C60 = "3", ('Inputs-System'!$C$30*'Coincidence Factors'!$B$6*(1+'Inputs-System'!$C$18)*(1+'Inputs-System'!$C$41))*'Inputs-Proposals'!$L$29*'Inputs-Proposals'!$L$31*(1-'Inputs-Proposals'!$L$20^(CP$3-'Inputs-System'!$C$7))*(VLOOKUP(CP$3,'Embedded Emissions'!$A$47:$B$78,2,FALSE)+VLOOKUP(CP$3,'Embedded Emissions'!$A$129:$B$158,2,FALSE)), $C60 = "0", 0), 0)</f>
        <v>0</v>
      </c>
      <c r="CR60" s="44">
        <f>IFERROR(_xlfn.IFS($C60="1",( 'Inputs-System'!$C$30*'Coincidence Factors'!$B$6*(1+'Inputs-System'!$C$18)*(1+'Inputs-System'!$C$41))*('Inputs-Proposals'!$L$17*'Inputs-Proposals'!$L$19*(1-'Inputs-Proposals'!$L$20)^(CP$3-'Inputs-System'!$C$7))*(VLOOKUP(CP$3,DRIPE!$A$54:$I$82,5,FALSE)+VLOOKUP(CP$3,DRIPE!$A$54:$I$82,9,FALSE))+ ('Inputs-System'!$C$26*'Coincidence Factors'!$B$6*(1+'Inputs-System'!$C$18)*(1+'Inputs-System'!$C$42))*'Inputs-Proposals'!$L$16*VLOOKUP(CP$3,DRIPE!$A$54:$I$82,8,FALSE), $C60 = "2",( 'Inputs-System'!$C$30*'Coincidence Factors'!$B$6*(1+'Inputs-System'!$C$18)*(1+'Inputs-System'!$C$41))*('Inputs-Proposals'!$L$23*'Inputs-Proposals'!$L$25*(1-'Inputs-Proposals'!$L$26)^(CP$3-'Inputs-System'!$C$7))*(VLOOKUP(CP$3,DRIPE!$A$54:$I$82,5,FALSE)+VLOOKUP(CP$3,DRIPE!$A$54:$I$82,9,FALSE))+ ('Inputs-System'!$C$26*'Coincidence Factors'!$B$6*(1+'Inputs-System'!$C$18)*(1+'Inputs-System'!$C$42))*'Inputs-Proposals'!$L$22*VLOOKUP(CP$3,DRIPE!$A$54:$I$82,8,FALSE), $C60= "3", ( 'Inputs-System'!$C$30*'Coincidence Factors'!$B$6*(1+'Inputs-System'!$C$18)*(1+'Inputs-System'!$C$41))*('Inputs-Proposals'!$L$29*'Inputs-Proposals'!$L$31*(1-'Inputs-Proposals'!$L$32)^(CP$3-'Inputs-System'!$C$7))*(VLOOKUP(CP$3,DRIPE!$A$54:$I$82,5,FALSE)+VLOOKUP(CP$3,DRIPE!$A$54:$I$82,9,FALSE))+ ('Inputs-System'!$C$26*'Coincidence Factors'!$B$6*(1+'Inputs-System'!$C$18)*(1+'Inputs-System'!$C$42))*'Inputs-Proposals'!$L$28*VLOOKUP(CP$3,DRIPE!$A$54:$I$82,8,FALSE), $C60 = "0", 0), 0)</f>
        <v>0</v>
      </c>
      <c r="CS60" s="45">
        <f>IFERROR(_xlfn.IFS($C60="1",('Inputs-System'!$C$26*'Coincidence Factors'!$B$6*(1+'Inputs-System'!$C$18))*'Inputs-Proposals'!$L$16*(VLOOKUP(CP$3,Capacity!$A$53:$E$85,4,FALSE)*(1+'Inputs-System'!$C$42)+VLOOKUP(CP$3,Capacity!$A$53:$E$85,5,FALSE)*'Inputs-System'!$C$29*(1+'Inputs-System'!$C$43)), $C60 = "2", ('Inputs-System'!$C$26*'Coincidence Factors'!$B$6*(1+'Inputs-System'!$C$18))*'Inputs-Proposals'!$L$22*(VLOOKUP(CP$3,Capacity!$A$53:$E$85,4,FALSE)*(1+'Inputs-System'!$C$42)+VLOOKUP(CP$3,Capacity!$A$53:$E$85,5,FALSE)*'Inputs-System'!$C$29*(1+'Inputs-System'!$C$43)), $C60 = "3",('Inputs-System'!$C$26*'Coincidence Factors'!$B$6*(1+'Inputs-System'!$C$18))*'Inputs-Proposals'!$L$28*(VLOOKUP(CP$3,Capacity!$A$53:$E$85,4,FALSE)*(1+'Inputs-System'!$C$42)+VLOOKUP(CP$3,Capacity!$A$53:$E$85,5,FALSE)*'Inputs-System'!$C$29*(1+'Inputs-System'!$C$43)), $C60 = "0", 0), 0)</f>
        <v>0</v>
      </c>
      <c r="CT60" s="44">
        <v>0</v>
      </c>
      <c r="CU60" s="342">
        <f>IFERROR(_xlfn.IFS($C60="1", 'Inputs-System'!$C$30*'Coincidence Factors'!$B$6*'Inputs-Proposals'!$L$17*'Inputs-Proposals'!$L$19*(VLOOKUP(CP$3,'Non-Embedded Emissions'!$A$56:$D$90,2,FALSE)+VLOOKUP(CP$3,'Non-Embedded Emissions'!$A$143:$D$174,2,FALSE)+VLOOKUP(CP$3,'Non-Embedded Emissions'!$A$230:$D$259,2,FALSE)), $C60 = "2", 'Inputs-System'!$C$30*'Coincidence Factors'!$B$6*'Inputs-Proposals'!$L$23*'Inputs-Proposals'!$L$25*(VLOOKUP(CP$3,'Non-Embedded Emissions'!$A$56:$D$90,2,FALSE)+VLOOKUP(CP$3,'Non-Embedded Emissions'!$A$143:$D$174,2,FALSE)+VLOOKUP(CP$3,'Non-Embedded Emissions'!$A$230:$D$259,2,FALSE)), $C60 = "3", 'Inputs-System'!$C$30*'Coincidence Factors'!$B$6*'Inputs-Proposals'!$L$29*'Inputs-Proposals'!$L$31*(VLOOKUP(CP$3,'Non-Embedded Emissions'!$A$56:$D$90,2,FALSE)+VLOOKUP(CP$3,'Non-Embedded Emissions'!$A$143:$D$174,2,FALSE)+VLOOKUP(CP$3,'Non-Embedded Emissions'!$A$230:$D$259,2,FALSE)), $C60 = "0", 0), 0)</f>
        <v>0</v>
      </c>
      <c r="CV60" s="347">
        <f>IFERROR(_xlfn.IFS($C60="1",('Inputs-System'!$C$30*'Coincidence Factors'!$B$6*(1+'Inputs-System'!$C$18)*(1+'Inputs-System'!$C$41)*('Inputs-Proposals'!$L$17*'Inputs-Proposals'!$L$19*(1-'Inputs-Proposals'!$L$20^(CV$3-'Inputs-System'!$C$7)))*(VLOOKUP(CV$3,Energy!$A$51:$K$83,5,FALSE))), $C60 = "2",('Inputs-System'!$C$30*'Coincidence Factors'!$B$6)*(1+'Inputs-System'!$C$18)*(1+'Inputs-System'!$C$41)*('Inputs-Proposals'!$L$23*'Inputs-Proposals'!$L$25*(1-'Inputs-Proposals'!$L$26^(CV$3-'Inputs-System'!$C$7)))*(VLOOKUP(CV$3,Energy!$A$51:$K$83,5,FALSE)), $C60= "3", ('Inputs-System'!$C$30*'Coincidence Factors'!$B$6*(1+'Inputs-System'!$C$18)*(1+'Inputs-System'!$C$41)*('Inputs-Proposals'!$L$29*'Inputs-Proposals'!$L$31*(1-'Inputs-Proposals'!$L$32^(CV$3-'Inputs-System'!$C$7)))*(VLOOKUP(CV$3,Energy!$A$51:$K$83,5,FALSE))), $C60= "0", 0), 0)</f>
        <v>0</v>
      </c>
      <c r="CW60" s="44">
        <f>IFERROR(_xlfn.IFS($C60="1",('Inputs-System'!$C$30*'Coincidence Factors'!$B$6*(1+'Inputs-System'!$C$18)*(1+'Inputs-System'!$C$41))*'Inputs-Proposals'!$L$17*'Inputs-Proposals'!$L$19*(1-'Inputs-Proposals'!$L$20^(CV$3-'Inputs-System'!$C$7))*(VLOOKUP(CV$3,'Embedded Emissions'!$A$47:$B$78,2,FALSE)+VLOOKUP(CV$3,'Embedded Emissions'!$A$129:$B$158,2,FALSE)), $C60 = "2",('Inputs-System'!$C$30*'Coincidence Factors'!$B$6*(1+'Inputs-System'!$C$18)*(1+'Inputs-System'!$C$41))*'Inputs-Proposals'!$L$23*'Inputs-Proposals'!$L$25*(1-'Inputs-Proposals'!$L$20^(CV$3-'Inputs-System'!$C$7))*(VLOOKUP(CV$3,'Embedded Emissions'!$A$47:$B$78,2,FALSE)+VLOOKUP(CV$3,'Embedded Emissions'!$A$129:$B$158,2,FALSE)), $C60 = "3", ('Inputs-System'!$C$30*'Coincidence Factors'!$B$6*(1+'Inputs-System'!$C$18)*(1+'Inputs-System'!$C$41))*'Inputs-Proposals'!$L$29*'Inputs-Proposals'!$L$31*(1-'Inputs-Proposals'!$L$20^(CV$3-'Inputs-System'!$C$7))*(VLOOKUP(CV$3,'Embedded Emissions'!$A$47:$B$78,2,FALSE)+VLOOKUP(CV$3,'Embedded Emissions'!$A$129:$B$158,2,FALSE)), $C60 = "0", 0), 0)</f>
        <v>0</v>
      </c>
      <c r="CX60" s="44">
        <f>IFERROR(_xlfn.IFS($C60="1",( 'Inputs-System'!$C$30*'Coincidence Factors'!$B$6*(1+'Inputs-System'!$C$18)*(1+'Inputs-System'!$C$41))*('Inputs-Proposals'!$L$17*'Inputs-Proposals'!$L$19*(1-'Inputs-Proposals'!$L$20)^(CV$3-'Inputs-System'!$C$7))*(VLOOKUP(CV$3,DRIPE!$A$54:$I$82,5,FALSE)+VLOOKUP(CV$3,DRIPE!$A$54:$I$82,9,FALSE))+ ('Inputs-System'!$C$26*'Coincidence Factors'!$B$6*(1+'Inputs-System'!$C$18)*(1+'Inputs-System'!$C$42))*'Inputs-Proposals'!$L$16*VLOOKUP(CV$3,DRIPE!$A$54:$I$82,8,FALSE), $C60 = "2",( 'Inputs-System'!$C$30*'Coincidence Factors'!$B$6*(1+'Inputs-System'!$C$18)*(1+'Inputs-System'!$C$41))*('Inputs-Proposals'!$L$23*'Inputs-Proposals'!$L$25*(1-'Inputs-Proposals'!$L$26)^(CV$3-'Inputs-System'!$C$7))*(VLOOKUP(CV$3,DRIPE!$A$54:$I$82,5,FALSE)+VLOOKUP(CV$3,DRIPE!$A$54:$I$82,9,FALSE))+ ('Inputs-System'!$C$26*'Coincidence Factors'!$B$6*(1+'Inputs-System'!$C$18)*(1+'Inputs-System'!$C$42))*'Inputs-Proposals'!$L$22*VLOOKUP(CV$3,DRIPE!$A$54:$I$82,8,FALSE), $C60= "3", ( 'Inputs-System'!$C$30*'Coincidence Factors'!$B$6*(1+'Inputs-System'!$C$18)*(1+'Inputs-System'!$C$41))*('Inputs-Proposals'!$L$29*'Inputs-Proposals'!$L$31*(1-'Inputs-Proposals'!$L$32)^(CV$3-'Inputs-System'!$C$7))*(VLOOKUP(CV$3,DRIPE!$A$54:$I$82,5,FALSE)+VLOOKUP(CV$3,DRIPE!$A$54:$I$82,9,FALSE))+ ('Inputs-System'!$C$26*'Coincidence Factors'!$B$6*(1+'Inputs-System'!$C$18)*(1+'Inputs-System'!$C$42))*'Inputs-Proposals'!$L$28*VLOOKUP(CV$3,DRIPE!$A$54:$I$82,8,FALSE), $C60 = "0", 0), 0)</f>
        <v>0</v>
      </c>
      <c r="CY60" s="45">
        <f>IFERROR(_xlfn.IFS($C60="1",('Inputs-System'!$C$26*'Coincidence Factors'!$B$6*(1+'Inputs-System'!$C$18))*'Inputs-Proposals'!$L$16*(VLOOKUP(CV$3,Capacity!$A$53:$E$85,4,FALSE)*(1+'Inputs-System'!$C$42)+VLOOKUP(CV$3,Capacity!$A$53:$E$85,5,FALSE)*'Inputs-System'!$C$29*(1+'Inputs-System'!$C$43)), $C60 = "2", ('Inputs-System'!$C$26*'Coincidence Factors'!$B$6*(1+'Inputs-System'!$C$18))*'Inputs-Proposals'!$L$22*(VLOOKUP(CV$3,Capacity!$A$53:$E$85,4,FALSE)*(1+'Inputs-System'!$C$42)+VLOOKUP(CV$3,Capacity!$A$53:$E$85,5,FALSE)*'Inputs-System'!$C$29*(1+'Inputs-System'!$C$43)), $C60 = "3",('Inputs-System'!$C$26*'Coincidence Factors'!$B$6*(1+'Inputs-System'!$C$18))*'Inputs-Proposals'!$L$28*(VLOOKUP(CV$3,Capacity!$A$53:$E$85,4,FALSE)*(1+'Inputs-System'!$C$42)+VLOOKUP(CV$3,Capacity!$A$53:$E$85,5,FALSE)*'Inputs-System'!$C$29*(1+'Inputs-System'!$C$43)), $C60 = "0", 0), 0)</f>
        <v>0</v>
      </c>
      <c r="CZ60" s="44">
        <v>0</v>
      </c>
      <c r="DA60" s="342">
        <f>IFERROR(_xlfn.IFS($C60="1", 'Inputs-System'!$C$30*'Coincidence Factors'!$B$6*'Inputs-Proposals'!$L$17*'Inputs-Proposals'!$L$19*(VLOOKUP(CV$3,'Non-Embedded Emissions'!$A$56:$D$90,2,FALSE)+VLOOKUP(CV$3,'Non-Embedded Emissions'!$A$143:$D$174,2,FALSE)+VLOOKUP(CV$3,'Non-Embedded Emissions'!$A$230:$D$259,2,FALSE)), $C60 = "2", 'Inputs-System'!$C$30*'Coincidence Factors'!$B$6*'Inputs-Proposals'!$L$23*'Inputs-Proposals'!$L$25*(VLOOKUP(CV$3,'Non-Embedded Emissions'!$A$56:$D$90,2,FALSE)+VLOOKUP(CV$3,'Non-Embedded Emissions'!$A$143:$D$174,2,FALSE)+VLOOKUP(CV$3,'Non-Embedded Emissions'!$A$230:$D$259,2,FALSE)), $C60 = "3", 'Inputs-System'!$C$30*'Coincidence Factors'!$B$6*'Inputs-Proposals'!$L$29*'Inputs-Proposals'!$L$31*(VLOOKUP(CV$3,'Non-Embedded Emissions'!$A$56:$D$90,2,FALSE)+VLOOKUP(CV$3,'Non-Embedded Emissions'!$A$143:$D$174,2,FALSE)+VLOOKUP(CV$3,'Non-Embedded Emissions'!$A$230:$D$259,2,FALSE)), $C60 = "0", 0), 0)</f>
        <v>0</v>
      </c>
      <c r="DB60" s="347">
        <f>IFERROR(_xlfn.IFS($C60="1",('Inputs-System'!$C$30*'Coincidence Factors'!$B$6*(1+'Inputs-System'!$C$18)*(1+'Inputs-System'!$C$41)*('Inputs-Proposals'!$L$17*'Inputs-Proposals'!$L$19*(1-'Inputs-Proposals'!$L$20^(DB$3-'Inputs-System'!$C$7)))*(VLOOKUP(DB$3,Energy!$A$51:$K$83,5,FALSE))), $C60 = "2",('Inputs-System'!$C$30*'Coincidence Factors'!$B$6)*(1+'Inputs-System'!$C$18)*(1+'Inputs-System'!$C$41)*('Inputs-Proposals'!$L$23*'Inputs-Proposals'!$L$25*(1-'Inputs-Proposals'!$L$26^(DB$3-'Inputs-System'!$C$7)))*(VLOOKUP(DB$3,Energy!$A$51:$K$83,5,FALSE)), $C60= "3", ('Inputs-System'!$C$30*'Coincidence Factors'!$B$6*(1+'Inputs-System'!$C$18)*(1+'Inputs-System'!$C$41)*('Inputs-Proposals'!$L$29*'Inputs-Proposals'!$L$31*(1-'Inputs-Proposals'!$L$32^(DB$3-'Inputs-System'!$C$7)))*(VLOOKUP(DB$3,Energy!$A$51:$K$83,5,FALSE))), $C60= "0", 0), 0)</f>
        <v>0</v>
      </c>
      <c r="DC60" s="44">
        <f>IFERROR(_xlfn.IFS($C60="1",('Inputs-System'!$C$30*'Coincidence Factors'!$B$6*(1+'Inputs-System'!$C$18)*(1+'Inputs-System'!$C$41))*'Inputs-Proposals'!$L$17*'Inputs-Proposals'!$L$19*(1-'Inputs-Proposals'!$L$20^(DB$3-'Inputs-System'!$C$7))*(VLOOKUP(DB$3,'Embedded Emissions'!$A$47:$B$78,2,FALSE)+VLOOKUP(DB$3,'Embedded Emissions'!$A$129:$B$158,2,FALSE)), $C60 = "2",('Inputs-System'!$C$30*'Coincidence Factors'!$B$6*(1+'Inputs-System'!$C$18)*(1+'Inputs-System'!$C$41))*'Inputs-Proposals'!$L$23*'Inputs-Proposals'!$L$25*(1-'Inputs-Proposals'!$L$20^(DB$3-'Inputs-System'!$C$7))*(VLOOKUP(DB$3,'Embedded Emissions'!$A$47:$B$78,2,FALSE)+VLOOKUP(DB$3,'Embedded Emissions'!$A$129:$B$158,2,FALSE)), $C60 = "3", ('Inputs-System'!$C$30*'Coincidence Factors'!$B$6*(1+'Inputs-System'!$C$18)*(1+'Inputs-System'!$C$41))*'Inputs-Proposals'!$L$29*'Inputs-Proposals'!$L$31*(1-'Inputs-Proposals'!$L$20^(DB$3-'Inputs-System'!$C$7))*(VLOOKUP(DB$3,'Embedded Emissions'!$A$47:$B$78,2,FALSE)+VLOOKUP(DB$3,'Embedded Emissions'!$A$129:$B$158,2,FALSE)), $C60 = "0", 0), 0)</f>
        <v>0</v>
      </c>
      <c r="DD60" s="44">
        <f>IFERROR(_xlfn.IFS($C60="1",( 'Inputs-System'!$C$30*'Coincidence Factors'!$B$6*(1+'Inputs-System'!$C$18)*(1+'Inputs-System'!$C$41))*('Inputs-Proposals'!$L$17*'Inputs-Proposals'!$L$19*(1-'Inputs-Proposals'!$L$20)^(DB$3-'Inputs-System'!$C$7))*(VLOOKUP(DB$3,DRIPE!$A$54:$I$82,5,FALSE)+VLOOKUP(DB$3,DRIPE!$A$54:$I$82,9,FALSE))+ ('Inputs-System'!$C$26*'Coincidence Factors'!$B$6*(1+'Inputs-System'!$C$18)*(1+'Inputs-System'!$C$42))*'Inputs-Proposals'!$L$16*VLOOKUP(DB$3,DRIPE!$A$54:$I$82,8,FALSE), $C60 = "2",( 'Inputs-System'!$C$30*'Coincidence Factors'!$B$6*(1+'Inputs-System'!$C$18)*(1+'Inputs-System'!$C$41))*('Inputs-Proposals'!$L$23*'Inputs-Proposals'!$L$25*(1-'Inputs-Proposals'!$L$26)^(DB$3-'Inputs-System'!$C$7))*(VLOOKUP(DB$3,DRIPE!$A$54:$I$82,5,FALSE)+VLOOKUP(DB$3,DRIPE!$A$54:$I$82,9,FALSE))+ ('Inputs-System'!$C$26*'Coincidence Factors'!$B$6*(1+'Inputs-System'!$C$18)*(1+'Inputs-System'!$C$42))*'Inputs-Proposals'!$L$22*VLOOKUP(DB$3,DRIPE!$A$54:$I$82,8,FALSE), $C60= "3", ( 'Inputs-System'!$C$30*'Coincidence Factors'!$B$6*(1+'Inputs-System'!$C$18)*(1+'Inputs-System'!$C$41))*('Inputs-Proposals'!$L$29*'Inputs-Proposals'!$L$31*(1-'Inputs-Proposals'!$L$32)^(DB$3-'Inputs-System'!$C$7))*(VLOOKUP(DB$3,DRIPE!$A$54:$I$82,5,FALSE)+VLOOKUP(DB$3,DRIPE!$A$54:$I$82,9,FALSE))+ ('Inputs-System'!$C$26*'Coincidence Factors'!$B$6*(1+'Inputs-System'!$C$18)*(1+'Inputs-System'!$C$42))*'Inputs-Proposals'!$L$28*VLOOKUP(DB$3,DRIPE!$A$54:$I$82,8,FALSE), $C60 = "0", 0), 0)</f>
        <v>0</v>
      </c>
      <c r="DE60" s="45">
        <f>IFERROR(_xlfn.IFS($C60="1",('Inputs-System'!$C$26*'Coincidence Factors'!$B$6*(1+'Inputs-System'!$C$18))*'Inputs-Proposals'!$L$16*(VLOOKUP(DB$3,Capacity!$A$53:$E$85,4,FALSE)*(1+'Inputs-System'!$C$42)+VLOOKUP(DB$3,Capacity!$A$53:$E$85,5,FALSE)*'Inputs-System'!$C$29*(1+'Inputs-System'!$C$43)), $C60 = "2", ('Inputs-System'!$C$26*'Coincidence Factors'!$B$6*(1+'Inputs-System'!$C$18))*'Inputs-Proposals'!$L$22*(VLOOKUP(DB$3,Capacity!$A$53:$E$85,4,FALSE)*(1+'Inputs-System'!$C$42)+VLOOKUP(DB$3,Capacity!$A$53:$E$85,5,FALSE)*'Inputs-System'!$C$29*(1+'Inputs-System'!$C$43)), $C60 = "3",('Inputs-System'!$C$26*'Coincidence Factors'!$B$6*(1+'Inputs-System'!$C$18))*'Inputs-Proposals'!$L$28*(VLOOKUP(DB$3,Capacity!$A$53:$E$85,4,FALSE)*(1+'Inputs-System'!$C$42)+VLOOKUP(DB$3,Capacity!$A$53:$E$85,5,FALSE)*'Inputs-System'!$C$29*(1+'Inputs-System'!$C$43)), $C60 = "0", 0), 0)</f>
        <v>0</v>
      </c>
      <c r="DF60" s="44">
        <v>0</v>
      </c>
      <c r="DG60" s="342">
        <f>IFERROR(_xlfn.IFS($C60="1", 'Inputs-System'!$C$30*'Coincidence Factors'!$B$6*'Inputs-Proposals'!$L$17*'Inputs-Proposals'!$L$19*(VLOOKUP(DB$3,'Non-Embedded Emissions'!$A$56:$D$90,2,FALSE)+VLOOKUP(DB$3,'Non-Embedded Emissions'!$A$143:$D$174,2,FALSE)+VLOOKUP(DB$3,'Non-Embedded Emissions'!$A$230:$D$259,2,FALSE)), $C60 = "2", 'Inputs-System'!$C$30*'Coincidence Factors'!$B$6*'Inputs-Proposals'!$L$23*'Inputs-Proposals'!$L$25*(VLOOKUP(DB$3,'Non-Embedded Emissions'!$A$56:$D$90,2,FALSE)+VLOOKUP(DB$3,'Non-Embedded Emissions'!$A$143:$D$174,2,FALSE)+VLOOKUP(DB$3,'Non-Embedded Emissions'!$A$230:$D$259,2,FALSE)), $C60 = "3", 'Inputs-System'!$C$30*'Coincidence Factors'!$B$6*'Inputs-Proposals'!$L$29*'Inputs-Proposals'!$L$31*(VLOOKUP(DB$3,'Non-Embedded Emissions'!$A$56:$D$90,2,FALSE)+VLOOKUP(DB$3,'Non-Embedded Emissions'!$A$143:$D$174,2,FALSE)+VLOOKUP(DB$3,'Non-Embedded Emissions'!$A$230:$D$259,2,FALSE)), $C60 = "0", 0), 0)</f>
        <v>0</v>
      </c>
      <c r="DH60" s="347">
        <f>IFERROR(_xlfn.IFS($C60="1",('Inputs-System'!$C$30*'Coincidence Factors'!$B$6*(1+'Inputs-System'!$C$18)*(1+'Inputs-System'!$C$41)*('Inputs-Proposals'!$L$17*'Inputs-Proposals'!$L$19*(1-'Inputs-Proposals'!$L$20^(DH$3-'Inputs-System'!$C$7)))*(VLOOKUP(DH$3,Energy!$A$51:$K$83,5,FALSE))), $C60 = "2",('Inputs-System'!$C$30*'Coincidence Factors'!$B$6)*(1+'Inputs-System'!$C$18)*(1+'Inputs-System'!$C$41)*('Inputs-Proposals'!$L$23*'Inputs-Proposals'!$L$25*(1-'Inputs-Proposals'!$L$26^(DH$3-'Inputs-System'!$C$7)))*(VLOOKUP(DH$3,Energy!$A$51:$K$83,5,FALSE)), $C60= "3", ('Inputs-System'!$C$30*'Coincidence Factors'!$B$6*(1+'Inputs-System'!$C$18)*(1+'Inputs-System'!$C$41)*('Inputs-Proposals'!$L$29*'Inputs-Proposals'!$L$31*(1-'Inputs-Proposals'!$L$32^(DH$3-'Inputs-System'!$C$7)))*(VLOOKUP(DH$3,Energy!$A$51:$K$83,5,FALSE))), $C60= "0", 0), 0)</f>
        <v>0</v>
      </c>
      <c r="DI60" s="44">
        <f>IFERROR(_xlfn.IFS($C60="1",('Inputs-System'!$C$30*'Coincidence Factors'!$B$6*(1+'Inputs-System'!$C$18)*(1+'Inputs-System'!$C$41))*'Inputs-Proposals'!$L$17*'Inputs-Proposals'!$L$19*(1-'Inputs-Proposals'!$L$20^(DH$3-'Inputs-System'!$C$7))*(VLOOKUP(DH$3,'Embedded Emissions'!$A$47:$B$78,2,FALSE)+VLOOKUP(DH$3,'Embedded Emissions'!$A$129:$B$158,2,FALSE)), $C60 = "2",('Inputs-System'!$C$30*'Coincidence Factors'!$B$6*(1+'Inputs-System'!$C$18)*(1+'Inputs-System'!$C$41))*'Inputs-Proposals'!$L$23*'Inputs-Proposals'!$L$25*(1-'Inputs-Proposals'!$L$20^(DH$3-'Inputs-System'!$C$7))*(VLOOKUP(DH$3,'Embedded Emissions'!$A$47:$B$78,2,FALSE)+VLOOKUP(DH$3,'Embedded Emissions'!$A$129:$B$158,2,FALSE)), $C60 = "3", ('Inputs-System'!$C$30*'Coincidence Factors'!$B$6*(1+'Inputs-System'!$C$18)*(1+'Inputs-System'!$C$41))*'Inputs-Proposals'!$L$29*'Inputs-Proposals'!$L$31*(1-'Inputs-Proposals'!$L$20^(DH$3-'Inputs-System'!$C$7))*(VLOOKUP(DH$3,'Embedded Emissions'!$A$47:$B$78,2,FALSE)+VLOOKUP(DH$3,'Embedded Emissions'!$A$129:$B$158,2,FALSE)), $C60 = "0", 0), 0)</f>
        <v>0</v>
      </c>
      <c r="DJ60" s="44">
        <f>IFERROR(_xlfn.IFS($C60="1",( 'Inputs-System'!$C$30*'Coincidence Factors'!$B$6*(1+'Inputs-System'!$C$18)*(1+'Inputs-System'!$C$41))*('Inputs-Proposals'!$L$17*'Inputs-Proposals'!$L$19*(1-'Inputs-Proposals'!$L$20)^(DH$3-'Inputs-System'!$C$7))*(VLOOKUP(DH$3,DRIPE!$A$54:$I$82,5,FALSE)+VLOOKUP(DH$3,DRIPE!$A$54:$I$82,9,FALSE))+ ('Inputs-System'!$C$26*'Coincidence Factors'!$B$6*(1+'Inputs-System'!$C$18)*(1+'Inputs-System'!$C$42))*'Inputs-Proposals'!$L$16*VLOOKUP(DH$3,DRIPE!$A$54:$I$82,8,FALSE), $C60 = "2",( 'Inputs-System'!$C$30*'Coincidence Factors'!$B$6*(1+'Inputs-System'!$C$18)*(1+'Inputs-System'!$C$41))*('Inputs-Proposals'!$L$23*'Inputs-Proposals'!$L$25*(1-'Inputs-Proposals'!$L$26)^(DH$3-'Inputs-System'!$C$7))*(VLOOKUP(DH$3,DRIPE!$A$54:$I$82,5,FALSE)+VLOOKUP(DH$3,DRIPE!$A$54:$I$82,9,FALSE))+ ('Inputs-System'!$C$26*'Coincidence Factors'!$B$6*(1+'Inputs-System'!$C$18)*(1+'Inputs-System'!$C$42))*'Inputs-Proposals'!$L$22*VLOOKUP(DH$3,DRIPE!$A$54:$I$82,8,FALSE), $C60= "3", ( 'Inputs-System'!$C$30*'Coincidence Factors'!$B$6*(1+'Inputs-System'!$C$18)*(1+'Inputs-System'!$C$41))*('Inputs-Proposals'!$L$29*'Inputs-Proposals'!$L$31*(1-'Inputs-Proposals'!$L$32)^(DH$3-'Inputs-System'!$C$7))*(VLOOKUP(DH$3,DRIPE!$A$54:$I$82,5,FALSE)+VLOOKUP(DH$3,DRIPE!$A$54:$I$82,9,FALSE))+ ('Inputs-System'!$C$26*'Coincidence Factors'!$B$6*(1+'Inputs-System'!$C$18)*(1+'Inputs-System'!$C$42))*'Inputs-Proposals'!$L$28*VLOOKUP(DH$3,DRIPE!$A$54:$I$82,8,FALSE), $C60 = "0", 0), 0)</f>
        <v>0</v>
      </c>
      <c r="DK60" s="45">
        <f>IFERROR(_xlfn.IFS($C60="1",('Inputs-System'!$C$26*'Coincidence Factors'!$B$6*(1+'Inputs-System'!$C$18))*'Inputs-Proposals'!$L$16*(VLOOKUP(DH$3,Capacity!$A$53:$E$85,4,FALSE)*(1+'Inputs-System'!$C$42)+VLOOKUP(DH$3,Capacity!$A$53:$E$85,5,FALSE)*'Inputs-System'!$C$29*(1+'Inputs-System'!$C$43)), $C60 = "2", ('Inputs-System'!$C$26*'Coincidence Factors'!$B$6*(1+'Inputs-System'!$C$18))*'Inputs-Proposals'!$L$22*(VLOOKUP(DH$3,Capacity!$A$53:$E$85,4,FALSE)*(1+'Inputs-System'!$C$42)+VLOOKUP(DH$3,Capacity!$A$53:$E$85,5,FALSE)*'Inputs-System'!$C$29*(1+'Inputs-System'!$C$43)), $C60 = "3",('Inputs-System'!$C$26*'Coincidence Factors'!$B$6*(1+'Inputs-System'!$C$18))*'Inputs-Proposals'!$L$28*(VLOOKUP(DH$3,Capacity!$A$53:$E$85,4,FALSE)*(1+'Inputs-System'!$C$42)+VLOOKUP(DH$3,Capacity!$A$53:$E$85,5,FALSE)*'Inputs-System'!$C$29*(1+'Inputs-System'!$C$43)), $C60 = "0", 0), 0)</f>
        <v>0</v>
      </c>
      <c r="DL60" s="44">
        <v>0</v>
      </c>
      <c r="DM60" s="342">
        <f>IFERROR(_xlfn.IFS($C60="1", 'Inputs-System'!$C$30*'Coincidence Factors'!$B$6*'Inputs-Proposals'!$L$17*'Inputs-Proposals'!$L$19*(VLOOKUP(DH$3,'Non-Embedded Emissions'!$A$56:$D$90,2,FALSE)+VLOOKUP(DH$3,'Non-Embedded Emissions'!$A$143:$D$174,2,FALSE)+VLOOKUP(DH$3,'Non-Embedded Emissions'!$A$230:$D$259,2,FALSE)), $C60 = "2", 'Inputs-System'!$C$30*'Coincidence Factors'!$B$6*'Inputs-Proposals'!$L$23*'Inputs-Proposals'!$L$25*(VLOOKUP(DH$3,'Non-Embedded Emissions'!$A$56:$D$90,2,FALSE)+VLOOKUP(DH$3,'Non-Embedded Emissions'!$A$143:$D$174,2,FALSE)+VLOOKUP(DH$3,'Non-Embedded Emissions'!$A$230:$D$259,2,FALSE)), $C60 = "3", 'Inputs-System'!$C$30*'Coincidence Factors'!$B$6*'Inputs-Proposals'!$L$29*'Inputs-Proposals'!$L$31*(VLOOKUP(DH$3,'Non-Embedded Emissions'!$A$56:$D$90,2,FALSE)+VLOOKUP(DH$3,'Non-Embedded Emissions'!$A$143:$D$174,2,FALSE)+VLOOKUP(DH$3,'Non-Embedded Emissions'!$A$230:$D$259,2,FALSE)), $C60 = "0", 0), 0)</f>
        <v>0</v>
      </c>
      <c r="DN60" s="347">
        <f>IFERROR(_xlfn.IFS($C60="1",('Inputs-System'!$C$30*'Coincidence Factors'!$B$6*(1+'Inputs-System'!$C$18)*(1+'Inputs-System'!$C$41)*('Inputs-Proposals'!$L$17*'Inputs-Proposals'!$L$19*(1-'Inputs-Proposals'!$L$20^(DN$3-'Inputs-System'!$C$7)))*(VLOOKUP(DN$3,Energy!$A$51:$K$83,5,FALSE))), $C60 = "2",('Inputs-System'!$C$30*'Coincidence Factors'!$B$6)*(1+'Inputs-System'!$C$18)*(1+'Inputs-System'!$C$41)*('Inputs-Proposals'!$L$23*'Inputs-Proposals'!$L$25*(1-'Inputs-Proposals'!$L$26^(DN$3-'Inputs-System'!$C$7)))*(VLOOKUP(DN$3,Energy!$A$51:$K$83,5,FALSE)), $C60= "3", ('Inputs-System'!$C$30*'Coincidence Factors'!$B$6*(1+'Inputs-System'!$C$18)*(1+'Inputs-System'!$C$41)*('Inputs-Proposals'!$L$29*'Inputs-Proposals'!$L$31*(1-'Inputs-Proposals'!$L$32^(DN$3-'Inputs-System'!$C$7)))*(VLOOKUP(DN$3,Energy!$A$51:$K$83,5,FALSE))), $C60= "0", 0), 0)</f>
        <v>0</v>
      </c>
      <c r="DO60" s="44">
        <f>IFERROR(_xlfn.IFS($C60="1",('Inputs-System'!$C$30*'Coincidence Factors'!$B$6*(1+'Inputs-System'!$C$18)*(1+'Inputs-System'!$C$41))*'Inputs-Proposals'!$L$17*'Inputs-Proposals'!$L$19*(1-'Inputs-Proposals'!$L$20^(DN$3-'Inputs-System'!$C$7))*(VLOOKUP(DN$3,'Embedded Emissions'!$A$47:$B$78,2,FALSE)+VLOOKUP(DN$3,'Embedded Emissions'!$A$129:$B$158,2,FALSE)), $C60 = "2",('Inputs-System'!$C$30*'Coincidence Factors'!$B$6*(1+'Inputs-System'!$C$18)*(1+'Inputs-System'!$C$41))*'Inputs-Proposals'!$L$23*'Inputs-Proposals'!$L$25*(1-'Inputs-Proposals'!$L$20^(DN$3-'Inputs-System'!$C$7))*(VLOOKUP(DN$3,'Embedded Emissions'!$A$47:$B$78,2,FALSE)+VLOOKUP(DN$3,'Embedded Emissions'!$A$129:$B$158,2,FALSE)), $C60 = "3", ('Inputs-System'!$C$30*'Coincidence Factors'!$B$6*(1+'Inputs-System'!$C$18)*(1+'Inputs-System'!$C$41))*'Inputs-Proposals'!$L$29*'Inputs-Proposals'!$L$31*(1-'Inputs-Proposals'!$L$20^(DN$3-'Inputs-System'!$C$7))*(VLOOKUP(DN$3,'Embedded Emissions'!$A$47:$B$78,2,FALSE)+VLOOKUP(DN$3,'Embedded Emissions'!$A$129:$B$158,2,FALSE)), $C60 = "0", 0), 0)</f>
        <v>0</v>
      </c>
      <c r="DP60" s="44">
        <f>IFERROR(_xlfn.IFS($C60="1",( 'Inputs-System'!$C$30*'Coincidence Factors'!$B$6*(1+'Inputs-System'!$C$18)*(1+'Inputs-System'!$C$41))*('Inputs-Proposals'!$L$17*'Inputs-Proposals'!$L$19*(1-'Inputs-Proposals'!$L$20)^(DN$3-'Inputs-System'!$C$7))*(VLOOKUP(DN$3,DRIPE!$A$54:$I$82,5,FALSE)+VLOOKUP(DN$3,DRIPE!$A$54:$I$82,9,FALSE))+ ('Inputs-System'!$C$26*'Coincidence Factors'!$B$6*(1+'Inputs-System'!$C$18)*(1+'Inputs-System'!$C$42))*'Inputs-Proposals'!$L$16*VLOOKUP(DN$3,DRIPE!$A$54:$I$82,8,FALSE), $C60 = "2",( 'Inputs-System'!$C$30*'Coincidence Factors'!$B$6*(1+'Inputs-System'!$C$18)*(1+'Inputs-System'!$C$41))*('Inputs-Proposals'!$L$23*'Inputs-Proposals'!$L$25*(1-'Inputs-Proposals'!$L$26)^(DN$3-'Inputs-System'!$C$7))*(VLOOKUP(DN$3,DRIPE!$A$54:$I$82,5,FALSE)+VLOOKUP(DN$3,DRIPE!$A$54:$I$82,9,FALSE))+ ('Inputs-System'!$C$26*'Coincidence Factors'!$B$6*(1+'Inputs-System'!$C$18)*(1+'Inputs-System'!$C$42))*'Inputs-Proposals'!$L$22*VLOOKUP(DN$3,DRIPE!$A$54:$I$82,8,FALSE), $C60= "3", ( 'Inputs-System'!$C$30*'Coincidence Factors'!$B$6*(1+'Inputs-System'!$C$18)*(1+'Inputs-System'!$C$41))*('Inputs-Proposals'!$L$29*'Inputs-Proposals'!$L$31*(1-'Inputs-Proposals'!$L$32)^(DN$3-'Inputs-System'!$C$7))*(VLOOKUP(DN$3,DRIPE!$A$54:$I$82,5,FALSE)+VLOOKUP(DN$3,DRIPE!$A$54:$I$82,9,FALSE))+ ('Inputs-System'!$C$26*'Coincidence Factors'!$B$6*(1+'Inputs-System'!$C$18)*(1+'Inputs-System'!$C$42))*'Inputs-Proposals'!$L$28*VLOOKUP(DN$3,DRIPE!$A$54:$I$82,8,FALSE), $C60 = "0", 0), 0)</f>
        <v>0</v>
      </c>
      <c r="DQ60" s="45">
        <f>IFERROR(_xlfn.IFS($C60="1",('Inputs-System'!$C$26*'Coincidence Factors'!$B$6*(1+'Inputs-System'!$C$18))*'Inputs-Proposals'!$L$16*(VLOOKUP(DN$3,Capacity!$A$53:$E$85,4,FALSE)*(1+'Inputs-System'!$C$42)+VLOOKUP(DN$3,Capacity!$A$53:$E$85,5,FALSE)*'Inputs-System'!$C$29*(1+'Inputs-System'!$C$43)), $C60 = "2", ('Inputs-System'!$C$26*'Coincidence Factors'!$B$6*(1+'Inputs-System'!$C$18))*'Inputs-Proposals'!$L$22*(VLOOKUP(DN$3,Capacity!$A$53:$E$85,4,FALSE)*(1+'Inputs-System'!$C$42)+VLOOKUP(DN$3,Capacity!$A$53:$E$85,5,FALSE)*'Inputs-System'!$C$29*(1+'Inputs-System'!$C$43)), $C60 = "3",('Inputs-System'!$C$26*'Coincidence Factors'!$B$6*(1+'Inputs-System'!$C$18))*'Inputs-Proposals'!$L$28*(VLOOKUP(DN$3,Capacity!$A$53:$E$85,4,FALSE)*(1+'Inputs-System'!$C$42)+VLOOKUP(DN$3,Capacity!$A$53:$E$85,5,FALSE)*'Inputs-System'!$C$29*(1+'Inputs-System'!$C$43)), $C60 = "0", 0), 0)</f>
        <v>0</v>
      </c>
      <c r="DR60" s="44">
        <v>0</v>
      </c>
      <c r="DS60" s="342">
        <f>IFERROR(_xlfn.IFS($C60="1", 'Inputs-System'!$C$30*'Coincidence Factors'!$B$6*'Inputs-Proposals'!$L$17*'Inputs-Proposals'!$L$19*(VLOOKUP(DN$3,'Non-Embedded Emissions'!$A$56:$D$90,2,FALSE)+VLOOKUP(DN$3,'Non-Embedded Emissions'!$A$143:$D$174,2,FALSE)+VLOOKUP(DN$3,'Non-Embedded Emissions'!$A$230:$D$259,2,FALSE)), $C60 = "2", 'Inputs-System'!$C$30*'Coincidence Factors'!$B$6*'Inputs-Proposals'!$L$23*'Inputs-Proposals'!$L$25*(VLOOKUP(DN$3,'Non-Embedded Emissions'!$A$56:$D$90,2,FALSE)+VLOOKUP(DN$3,'Non-Embedded Emissions'!$A$143:$D$174,2,FALSE)+VLOOKUP(DN$3,'Non-Embedded Emissions'!$A$230:$D$259,2,FALSE)), $C60 = "3", 'Inputs-System'!$C$30*'Coincidence Factors'!$B$6*'Inputs-Proposals'!$L$29*'Inputs-Proposals'!$L$31*(VLOOKUP(DN$3,'Non-Embedded Emissions'!$A$56:$D$90,2,FALSE)+VLOOKUP(DN$3,'Non-Embedded Emissions'!$A$143:$D$174,2,FALSE)+VLOOKUP(DN$3,'Non-Embedded Emissions'!$A$230:$D$259,2,FALSE)), $C60 = "0", 0), 0)</f>
        <v>0</v>
      </c>
      <c r="DT60" s="347">
        <f>IFERROR(_xlfn.IFS($C60="1",('Inputs-System'!$C$30*'Coincidence Factors'!$B$6*(1+'Inputs-System'!$C$18)*(1+'Inputs-System'!$C$41)*('Inputs-Proposals'!$L$17*'Inputs-Proposals'!$L$19*(1-'Inputs-Proposals'!$L$20^(DT$3-'Inputs-System'!$C$7)))*(VLOOKUP(DT$3,Energy!$A$51:$K$83,5,FALSE))), $C60 = "2",('Inputs-System'!$C$30*'Coincidence Factors'!$B$6)*(1+'Inputs-System'!$C$18)*(1+'Inputs-System'!$C$41)*('Inputs-Proposals'!$L$23*'Inputs-Proposals'!$L$25*(1-'Inputs-Proposals'!$L$26^(DT$3-'Inputs-System'!$C$7)))*(VLOOKUP(DT$3,Energy!$A$51:$K$83,5,FALSE)), $C60= "3", ('Inputs-System'!$C$30*'Coincidence Factors'!$B$6*(1+'Inputs-System'!$C$18)*(1+'Inputs-System'!$C$41)*('Inputs-Proposals'!$L$29*'Inputs-Proposals'!$L$31*(1-'Inputs-Proposals'!$L$32^(DT$3-'Inputs-System'!$C$7)))*(VLOOKUP(DT$3,Energy!$A$51:$K$83,5,FALSE))), $C60= "0", 0), 0)</f>
        <v>0</v>
      </c>
      <c r="DU60" s="44">
        <f>IFERROR(_xlfn.IFS($C60="1",('Inputs-System'!$C$30*'Coincidence Factors'!$B$6*(1+'Inputs-System'!$C$18)*(1+'Inputs-System'!$C$41))*'Inputs-Proposals'!$L$17*'Inputs-Proposals'!$L$19*(1-'Inputs-Proposals'!$L$20^(DT$3-'Inputs-System'!$C$7))*(VLOOKUP(DT$3,'Embedded Emissions'!$A$47:$B$78,2,FALSE)+VLOOKUP(DT$3,'Embedded Emissions'!$A$129:$B$158,2,FALSE)), $C60 = "2",('Inputs-System'!$C$30*'Coincidence Factors'!$B$6*(1+'Inputs-System'!$C$18)*(1+'Inputs-System'!$C$41))*'Inputs-Proposals'!$L$23*'Inputs-Proposals'!$L$25*(1-'Inputs-Proposals'!$L$20^(DT$3-'Inputs-System'!$C$7))*(VLOOKUP(DT$3,'Embedded Emissions'!$A$47:$B$78,2,FALSE)+VLOOKUP(DT$3,'Embedded Emissions'!$A$129:$B$158,2,FALSE)), $C60 = "3", ('Inputs-System'!$C$30*'Coincidence Factors'!$B$6*(1+'Inputs-System'!$C$18)*(1+'Inputs-System'!$C$41))*'Inputs-Proposals'!$L$29*'Inputs-Proposals'!$L$31*(1-'Inputs-Proposals'!$L$20^(DT$3-'Inputs-System'!$C$7))*(VLOOKUP(DT$3,'Embedded Emissions'!$A$47:$B$78,2,FALSE)+VLOOKUP(DT$3,'Embedded Emissions'!$A$129:$B$158,2,FALSE)), $C60 = "0", 0), 0)</f>
        <v>0</v>
      </c>
      <c r="DV60" s="44">
        <f>IFERROR(_xlfn.IFS($C60="1",( 'Inputs-System'!$C$30*'Coincidence Factors'!$B$6*(1+'Inputs-System'!$C$18)*(1+'Inputs-System'!$C$41))*('Inputs-Proposals'!$L$17*'Inputs-Proposals'!$L$19*(1-'Inputs-Proposals'!$L$20)^(DT$3-'Inputs-System'!$C$7))*(VLOOKUP(DT$3,DRIPE!$A$54:$I$82,5,FALSE)+VLOOKUP(DT$3,DRIPE!$A$54:$I$82,9,FALSE))+ ('Inputs-System'!$C$26*'Coincidence Factors'!$B$6*(1+'Inputs-System'!$C$18)*(1+'Inputs-System'!$C$42))*'Inputs-Proposals'!$L$16*VLOOKUP(DT$3,DRIPE!$A$54:$I$82,8,FALSE), $C60 = "2",( 'Inputs-System'!$C$30*'Coincidence Factors'!$B$6*(1+'Inputs-System'!$C$18)*(1+'Inputs-System'!$C$41))*('Inputs-Proposals'!$L$23*'Inputs-Proposals'!$L$25*(1-'Inputs-Proposals'!$L$26)^(DT$3-'Inputs-System'!$C$7))*(VLOOKUP(DT$3,DRIPE!$A$54:$I$82,5,FALSE)+VLOOKUP(DT$3,DRIPE!$A$54:$I$82,9,FALSE))+ ('Inputs-System'!$C$26*'Coincidence Factors'!$B$6*(1+'Inputs-System'!$C$18)*(1+'Inputs-System'!$C$42))*'Inputs-Proposals'!$L$22*VLOOKUP(DT$3,DRIPE!$A$54:$I$82,8,FALSE), $C60= "3", ( 'Inputs-System'!$C$30*'Coincidence Factors'!$B$6*(1+'Inputs-System'!$C$18)*(1+'Inputs-System'!$C$41))*('Inputs-Proposals'!$L$29*'Inputs-Proposals'!$L$31*(1-'Inputs-Proposals'!$L$32)^(DT$3-'Inputs-System'!$C$7))*(VLOOKUP(DT$3,DRIPE!$A$54:$I$82,5,FALSE)+VLOOKUP(DT$3,DRIPE!$A$54:$I$82,9,FALSE))+ ('Inputs-System'!$C$26*'Coincidence Factors'!$B$6*(1+'Inputs-System'!$C$18)*(1+'Inputs-System'!$C$42))*'Inputs-Proposals'!$L$28*VLOOKUP(DT$3,DRIPE!$A$54:$I$82,8,FALSE), $C60 = "0", 0), 0)</f>
        <v>0</v>
      </c>
      <c r="DW60" s="45">
        <f>IFERROR(_xlfn.IFS($C60="1",('Inputs-System'!$C$26*'Coincidence Factors'!$B$6*(1+'Inputs-System'!$C$18))*'Inputs-Proposals'!$L$16*(VLOOKUP(DT$3,Capacity!$A$53:$E$85,4,FALSE)*(1+'Inputs-System'!$C$42)+VLOOKUP(DT$3,Capacity!$A$53:$E$85,5,FALSE)*'Inputs-System'!$C$29*(1+'Inputs-System'!$C$43)), $C60 = "2", ('Inputs-System'!$C$26*'Coincidence Factors'!$B$6*(1+'Inputs-System'!$C$18))*'Inputs-Proposals'!$L$22*(VLOOKUP(DT$3,Capacity!$A$53:$E$85,4,FALSE)*(1+'Inputs-System'!$C$42)+VLOOKUP(DT$3,Capacity!$A$53:$E$85,5,FALSE)*'Inputs-System'!$C$29*(1+'Inputs-System'!$C$43)), $C60 = "3",('Inputs-System'!$C$26*'Coincidence Factors'!$B$6*(1+'Inputs-System'!$C$18))*'Inputs-Proposals'!$L$28*(VLOOKUP(DT$3,Capacity!$A$53:$E$85,4,FALSE)*(1+'Inputs-System'!$C$42)+VLOOKUP(DT$3,Capacity!$A$53:$E$85,5,FALSE)*'Inputs-System'!$C$29*(1+'Inputs-System'!$C$43)), $C60 = "0", 0), 0)</f>
        <v>0</v>
      </c>
      <c r="DX60" s="44">
        <v>0</v>
      </c>
      <c r="DY60" s="342">
        <f>IFERROR(_xlfn.IFS($C60="1", 'Inputs-System'!$C$30*'Coincidence Factors'!$B$6*'Inputs-Proposals'!$L$17*'Inputs-Proposals'!$L$19*(VLOOKUP(DT$3,'Non-Embedded Emissions'!$A$56:$D$90,2,FALSE)+VLOOKUP(DT$3,'Non-Embedded Emissions'!$A$143:$D$174,2,FALSE)+VLOOKUP(DT$3,'Non-Embedded Emissions'!$A$230:$D$259,2,FALSE)), $C60 = "2", 'Inputs-System'!$C$30*'Coincidence Factors'!$B$6*'Inputs-Proposals'!$L$23*'Inputs-Proposals'!$L$25*(VLOOKUP(DT$3,'Non-Embedded Emissions'!$A$56:$D$90,2,FALSE)+VLOOKUP(DT$3,'Non-Embedded Emissions'!$A$143:$D$174,2,FALSE)+VLOOKUP(DT$3,'Non-Embedded Emissions'!$A$230:$D$259,2,FALSE)), $C60 = "3", 'Inputs-System'!$C$30*'Coincidence Factors'!$B$6*'Inputs-Proposals'!$L$29*'Inputs-Proposals'!$L$31*(VLOOKUP(DT$3,'Non-Embedded Emissions'!$A$56:$D$90,2,FALSE)+VLOOKUP(DT$3,'Non-Embedded Emissions'!$A$143:$D$174,2,FALSE)+VLOOKUP(DT$3,'Non-Embedded Emissions'!$A$230:$D$259,2,FALSE)), $C60 = "0", 0), 0)</f>
        <v>0</v>
      </c>
      <c r="DZ60" s="347">
        <f>IFERROR(_xlfn.IFS($C60="1",('Inputs-System'!$C$30*'Coincidence Factors'!$B$6*(1+'Inputs-System'!$C$18)*(1+'Inputs-System'!$C$41)*('Inputs-Proposals'!$L$17*'Inputs-Proposals'!$L$19*(1-'Inputs-Proposals'!$L$20^(DZ$3-'Inputs-System'!$C$7)))*(VLOOKUP(DZ$3,Energy!$A$51:$K$83,5,FALSE))), $C60 = "2",('Inputs-System'!$C$30*'Coincidence Factors'!$B$6)*(1+'Inputs-System'!$C$18)*(1+'Inputs-System'!$C$41)*('Inputs-Proposals'!$L$23*'Inputs-Proposals'!$L$25*(1-'Inputs-Proposals'!$L$26^(DZ$3-'Inputs-System'!$C$7)))*(VLOOKUP(DZ$3,Energy!$A$51:$K$83,5,FALSE)), $C60= "3", ('Inputs-System'!$C$30*'Coincidence Factors'!$B$6*(1+'Inputs-System'!$C$18)*(1+'Inputs-System'!$C$41)*('Inputs-Proposals'!$L$29*'Inputs-Proposals'!$L$31*(1-'Inputs-Proposals'!$L$32^(DZ$3-'Inputs-System'!$C$7)))*(VLOOKUP(DZ$3,Energy!$A$51:$K$83,5,FALSE))), $C60= "0", 0), 0)</f>
        <v>0</v>
      </c>
      <c r="EA60" s="44">
        <f>IFERROR(_xlfn.IFS($C60="1",('Inputs-System'!$C$30*'Coincidence Factors'!$B$6*(1+'Inputs-System'!$C$18)*(1+'Inputs-System'!$C$41))*'Inputs-Proposals'!$L$17*'Inputs-Proposals'!$L$19*(1-'Inputs-Proposals'!$L$20^(DZ$3-'Inputs-System'!$C$7))*(VLOOKUP(DZ$3,'Embedded Emissions'!$A$47:$B$78,2,FALSE)+VLOOKUP(DZ$3,'Embedded Emissions'!$A$129:$B$158,2,FALSE)), $C60 = "2",('Inputs-System'!$C$30*'Coincidence Factors'!$B$6*(1+'Inputs-System'!$C$18)*(1+'Inputs-System'!$C$41))*'Inputs-Proposals'!$L$23*'Inputs-Proposals'!$L$25*(1-'Inputs-Proposals'!$L$20^(DZ$3-'Inputs-System'!$C$7))*(VLOOKUP(DZ$3,'Embedded Emissions'!$A$47:$B$78,2,FALSE)+VLOOKUP(DZ$3,'Embedded Emissions'!$A$129:$B$158,2,FALSE)), $C60 = "3", ('Inputs-System'!$C$30*'Coincidence Factors'!$B$6*(1+'Inputs-System'!$C$18)*(1+'Inputs-System'!$C$41))*'Inputs-Proposals'!$L$29*'Inputs-Proposals'!$L$31*(1-'Inputs-Proposals'!$L$20^(DZ$3-'Inputs-System'!$C$7))*(VLOOKUP(DZ$3,'Embedded Emissions'!$A$47:$B$78,2,FALSE)+VLOOKUP(DZ$3,'Embedded Emissions'!$A$129:$B$158,2,FALSE)), $C60 = "0", 0), 0)</f>
        <v>0</v>
      </c>
      <c r="EB60" s="44">
        <f>IFERROR(_xlfn.IFS($C60="1",( 'Inputs-System'!$C$30*'Coincidence Factors'!$B$6*(1+'Inputs-System'!$C$18)*(1+'Inputs-System'!$C$41))*('Inputs-Proposals'!$L$17*'Inputs-Proposals'!$L$19*(1-'Inputs-Proposals'!$L$20)^(DZ$3-'Inputs-System'!$C$7))*(VLOOKUP(DZ$3,DRIPE!$A$54:$I$82,5,FALSE)+VLOOKUP(DZ$3,DRIPE!$A$54:$I$82,9,FALSE))+ ('Inputs-System'!$C$26*'Coincidence Factors'!$B$6*(1+'Inputs-System'!$C$18)*(1+'Inputs-System'!$C$42))*'Inputs-Proposals'!$L$16*VLOOKUP(DZ$3,DRIPE!$A$54:$I$82,8,FALSE), $C60 = "2",( 'Inputs-System'!$C$30*'Coincidence Factors'!$B$6*(1+'Inputs-System'!$C$18)*(1+'Inputs-System'!$C$41))*('Inputs-Proposals'!$L$23*'Inputs-Proposals'!$L$25*(1-'Inputs-Proposals'!$L$26)^(DZ$3-'Inputs-System'!$C$7))*(VLOOKUP(DZ$3,DRIPE!$A$54:$I$82,5,FALSE)+VLOOKUP(DZ$3,DRIPE!$A$54:$I$82,9,FALSE))+ ('Inputs-System'!$C$26*'Coincidence Factors'!$B$6*(1+'Inputs-System'!$C$18)*(1+'Inputs-System'!$C$42))*'Inputs-Proposals'!$L$22*VLOOKUP(DZ$3,DRIPE!$A$54:$I$82,8,FALSE), $C60= "3", ( 'Inputs-System'!$C$30*'Coincidence Factors'!$B$6*(1+'Inputs-System'!$C$18)*(1+'Inputs-System'!$C$41))*('Inputs-Proposals'!$L$29*'Inputs-Proposals'!$L$31*(1-'Inputs-Proposals'!$L$32)^(DZ$3-'Inputs-System'!$C$7))*(VLOOKUP(DZ$3,DRIPE!$A$54:$I$82,5,FALSE)+VLOOKUP(DZ$3,DRIPE!$A$54:$I$82,9,FALSE))+ ('Inputs-System'!$C$26*'Coincidence Factors'!$B$6*(1+'Inputs-System'!$C$18)*(1+'Inputs-System'!$C$42))*'Inputs-Proposals'!$L$28*VLOOKUP(DZ$3,DRIPE!$A$54:$I$82,8,FALSE), $C60 = "0", 0), 0)</f>
        <v>0</v>
      </c>
      <c r="EC60" s="45">
        <f>IFERROR(_xlfn.IFS($C60="1",('Inputs-System'!$C$26*'Coincidence Factors'!$B$6*(1+'Inputs-System'!$C$18))*'Inputs-Proposals'!$L$16*(VLOOKUP(DZ$3,Capacity!$A$53:$E$85,4,FALSE)*(1+'Inputs-System'!$C$42)+VLOOKUP(DZ$3,Capacity!$A$53:$E$85,5,FALSE)*'Inputs-System'!$C$29*(1+'Inputs-System'!$C$43)), $C60 = "2", ('Inputs-System'!$C$26*'Coincidence Factors'!$B$6*(1+'Inputs-System'!$C$18))*'Inputs-Proposals'!$L$22*(VLOOKUP(DZ$3,Capacity!$A$53:$E$85,4,FALSE)*(1+'Inputs-System'!$C$42)+VLOOKUP(DZ$3,Capacity!$A$53:$E$85,5,FALSE)*'Inputs-System'!$C$29*(1+'Inputs-System'!$C$43)), $C60 = "3",('Inputs-System'!$C$26*'Coincidence Factors'!$B$6*(1+'Inputs-System'!$C$18))*'Inputs-Proposals'!$L$28*(VLOOKUP(DZ$3,Capacity!$A$53:$E$85,4,FALSE)*(1+'Inputs-System'!$C$42)+VLOOKUP(DZ$3,Capacity!$A$53:$E$85,5,FALSE)*'Inputs-System'!$C$29*(1+'Inputs-System'!$C$43)), $C60 = "0", 0), 0)</f>
        <v>0</v>
      </c>
      <c r="ED60" s="44">
        <v>0</v>
      </c>
      <c r="EE60" s="342">
        <f>IFERROR(_xlfn.IFS($C60="1", 'Inputs-System'!$C$30*'Coincidence Factors'!$B$6*'Inputs-Proposals'!$L$17*'Inputs-Proposals'!$L$19*(VLOOKUP(DZ$3,'Non-Embedded Emissions'!$A$56:$D$90,2,FALSE)+VLOOKUP(DZ$3,'Non-Embedded Emissions'!$A$143:$D$174,2,FALSE)+VLOOKUP(DZ$3,'Non-Embedded Emissions'!$A$230:$D$259,2,FALSE)), $C60 = "2", 'Inputs-System'!$C$30*'Coincidence Factors'!$B$6*'Inputs-Proposals'!$L$23*'Inputs-Proposals'!$L$25*(VLOOKUP(DZ$3,'Non-Embedded Emissions'!$A$56:$D$90,2,FALSE)+VLOOKUP(DZ$3,'Non-Embedded Emissions'!$A$143:$D$174,2,FALSE)+VLOOKUP(DZ$3,'Non-Embedded Emissions'!$A$230:$D$259,2,FALSE)), $C60 = "3", 'Inputs-System'!$C$30*'Coincidence Factors'!$B$6*'Inputs-Proposals'!$L$29*'Inputs-Proposals'!$L$31*(VLOOKUP(DZ$3,'Non-Embedded Emissions'!$A$56:$D$90,2,FALSE)+VLOOKUP(DZ$3,'Non-Embedded Emissions'!$A$143:$D$174,2,FALSE)+VLOOKUP(DZ$3,'Non-Embedded Emissions'!$A$230:$D$259,2,FALSE)), $C60 = "0", 0), 0)</f>
        <v>0</v>
      </c>
    </row>
    <row r="61" spans="1:135" x14ac:dyDescent="0.35">
      <c r="A61" s="708"/>
      <c r="B61" s="3" t="s">
        <v>159</v>
      </c>
      <c r="C61" s="3" t="str">
        <f>IFERROR(_xlfn.IFS('Benefits Calc'!B61='Inputs-Proposals'!$L$15, "1", 'Benefits Calc'!B61='Inputs-Proposals'!$L$21, "2", 'Benefits Calc'!B61='Inputs-Proposals'!$L$27, "3"), "0")</f>
        <v>0</v>
      </c>
      <c r="D61" s="323">
        <f t="shared" si="0"/>
        <v>0</v>
      </c>
      <c r="E61" s="44">
        <f t="shared" si="1"/>
        <v>0</v>
      </c>
      <c r="F61" s="44">
        <f t="shared" si="2"/>
        <v>0</v>
      </c>
      <c r="G61" s="44">
        <f t="shared" si="3"/>
        <v>0</v>
      </c>
      <c r="H61" s="44">
        <f t="shared" si="4"/>
        <v>0</v>
      </c>
      <c r="I61" s="44">
        <f t="shared" si="5"/>
        <v>0</v>
      </c>
      <c r="J61" s="323">
        <f>NPV('Inputs-System'!$C$20,P61+V61+AB61+AH61+AN61+AT61+AZ61+BF61+BL61+BR61+BX61+CD61+CJ61+CP61+CV61+DB61+DH61+DN61+DT61+DZ61)</f>
        <v>0</v>
      </c>
      <c r="K61" s="44">
        <f>NPV('Inputs-System'!$C$20,Q61+W61+AC61+AI61+AO61+AU61+BA61+BG61+BM61+BS61+BY61+CE61+CK61+CQ61+CW61+DC61+DI61+DO61+DU61+EA61)</f>
        <v>0</v>
      </c>
      <c r="L61" s="44">
        <f>NPV('Inputs-System'!$C$20,R61+X61+AD61+AJ61+AP61+AV61+BB61+BH61+BN61+BT61+BZ61+CF61+CL61+CR61+CX61+DD61+DJ61+DP61+DV61+EB61)</f>
        <v>0</v>
      </c>
      <c r="M61" s="44">
        <f>NPV('Inputs-System'!$C$20,S61+Y61+AE61+AK61+AQ61+AW61+BC61+BI61+BO61+BU61+CA61+CG61+CM61+CS61+CY61+DE61+DK61+DQ61+DW61+EC61)</f>
        <v>0</v>
      </c>
      <c r="N61" s="44">
        <f>NPV('Inputs-System'!$C$20,T61+Z61+AF61+AL61+AR61+AX61+BD61+BJ61+BP61+BV61+CB61+CH61+CN61+CT61+CZ61+DF61+DL61+DR61+DX61+ED61)</f>
        <v>0</v>
      </c>
      <c r="O61" s="119">
        <f>NPV('Inputs-System'!$C$20,U61+AA61+AG61+AM61+AS61+AY61+BE61+BK61+BQ61+BW61+CC61+CI61+CO61+CU61+DA61+DG61+DM61+DS61+DY61+EE61)</f>
        <v>0</v>
      </c>
      <c r="P61" s="45">
        <f>IFERROR(_xlfn.IFS($C61="1",('Inputs-System'!$C$30*'Coincidence Factors'!$B$7*(1+'Inputs-System'!$C$18)*(1+'Inputs-System'!$C$41)*('Inputs-Proposals'!$L$17*'Inputs-Proposals'!$L$19*('Inputs-Proposals'!$L$20))*(VLOOKUP(P$3,Energy!$A$51:$K$83,5,FALSE))), $C61 = "2",('Inputs-System'!$C$30*'Coincidence Factors'!$B$7)*(1+'Inputs-System'!$C$18)*(1+'Inputs-System'!$C$41)*('Inputs-Proposals'!$L$23*'Inputs-Proposals'!$L$25*('Inputs-Proposals'!$L$26))*(VLOOKUP(P$3,Energy!$A$51:$K$83,5,FALSE)), $C61= "3", ('Inputs-System'!$C$30*'Coincidence Factors'!$B$7*(1+'Inputs-System'!$C$18)*(1+'Inputs-System'!$C$41)*('Inputs-Proposals'!$L$29*'Inputs-Proposals'!$L$31*('Inputs-Proposals'!$L$32))*(VLOOKUP(P$3,Energy!$A$51:$K$83,5,FALSE))), $C61= "0", 0), 0)</f>
        <v>0</v>
      </c>
      <c r="Q61" s="44">
        <f>IFERROR(_xlfn.IFS($C61="1",'Inputs-System'!$C$30*'Coincidence Factors'!$B$7*(1+'Inputs-System'!$C$18)*(1+'Inputs-System'!$C$41)*'Inputs-Proposals'!$L$17*'Inputs-Proposals'!$L$19*('Inputs-Proposals'!$L$20)*(VLOOKUP(P$3,'Embedded Emissions'!$A$47:$B$78,2,FALSE)+VLOOKUP(P$3,'Embedded Emissions'!$A$129:$B$158,2,FALSE)), $C61 = "2",'Inputs-System'!$C$30*'Coincidence Factors'!$B$7*(1+'Inputs-System'!$C$18)*(1+'Inputs-System'!$C$41)*'Inputs-Proposals'!$L$23*'Inputs-Proposals'!$L$25*('Inputs-Proposals'!$L$20)*(VLOOKUP(P$3,'Embedded Emissions'!$A$47:$B$78,2,FALSE)+VLOOKUP(P$3,'Embedded Emissions'!$A$129:$B$158,2,FALSE)), $C61 = "3", 'Inputs-System'!$C$30*'Coincidence Factors'!$B$7*(1+'Inputs-System'!$C$18)*(1+'Inputs-System'!$C$41)*'Inputs-Proposals'!$L$29*'Inputs-Proposals'!$L$31*('Inputs-Proposals'!$L$20)*(VLOOKUP(P$3,'Embedded Emissions'!$A$47:$B$78,2,FALSE)+VLOOKUP(P$3,'Embedded Emissions'!$A$129:$B$158,2,FALSE)), $C61 = "0", 0), 0)</f>
        <v>0</v>
      </c>
      <c r="R61" s="44">
        <f>IFERROR(_xlfn.IFS($C61="1",( 'Inputs-System'!$C$30*'Coincidence Factors'!$B$7*(1+'Inputs-System'!$C$18)*(1+'Inputs-System'!$C$41))*('Inputs-Proposals'!$L$17*'Inputs-Proposals'!$L$19*('Inputs-Proposals'!$L$20))*(VLOOKUP(P$3,DRIPE!$A$54:$I$82,5,FALSE)+VLOOKUP(P$3,DRIPE!$A$54:$I$82,9,FALSE))+ ('Inputs-System'!$C$26*'Coincidence Factors'!$B$7*(1+'Inputs-System'!$C$18)*(1+'Inputs-System'!$C$42))*'Inputs-Proposals'!$L$16*VLOOKUP(P$3,DRIPE!$A$54:$I$82,8,FALSE), $C61 = "2",( 'Inputs-System'!$C$30*'Coincidence Factors'!$B$7*(1+'Inputs-System'!$C$18)*(1+'Inputs-System'!$C$41))*('Inputs-Proposals'!$L$23*'Inputs-Proposals'!$L$25*('Inputs-Proposals'!$L$26))*(VLOOKUP(P$3,DRIPE!$A$54:$I$82,5,FALSE)+VLOOKUP(P$3,DRIPE!$A$54:$I$82,12,FALSE))+ ('Inputs-System'!$C$26*'Coincidence Factors'!$B$7*(1+'Inputs-System'!$C$18)*(1+'Inputs-System'!$C$42))*'Inputs-Proposals'!$L$22*VLOOKUP(P$3,DRIPE!$A$54:$I$82,8,FALSE), $C61= "3", ( 'Inputs-System'!$C$30*'Coincidence Factors'!$B$7*(1+'Inputs-System'!$C$18)*(1+'Inputs-System'!$C$41))*('Inputs-Proposals'!$L$29*'Inputs-Proposals'!$L$31*('Inputs-Proposals'!$L$32))*(VLOOKUP(P$3,DRIPE!$A$54:$I$82,5,FALSE)+VLOOKUP(P$3,DRIPE!$A$54:$I$82,12,FALSE))+ ('Inputs-System'!$C$26*'Coincidence Factors'!$B$7*(1+'Inputs-System'!$C$18)*(1+'Inputs-System'!$C$42))*'Inputs-Proposals'!$L$28*VLOOKUP(P$3,DRIPE!$A$54:$I$82,8,FALSE), $C61 = "0", 0), 0)</f>
        <v>0</v>
      </c>
      <c r="S61" s="45">
        <f>IFERROR(_xlfn.IFS($C61="1",('Inputs-System'!$C$26*'Coincidence Factors'!$B$7*(1+'Inputs-System'!$C$18))*'Inputs-Proposals'!$L$16*(VLOOKUP(P$3,Capacity!$A$53:$E$85,4,FALSE)*(1+'Inputs-System'!$C$42)+VLOOKUP(P$3,Capacity!$A$53:$E$85,5,FALSE)*'Inputs-System'!$C$29*(1+'Inputs-System'!$C$43)), $C61 = "2", ('Inputs-System'!$C$26*'Coincidence Factors'!$B$7*(1+'Inputs-System'!$C$18))*'Inputs-Proposals'!$L$22*(VLOOKUP(P$3,Capacity!$A$53:$E$85,4,FALSE)*(1+'Inputs-System'!$C$42)+VLOOKUP(P$3,Capacity!$A$53:$E$85,5,FALSE)*'Inputs-System'!$C$29*(1+'Inputs-System'!$C$43)), $C61 = "3",('Inputs-System'!$C$26*'Coincidence Factors'!$B$7*(1+'Inputs-System'!$C$18))*'Inputs-Proposals'!$L$28*(VLOOKUP(P$3,Capacity!$A$53:$E$85,4,FALSE)*(1+'Inputs-System'!$C$42)+VLOOKUP(P$3,Capacity!$A$53:$E$85,5,FALSE)*'Inputs-System'!$C$29*(1+'Inputs-System'!$C$43)), $C61 = "0", 0), 0)</f>
        <v>0</v>
      </c>
      <c r="T61" s="44">
        <v>0</v>
      </c>
      <c r="U61" s="44">
        <f>IFERROR(_xlfn.IFS($C61="1", 'Inputs-System'!$C$30*'Coincidence Factors'!$B$7*'Inputs-Proposals'!$L$17*'Inputs-Proposals'!$L$19*(VLOOKUP(P$3,'Non-Embedded Emissions'!$A$56:$D$90,2,FALSE)+VLOOKUP(P$3,'Non-Embedded Emissions'!$A$143:$D$174,2,FALSE)+VLOOKUP(P$3,'Non-Embedded Emissions'!$A$230:$D$259,2,FALSE)), $C61 = "2", 'Inputs-System'!$C$30*'Coincidence Factors'!$B$7*'Inputs-Proposals'!$L$23*'Inputs-Proposals'!$L$25*(VLOOKUP(P$3,'Non-Embedded Emissions'!$A$56:$D$90,2,FALSE)+VLOOKUP(P$3,'Non-Embedded Emissions'!$A$143:$D$174,2,FALSE)+VLOOKUP(P$3,'Non-Embedded Emissions'!$A$230:$D$259,2,FALSE)), $C61 = "3", 'Inputs-System'!$C$30*'Coincidence Factors'!$B$7*'Inputs-Proposals'!$L$29*'Inputs-Proposals'!$L$31*(VLOOKUP(P$3,'Non-Embedded Emissions'!$A$56:$D$90,2,FALSE)+VLOOKUP(P$3,'Non-Embedded Emissions'!$A$143:$D$174,2,FALSE)+VLOOKUP(P$3,'Non-Embedded Emissions'!$A$230:$D$259,2,FALSE)), $C61 = "0", 0), 0)</f>
        <v>0</v>
      </c>
      <c r="V61" s="347">
        <f>IFERROR(_xlfn.IFS($C61="1",('Inputs-System'!$C$30*'Coincidence Factors'!$B$7*(1+'Inputs-System'!$C$18)*(1+'Inputs-System'!$C$41)*('Inputs-Proposals'!$L$17*'Inputs-Proposals'!$L$19*('Inputs-Proposals'!$L$20))*(VLOOKUP(V$3,Energy!$A$51:$K$83,5,FALSE))), $C61 = "2",('Inputs-System'!$C$30*'Coincidence Factors'!$B$7)*(1+'Inputs-System'!$C$18)*(1+'Inputs-System'!$C$41)*('Inputs-Proposals'!$L$23*'Inputs-Proposals'!$L$25*('Inputs-Proposals'!$L$26))*(VLOOKUP(V$3,Energy!$A$51:$K$83,5,FALSE)), $C61= "3", ('Inputs-System'!$C$30*'Coincidence Factors'!$B$7*(1+'Inputs-System'!$C$18)*(1+'Inputs-System'!$C$41)*('Inputs-Proposals'!$L$29*'Inputs-Proposals'!$L$31*('Inputs-Proposals'!$L$32))*(VLOOKUP(V$3,Energy!$A$51:$K$83,5,FALSE))), $C61= "0", 0), 0)</f>
        <v>0</v>
      </c>
      <c r="W61" s="44">
        <f>IFERROR(_xlfn.IFS($C61="1",'Inputs-System'!$C$30*'Coincidence Factors'!$B$7*(1+'Inputs-System'!$C$18)*(1+'Inputs-System'!$C$41)*'Inputs-Proposals'!$L$17*'Inputs-Proposals'!$L$19*('Inputs-Proposals'!$L$20)*(VLOOKUP(V$3,'Embedded Emissions'!$A$47:$B$78,2,FALSE)+VLOOKUP(V$3,'Embedded Emissions'!$A$129:$B$158,2,FALSE)), $C61 = "2",'Inputs-System'!$C$30*'Coincidence Factors'!$B$7*(1+'Inputs-System'!$C$18)*(1+'Inputs-System'!$C$41)*'Inputs-Proposals'!$L$23*'Inputs-Proposals'!$L$25*('Inputs-Proposals'!$L$20)*(VLOOKUP(V$3,'Embedded Emissions'!$A$47:$B$78,2,FALSE)+VLOOKUP(V$3,'Embedded Emissions'!$A$129:$B$158,2,FALSE)), $C61 = "3", 'Inputs-System'!$C$30*'Coincidence Factors'!$B$7*(1+'Inputs-System'!$C$18)*(1+'Inputs-System'!$C$41)*'Inputs-Proposals'!$L$29*'Inputs-Proposals'!$L$31*('Inputs-Proposals'!$L$20)*(VLOOKUP(V$3,'Embedded Emissions'!$A$47:$B$78,2,FALSE)+VLOOKUP(V$3,'Embedded Emissions'!$A$129:$B$158,2,FALSE)), $C61 = "0", 0), 0)</f>
        <v>0</v>
      </c>
      <c r="X61" s="44">
        <f>IFERROR(_xlfn.IFS($C61="1",( 'Inputs-System'!$C$30*'Coincidence Factors'!$B$7*(1+'Inputs-System'!$C$18)*(1+'Inputs-System'!$C$41))*('Inputs-Proposals'!$L$17*'Inputs-Proposals'!$L$19*('Inputs-Proposals'!$L$20))*(VLOOKUP(V$3,DRIPE!$A$54:$I$82,5,FALSE)+VLOOKUP(V$3,DRIPE!$A$54:$I$82,9,FALSE))+ ('Inputs-System'!$C$26*'Coincidence Factors'!$B$7*(1+'Inputs-System'!$C$18)*(1+'Inputs-System'!$C$42))*'Inputs-Proposals'!$L$16*VLOOKUP(V$3,DRIPE!$A$54:$I$82,8,FALSE), $C61 = "2",( 'Inputs-System'!$C$30*'Coincidence Factors'!$B$7*(1+'Inputs-System'!$C$18)*(1+'Inputs-System'!$C$41))*('Inputs-Proposals'!$L$23*'Inputs-Proposals'!$L$25*('Inputs-Proposals'!$L$26))*(VLOOKUP(V$3,DRIPE!$A$54:$I$82,5,FALSE)+VLOOKUP(V$3,DRIPE!$A$54:$I$82,12,FALSE))+ ('Inputs-System'!$C$26*'Coincidence Factors'!$B$7*(1+'Inputs-System'!$C$18)*(1+'Inputs-System'!$C$42))*'Inputs-Proposals'!$L$22*VLOOKUP(V$3,DRIPE!$A$54:$I$82,8,FALSE), $C61= "3", ( 'Inputs-System'!$C$30*'Coincidence Factors'!$B$7*(1+'Inputs-System'!$C$18)*(1+'Inputs-System'!$C$41))*('Inputs-Proposals'!$L$29*'Inputs-Proposals'!$L$31*('Inputs-Proposals'!$L$32))*(VLOOKUP(V$3,DRIPE!$A$54:$I$82,5,FALSE)+VLOOKUP(V$3,DRIPE!$A$54:$I$82,12,FALSE))+ ('Inputs-System'!$C$26*'Coincidence Factors'!$B$7*(1+'Inputs-System'!$C$18)*(1+'Inputs-System'!$C$42))*'Inputs-Proposals'!$L$28*VLOOKUP(V$3,DRIPE!$A$54:$I$82,8,FALSE), $C61 = "0", 0), 0)</f>
        <v>0</v>
      </c>
      <c r="Y61" s="45">
        <f>IFERROR(_xlfn.IFS($C61="1",('Inputs-System'!$C$26*'Coincidence Factors'!$B$7*(1+'Inputs-System'!$C$18))*'Inputs-Proposals'!$L$16*(VLOOKUP(V$3,Capacity!$A$53:$E$85,4,FALSE)*(1+'Inputs-System'!$C$42)+VLOOKUP(V$3,Capacity!$A$53:$E$85,5,FALSE)*'Inputs-System'!$C$29*(1+'Inputs-System'!$C$43)), $C61 = "2", ('Inputs-System'!$C$26*'Coincidence Factors'!$B$7*(1+'Inputs-System'!$C$18))*'Inputs-Proposals'!$L$22*(VLOOKUP(V$3,Capacity!$A$53:$E$85,4,FALSE)*(1+'Inputs-System'!$C$42)+VLOOKUP(V$3,Capacity!$A$53:$E$85,5,FALSE)*'Inputs-System'!$C$29*(1+'Inputs-System'!$C$43)), $C61 = "3",('Inputs-System'!$C$26*'Coincidence Factors'!$B$7*(1+'Inputs-System'!$C$18))*'Inputs-Proposals'!$L$28*(VLOOKUP(V$3,Capacity!$A$53:$E$85,4,FALSE)*(1+'Inputs-System'!$C$42)+VLOOKUP(V$3,Capacity!$A$53:$E$85,5,FALSE)*'Inputs-System'!$C$29*(1+'Inputs-System'!$C$43)), $C61 = "0", 0), 0)</f>
        <v>0</v>
      </c>
      <c r="Z61" s="44">
        <v>0</v>
      </c>
      <c r="AA61" s="342">
        <f>IFERROR(_xlfn.IFS($C61="1", 'Inputs-System'!$C$30*'Coincidence Factors'!$B$7*'Inputs-Proposals'!$L$17*'Inputs-Proposals'!$L$19*(VLOOKUP(V$3,'Non-Embedded Emissions'!$A$56:$D$90,2,FALSE)+VLOOKUP(V$3,'Non-Embedded Emissions'!$A$143:$D$174,2,FALSE)+VLOOKUP(V$3,'Non-Embedded Emissions'!$A$230:$D$259,2,FALSE)), $C61 = "2", 'Inputs-System'!$C$30*'Coincidence Factors'!$B$7*'Inputs-Proposals'!$L$23*'Inputs-Proposals'!$L$25*(VLOOKUP(V$3,'Non-Embedded Emissions'!$A$56:$D$90,2,FALSE)+VLOOKUP(V$3,'Non-Embedded Emissions'!$A$143:$D$174,2,FALSE)+VLOOKUP(V$3,'Non-Embedded Emissions'!$A$230:$D$259,2,FALSE)), $C61 = "3", 'Inputs-System'!$C$30*'Coincidence Factors'!$B$7*'Inputs-Proposals'!$L$29*'Inputs-Proposals'!$L$31*(VLOOKUP(V$3,'Non-Embedded Emissions'!$A$56:$D$90,2,FALSE)+VLOOKUP(V$3,'Non-Embedded Emissions'!$A$143:$D$174,2,FALSE)+VLOOKUP(V$3,'Non-Embedded Emissions'!$A$230:$D$259,2,FALSE)), $C61 = "0", 0), 0)</f>
        <v>0</v>
      </c>
      <c r="AB61" s="347">
        <f>IFERROR(_xlfn.IFS($C61="1",('Inputs-System'!$C$30*'Coincidence Factors'!$B$7*(1+'Inputs-System'!$C$18)*(1+'Inputs-System'!$C$41)*('Inputs-Proposals'!$L$17*'Inputs-Proposals'!$L$19*('Inputs-Proposals'!$L$20))*(VLOOKUP(AB$3,Energy!$A$51:$K$83,5,FALSE))), $C61 = "2",('Inputs-System'!$C$30*'Coincidence Factors'!$B$7)*(1+'Inputs-System'!$C$18)*(1+'Inputs-System'!$C$41)*('Inputs-Proposals'!$L$23*'Inputs-Proposals'!$L$25*('Inputs-Proposals'!$L$26))*(VLOOKUP(AB$3,Energy!$A$51:$K$83,5,FALSE)), $C61= "3", ('Inputs-System'!$C$30*'Coincidence Factors'!$B$7*(1+'Inputs-System'!$C$18)*(1+'Inputs-System'!$C$41)*('Inputs-Proposals'!$L$29*'Inputs-Proposals'!$L$31*('Inputs-Proposals'!$L$32))*(VLOOKUP(AB$3,Energy!$A$51:$K$83,5,FALSE))), $C61= "0", 0), 0)</f>
        <v>0</v>
      </c>
      <c r="AC61" s="44">
        <f>IFERROR(_xlfn.IFS($C61="1",'Inputs-System'!$C$30*'Coincidence Factors'!$B$7*(1+'Inputs-System'!$C$18)*(1+'Inputs-System'!$C$41)*'Inputs-Proposals'!$L$17*'Inputs-Proposals'!$L$19*('Inputs-Proposals'!$L$20)*(VLOOKUP(AB$3,'Embedded Emissions'!$A$47:$B$78,2,FALSE)+VLOOKUP(AB$3,'Embedded Emissions'!$A$129:$B$158,2,FALSE)), $C61 = "2",'Inputs-System'!$C$30*'Coincidence Factors'!$B$7*(1+'Inputs-System'!$C$18)*(1+'Inputs-System'!$C$41)*'Inputs-Proposals'!$L$23*'Inputs-Proposals'!$L$25*('Inputs-Proposals'!$L$20)*(VLOOKUP(AB$3,'Embedded Emissions'!$A$47:$B$78,2,FALSE)+VLOOKUP(AB$3,'Embedded Emissions'!$A$129:$B$158,2,FALSE)), $C61 = "3", 'Inputs-System'!$C$30*'Coincidence Factors'!$B$7*(1+'Inputs-System'!$C$18)*(1+'Inputs-System'!$C$41)*'Inputs-Proposals'!$L$29*'Inputs-Proposals'!$L$31*('Inputs-Proposals'!$L$20)*(VLOOKUP(AB$3,'Embedded Emissions'!$A$47:$B$78,2,FALSE)+VLOOKUP(AB$3,'Embedded Emissions'!$A$129:$B$158,2,FALSE)), $C61 = "0", 0), 0)</f>
        <v>0</v>
      </c>
      <c r="AD61" s="44">
        <f>IFERROR(_xlfn.IFS($C61="1",( 'Inputs-System'!$C$30*'Coincidence Factors'!$B$7*(1+'Inputs-System'!$C$18)*(1+'Inputs-System'!$C$41))*('Inputs-Proposals'!$L$17*'Inputs-Proposals'!$L$19*('Inputs-Proposals'!$L$20))*(VLOOKUP(AB$3,DRIPE!$A$54:$I$82,5,FALSE)+VLOOKUP(AB$3,DRIPE!$A$54:$I$82,9,FALSE))+ ('Inputs-System'!$C$26*'Coincidence Factors'!$B$7*(1+'Inputs-System'!$C$18)*(1+'Inputs-System'!$C$42))*'Inputs-Proposals'!$L$16*VLOOKUP(AB$3,DRIPE!$A$54:$I$82,8,FALSE), $C61 = "2",( 'Inputs-System'!$C$30*'Coincidence Factors'!$B$7*(1+'Inputs-System'!$C$18)*(1+'Inputs-System'!$C$41))*('Inputs-Proposals'!$L$23*'Inputs-Proposals'!$L$25*('Inputs-Proposals'!$L$26))*(VLOOKUP(AB$3,DRIPE!$A$54:$I$82,5,FALSE)+VLOOKUP(AB$3,DRIPE!$A$54:$I$82,12,FALSE))+ ('Inputs-System'!$C$26*'Coincidence Factors'!$B$7*(1+'Inputs-System'!$C$18)*(1+'Inputs-System'!$C$42))*'Inputs-Proposals'!$L$22*VLOOKUP(AB$3,DRIPE!$A$54:$I$82,8,FALSE), $C61= "3", ( 'Inputs-System'!$C$30*'Coincidence Factors'!$B$7*(1+'Inputs-System'!$C$18)*(1+'Inputs-System'!$C$41))*('Inputs-Proposals'!$L$29*'Inputs-Proposals'!$L$31*('Inputs-Proposals'!$L$32))*(VLOOKUP(AB$3,DRIPE!$A$54:$I$82,5,FALSE)+VLOOKUP(AB$3,DRIPE!$A$54:$I$82,12,FALSE))+ ('Inputs-System'!$C$26*'Coincidence Factors'!$B$7*(1+'Inputs-System'!$C$18)*(1+'Inputs-System'!$C$42))*'Inputs-Proposals'!$L$28*VLOOKUP(AB$3,DRIPE!$A$54:$I$82,8,FALSE), $C61 = "0", 0), 0)</f>
        <v>0</v>
      </c>
      <c r="AE61" s="45">
        <f>IFERROR(_xlfn.IFS($C61="1",('Inputs-System'!$C$26*'Coincidence Factors'!$B$7*(1+'Inputs-System'!$C$18))*'Inputs-Proposals'!$L$16*(VLOOKUP(AB$3,Capacity!$A$53:$E$85,4,FALSE)*(1+'Inputs-System'!$C$42)+VLOOKUP(AB$3,Capacity!$A$53:$E$85,5,FALSE)*'Inputs-System'!$C$29*(1+'Inputs-System'!$C$43)), $C61 = "2", ('Inputs-System'!$C$26*'Coincidence Factors'!$B$7*(1+'Inputs-System'!$C$18))*'Inputs-Proposals'!$L$22*(VLOOKUP(AB$3,Capacity!$A$53:$E$85,4,FALSE)*(1+'Inputs-System'!$C$42)+VLOOKUP(AB$3,Capacity!$A$53:$E$85,5,FALSE)*'Inputs-System'!$C$29*(1+'Inputs-System'!$C$43)), $C61 = "3",('Inputs-System'!$C$26*'Coincidence Factors'!$B$7*(1+'Inputs-System'!$C$18))*'Inputs-Proposals'!$L$28*(VLOOKUP(AB$3,Capacity!$A$53:$E$85,4,FALSE)*(1+'Inputs-System'!$C$42)+VLOOKUP(AB$3,Capacity!$A$53:$E$85,5,FALSE)*'Inputs-System'!$C$29*(1+'Inputs-System'!$C$43)), $C61 = "0", 0), 0)</f>
        <v>0</v>
      </c>
      <c r="AF61" s="44">
        <v>0</v>
      </c>
      <c r="AG61" s="342">
        <f>IFERROR(_xlfn.IFS($C61="1", 'Inputs-System'!$C$30*'Coincidence Factors'!$B$7*'Inputs-Proposals'!$L$17*'Inputs-Proposals'!$L$19*(VLOOKUP(AB$3,'Non-Embedded Emissions'!$A$56:$D$90,2,FALSE)+VLOOKUP(AB$3,'Non-Embedded Emissions'!$A$143:$D$174,2,FALSE)+VLOOKUP(AB$3,'Non-Embedded Emissions'!$A$230:$D$259,2,FALSE)), $C61 = "2", 'Inputs-System'!$C$30*'Coincidence Factors'!$B$7*'Inputs-Proposals'!$L$23*'Inputs-Proposals'!$L$25*(VLOOKUP(AB$3,'Non-Embedded Emissions'!$A$56:$D$90,2,FALSE)+VLOOKUP(AB$3,'Non-Embedded Emissions'!$A$143:$D$174,2,FALSE)+VLOOKUP(AB$3,'Non-Embedded Emissions'!$A$230:$D$259,2,FALSE)), $C61 = "3", 'Inputs-System'!$C$30*'Coincidence Factors'!$B$7*'Inputs-Proposals'!$L$29*'Inputs-Proposals'!$L$31*(VLOOKUP(AB$3,'Non-Embedded Emissions'!$A$56:$D$90,2,FALSE)+VLOOKUP(AB$3,'Non-Embedded Emissions'!$A$143:$D$174,2,FALSE)+VLOOKUP(AB$3,'Non-Embedded Emissions'!$A$230:$D$259,2,FALSE)), $C61 = "0", 0), 0)</f>
        <v>0</v>
      </c>
      <c r="AH61" s="347">
        <f>IFERROR(_xlfn.IFS($C61="1",('Inputs-System'!$C$30*'Coincidence Factors'!$B$7*(1+'Inputs-System'!$C$18)*(1+'Inputs-System'!$C$41)*('Inputs-Proposals'!$L$17*'Inputs-Proposals'!$L$19*('Inputs-Proposals'!$L$20))*(VLOOKUP(AH$3,Energy!$A$51:$K$83,5,FALSE))), $C61 = "2",('Inputs-System'!$C$30*'Coincidence Factors'!$B$7)*(1+'Inputs-System'!$C$18)*(1+'Inputs-System'!$C$41)*('Inputs-Proposals'!$L$23*'Inputs-Proposals'!$L$25*('Inputs-Proposals'!$L$26))*(VLOOKUP(AH$3,Energy!$A$51:$K$83,5,FALSE)), $C61= "3", ('Inputs-System'!$C$30*'Coincidence Factors'!$B$7*(1+'Inputs-System'!$C$18)*(1+'Inputs-System'!$C$41)*('Inputs-Proposals'!$L$29*'Inputs-Proposals'!$L$31*('Inputs-Proposals'!$L$32))*(VLOOKUP(AH$3,Energy!$A$51:$K$83,5,FALSE))), $C61= "0", 0), 0)</f>
        <v>0</v>
      </c>
      <c r="AI61" s="44">
        <f>IFERROR(_xlfn.IFS($C61="1",'Inputs-System'!$C$30*'Coincidence Factors'!$B$7*(1+'Inputs-System'!$C$18)*(1+'Inputs-System'!$C$41)*'Inputs-Proposals'!$L$17*'Inputs-Proposals'!$L$19*('Inputs-Proposals'!$L$20)*(VLOOKUP(AH$3,'Embedded Emissions'!$A$47:$B$78,2,FALSE)+VLOOKUP(AH$3,'Embedded Emissions'!$A$129:$B$158,2,FALSE)), $C61 = "2",'Inputs-System'!$C$30*'Coincidence Factors'!$B$7*(1+'Inputs-System'!$C$18)*(1+'Inputs-System'!$C$41)*'Inputs-Proposals'!$L$23*'Inputs-Proposals'!$L$25*('Inputs-Proposals'!$L$20)*(VLOOKUP(AH$3,'Embedded Emissions'!$A$47:$B$78,2,FALSE)+VLOOKUP(AH$3,'Embedded Emissions'!$A$129:$B$158,2,FALSE)), $C61 = "3", 'Inputs-System'!$C$30*'Coincidence Factors'!$B$7*(1+'Inputs-System'!$C$18)*(1+'Inputs-System'!$C$41)*'Inputs-Proposals'!$L$29*'Inputs-Proposals'!$L$31*('Inputs-Proposals'!$L$20)*(VLOOKUP(AH$3,'Embedded Emissions'!$A$47:$B$78,2,FALSE)+VLOOKUP(AH$3,'Embedded Emissions'!$A$129:$B$158,2,FALSE)), $C61 = "0", 0), 0)</f>
        <v>0</v>
      </c>
      <c r="AJ61" s="44">
        <f>IFERROR(_xlfn.IFS($C61="1",( 'Inputs-System'!$C$30*'Coincidence Factors'!$B$7*(1+'Inputs-System'!$C$18)*(1+'Inputs-System'!$C$41))*('Inputs-Proposals'!$L$17*'Inputs-Proposals'!$L$19*('Inputs-Proposals'!$L$20))*(VLOOKUP(AH$3,DRIPE!$A$54:$I$82,5,FALSE)+VLOOKUP(AH$3,DRIPE!$A$54:$I$82,9,FALSE))+ ('Inputs-System'!$C$26*'Coincidence Factors'!$B$7*(1+'Inputs-System'!$C$18)*(1+'Inputs-System'!$C$42))*'Inputs-Proposals'!$L$16*VLOOKUP(AH$3,DRIPE!$A$54:$I$82,8,FALSE), $C61 = "2",( 'Inputs-System'!$C$30*'Coincidence Factors'!$B$7*(1+'Inputs-System'!$C$18)*(1+'Inputs-System'!$C$41))*('Inputs-Proposals'!$L$23*'Inputs-Proposals'!$L$25*('Inputs-Proposals'!$L$26))*(VLOOKUP(AH$3,DRIPE!$A$54:$I$82,5,FALSE)+VLOOKUP(AH$3,DRIPE!$A$54:$I$82,12,FALSE))+ ('Inputs-System'!$C$26*'Coincidence Factors'!$B$7*(1+'Inputs-System'!$C$18)*(1+'Inputs-System'!$C$42))*'Inputs-Proposals'!$L$22*VLOOKUP(AH$3,DRIPE!$A$54:$I$82,8,FALSE), $C61= "3", ( 'Inputs-System'!$C$30*'Coincidence Factors'!$B$7*(1+'Inputs-System'!$C$18)*(1+'Inputs-System'!$C$41))*('Inputs-Proposals'!$L$29*'Inputs-Proposals'!$L$31*('Inputs-Proposals'!$L$32))*(VLOOKUP(AH$3,DRIPE!$A$54:$I$82,5,FALSE)+VLOOKUP(AH$3,DRIPE!$A$54:$I$82,12,FALSE))+ ('Inputs-System'!$C$26*'Coincidence Factors'!$B$7*(1+'Inputs-System'!$C$18)*(1+'Inputs-System'!$C$42))*'Inputs-Proposals'!$L$28*VLOOKUP(AH$3,DRIPE!$A$54:$I$82,8,FALSE), $C61 = "0", 0), 0)</f>
        <v>0</v>
      </c>
      <c r="AK61" s="45">
        <f>IFERROR(_xlfn.IFS($C61="1",('Inputs-System'!$C$26*'Coincidence Factors'!$B$7*(1+'Inputs-System'!$C$18))*'Inputs-Proposals'!$L$16*(VLOOKUP(AH$3,Capacity!$A$53:$E$85,4,FALSE)*(1+'Inputs-System'!$C$42)+VLOOKUP(AH$3,Capacity!$A$53:$E$85,5,FALSE)*'Inputs-System'!$C$29*(1+'Inputs-System'!$C$43)), $C61 = "2", ('Inputs-System'!$C$26*'Coincidence Factors'!$B$7*(1+'Inputs-System'!$C$18))*'Inputs-Proposals'!$L$22*(VLOOKUP(AH$3,Capacity!$A$53:$E$85,4,FALSE)*(1+'Inputs-System'!$C$42)+VLOOKUP(AH$3,Capacity!$A$53:$E$85,5,FALSE)*'Inputs-System'!$C$29*(1+'Inputs-System'!$C$43)), $C61 = "3",('Inputs-System'!$C$26*'Coincidence Factors'!$B$7*(1+'Inputs-System'!$C$18))*'Inputs-Proposals'!$L$28*(VLOOKUP(AH$3,Capacity!$A$53:$E$85,4,FALSE)*(1+'Inputs-System'!$C$42)+VLOOKUP(AH$3,Capacity!$A$53:$E$85,5,FALSE)*'Inputs-System'!$C$29*(1+'Inputs-System'!$C$43)), $C61 = "0", 0), 0)</f>
        <v>0</v>
      </c>
      <c r="AL61" s="44">
        <v>0</v>
      </c>
      <c r="AM61" s="342">
        <f>IFERROR(_xlfn.IFS($C61="1", 'Inputs-System'!$C$30*'Coincidence Factors'!$B$7*'Inputs-Proposals'!$L$17*'Inputs-Proposals'!$L$19*(VLOOKUP(AH$3,'Non-Embedded Emissions'!$A$56:$D$90,2,FALSE)+VLOOKUP(AH$3,'Non-Embedded Emissions'!$A$143:$D$174,2,FALSE)+VLOOKUP(AH$3,'Non-Embedded Emissions'!$A$230:$D$259,2,FALSE)), $C61 = "2", 'Inputs-System'!$C$30*'Coincidence Factors'!$B$7*'Inputs-Proposals'!$L$23*'Inputs-Proposals'!$L$25*(VLOOKUP(AH$3,'Non-Embedded Emissions'!$A$56:$D$90,2,FALSE)+VLOOKUP(AH$3,'Non-Embedded Emissions'!$A$143:$D$174,2,FALSE)+VLOOKUP(AH$3,'Non-Embedded Emissions'!$A$230:$D$259,2,FALSE)), $C61 = "3", 'Inputs-System'!$C$30*'Coincidence Factors'!$B$7*'Inputs-Proposals'!$L$29*'Inputs-Proposals'!$L$31*(VLOOKUP(AH$3,'Non-Embedded Emissions'!$A$56:$D$90,2,FALSE)+VLOOKUP(AH$3,'Non-Embedded Emissions'!$A$143:$D$174,2,FALSE)+VLOOKUP(AH$3,'Non-Embedded Emissions'!$A$230:$D$259,2,FALSE)), $C61 = "0", 0), 0)</f>
        <v>0</v>
      </c>
      <c r="AN61" s="347">
        <f>IFERROR(_xlfn.IFS($C61="1",('Inputs-System'!$C$30*'Coincidence Factors'!$B$7*(1+'Inputs-System'!$C$18)*(1+'Inputs-System'!$C$41)*('Inputs-Proposals'!$L$17*'Inputs-Proposals'!$L$19*('Inputs-Proposals'!$L$20))*(VLOOKUP(AN$3,Energy!$A$51:$K$83,5,FALSE))), $C61 = "2",('Inputs-System'!$C$30*'Coincidence Factors'!$B$7)*(1+'Inputs-System'!$C$18)*(1+'Inputs-System'!$C$41)*('Inputs-Proposals'!$L$23*'Inputs-Proposals'!$L$25*('Inputs-Proposals'!$L$26))*(VLOOKUP(AN$3,Energy!$A$51:$K$83,5,FALSE)), $C61= "3", ('Inputs-System'!$C$30*'Coincidence Factors'!$B$7*(1+'Inputs-System'!$C$18)*(1+'Inputs-System'!$C$41)*('Inputs-Proposals'!$L$29*'Inputs-Proposals'!$L$31*('Inputs-Proposals'!$L$32))*(VLOOKUP(AN$3,Energy!$A$51:$K$83,5,FALSE))), $C61= "0", 0), 0)</f>
        <v>0</v>
      </c>
      <c r="AO61" s="44">
        <f>IFERROR(_xlfn.IFS($C61="1",'Inputs-System'!$C$30*'Coincidence Factors'!$B$7*(1+'Inputs-System'!$C$18)*(1+'Inputs-System'!$C$41)*'Inputs-Proposals'!$L$17*'Inputs-Proposals'!$L$19*('Inputs-Proposals'!$L$20)*(VLOOKUP(AN$3,'Embedded Emissions'!$A$47:$B$78,2,FALSE)+VLOOKUP(AN$3,'Embedded Emissions'!$A$129:$B$158,2,FALSE)), $C61 = "2",'Inputs-System'!$C$30*'Coincidence Factors'!$B$7*(1+'Inputs-System'!$C$18)*(1+'Inputs-System'!$C$41)*'Inputs-Proposals'!$L$23*'Inputs-Proposals'!$L$25*('Inputs-Proposals'!$L$20)*(VLOOKUP(AN$3,'Embedded Emissions'!$A$47:$B$78,2,FALSE)+VLOOKUP(AN$3,'Embedded Emissions'!$A$129:$B$158,2,FALSE)), $C61 = "3", 'Inputs-System'!$C$30*'Coincidence Factors'!$B$7*(1+'Inputs-System'!$C$18)*(1+'Inputs-System'!$C$41)*'Inputs-Proposals'!$L$29*'Inputs-Proposals'!$L$31*('Inputs-Proposals'!$L$20)*(VLOOKUP(AN$3,'Embedded Emissions'!$A$47:$B$78,2,FALSE)+VLOOKUP(AN$3,'Embedded Emissions'!$A$129:$B$158,2,FALSE)), $C61 = "0", 0), 0)</f>
        <v>0</v>
      </c>
      <c r="AP61" s="44">
        <f>IFERROR(_xlfn.IFS($C61="1",( 'Inputs-System'!$C$30*'Coincidence Factors'!$B$7*(1+'Inputs-System'!$C$18)*(1+'Inputs-System'!$C$41))*('Inputs-Proposals'!$L$17*'Inputs-Proposals'!$L$19*('Inputs-Proposals'!$L$20))*(VLOOKUP(AN$3,DRIPE!$A$54:$I$82,5,FALSE)+VLOOKUP(AN$3,DRIPE!$A$54:$I$82,9,FALSE))+ ('Inputs-System'!$C$26*'Coincidence Factors'!$B$7*(1+'Inputs-System'!$C$18)*(1+'Inputs-System'!$C$42))*'Inputs-Proposals'!$L$16*VLOOKUP(AN$3,DRIPE!$A$54:$I$82,8,FALSE), $C61 = "2",( 'Inputs-System'!$C$30*'Coincidence Factors'!$B$7*(1+'Inputs-System'!$C$18)*(1+'Inputs-System'!$C$41))*('Inputs-Proposals'!$L$23*'Inputs-Proposals'!$L$25*('Inputs-Proposals'!$L$26))*(VLOOKUP(AN$3,DRIPE!$A$54:$I$82,5,FALSE)+VLOOKUP(AN$3,DRIPE!$A$54:$I$82,12,FALSE))+ ('Inputs-System'!$C$26*'Coincidence Factors'!$B$7*(1+'Inputs-System'!$C$18)*(1+'Inputs-System'!$C$42))*'Inputs-Proposals'!$L$22*VLOOKUP(AN$3,DRIPE!$A$54:$I$82,8,FALSE), $C61= "3", ( 'Inputs-System'!$C$30*'Coincidence Factors'!$B$7*(1+'Inputs-System'!$C$18)*(1+'Inputs-System'!$C$41))*('Inputs-Proposals'!$L$29*'Inputs-Proposals'!$L$31*('Inputs-Proposals'!$L$32))*(VLOOKUP(AN$3,DRIPE!$A$54:$I$82,5,FALSE)+VLOOKUP(AN$3,DRIPE!$A$54:$I$82,12,FALSE))+ ('Inputs-System'!$C$26*'Coincidence Factors'!$B$7*(1+'Inputs-System'!$C$18)*(1+'Inputs-System'!$C$42))*'Inputs-Proposals'!$L$28*VLOOKUP(AN$3,DRIPE!$A$54:$I$82,8,FALSE), $C61 = "0", 0), 0)</f>
        <v>0</v>
      </c>
      <c r="AQ61" s="45">
        <f>IFERROR(_xlfn.IFS($C61="1",('Inputs-System'!$C$26*'Coincidence Factors'!$B$7*(1+'Inputs-System'!$C$18))*'Inputs-Proposals'!$L$16*(VLOOKUP(AN$3,Capacity!$A$53:$E$85,4,FALSE)*(1+'Inputs-System'!$C$42)+VLOOKUP(AN$3,Capacity!$A$53:$E$85,5,FALSE)*'Inputs-System'!$C$29*(1+'Inputs-System'!$C$43)), $C61 = "2", ('Inputs-System'!$C$26*'Coincidence Factors'!$B$7*(1+'Inputs-System'!$C$18))*'Inputs-Proposals'!$L$22*(VLOOKUP(AN$3,Capacity!$A$53:$E$85,4,FALSE)*(1+'Inputs-System'!$C$42)+VLOOKUP(AN$3,Capacity!$A$53:$E$85,5,FALSE)*'Inputs-System'!$C$29*(1+'Inputs-System'!$C$43)), $C61 = "3",('Inputs-System'!$C$26*'Coincidence Factors'!$B$7*(1+'Inputs-System'!$C$18))*'Inputs-Proposals'!$L$28*(VLOOKUP(AN$3,Capacity!$A$53:$E$85,4,FALSE)*(1+'Inputs-System'!$C$42)+VLOOKUP(AN$3,Capacity!$A$53:$E$85,5,FALSE)*'Inputs-System'!$C$29*(1+'Inputs-System'!$C$43)), $C61 = "0", 0), 0)</f>
        <v>0</v>
      </c>
      <c r="AR61" s="44">
        <v>0</v>
      </c>
      <c r="AS61" s="342">
        <f>IFERROR(_xlfn.IFS($C61="1", 'Inputs-System'!$C$30*'Coincidence Factors'!$B$7*'Inputs-Proposals'!$L$17*'Inputs-Proposals'!$L$19*(VLOOKUP(AN$3,'Non-Embedded Emissions'!$A$56:$D$90,2,FALSE)+VLOOKUP(AN$3,'Non-Embedded Emissions'!$A$143:$D$174,2,FALSE)+VLOOKUP(AN$3,'Non-Embedded Emissions'!$A$230:$D$259,2,FALSE)), $C61 = "2", 'Inputs-System'!$C$30*'Coincidence Factors'!$B$7*'Inputs-Proposals'!$L$23*'Inputs-Proposals'!$L$25*(VLOOKUP(AN$3,'Non-Embedded Emissions'!$A$56:$D$90,2,FALSE)+VLOOKUP(AN$3,'Non-Embedded Emissions'!$A$143:$D$174,2,FALSE)+VLOOKUP(AN$3,'Non-Embedded Emissions'!$A$230:$D$259,2,FALSE)), $C61 = "3", 'Inputs-System'!$C$30*'Coincidence Factors'!$B$7*'Inputs-Proposals'!$L$29*'Inputs-Proposals'!$L$31*(VLOOKUP(AN$3,'Non-Embedded Emissions'!$A$56:$D$90,2,FALSE)+VLOOKUP(AN$3,'Non-Embedded Emissions'!$A$143:$D$174,2,FALSE)+VLOOKUP(AN$3,'Non-Embedded Emissions'!$A$230:$D$259,2,FALSE)), $C61 = "0", 0), 0)</f>
        <v>0</v>
      </c>
      <c r="AT61" s="347">
        <f>IFERROR(_xlfn.IFS($C61="1",('Inputs-System'!$C$30*'Coincidence Factors'!$B$7*(1+'Inputs-System'!$C$18)*(1+'Inputs-System'!$C$41)*('Inputs-Proposals'!$L$17*'Inputs-Proposals'!$L$19*('Inputs-Proposals'!$L$20))*(VLOOKUP(AT$3,Energy!$A$51:$K$83,5,FALSE))), $C61 = "2",('Inputs-System'!$C$30*'Coincidence Factors'!$B$7)*(1+'Inputs-System'!$C$18)*(1+'Inputs-System'!$C$41)*('Inputs-Proposals'!$L$23*'Inputs-Proposals'!$L$25*('Inputs-Proposals'!$L$26))*(VLOOKUP(AT$3,Energy!$A$51:$K$83,5,FALSE)), $C61= "3", ('Inputs-System'!$C$30*'Coincidence Factors'!$B$7*(1+'Inputs-System'!$C$18)*(1+'Inputs-System'!$C$41)*('Inputs-Proposals'!$L$29*'Inputs-Proposals'!$L$31*('Inputs-Proposals'!$L$32))*(VLOOKUP(AT$3,Energy!$A$51:$K$83,5,FALSE))), $C61= "0", 0), 0)</f>
        <v>0</v>
      </c>
      <c r="AU61" s="44">
        <f>IFERROR(_xlfn.IFS($C61="1",'Inputs-System'!$C$30*'Coincidence Factors'!$B$7*(1+'Inputs-System'!$C$18)*(1+'Inputs-System'!$C$41)*'Inputs-Proposals'!$L$17*'Inputs-Proposals'!$L$19*('Inputs-Proposals'!$L$20)*(VLOOKUP(AT$3,'Embedded Emissions'!$A$47:$B$78,2,FALSE)+VLOOKUP(AT$3,'Embedded Emissions'!$A$129:$B$158,2,FALSE)), $C61 = "2",'Inputs-System'!$C$30*'Coincidence Factors'!$B$7*(1+'Inputs-System'!$C$18)*(1+'Inputs-System'!$C$41)*'Inputs-Proposals'!$L$23*'Inputs-Proposals'!$L$25*('Inputs-Proposals'!$L$20)*(VLOOKUP(AT$3,'Embedded Emissions'!$A$47:$B$78,2,FALSE)+VLOOKUP(AT$3,'Embedded Emissions'!$A$129:$B$158,2,FALSE)), $C61 = "3", 'Inputs-System'!$C$30*'Coincidence Factors'!$B$7*(1+'Inputs-System'!$C$18)*(1+'Inputs-System'!$C$41)*'Inputs-Proposals'!$L$29*'Inputs-Proposals'!$L$31*('Inputs-Proposals'!$L$20)*(VLOOKUP(AT$3,'Embedded Emissions'!$A$47:$B$78,2,FALSE)+VLOOKUP(AT$3,'Embedded Emissions'!$A$129:$B$158,2,FALSE)), $C61 = "0", 0), 0)</f>
        <v>0</v>
      </c>
      <c r="AV61" s="44">
        <f>IFERROR(_xlfn.IFS($C61="1",( 'Inputs-System'!$C$30*'Coincidence Factors'!$B$7*(1+'Inputs-System'!$C$18)*(1+'Inputs-System'!$C$41))*('Inputs-Proposals'!$L$17*'Inputs-Proposals'!$L$19*('Inputs-Proposals'!$L$20))*(VLOOKUP(AT$3,DRIPE!$A$54:$I$82,5,FALSE)+VLOOKUP(AT$3,DRIPE!$A$54:$I$82,9,FALSE))+ ('Inputs-System'!$C$26*'Coincidence Factors'!$B$7*(1+'Inputs-System'!$C$18)*(1+'Inputs-System'!$C$42))*'Inputs-Proposals'!$L$16*VLOOKUP(AT$3,DRIPE!$A$54:$I$82,8,FALSE), $C61 = "2",( 'Inputs-System'!$C$30*'Coincidence Factors'!$B$7*(1+'Inputs-System'!$C$18)*(1+'Inputs-System'!$C$41))*('Inputs-Proposals'!$L$23*'Inputs-Proposals'!$L$25*('Inputs-Proposals'!$L$26))*(VLOOKUP(AT$3,DRIPE!$A$54:$I$82,5,FALSE)+VLOOKUP(AT$3,DRIPE!$A$54:$I$82,12,FALSE))+ ('Inputs-System'!$C$26*'Coincidence Factors'!$B$7*(1+'Inputs-System'!$C$18)*(1+'Inputs-System'!$C$42))*'Inputs-Proposals'!$L$22*VLOOKUP(AT$3,DRIPE!$A$54:$I$82,8,FALSE), $C61= "3", ( 'Inputs-System'!$C$30*'Coincidence Factors'!$B$7*(1+'Inputs-System'!$C$18)*(1+'Inputs-System'!$C$41))*('Inputs-Proposals'!$L$29*'Inputs-Proposals'!$L$31*('Inputs-Proposals'!$L$32))*(VLOOKUP(AT$3,DRIPE!$A$54:$I$82,5,FALSE)+VLOOKUP(AT$3,DRIPE!$A$54:$I$82,12,FALSE))+ ('Inputs-System'!$C$26*'Coincidence Factors'!$B$7*(1+'Inputs-System'!$C$18)*(1+'Inputs-System'!$C$42))*'Inputs-Proposals'!$L$28*VLOOKUP(AT$3,DRIPE!$A$54:$I$82,8,FALSE), $C61 = "0", 0), 0)</f>
        <v>0</v>
      </c>
      <c r="AW61" s="45">
        <f>IFERROR(_xlfn.IFS($C61="1",('Inputs-System'!$C$26*'Coincidence Factors'!$B$7*(1+'Inputs-System'!$C$18))*'Inputs-Proposals'!$L$16*(VLOOKUP(AT$3,Capacity!$A$53:$E$85,4,FALSE)*(1+'Inputs-System'!$C$42)+VLOOKUP(AT$3,Capacity!$A$53:$E$85,5,FALSE)*'Inputs-System'!$C$29*(1+'Inputs-System'!$C$43)), $C61 = "2", ('Inputs-System'!$C$26*'Coincidence Factors'!$B$7*(1+'Inputs-System'!$C$18))*'Inputs-Proposals'!$L$22*(VLOOKUP(AT$3,Capacity!$A$53:$E$85,4,FALSE)*(1+'Inputs-System'!$C$42)+VLOOKUP(AT$3,Capacity!$A$53:$E$85,5,FALSE)*'Inputs-System'!$C$29*(1+'Inputs-System'!$C$43)), $C61 = "3",('Inputs-System'!$C$26*'Coincidence Factors'!$B$7*(1+'Inputs-System'!$C$18))*'Inputs-Proposals'!$L$28*(VLOOKUP(AT$3,Capacity!$A$53:$E$85,4,FALSE)*(1+'Inputs-System'!$C$42)+VLOOKUP(AT$3,Capacity!$A$53:$E$85,5,FALSE)*'Inputs-System'!$C$29*(1+'Inputs-System'!$C$43)), $C61 = "0", 0), 0)</f>
        <v>0</v>
      </c>
      <c r="AX61" s="44">
        <v>0</v>
      </c>
      <c r="AY61" s="342">
        <f>IFERROR(_xlfn.IFS($C61="1", 'Inputs-System'!$C$30*'Coincidence Factors'!$B$7*'Inputs-Proposals'!$L$17*'Inputs-Proposals'!$L$19*(VLOOKUP(AT$3,'Non-Embedded Emissions'!$A$56:$D$90,2,FALSE)+VLOOKUP(AT$3,'Non-Embedded Emissions'!$A$143:$D$174,2,FALSE)+VLOOKUP(AT$3,'Non-Embedded Emissions'!$A$230:$D$259,2,FALSE)), $C61 = "2", 'Inputs-System'!$C$30*'Coincidence Factors'!$B$7*'Inputs-Proposals'!$L$23*'Inputs-Proposals'!$L$25*(VLOOKUP(AT$3,'Non-Embedded Emissions'!$A$56:$D$90,2,FALSE)+VLOOKUP(AT$3,'Non-Embedded Emissions'!$A$143:$D$174,2,FALSE)+VLOOKUP(AT$3,'Non-Embedded Emissions'!$A$230:$D$259,2,FALSE)), $C61 = "3", 'Inputs-System'!$C$30*'Coincidence Factors'!$B$7*'Inputs-Proposals'!$L$29*'Inputs-Proposals'!$L$31*(VLOOKUP(AT$3,'Non-Embedded Emissions'!$A$56:$D$90,2,FALSE)+VLOOKUP(AT$3,'Non-Embedded Emissions'!$A$143:$D$174,2,FALSE)+VLOOKUP(AT$3,'Non-Embedded Emissions'!$A$230:$D$259,2,FALSE)), $C61 = "0", 0), 0)</f>
        <v>0</v>
      </c>
      <c r="AZ61" s="347">
        <f>IFERROR(_xlfn.IFS($C61="1",('Inputs-System'!$C$30*'Coincidence Factors'!$B$7*(1+'Inputs-System'!$C$18)*(1+'Inputs-System'!$C$41)*('Inputs-Proposals'!$L$17*'Inputs-Proposals'!$L$19*('Inputs-Proposals'!$L$20))*(VLOOKUP(AZ$3,Energy!$A$51:$K$83,5,FALSE))), $C61 = "2",('Inputs-System'!$C$30*'Coincidence Factors'!$B$7)*(1+'Inputs-System'!$C$18)*(1+'Inputs-System'!$C$41)*('Inputs-Proposals'!$L$23*'Inputs-Proposals'!$L$25*('Inputs-Proposals'!$L$26))*(VLOOKUP(AZ$3,Energy!$A$51:$K$83,5,FALSE)), $C61= "3", ('Inputs-System'!$C$30*'Coincidence Factors'!$B$7*(1+'Inputs-System'!$C$18)*(1+'Inputs-System'!$C$41)*('Inputs-Proposals'!$L$29*'Inputs-Proposals'!$L$31*('Inputs-Proposals'!$L$32))*(VLOOKUP(AZ$3,Energy!$A$51:$K$83,5,FALSE))), $C61= "0", 0), 0)</f>
        <v>0</v>
      </c>
      <c r="BA61" s="44">
        <f>IFERROR(_xlfn.IFS($C61="1",'Inputs-System'!$C$30*'Coincidence Factors'!$B$7*(1+'Inputs-System'!$C$18)*(1+'Inputs-System'!$C$41)*'Inputs-Proposals'!$L$17*'Inputs-Proposals'!$L$19*('Inputs-Proposals'!$L$20)*(VLOOKUP(AZ$3,'Embedded Emissions'!$A$47:$B$78,2,FALSE)+VLOOKUP(AZ$3,'Embedded Emissions'!$A$129:$B$158,2,FALSE)), $C61 = "2",'Inputs-System'!$C$30*'Coincidence Factors'!$B$7*(1+'Inputs-System'!$C$18)*(1+'Inputs-System'!$C$41)*'Inputs-Proposals'!$L$23*'Inputs-Proposals'!$L$25*('Inputs-Proposals'!$L$20)*(VLOOKUP(AZ$3,'Embedded Emissions'!$A$47:$B$78,2,FALSE)+VLOOKUP(AZ$3,'Embedded Emissions'!$A$129:$B$158,2,FALSE)), $C61 = "3", 'Inputs-System'!$C$30*'Coincidence Factors'!$B$7*(1+'Inputs-System'!$C$18)*(1+'Inputs-System'!$C$41)*'Inputs-Proposals'!$L$29*'Inputs-Proposals'!$L$31*('Inputs-Proposals'!$L$20)*(VLOOKUP(AZ$3,'Embedded Emissions'!$A$47:$B$78,2,FALSE)+VLOOKUP(AZ$3,'Embedded Emissions'!$A$129:$B$158,2,FALSE)), $C61 = "0", 0), 0)</f>
        <v>0</v>
      </c>
      <c r="BB61" s="44">
        <f>IFERROR(_xlfn.IFS($C61="1",( 'Inputs-System'!$C$30*'Coincidence Factors'!$B$7*(1+'Inputs-System'!$C$18)*(1+'Inputs-System'!$C$41))*('Inputs-Proposals'!$L$17*'Inputs-Proposals'!$L$19*('Inputs-Proposals'!$L$20))*(VLOOKUP(AZ$3,DRIPE!$A$54:$I$82,5,FALSE)+VLOOKUP(AZ$3,DRIPE!$A$54:$I$82,9,FALSE))+ ('Inputs-System'!$C$26*'Coincidence Factors'!$B$7*(1+'Inputs-System'!$C$18)*(1+'Inputs-System'!$C$42))*'Inputs-Proposals'!$L$16*VLOOKUP(AZ$3,DRIPE!$A$54:$I$82,8,FALSE), $C61 = "2",( 'Inputs-System'!$C$30*'Coincidence Factors'!$B$7*(1+'Inputs-System'!$C$18)*(1+'Inputs-System'!$C$41))*('Inputs-Proposals'!$L$23*'Inputs-Proposals'!$L$25*('Inputs-Proposals'!$L$26))*(VLOOKUP(AZ$3,DRIPE!$A$54:$I$82,5,FALSE)+VLOOKUP(AZ$3,DRIPE!$A$54:$I$82,12,FALSE))+ ('Inputs-System'!$C$26*'Coincidence Factors'!$B$7*(1+'Inputs-System'!$C$18)*(1+'Inputs-System'!$C$42))*'Inputs-Proposals'!$L$22*VLOOKUP(AZ$3,DRIPE!$A$54:$I$82,8,FALSE), $C61= "3", ( 'Inputs-System'!$C$30*'Coincidence Factors'!$B$7*(1+'Inputs-System'!$C$18)*(1+'Inputs-System'!$C$41))*('Inputs-Proposals'!$L$29*'Inputs-Proposals'!$L$31*('Inputs-Proposals'!$L$32))*(VLOOKUP(AZ$3,DRIPE!$A$54:$I$82,5,FALSE)+VLOOKUP(AZ$3,DRIPE!$A$54:$I$82,12,FALSE))+ ('Inputs-System'!$C$26*'Coincidence Factors'!$B$7*(1+'Inputs-System'!$C$18)*(1+'Inputs-System'!$C$42))*'Inputs-Proposals'!$L$28*VLOOKUP(AZ$3,DRIPE!$A$54:$I$82,8,FALSE), $C61 = "0", 0), 0)</f>
        <v>0</v>
      </c>
      <c r="BC61" s="45">
        <f>IFERROR(_xlfn.IFS($C61="1",('Inputs-System'!$C$26*'Coincidence Factors'!$B$7*(1+'Inputs-System'!$C$18))*'Inputs-Proposals'!$L$16*(VLOOKUP(AZ$3,Capacity!$A$53:$E$85,4,FALSE)*(1+'Inputs-System'!$C$42)+VLOOKUP(AZ$3,Capacity!$A$53:$E$85,5,FALSE)*'Inputs-System'!$C$29*(1+'Inputs-System'!$C$43)), $C61 = "2", ('Inputs-System'!$C$26*'Coincidence Factors'!$B$7*(1+'Inputs-System'!$C$18))*'Inputs-Proposals'!$L$22*(VLOOKUP(AZ$3,Capacity!$A$53:$E$85,4,FALSE)*(1+'Inputs-System'!$C$42)+VLOOKUP(AZ$3,Capacity!$A$53:$E$85,5,FALSE)*'Inputs-System'!$C$29*(1+'Inputs-System'!$C$43)), $C61 = "3",('Inputs-System'!$C$26*'Coincidence Factors'!$B$7*(1+'Inputs-System'!$C$18))*'Inputs-Proposals'!$L$28*(VLOOKUP(AZ$3,Capacity!$A$53:$E$85,4,FALSE)*(1+'Inputs-System'!$C$42)+VLOOKUP(AZ$3,Capacity!$A$53:$E$85,5,FALSE)*'Inputs-System'!$C$29*(1+'Inputs-System'!$C$43)), $C61 = "0", 0), 0)</f>
        <v>0</v>
      </c>
      <c r="BD61" s="44">
        <v>0</v>
      </c>
      <c r="BE61" s="342">
        <f>IFERROR(_xlfn.IFS($C61="1", 'Inputs-System'!$C$30*'Coincidence Factors'!$B$7*'Inputs-Proposals'!$L$17*'Inputs-Proposals'!$L$19*(VLOOKUP(AZ$3,'Non-Embedded Emissions'!$A$56:$D$90,2,FALSE)+VLOOKUP(AZ$3,'Non-Embedded Emissions'!$A$143:$D$174,2,FALSE)+VLOOKUP(AZ$3,'Non-Embedded Emissions'!$A$230:$D$259,2,FALSE)), $C61 = "2", 'Inputs-System'!$C$30*'Coincidence Factors'!$B$7*'Inputs-Proposals'!$L$23*'Inputs-Proposals'!$L$25*(VLOOKUP(AZ$3,'Non-Embedded Emissions'!$A$56:$D$90,2,FALSE)+VLOOKUP(AZ$3,'Non-Embedded Emissions'!$A$143:$D$174,2,FALSE)+VLOOKUP(AZ$3,'Non-Embedded Emissions'!$A$230:$D$259,2,FALSE)), $C61 = "3", 'Inputs-System'!$C$30*'Coincidence Factors'!$B$7*'Inputs-Proposals'!$L$29*'Inputs-Proposals'!$L$31*(VLOOKUP(AZ$3,'Non-Embedded Emissions'!$A$56:$D$90,2,FALSE)+VLOOKUP(AZ$3,'Non-Embedded Emissions'!$A$143:$D$174,2,FALSE)+VLOOKUP(AZ$3,'Non-Embedded Emissions'!$A$230:$D$259,2,FALSE)), $C61 = "0", 0), 0)</f>
        <v>0</v>
      </c>
      <c r="BF61" s="347">
        <f>IFERROR(_xlfn.IFS($C61="1",('Inputs-System'!$C$30*'Coincidence Factors'!$B$7*(1+'Inputs-System'!$C$18)*(1+'Inputs-System'!$C$41)*('Inputs-Proposals'!$L$17*'Inputs-Proposals'!$L$19*('Inputs-Proposals'!$L$20))*(VLOOKUP(BF$3,Energy!$A$51:$K$83,5,FALSE))), $C61 = "2",('Inputs-System'!$C$30*'Coincidence Factors'!$B$7)*(1+'Inputs-System'!$C$18)*(1+'Inputs-System'!$C$41)*('Inputs-Proposals'!$L$23*'Inputs-Proposals'!$L$25*('Inputs-Proposals'!$L$26))*(VLOOKUP(BF$3,Energy!$A$51:$K$83,5,FALSE)), $C61= "3", ('Inputs-System'!$C$30*'Coincidence Factors'!$B$7*(1+'Inputs-System'!$C$18)*(1+'Inputs-System'!$C$41)*('Inputs-Proposals'!$L$29*'Inputs-Proposals'!$L$31*('Inputs-Proposals'!$L$32))*(VLOOKUP(BF$3,Energy!$A$51:$K$83,5,FALSE))), $C61= "0", 0), 0)</f>
        <v>0</v>
      </c>
      <c r="BG61" s="44">
        <f>IFERROR(_xlfn.IFS($C61="1",'Inputs-System'!$C$30*'Coincidence Factors'!$B$7*(1+'Inputs-System'!$C$18)*(1+'Inputs-System'!$C$41)*'Inputs-Proposals'!$L$17*'Inputs-Proposals'!$L$19*('Inputs-Proposals'!$L$20)*(VLOOKUP(BF$3,'Embedded Emissions'!$A$47:$B$78,2,FALSE)+VLOOKUP(BF$3,'Embedded Emissions'!$A$129:$B$158,2,FALSE)), $C61 = "2",'Inputs-System'!$C$30*'Coincidence Factors'!$B$7*(1+'Inputs-System'!$C$18)*(1+'Inputs-System'!$C$41)*'Inputs-Proposals'!$L$23*'Inputs-Proposals'!$L$25*('Inputs-Proposals'!$L$20)*(VLOOKUP(BF$3,'Embedded Emissions'!$A$47:$B$78,2,FALSE)+VLOOKUP(BF$3,'Embedded Emissions'!$A$129:$B$158,2,FALSE)), $C61 = "3", 'Inputs-System'!$C$30*'Coincidence Factors'!$B$7*(1+'Inputs-System'!$C$18)*(1+'Inputs-System'!$C$41)*'Inputs-Proposals'!$L$29*'Inputs-Proposals'!$L$31*('Inputs-Proposals'!$L$20)*(VLOOKUP(BF$3,'Embedded Emissions'!$A$47:$B$78,2,FALSE)+VLOOKUP(BF$3,'Embedded Emissions'!$A$129:$B$158,2,FALSE)), $C61 = "0", 0), 0)</f>
        <v>0</v>
      </c>
      <c r="BH61" s="44">
        <f>IFERROR(_xlfn.IFS($C61="1",( 'Inputs-System'!$C$30*'Coincidence Factors'!$B$7*(1+'Inputs-System'!$C$18)*(1+'Inputs-System'!$C$41))*('Inputs-Proposals'!$L$17*'Inputs-Proposals'!$L$19*('Inputs-Proposals'!$L$20))*(VLOOKUP(BF$3,DRIPE!$A$54:$I$82,5,FALSE)+VLOOKUP(BF$3,DRIPE!$A$54:$I$82,9,FALSE))+ ('Inputs-System'!$C$26*'Coincidence Factors'!$B$7*(1+'Inputs-System'!$C$18)*(1+'Inputs-System'!$C$42))*'Inputs-Proposals'!$L$16*VLOOKUP(BF$3,DRIPE!$A$54:$I$82,8,FALSE), $C61 = "2",( 'Inputs-System'!$C$30*'Coincidence Factors'!$B$7*(1+'Inputs-System'!$C$18)*(1+'Inputs-System'!$C$41))*('Inputs-Proposals'!$L$23*'Inputs-Proposals'!$L$25*('Inputs-Proposals'!$L$26))*(VLOOKUP(BF$3,DRIPE!$A$54:$I$82,5,FALSE)+VLOOKUP(BF$3,DRIPE!$A$54:$I$82,12,FALSE))+ ('Inputs-System'!$C$26*'Coincidence Factors'!$B$7*(1+'Inputs-System'!$C$18)*(1+'Inputs-System'!$C$42))*'Inputs-Proposals'!$L$22*VLOOKUP(BF$3,DRIPE!$A$54:$I$82,8,FALSE), $C61= "3", ( 'Inputs-System'!$C$30*'Coincidence Factors'!$B$7*(1+'Inputs-System'!$C$18)*(1+'Inputs-System'!$C$41))*('Inputs-Proposals'!$L$29*'Inputs-Proposals'!$L$31*('Inputs-Proposals'!$L$32))*(VLOOKUP(BF$3,DRIPE!$A$54:$I$82,5,FALSE)+VLOOKUP(BF$3,DRIPE!$A$54:$I$82,12,FALSE))+ ('Inputs-System'!$C$26*'Coincidence Factors'!$B$7*(1+'Inputs-System'!$C$18)*(1+'Inputs-System'!$C$42))*'Inputs-Proposals'!$L$28*VLOOKUP(BF$3,DRIPE!$A$54:$I$82,8,FALSE), $C61 = "0", 0), 0)</f>
        <v>0</v>
      </c>
      <c r="BI61" s="45">
        <f>IFERROR(_xlfn.IFS($C61="1",('Inputs-System'!$C$26*'Coincidence Factors'!$B$7*(1+'Inputs-System'!$C$18))*'Inputs-Proposals'!$L$16*(VLOOKUP(BF$3,Capacity!$A$53:$E$85,4,FALSE)*(1+'Inputs-System'!$C$42)+VLOOKUP(BF$3,Capacity!$A$53:$E$85,5,FALSE)*'Inputs-System'!$C$29*(1+'Inputs-System'!$C$43)), $C61 = "2", ('Inputs-System'!$C$26*'Coincidence Factors'!$B$7*(1+'Inputs-System'!$C$18))*'Inputs-Proposals'!$L$22*(VLOOKUP(BF$3,Capacity!$A$53:$E$85,4,FALSE)*(1+'Inputs-System'!$C$42)+VLOOKUP(BF$3,Capacity!$A$53:$E$85,5,FALSE)*'Inputs-System'!$C$29*(1+'Inputs-System'!$C$43)), $C61 = "3",('Inputs-System'!$C$26*'Coincidence Factors'!$B$7*(1+'Inputs-System'!$C$18))*'Inputs-Proposals'!$L$28*(VLOOKUP(BF$3,Capacity!$A$53:$E$85,4,FALSE)*(1+'Inputs-System'!$C$42)+VLOOKUP(BF$3,Capacity!$A$53:$E$85,5,FALSE)*'Inputs-System'!$C$29*(1+'Inputs-System'!$C$43)), $C61 = "0", 0), 0)</f>
        <v>0</v>
      </c>
      <c r="BJ61" s="44">
        <v>0</v>
      </c>
      <c r="BK61" s="342">
        <f>IFERROR(_xlfn.IFS($C61="1", 'Inputs-System'!$C$30*'Coincidence Factors'!$B$7*'Inputs-Proposals'!$L$17*'Inputs-Proposals'!$L$19*(VLOOKUP(BF$3,'Non-Embedded Emissions'!$A$56:$D$90,2,FALSE)+VLOOKUP(BF$3,'Non-Embedded Emissions'!$A$143:$D$174,2,FALSE)+VLOOKUP(BF$3,'Non-Embedded Emissions'!$A$230:$D$259,2,FALSE)), $C61 = "2", 'Inputs-System'!$C$30*'Coincidence Factors'!$B$7*'Inputs-Proposals'!$L$23*'Inputs-Proposals'!$L$25*(VLOOKUP(BF$3,'Non-Embedded Emissions'!$A$56:$D$90,2,FALSE)+VLOOKUP(BF$3,'Non-Embedded Emissions'!$A$143:$D$174,2,FALSE)+VLOOKUP(BF$3,'Non-Embedded Emissions'!$A$230:$D$259,2,FALSE)), $C61 = "3", 'Inputs-System'!$C$30*'Coincidence Factors'!$B$7*'Inputs-Proposals'!$L$29*'Inputs-Proposals'!$L$31*(VLOOKUP(BF$3,'Non-Embedded Emissions'!$A$56:$D$90,2,FALSE)+VLOOKUP(BF$3,'Non-Embedded Emissions'!$A$143:$D$174,2,FALSE)+VLOOKUP(BF$3,'Non-Embedded Emissions'!$A$230:$D$259,2,FALSE)), $C61 = "0", 0), 0)</f>
        <v>0</v>
      </c>
      <c r="BL61" s="347">
        <f>IFERROR(_xlfn.IFS($C61="1",('Inputs-System'!$C$30*'Coincidence Factors'!$B$7*(1+'Inputs-System'!$C$18)*(1+'Inputs-System'!$C$41)*('Inputs-Proposals'!$L$17*'Inputs-Proposals'!$L$19*('Inputs-Proposals'!$L$20))*(VLOOKUP(BL$3,Energy!$A$51:$K$83,5,FALSE))), $C61 = "2",('Inputs-System'!$C$30*'Coincidence Factors'!$B$7)*(1+'Inputs-System'!$C$18)*(1+'Inputs-System'!$C$41)*('Inputs-Proposals'!$L$23*'Inputs-Proposals'!$L$25*('Inputs-Proposals'!$L$26))*(VLOOKUP(BL$3,Energy!$A$51:$K$83,5,FALSE)), $C61= "3", ('Inputs-System'!$C$30*'Coincidence Factors'!$B$7*(1+'Inputs-System'!$C$18)*(1+'Inputs-System'!$C$41)*('Inputs-Proposals'!$L$29*'Inputs-Proposals'!$L$31*('Inputs-Proposals'!$L$32))*(VLOOKUP(BL$3,Energy!$A$51:$K$83,5,FALSE))), $C61= "0", 0), 0)</f>
        <v>0</v>
      </c>
      <c r="BM61" s="44">
        <f>IFERROR(_xlfn.IFS($C61="1",'Inputs-System'!$C$30*'Coincidence Factors'!$B$7*(1+'Inputs-System'!$C$18)*(1+'Inputs-System'!$C$41)*'Inputs-Proposals'!$L$17*'Inputs-Proposals'!$L$19*('Inputs-Proposals'!$L$20)*(VLOOKUP(BL$3,'Embedded Emissions'!$A$47:$B$78,2,FALSE)+VLOOKUP(BL$3,'Embedded Emissions'!$A$129:$B$158,2,FALSE)), $C61 = "2",'Inputs-System'!$C$30*'Coincidence Factors'!$B$7*(1+'Inputs-System'!$C$18)*(1+'Inputs-System'!$C$41)*'Inputs-Proposals'!$L$23*'Inputs-Proposals'!$L$25*('Inputs-Proposals'!$L$20)*(VLOOKUP(BL$3,'Embedded Emissions'!$A$47:$B$78,2,FALSE)+VLOOKUP(BL$3,'Embedded Emissions'!$A$129:$B$158,2,FALSE)), $C61 = "3", 'Inputs-System'!$C$30*'Coincidence Factors'!$B$7*(1+'Inputs-System'!$C$18)*(1+'Inputs-System'!$C$41)*'Inputs-Proposals'!$L$29*'Inputs-Proposals'!$L$31*('Inputs-Proposals'!$L$20)*(VLOOKUP(BL$3,'Embedded Emissions'!$A$47:$B$78,2,FALSE)+VLOOKUP(BL$3,'Embedded Emissions'!$A$129:$B$158,2,FALSE)), $C61 = "0", 0), 0)</f>
        <v>0</v>
      </c>
      <c r="BN61" s="44">
        <f>IFERROR(_xlfn.IFS($C61="1",( 'Inputs-System'!$C$30*'Coincidence Factors'!$B$7*(1+'Inputs-System'!$C$18)*(1+'Inputs-System'!$C$41))*('Inputs-Proposals'!$L$17*'Inputs-Proposals'!$L$19*('Inputs-Proposals'!$L$20))*(VLOOKUP(BL$3,DRIPE!$A$54:$I$82,5,FALSE)+VLOOKUP(BL$3,DRIPE!$A$54:$I$82,9,FALSE))+ ('Inputs-System'!$C$26*'Coincidence Factors'!$B$7*(1+'Inputs-System'!$C$18)*(1+'Inputs-System'!$C$42))*'Inputs-Proposals'!$L$16*VLOOKUP(BL$3,DRIPE!$A$54:$I$82,8,FALSE), $C61 = "2",( 'Inputs-System'!$C$30*'Coincidence Factors'!$B$7*(1+'Inputs-System'!$C$18)*(1+'Inputs-System'!$C$41))*('Inputs-Proposals'!$L$23*'Inputs-Proposals'!$L$25*('Inputs-Proposals'!$L$26))*(VLOOKUP(BL$3,DRIPE!$A$54:$I$82,5,FALSE)+VLOOKUP(BL$3,DRIPE!$A$54:$I$82,12,FALSE))+ ('Inputs-System'!$C$26*'Coincidence Factors'!$B$7*(1+'Inputs-System'!$C$18)*(1+'Inputs-System'!$C$42))*'Inputs-Proposals'!$L$22*VLOOKUP(BL$3,DRIPE!$A$54:$I$82,8,FALSE), $C61= "3", ( 'Inputs-System'!$C$30*'Coincidence Factors'!$B$7*(1+'Inputs-System'!$C$18)*(1+'Inputs-System'!$C$41))*('Inputs-Proposals'!$L$29*'Inputs-Proposals'!$L$31*('Inputs-Proposals'!$L$32))*(VLOOKUP(BL$3,DRIPE!$A$54:$I$82,5,FALSE)+VLOOKUP(BL$3,DRIPE!$A$54:$I$82,12,FALSE))+ ('Inputs-System'!$C$26*'Coincidence Factors'!$B$7*(1+'Inputs-System'!$C$18)*(1+'Inputs-System'!$C$42))*'Inputs-Proposals'!$L$28*VLOOKUP(BL$3,DRIPE!$A$54:$I$82,8,FALSE), $C61 = "0", 0), 0)</f>
        <v>0</v>
      </c>
      <c r="BO61" s="45">
        <f>IFERROR(_xlfn.IFS($C61="1",('Inputs-System'!$C$26*'Coincidence Factors'!$B$7*(1+'Inputs-System'!$C$18))*'Inputs-Proposals'!$L$16*(VLOOKUP(BL$3,Capacity!$A$53:$E$85,4,FALSE)*(1+'Inputs-System'!$C$42)+VLOOKUP(BL$3,Capacity!$A$53:$E$85,5,FALSE)*'Inputs-System'!$C$29*(1+'Inputs-System'!$C$43)), $C61 = "2", ('Inputs-System'!$C$26*'Coincidence Factors'!$B$7*(1+'Inputs-System'!$C$18))*'Inputs-Proposals'!$L$22*(VLOOKUP(BL$3,Capacity!$A$53:$E$85,4,FALSE)*(1+'Inputs-System'!$C$42)+VLOOKUP(BL$3,Capacity!$A$53:$E$85,5,FALSE)*'Inputs-System'!$C$29*(1+'Inputs-System'!$C$43)), $C61 = "3",('Inputs-System'!$C$26*'Coincidence Factors'!$B$7*(1+'Inputs-System'!$C$18))*'Inputs-Proposals'!$L$28*(VLOOKUP(BL$3,Capacity!$A$53:$E$85,4,FALSE)*(1+'Inputs-System'!$C$42)+VLOOKUP(BL$3,Capacity!$A$53:$E$85,5,FALSE)*'Inputs-System'!$C$29*(1+'Inputs-System'!$C$43)), $C61 = "0", 0), 0)</f>
        <v>0</v>
      </c>
      <c r="BP61" s="44">
        <v>0</v>
      </c>
      <c r="BQ61" s="342">
        <f>IFERROR(_xlfn.IFS($C61="1", 'Inputs-System'!$C$30*'Coincidence Factors'!$B$7*'Inputs-Proposals'!$L$17*'Inputs-Proposals'!$L$19*(VLOOKUP(BL$3,'Non-Embedded Emissions'!$A$56:$D$90,2,FALSE)+VLOOKUP(BL$3,'Non-Embedded Emissions'!$A$143:$D$174,2,FALSE)+VLOOKUP(BL$3,'Non-Embedded Emissions'!$A$230:$D$259,2,FALSE)), $C61 = "2", 'Inputs-System'!$C$30*'Coincidence Factors'!$B$7*'Inputs-Proposals'!$L$23*'Inputs-Proposals'!$L$25*(VLOOKUP(BL$3,'Non-Embedded Emissions'!$A$56:$D$90,2,FALSE)+VLOOKUP(BL$3,'Non-Embedded Emissions'!$A$143:$D$174,2,FALSE)+VLOOKUP(BL$3,'Non-Embedded Emissions'!$A$230:$D$259,2,FALSE)), $C61 = "3", 'Inputs-System'!$C$30*'Coincidence Factors'!$B$7*'Inputs-Proposals'!$L$29*'Inputs-Proposals'!$L$31*(VLOOKUP(BL$3,'Non-Embedded Emissions'!$A$56:$D$90,2,FALSE)+VLOOKUP(BL$3,'Non-Embedded Emissions'!$A$143:$D$174,2,FALSE)+VLOOKUP(BL$3,'Non-Embedded Emissions'!$A$230:$D$259,2,FALSE)), $C61 = "0", 0), 0)</f>
        <v>0</v>
      </c>
      <c r="BR61" s="347">
        <f>IFERROR(_xlfn.IFS($C61="1",('Inputs-System'!$C$30*'Coincidence Factors'!$B$7*(1+'Inputs-System'!$C$18)*(1+'Inputs-System'!$C$41)*('Inputs-Proposals'!$L$17*'Inputs-Proposals'!$L$19*('Inputs-Proposals'!$L$20))*(VLOOKUP(BR$3,Energy!$A$51:$K$83,5,FALSE))), $C61 = "2",('Inputs-System'!$C$30*'Coincidence Factors'!$B$7)*(1+'Inputs-System'!$C$18)*(1+'Inputs-System'!$C$41)*('Inputs-Proposals'!$L$23*'Inputs-Proposals'!$L$25*('Inputs-Proposals'!$L$26))*(VLOOKUP(BR$3,Energy!$A$51:$K$83,5,FALSE)), $C61= "3", ('Inputs-System'!$C$30*'Coincidence Factors'!$B$7*(1+'Inputs-System'!$C$18)*(1+'Inputs-System'!$C$41)*('Inputs-Proposals'!$L$29*'Inputs-Proposals'!$L$31*('Inputs-Proposals'!$L$32))*(VLOOKUP(BR$3,Energy!$A$51:$K$83,5,FALSE))), $C61= "0", 0), 0)</f>
        <v>0</v>
      </c>
      <c r="BS61" s="44">
        <f>IFERROR(_xlfn.IFS($C61="1",'Inputs-System'!$C$30*'Coincidence Factors'!$B$7*(1+'Inputs-System'!$C$18)*(1+'Inputs-System'!$C$41)*'Inputs-Proposals'!$L$17*'Inputs-Proposals'!$L$19*('Inputs-Proposals'!$L$20)*(VLOOKUP(BR$3,'Embedded Emissions'!$A$47:$B$78,2,FALSE)+VLOOKUP(BR$3,'Embedded Emissions'!$A$129:$B$158,2,FALSE)), $C61 = "2",'Inputs-System'!$C$30*'Coincidence Factors'!$B$7*(1+'Inputs-System'!$C$18)*(1+'Inputs-System'!$C$41)*'Inputs-Proposals'!$L$23*'Inputs-Proposals'!$L$25*('Inputs-Proposals'!$L$20)*(VLOOKUP(BR$3,'Embedded Emissions'!$A$47:$B$78,2,FALSE)+VLOOKUP(BR$3,'Embedded Emissions'!$A$129:$B$158,2,FALSE)), $C61 = "3", 'Inputs-System'!$C$30*'Coincidence Factors'!$B$7*(1+'Inputs-System'!$C$18)*(1+'Inputs-System'!$C$41)*'Inputs-Proposals'!$L$29*'Inputs-Proposals'!$L$31*('Inputs-Proposals'!$L$20)*(VLOOKUP(BR$3,'Embedded Emissions'!$A$47:$B$78,2,FALSE)+VLOOKUP(BR$3,'Embedded Emissions'!$A$129:$B$158,2,FALSE)), $C61 = "0", 0), 0)</f>
        <v>0</v>
      </c>
      <c r="BT61" s="44">
        <f>IFERROR(_xlfn.IFS($C61="1",( 'Inputs-System'!$C$30*'Coincidence Factors'!$B$7*(1+'Inputs-System'!$C$18)*(1+'Inputs-System'!$C$41))*('Inputs-Proposals'!$L$17*'Inputs-Proposals'!$L$19*('Inputs-Proposals'!$L$20))*(VLOOKUP(BR$3,DRIPE!$A$54:$I$82,5,FALSE)+VLOOKUP(BR$3,DRIPE!$A$54:$I$82,9,FALSE))+ ('Inputs-System'!$C$26*'Coincidence Factors'!$B$7*(1+'Inputs-System'!$C$18)*(1+'Inputs-System'!$C$42))*'Inputs-Proposals'!$L$16*VLOOKUP(BR$3,DRIPE!$A$54:$I$82,8,FALSE), $C61 = "2",( 'Inputs-System'!$C$30*'Coincidence Factors'!$B$7*(1+'Inputs-System'!$C$18)*(1+'Inputs-System'!$C$41))*('Inputs-Proposals'!$L$23*'Inputs-Proposals'!$L$25*('Inputs-Proposals'!$L$26))*(VLOOKUP(BR$3,DRIPE!$A$54:$I$82,5,FALSE)+VLOOKUP(BR$3,DRIPE!$A$54:$I$82,12,FALSE))+ ('Inputs-System'!$C$26*'Coincidence Factors'!$B$7*(1+'Inputs-System'!$C$18)*(1+'Inputs-System'!$C$42))*'Inputs-Proposals'!$L$22*VLOOKUP(BR$3,DRIPE!$A$54:$I$82,8,FALSE), $C61= "3", ( 'Inputs-System'!$C$30*'Coincidence Factors'!$B$7*(1+'Inputs-System'!$C$18)*(1+'Inputs-System'!$C$41))*('Inputs-Proposals'!$L$29*'Inputs-Proposals'!$L$31*('Inputs-Proposals'!$L$32))*(VLOOKUP(BR$3,DRIPE!$A$54:$I$82,5,FALSE)+VLOOKUP(BR$3,DRIPE!$A$54:$I$82,12,FALSE))+ ('Inputs-System'!$C$26*'Coincidence Factors'!$B$7*(1+'Inputs-System'!$C$18)*(1+'Inputs-System'!$C$42))*'Inputs-Proposals'!$L$28*VLOOKUP(BR$3,DRIPE!$A$54:$I$82,8,FALSE), $C61 = "0", 0), 0)</f>
        <v>0</v>
      </c>
      <c r="BU61" s="45">
        <f>IFERROR(_xlfn.IFS($C61="1",('Inputs-System'!$C$26*'Coincidence Factors'!$B$7*(1+'Inputs-System'!$C$18))*'Inputs-Proposals'!$L$16*(VLOOKUP(BR$3,Capacity!$A$53:$E$85,4,FALSE)*(1+'Inputs-System'!$C$42)+VLOOKUP(BR$3,Capacity!$A$53:$E$85,5,FALSE)*'Inputs-System'!$C$29*(1+'Inputs-System'!$C$43)), $C61 = "2", ('Inputs-System'!$C$26*'Coincidence Factors'!$B$7*(1+'Inputs-System'!$C$18))*'Inputs-Proposals'!$L$22*(VLOOKUP(BR$3,Capacity!$A$53:$E$85,4,FALSE)*(1+'Inputs-System'!$C$42)+VLOOKUP(BR$3,Capacity!$A$53:$E$85,5,FALSE)*'Inputs-System'!$C$29*(1+'Inputs-System'!$C$43)), $C61 = "3",('Inputs-System'!$C$26*'Coincidence Factors'!$B$7*(1+'Inputs-System'!$C$18))*'Inputs-Proposals'!$L$28*(VLOOKUP(BR$3,Capacity!$A$53:$E$85,4,FALSE)*(1+'Inputs-System'!$C$42)+VLOOKUP(BR$3,Capacity!$A$53:$E$85,5,FALSE)*'Inputs-System'!$C$29*(1+'Inputs-System'!$C$43)), $C61 = "0", 0), 0)</f>
        <v>0</v>
      </c>
      <c r="BV61" s="44">
        <v>0</v>
      </c>
      <c r="BW61" s="342">
        <f>IFERROR(_xlfn.IFS($C61="1", 'Inputs-System'!$C$30*'Coincidence Factors'!$B$7*'Inputs-Proposals'!$L$17*'Inputs-Proposals'!$L$19*(VLOOKUP(BR$3,'Non-Embedded Emissions'!$A$56:$D$90,2,FALSE)+VLOOKUP(BR$3,'Non-Embedded Emissions'!$A$143:$D$174,2,FALSE)+VLOOKUP(BR$3,'Non-Embedded Emissions'!$A$230:$D$259,2,FALSE)), $C61 = "2", 'Inputs-System'!$C$30*'Coincidence Factors'!$B$7*'Inputs-Proposals'!$L$23*'Inputs-Proposals'!$L$25*(VLOOKUP(BR$3,'Non-Embedded Emissions'!$A$56:$D$90,2,FALSE)+VLOOKUP(BR$3,'Non-Embedded Emissions'!$A$143:$D$174,2,FALSE)+VLOOKUP(BR$3,'Non-Embedded Emissions'!$A$230:$D$259,2,FALSE)), $C61 = "3", 'Inputs-System'!$C$30*'Coincidence Factors'!$B$7*'Inputs-Proposals'!$L$29*'Inputs-Proposals'!$L$31*(VLOOKUP(BR$3,'Non-Embedded Emissions'!$A$56:$D$90,2,FALSE)+VLOOKUP(BR$3,'Non-Embedded Emissions'!$A$143:$D$174,2,FALSE)+VLOOKUP(BR$3,'Non-Embedded Emissions'!$A$230:$D$259,2,FALSE)), $C61 = "0", 0), 0)</f>
        <v>0</v>
      </c>
      <c r="BX61" s="347">
        <f>IFERROR(_xlfn.IFS($C61="1",('Inputs-System'!$C$30*'Coincidence Factors'!$B$7*(1+'Inputs-System'!$C$18)*(1+'Inputs-System'!$C$41)*('Inputs-Proposals'!$L$17*'Inputs-Proposals'!$L$19*('Inputs-Proposals'!$L$20))*(VLOOKUP(BX$3,Energy!$A$51:$K$83,5,FALSE))), $C61 = "2",('Inputs-System'!$C$30*'Coincidence Factors'!$B$7)*(1+'Inputs-System'!$C$18)*(1+'Inputs-System'!$C$41)*('Inputs-Proposals'!$L$23*'Inputs-Proposals'!$L$25*('Inputs-Proposals'!$L$26))*(VLOOKUP(BX$3,Energy!$A$51:$K$83,5,FALSE)), $C61= "3", ('Inputs-System'!$C$30*'Coincidence Factors'!$B$7*(1+'Inputs-System'!$C$18)*(1+'Inputs-System'!$C$41)*('Inputs-Proposals'!$L$29*'Inputs-Proposals'!$L$31*('Inputs-Proposals'!$L$32))*(VLOOKUP(BX$3,Energy!$A$51:$K$83,5,FALSE))), $C61= "0", 0), 0)</f>
        <v>0</v>
      </c>
      <c r="BY61" s="44">
        <f>IFERROR(_xlfn.IFS($C61="1",'Inputs-System'!$C$30*'Coincidence Factors'!$B$7*(1+'Inputs-System'!$C$18)*(1+'Inputs-System'!$C$41)*'Inputs-Proposals'!$L$17*'Inputs-Proposals'!$L$19*('Inputs-Proposals'!$L$20)*(VLOOKUP(BX$3,'Embedded Emissions'!$A$47:$B$78,2,FALSE)+VLOOKUP(BX$3,'Embedded Emissions'!$A$129:$B$158,2,FALSE)), $C61 = "2",'Inputs-System'!$C$30*'Coincidence Factors'!$B$7*(1+'Inputs-System'!$C$18)*(1+'Inputs-System'!$C$41)*'Inputs-Proposals'!$L$23*'Inputs-Proposals'!$L$25*('Inputs-Proposals'!$L$20)*(VLOOKUP(BX$3,'Embedded Emissions'!$A$47:$B$78,2,FALSE)+VLOOKUP(BX$3,'Embedded Emissions'!$A$129:$B$158,2,FALSE)), $C61 = "3", 'Inputs-System'!$C$30*'Coincidence Factors'!$B$7*(1+'Inputs-System'!$C$18)*(1+'Inputs-System'!$C$41)*'Inputs-Proposals'!$L$29*'Inputs-Proposals'!$L$31*('Inputs-Proposals'!$L$20)*(VLOOKUP(BX$3,'Embedded Emissions'!$A$47:$B$78,2,FALSE)+VLOOKUP(BX$3,'Embedded Emissions'!$A$129:$B$158,2,FALSE)), $C61 = "0", 0), 0)</f>
        <v>0</v>
      </c>
      <c r="BZ61" s="44">
        <f>IFERROR(_xlfn.IFS($C61="1",( 'Inputs-System'!$C$30*'Coincidence Factors'!$B$7*(1+'Inputs-System'!$C$18)*(1+'Inputs-System'!$C$41))*('Inputs-Proposals'!$L$17*'Inputs-Proposals'!$L$19*('Inputs-Proposals'!$L$20))*(VLOOKUP(BX$3,DRIPE!$A$54:$I$82,5,FALSE)+VLOOKUP(BX$3,DRIPE!$A$54:$I$82,9,FALSE))+ ('Inputs-System'!$C$26*'Coincidence Factors'!$B$7*(1+'Inputs-System'!$C$18)*(1+'Inputs-System'!$C$42))*'Inputs-Proposals'!$L$16*VLOOKUP(BX$3,DRIPE!$A$54:$I$82,8,FALSE), $C61 = "2",( 'Inputs-System'!$C$30*'Coincidence Factors'!$B$7*(1+'Inputs-System'!$C$18)*(1+'Inputs-System'!$C$41))*('Inputs-Proposals'!$L$23*'Inputs-Proposals'!$L$25*('Inputs-Proposals'!$L$26))*(VLOOKUP(BX$3,DRIPE!$A$54:$I$82,5,FALSE)+VLOOKUP(BX$3,DRIPE!$A$54:$I$82,12,FALSE))+ ('Inputs-System'!$C$26*'Coincidence Factors'!$B$7*(1+'Inputs-System'!$C$18)*(1+'Inputs-System'!$C$42))*'Inputs-Proposals'!$L$22*VLOOKUP(BX$3,DRIPE!$A$54:$I$82,8,FALSE), $C61= "3", ( 'Inputs-System'!$C$30*'Coincidence Factors'!$B$7*(1+'Inputs-System'!$C$18)*(1+'Inputs-System'!$C$41))*('Inputs-Proposals'!$L$29*'Inputs-Proposals'!$L$31*('Inputs-Proposals'!$L$32))*(VLOOKUP(BX$3,DRIPE!$A$54:$I$82,5,FALSE)+VLOOKUP(BX$3,DRIPE!$A$54:$I$82,12,FALSE))+ ('Inputs-System'!$C$26*'Coincidence Factors'!$B$7*(1+'Inputs-System'!$C$18)*(1+'Inputs-System'!$C$42))*'Inputs-Proposals'!$L$28*VLOOKUP(BX$3,DRIPE!$A$54:$I$82,8,FALSE), $C61 = "0", 0), 0)</f>
        <v>0</v>
      </c>
      <c r="CA61" s="45">
        <f>IFERROR(_xlfn.IFS($C61="1",('Inputs-System'!$C$26*'Coincidence Factors'!$B$7*(1+'Inputs-System'!$C$18))*'Inputs-Proposals'!$L$16*(VLOOKUP(BX$3,Capacity!$A$53:$E$85,4,FALSE)*(1+'Inputs-System'!$C$42)+VLOOKUP(BX$3,Capacity!$A$53:$E$85,5,FALSE)*'Inputs-System'!$C$29*(1+'Inputs-System'!$C$43)), $C61 = "2", ('Inputs-System'!$C$26*'Coincidence Factors'!$B$7*(1+'Inputs-System'!$C$18))*'Inputs-Proposals'!$L$22*(VLOOKUP(BX$3,Capacity!$A$53:$E$85,4,FALSE)*(1+'Inputs-System'!$C$42)+VLOOKUP(BX$3,Capacity!$A$53:$E$85,5,FALSE)*'Inputs-System'!$C$29*(1+'Inputs-System'!$C$43)), $C61 = "3",('Inputs-System'!$C$26*'Coincidence Factors'!$B$7*(1+'Inputs-System'!$C$18))*'Inputs-Proposals'!$L$28*(VLOOKUP(BX$3,Capacity!$A$53:$E$85,4,FALSE)*(1+'Inputs-System'!$C$42)+VLOOKUP(BX$3,Capacity!$A$53:$E$85,5,FALSE)*'Inputs-System'!$C$29*(1+'Inputs-System'!$C$43)), $C61 = "0", 0), 0)</f>
        <v>0</v>
      </c>
      <c r="CB61" s="44">
        <v>0</v>
      </c>
      <c r="CC61" s="342">
        <f>IFERROR(_xlfn.IFS($C61="1", 'Inputs-System'!$C$30*'Coincidence Factors'!$B$7*'Inputs-Proposals'!$L$17*'Inputs-Proposals'!$L$19*(VLOOKUP(BX$3,'Non-Embedded Emissions'!$A$56:$D$90,2,FALSE)+VLOOKUP(BX$3,'Non-Embedded Emissions'!$A$143:$D$174,2,FALSE)+VLOOKUP(BX$3,'Non-Embedded Emissions'!$A$230:$D$259,2,FALSE)), $C61 = "2", 'Inputs-System'!$C$30*'Coincidence Factors'!$B$7*'Inputs-Proposals'!$L$23*'Inputs-Proposals'!$L$25*(VLOOKUP(BX$3,'Non-Embedded Emissions'!$A$56:$D$90,2,FALSE)+VLOOKUP(BX$3,'Non-Embedded Emissions'!$A$143:$D$174,2,FALSE)+VLOOKUP(BX$3,'Non-Embedded Emissions'!$A$230:$D$259,2,FALSE)), $C61 = "3", 'Inputs-System'!$C$30*'Coincidence Factors'!$B$7*'Inputs-Proposals'!$L$29*'Inputs-Proposals'!$L$31*(VLOOKUP(BX$3,'Non-Embedded Emissions'!$A$56:$D$90,2,FALSE)+VLOOKUP(BX$3,'Non-Embedded Emissions'!$A$143:$D$174,2,FALSE)+VLOOKUP(BX$3,'Non-Embedded Emissions'!$A$230:$D$259,2,FALSE)), $C61 = "0", 0), 0)</f>
        <v>0</v>
      </c>
      <c r="CD61" s="347">
        <f>IFERROR(_xlfn.IFS($C61="1",('Inputs-System'!$C$30*'Coincidence Factors'!$B$7*(1+'Inputs-System'!$C$18)*(1+'Inputs-System'!$C$41)*('Inputs-Proposals'!$L$17*'Inputs-Proposals'!$L$19*('Inputs-Proposals'!$L$20))*(VLOOKUP(CD$3,Energy!$A$51:$K$83,5,FALSE))), $C61 = "2",('Inputs-System'!$C$30*'Coincidence Factors'!$B$7)*(1+'Inputs-System'!$C$18)*(1+'Inputs-System'!$C$41)*('Inputs-Proposals'!$L$23*'Inputs-Proposals'!$L$25*('Inputs-Proposals'!$L$26))*(VLOOKUP(CD$3,Energy!$A$51:$K$83,5,FALSE)), $C61= "3", ('Inputs-System'!$C$30*'Coincidence Factors'!$B$7*(1+'Inputs-System'!$C$18)*(1+'Inputs-System'!$C$41)*('Inputs-Proposals'!$L$29*'Inputs-Proposals'!$L$31*('Inputs-Proposals'!$L$32))*(VLOOKUP(CD$3,Energy!$A$51:$K$83,5,FALSE))), $C61= "0", 0), 0)</f>
        <v>0</v>
      </c>
      <c r="CE61" s="44">
        <f>IFERROR(_xlfn.IFS($C61="1",'Inputs-System'!$C$30*'Coincidence Factors'!$B$7*(1+'Inputs-System'!$C$18)*(1+'Inputs-System'!$C$41)*'Inputs-Proposals'!$L$17*'Inputs-Proposals'!$L$19*('Inputs-Proposals'!$L$20)*(VLOOKUP(CD$3,'Embedded Emissions'!$A$47:$B$78,2,FALSE)+VLOOKUP(CD$3,'Embedded Emissions'!$A$129:$B$158,2,FALSE)), $C61 = "2",'Inputs-System'!$C$30*'Coincidence Factors'!$B$7*(1+'Inputs-System'!$C$18)*(1+'Inputs-System'!$C$41)*'Inputs-Proposals'!$L$23*'Inputs-Proposals'!$L$25*('Inputs-Proposals'!$L$20)*(VLOOKUP(CD$3,'Embedded Emissions'!$A$47:$B$78,2,FALSE)+VLOOKUP(CD$3,'Embedded Emissions'!$A$129:$B$158,2,FALSE)), $C61 = "3", 'Inputs-System'!$C$30*'Coincidence Factors'!$B$7*(1+'Inputs-System'!$C$18)*(1+'Inputs-System'!$C$41)*'Inputs-Proposals'!$L$29*'Inputs-Proposals'!$L$31*('Inputs-Proposals'!$L$20)*(VLOOKUP(CD$3,'Embedded Emissions'!$A$47:$B$78,2,FALSE)+VLOOKUP(CD$3,'Embedded Emissions'!$A$129:$B$158,2,FALSE)), $C61 = "0", 0), 0)</f>
        <v>0</v>
      </c>
      <c r="CF61" s="44">
        <f>IFERROR(_xlfn.IFS($C61="1",( 'Inputs-System'!$C$30*'Coincidence Factors'!$B$7*(1+'Inputs-System'!$C$18)*(1+'Inputs-System'!$C$41))*('Inputs-Proposals'!$L$17*'Inputs-Proposals'!$L$19*('Inputs-Proposals'!$L$20))*(VLOOKUP(CD$3,DRIPE!$A$54:$I$82,5,FALSE)+VLOOKUP(CD$3,DRIPE!$A$54:$I$82,9,FALSE))+ ('Inputs-System'!$C$26*'Coincidence Factors'!$B$7*(1+'Inputs-System'!$C$18)*(1+'Inputs-System'!$C$42))*'Inputs-Proposals'!$L$16*VLOOKUP(CD$3,DRIPE!$A$54:$I$82,8,FALSE), $C61 = "2",( 'Inputs-System'!$C$30*'Coincidence Factors'!$B$7*(1+'Inputs-System'!$C$18)*(1+'Inputs-System'!$C$41))*('Inputs-Proposals'!$L$23*'Inputs-Proposals'!$L$25*('Inputs-Proposals'!$L$26))*(VLOOKUP(CD$3,DRIPE!$A$54:$I$82,5,FALSE)+VLOOKUP(CD$3,DRIPE!$A$54:$I$82,12,FALSE))+ ('Inputs-System'!$C$26*'Coincidence Factors'!$B$7*(1+'Inputs-System'!$C$18)*(1+'Inputs-System'!$C$42))*'Inputs-Proposals'!$L$22*VLOOKUP(CD$3,DRIPE!$A$54:$I$82,8,FALSE), $C61= "3", ( 'Inputs-System'!$C$30*'Coincidence Factors'!$B$7*(1+'Inputs-System'!$C$18)*(1+'Inputs-System'!$C$41))*('Inputs-Proposals'!$L$29*'Inputs-Proposals'!$L$31*('Inputs-Proposals'!$L$32))*(VLOOKUP(CD$3,DRIPE!$A$54:$I$82,5,FALSE)+VLOOKUP(CD$3,DRIPE!$A$54:$I$82,12,FALSE))+ ('Inputs-System'!$C$26*'Coincidence Factors'!$B$7*(1+'Inputs-System'!$C$18)*(1+'Inputs-System'!$C$42))*'Inputs-Proposals'!$L$28*VLOOKUP(CD$3,DRIPE!$A$54:$I$82,8,FALSE), $C61 = "0", 0), 0)</f>
        <v>0</v>
      </c>
      <c r="CG61" s="45">
        <f>IFERROR(_xlfn.IFS($C61="1",('Inputs-System'!$C$26*'Coincidence Factors'!$B$7*(1+'Inputs-System'!$C$18))*'Inputs-Proposals'!$L$16*(VLOOKUP(CD$3,Capacity!$A$53:$E$85,4,FALSE)*(1+'Inputs-System'!$C$42)+VLOOKUP(CD$3,Capacity!$A$53:$E$85,5,FALSE)*'Inputs-System'!$C$29*(1+'Inputs-System'!$C$43)), $C61 = "2", ('Inputs-System'!$C$26*'Coincidence Factors'!$B$7*(1+'Inputs-System'!$C$18))*'Inputs-Proposals'!$L$22*(VLOOKUP(CD$3,Capacity!$A$53:$E$85,4,FALSE)*(1+'Inputs-System'!$C$42)+VLOOKUP(CD$3,Capacity!$A$53:$E$85,5,FALSE)*'Inputs-System'!$C$29*(1+'Inputs-System'!$C$43)), $C61 = "3",('Inputs-System'!$C$26*'Coincidence Factors'!$B$7*(1+'Inputs-System'!$C$18))*'Inputs-Proposals'!$L$28*(VLOOKUP(CD$3,Capacity!$A$53:$E$85,4,FALSE)*(1+'Inputs-System'!$C$42)+VLOOKUP(CD$3,Capacity!$A$53:$E$85,5,FALSE)*'Inputs-System'!$C$29*(1+'Inputs-System'!$C$43)), $C61 = "0", 0), 0)</f>
        <v>0</v>
      </c>
      <c r="CH61" s="44">
        <v>0</v>
      </c>
      <c r="CI61" s="342">
        <f>IFERROR(_xlfn.IFS($C61="1", 'Inputs-System'!$C$30*'Coincidence Factors'!$B$7*'Inputs-Proposals'!$L$17*'Inputs-Proposals'!$L$19*(VLOOKUP(CD$3,'Non-Embedded Emissions'!$A$56:$D$90,2,FALSE)+VLOOKUP(CD$3,'Non-Embedded Emissions'!$A$143:$D$174,2,FALSE)+VLOOKUP(CD$3,'Non-Embedded Emissions'!$A$230:$D$259,2,FALSE)), $C61 = "2", 'Inputs-System'!$C$30*'Coincidence Factors'!$B$7*'Inputs-Proposals'!$L$23*'Inputs-Proposals'!$L$25*(VLOOKUP(CD$3,'Non-Embedded Emissions'!$A$56:$D$90,2,FALSE)+VLOOKUP(CD$3,'Non-Embedded Emissions'!$A$143:$D$174,2,FALSE)+VLOOKUP(CD$3,'Non-Embedded Emissions'!$A$230:$D$259,2,FALSE)), $C61 = "3", 'Inputs-System'!$C$30*'Coincidence Factors'!$B$7*'Inputs-Proposals'!$L$29*'Inputs-Proposals'!$L$31*(VLOOKUP(CD$3,'Non-Embedded Emissions'!$A$56:$D$90,2,FALSE)+VLOOKUP(CD$3,'Non-Embedded Emissions'!$A$143:$D$174,2,FALSE)+VLOOKUP(CD$3,'Non-Embedded Emissions'!$A$230:$D$259,2,FALSE)), $C61 = "0", 0), 0)</f>
        <v>0</v>
      </c>
      <c r="CJ61" s="347">
        <f>IFERROR(_xlfn.IFS($C61="1",('Inputs-System'!$C$30*'Coincidence Factors'!$B$7*(1+'Inputs-System'!$C$18)*(1+'Inputs-System'!$C$41)*('Inputs-Proposals'!$L$17*'Inputs-Proposals'!$L$19*('Inputs-Proposals'!$L$20))*(VLOOKUP(CJ$3,Energy!$A$51:$K$83,5,FALSE))), $C61 = "2",('Inputs-System'!$C$30*'Coincidence Factors'!$B$7)*(1+'Inputs-System'!$C$18)*(1+'Inputs-System'!$C$41)*('Inputs-Proposals'!$L$23*'Inputs-Proposals'!$L$25*('Inputs-Proposals'!$L$26))*(VLOOKUP(CJ$3,Energy!$A$51:$K$83,5,FALSE)), $C61= "3", ('Inputs-System'!$C$30*'Coincidence Factors'!$B$7*(1+'Inputs-System'!$C$18)*(1+'Inputs-System'!$C$41)*('Inputs-Proposals'!$L$29*'Inputs-Proposals'!$L$31*('Inputs-Proposals'!$L$32))*(VLOOKUP(CJ$3,Energy!$A$51:$K$83,5,FALSE))), $C61= "0", 0), 0)</f>
        <v>0</v>
      </c>
      <c r="CK61" s="44">
        <f>IFERROR(_xlfn.IFS($C61="1",'Inputs-System'!$C$30*'Coincidence Factors'!$B$7*(1+'Inputs-System'!$C$18)*(1+'Inputs-System'!$C$41)*'Inputs-Proposals'!$L$17*'Inputs-Proposals'!$L$19*('Inputs-Proposals'!$L$20)*(VLOOKUP(CJ$3,'Embedded Emissions'!$A$47:$B$78,2,FALSE)+VLOOKUP(CJ$3,'Embedded Emissions'!$A$129:$B$158,2,FALSE)), $C61 = "2",'Inputs-System'!$C$30*'Coincidence Factors'!$B$7*(1+'Inputs-System'!$C$18)*(1+'Inputs-System'!$C$41)*'Inputs-Proposals'!$L$23*'Inputs-Proposals'!$L$25*('Inputs-Proposals'!$L$20)*(VLOOKUP(CJ$3,'Embedded Emissions'!$A$47:$B$78,2,FALSE)+VLOOKUP(CJ$3,'Embedded Emissions'!$A$129:$B$158,2,FALSE)), $C61 = "3", 'Inputs-System'!$C$30*'Coincidence Factors'!$B$7*(1+'Inputs-System'!$C$18)*(1+'Inputs-System'!$C$41)*'Inputs-Proposals'!$L$29*'Inputs-Proposals'!$L$31*('Inputs-Proposals'!$L$20)*(VLOOKUP(CJ$3,'Embedded Emissions'!$A$47:$B$78,2,FALSE)+VLOOKUP(CJ$3,'Embedded Emissions'!$A$129:$B$158,2,FALSE)), $C61 = "0", 0), 0)</f>
        <v>0</v>
      </c>
      <c r="CL61" s="44">
        <f>IFERROR(_xlfn.IFS($C61="1",( 'Inputs-System'!$C$30*'Coincidence Factors'!$B$7*(1+'Inputs-System'!$C$18)*(1+'Inputs-System'!$C$41))*('Inputs-Proposals'!$L$17*'Inputs-Proposals'!$L$19*('Inputs-Proposals'!$L$20))*(VLOOKUP(CJ$3,DRIPE!$A$54:$I$82,5,FALSE)+VLOOKUP(CJ$3,DRIPE!$A$54:$I$82,9,FALSE))+ ('Inputs-System'!$C$26*'Coincidence Factors'!$B$7*(1+'Inputs-System'!$C$18)*(1+'Inputs-System'!$C$42))*'Inputs-Proposals'!$L$16*VLOOKUP(CJ$3,DRIPE!$A$54:$I$82,8,FALSE), $C61 = "2",( 'Inputs-System'!$C$30*'Coincidence Factors'!$B$7*(1+'Inputs-System'!$C$18)*(1+'Inputs-System'!$C$41))*('Inputs-Proposals'!$L$23*'Inputs-Proposals'!$L$25*('Inputs-Proposals'!$L$26))*(VLOOKUP(CJ$3,DRIPE!$A$54:$I$82,5,FALSE)+VLOOKUP(CJ$3,DRIPE!$A$54:$I$82,12,FALSE))+ ('Inputs-System'!$C$26*'Coincidence Factors'!$B$7*(1+'Inputs-System'!$C$18)*(1+'Inputs-System'!$C$42))*'Inputs-Proposals'!$L$22*VLOOKUP(CJ$3,DRIPE!$A$54:$I$82,8,FALSE), $C61= "3", ( 'Inputs-System'!$C$30*'Coincidence Factors'!$B$7*(1+'Inputs-System'!$C$18)*(1+'Inputs-System'!$C$41))*('Inputs-Proposals'!$L$29*'Inputs-Proposals'!$L$31*('Inputs-Proposals'!$L$32))*(VLOOKUP(CJ$3,DRIPE!$A$54:$I$82,5,FALSE)+VLOOKUP(CJ$3,DRIPE!$A$54:$I$82,12,FALSE))+ ('Inputs-System'!$C$26*'Coincidence Factors'!$B$7*(1+'Inputs-System'!$C$18)*(1+'Inputs-System'!$C$42))*'Inputs-Proposals'!$L$28*VLOOKUP(CJ$3,DRIPE!$A$54:$I$82,8,FALSE), $C61 = "0", 0), 0)</f>
        <v>0</v>
      </c>
      <c r="CM61" s="45">
        <f>IFERROR(_xlfn.IFS($C61="1",('Inputs-System'!$C$26*'Coincidence Factors'!$B$7*(1+'Inputs-System'!$C$18))*'Inputs-Proposals'!$L$16*(VLOOKUP(CJ$3,Capacity!$A$53:$E$85,4,FALSE)*(1+'Inputs-System'!$C$42)+VLOOKUP(CJ$3,Capacity!$A$53:$E$85,5,FALSE)*'Inputs-System'!$C$29*(1+'Inputs-System'!$C$43)), $C61 = "2", ('Inputs-System'!$C$26*'Coincidence Factors'!$B$7*(1+'Inputs-System'!$C$18))*'Inputs-Proposals'!$L$22*(VLOOKUP(CJ$3,Capacity!$A$53:$E$85,4,FALSE)*(1+'Inputs-System'!$C$42)+VLOOKUP(CJ$3,Capacity!$A$53:$E$85,5,FALSE)*'Inputs-System'!$C$29*(1+'Inputs-System'!$C$43)), $C61 = "3",('Inputs-System'!$C$26*'Coincidence Factors'!$B$7*(1+'Inputs-System'!$C$18))*'Inputs-Proposals'!$L$28*(VLOOKUP(CJ$3,Capacity!$A$53:$E$85,4,FALSE)*(1+'Inputs-System'!$C$42)+VLOOKUP(CJ$3,Capacity!$A$53:$E$85,5,FALSE)*'Inputs-System'!$C$29*(1+'Inputs-System'!$C$43)), $C61 = "0", 0), 0)</f>
        <v>0</v>
      </c>
      <c r="CN61" s="44">
        <v>0</v>
      </c>
      <c r="CO61" s="342">
        <f>IFERROR(_xlfn.IFS($C61="1", 'Inputs-System'!$C$30*'Coincidence Factors'!$B$7*'Inputs-Proposals'!$L$17*'Inputs-Proposals'!$L$19*(VLOOKUP(CJ$3,'Non-Embedded Emissions'!$A$56:$D$90,2,FALSE)+VLOOKUP(CJ$3,'Non-Embedded Emissions'!$A$143:$D$174,2,FALSE)+VLOOKUP(CJ$3,'Non-Embedded Emissions'!$A$230:$D$259,2,FALSE)), $C61 = "2", 'Inputs-System'!$C$30*'Coincidence Factors'!$B$7*'Inputs-Proposals'!$L$23*'Inputs-Proposals'!$L$25*(VLOOKUP(CJ$3,'Non-Embedded Emissions'!$A$56:$D$90,2,FALSE)+VLOOKUP(CJ$3,'Non-Embedded Emissions'!$A$143:$D$174,2,FALSE)+VLOOKUP(CJ$3,'Non-Embedded Emissions'!$A$230:$D$259,2,FALSE)), $C61 = "3", 'Inputs-System'!$C$30*'Coincidence Factors'!$B$7*'Inputs-Proposals'!$L$29*'Inputs-Proposals'!$L$31*(VLOOKUP(CJ$3,'Non-Embedded Emissions'!$A$56:$D$90,2,FALSE)+VLOOKUP(CJ$3,'Non-Embedded Emissions'!$A$143:$D$174,2,FALSE)+VLOOKUP(CJ$3,'Non-Embedded Emissions'!$A$230:$D$259,2,FALSE)), $C61 = "0", 0), 0)</f>
        <v>0</v>
      </c>
      <c r="CP61" s="347">
        <f>IFERROR(_xlfn.IFS($C61="1",('Inputs-System'!$C$30*'Coincidence Factors'!$B$7*(1+'Inputs-System'!$C$18)*(1+'Inputs-System'!$C$41)*('Inputs-Proposals'!$L$17*'Inputs-Proposals'!$L$19*('Inputs-Proposals'!$L$20))*(VLOOKUP(CP$3,Energy!$A$51:$K$83,5,FALSE))), $C61 = "2",('Inputs-System'!$C$30*'Coincidence Factors'!$B$7)*(1+'Inputs-System'!$C$18)*(1+'Inputs-System'!$C$41)*('Inputs-Proposals'!$L$23*'Inputs-Proposals'!$L$25*('Inputs-Proposals'!$L$26))*(VLOOKUP(CP$3,Energy!$A$51:$K$83,5,FALSE)), $C61= "3", ('Inputs-System'!$C$30*'Coincidence Factors'!$B$7*(1+'Inputs-System'!$C$18)*(1+'Inputs-System'!$C$41)*('Inputs-Proposals'!$L$29*'Inputs-Proposals'!$L$31*('Inputs-Proposals'!$L$32))*(VLOOKUP(CP$3,Energy!$A$51:$K$83,5,FALSE))), $C61= "0", 0), 0)</f>
        <v>0</v>
      </c>
      <c r="CQ61" s="44">
        <f>IFERROR(_xlfn.IFS($C61="1",'Inputs-System'!$C$30*'Coincidence Factors'!$B$7*(1+'Inputs-System'!$C$18)*(1+'Inputs-System'!$C$41)*'Inputs-Proposals'!$L$17*'Inputs-Proposals'!$L$19*('Inputs-Proposals'!$L$20)*(VLOOKUP(CP$3,'Embedded Emissions'!$A$47:$B$78,2,FALSE)+VLOOKUP(CP$3,'Embedded Emissions'!$A$129:$B$158,2,FALSE)), $C61 = "2",'Inputs-System'!$C$30*'Coincidence Factors'!$B$7*(1+'Inputs-System'!$C$18)*(1+'Inputs-System'!$C$41)*'Inputs-Proposals'!$L$23*'Inputs-Proposals'!$L$25*('Inputs-Proposals'!$L$20)*(VLOOKUP(CP$3,'Embedded Emissions'!$A$47:$B$78,2,FALSE)+VLOOKUP(CP$3,'Embedded Emissions'!$A$129:$B$158,2,FALSE)), $C61 = "3", 'Inputs-System'!$C$30*'Coincidence Factors'!$B$7*(1+'Inputs-System'!$C$18)*(1+'Inputs-System'!$C$41)*'Inputs-Proposals'!$L$29*'Inputs-Proposals'!$L$31*('Inputs-Proposals'!$L$20)*(VLOOKUP(CP$3,'Embedded Emissions'!$A$47:$B$78,2,FALSE)+VLOOKUP(CP$3,'Embedded Emissions'!$A$129:$B$158,2,FALSE)), $C61 = "0", 0), 0)</f>
        <v>0</v>
      </c>
      <c r="CR61" s="44">
        <f>IFERROR(_xlfn.IFS($C61="1",( 'Inputs-System'!$C$30*'Coincidence Factors'!$B$7*(1+'Inputs-System'!$C$18)*(1+'Inputs-System'!$C$41))*('Inputs-Proposals'!$L$17*'Inputs-Proposals'!$L$19*('Inputs-Proposals'!$L$20))*(VLOOKUP(CP$3,DRIPE!$A$54:$I$82,5,FALSE)+VLOOKUP(CP$3,DRIPE!$A$54:$I$82,9,FALSE))+ ('Inputs-System'!$C$26*'Coincidence Factors'!$B$7*(1+'Inputs-System'!$C$18)*(1+'Inputs-System'!$C$42))*'Inputs-Proposals'!$L$16*VLOOKUP(CP$3,DRIPE!$A$54:$I$82,8,FALSE), $C61 = "2",( 'Inputs-System'!$C$30*'Coincidence Factors'!$B$7*(1+'Inputs-System'!$C$18)*(1+'Inputs-System'!$C$41))*('Inputs-Proposals'!$L$23*'Inputs-Proposals'!$L$25*('Inputs-Proposals'!$L$26))*(VLOOKUP(CP$3,DRIPE!$A$54:$I$82,5,FALSE)+VLOOKUP(CP$3,DRIPE!$A$54:$I$82,12,FALSE))+ ('Inputs-System'!$C$26*'Coincidence Factors'!$B$7*(1+'Inputs-System'!$C$18)*(1+'Inputs-System'!$C$42))*'Inputs-Proposals'!$L$22*VLOOKUP(CP$3,DRIPE!$A$54:$I$82,8,FALSE), $C61= "3", ( 'Inputs-System'!$C$30*'Coincidence Factors'!$B$7*(1+'Inputs-System'!$C$18)*(1+'Inputs-System'!$C$41))*('Inputs-Proposals'!$L$29*'Inputs-Proposals'!$L$31*('Inputs-Proposals'!$L$32))*(VLOOKUP(CP$3,DRIPE!$A$54:$I$82,5,FALSE)+VLOOKUP(CP$3,DRIPE!$A$54:$I$82,12,FALSE))+ ('Inputs-System'!$C$26*'Coincidence Factors'!$B$7*(1+'Inputs-System'!$C$18)*(1+'Inputs-System'!$C$42))*'Inputs-Proposals'!$L$28*VLOOKUP(CP$3,DRIPE!$A$54:$I$82,8,FALSE), $C61 = "0", 0), 0)</f>
        <v>0</v>
      </c>
      <c r="CS61" s="45">
        <f>IFERROR(_xlfn.IFS($C61="1",('Inputs-System'!$C$26*'Coincidence Factors'!$B$7*(1+'Inputs-System'!$C$18))*'Inputs-Proposals'!$L$16*(VLOOKUP(CP$3,Capacity!$A$53:$E$85,4,FALSE)*(1+'Inputs-System'!$C$42)+VLOOKUP(CP$3,Capacity!$A$53:$E$85,5,FALSE)*'Inputs-System'!$C$29*(1+'Inputs-System'!$C$43)), $C61 = "2", ('Inputs-System'!$C$26*'Coincidence Factors'!$B$7*(1+'Inputs-System'!$C$18))*'Inputs-Proposals'!$L$22*(VLOOKUP(CP$3,Capacity!$A$53:$E$85,4,FALSE)*(1+'Inputs-System'!$C$42)+VLOOKUP(CP$3,Capacity!$A$53:$E$85,5,FALSE)*'Inputs-System'!$C$29*(1+'Inputs-System'!$C$43)), $C61 = "3",('Inputs-System'!$C$26*'Coincidence Factors'!$B$7*(1+'Inputs-System'!$C$18))*'Inputs-Proposals'!$L$28*(VLOOKUP(CP$3,Capacity!$A$53:$E$85,4,FALSE)*(1+'Inputs-System'!$C$42)+VLOOKUP(CP$3,Capacity!$A$53:$E$85,5,FALSE)*'Inputs-System'!$C$29*(1+'Inputs-System'!$C$43)), $C61 = "0", 0), 0)</f>
        <v>0</v>
      </c>
      <c r="CT61" s="44">
        <v>0</v>
      </c>
      <c r="CU61" s="342">
        <f>IFERROR(_xlfn.IFS($C61="1", 'Inputs-System'!$C$30*'Coincidence Factors'!$B$7*'Inputs-Proposals'!$L$17*'Inputs-Proposals'!$L$19*(VLOOKUP(CP$3,'Non-Embedded Emissions'!$A$56:$D$90,2,FALSE)+VLOOKUP(CP$3,'Non-Embedded Emissions'!$A$143:$D$174,2,FALSE)+VLOOKUP(CP$3,'Non-Embedded Emissions'!$A$230:$D$259,2,FALSE)), $C61 = "2", 'Inputs-System'!$C$30*'Coincidence Factors'!$B$7*'Inputs-Proposals'!$L$23*'Inputs-Proposals'!$L$25*(VLOOKUP(CP$3,'Non-Embedded Emissions'!$A$56:$D$90,2,FALSE)+VLOOKUP(CP$3,'Non-Embedded Emissions'!$A$143:$D$174,2,FALSE)+VLOOKUP(CP$3,'Non-Embedded Emissions'!$A$230:$D$259,2,FALSE)), $C61 = "3", 'Inputs-System'!$C$30*'Coincidence Factors'!$B$7*'Inputs-Proposals'!$L$29*'Inputs-Proposals'!$L$31*(VLOOKUP(CP$3,'Non-Embedded Emissions'!$A$56:$D$90,2,FALSE)+VLOOKUP(CP$3,'Non-Embedded Emissions'!$A$143:$D$174,2,FALSE)+VLOOKUP(CP$3,'Non-Embedded Emissions'!$A$230:$D$259,2,FALSE)), $C61 = "0", 0), 0)</f>
        <v>0</v>
      </c>
      <c r="CV61" s="347">
        <f>IFERROR(_xlfn.IFS($C61="1",('Inputs-System'!$C$30*'Coincidence Factors'!$B$7*(1+'Inputs-System'!$C$18)*(1+'Inputs-System'!$C$41)*('Inputs-Proposals'!$L$17*'Inputs-Proposals'!$L$19*('Inputs-Proposals'!$L$20))*(VLOOKUP(CV$3,Energy!$A$51:$K$83,5,FALSE))), $C61 = "2",('Inputs-System'!$C$30*'Coincidence Factors'!$B$7)*(1+'Inputs-System'!$C$18)*(1+'Inputs-System'!$C$41)*('Inputs-Proposals'!$L$23*'Inputs-Proposals'!$L$25*('Inputs-Proposals'!$L$26))*(VLOOKUP(CV$3,Energy!$A$51:$K$83,5,FALSE)), $C61= "3", ('Inputs-System'!$C$30*'Coincidence Factors'!$B$7*(1+'Inputs-System'!$C$18)*(1+'Inputs-System'!$C$41)*('Inputs-Proposals'!$L$29*'Inputs-Proposals'!$L$31*('Inputs-Proposals'!$L$32))*(VLOOKUP(CV$3,Energy!$A$51:$K$83,5,FALSE))), $C61= "0", 0), 0)</f>
        <v>0</v>
      </c>
      <c r="CW61" s="44">
        <f>IFERROR(_xlfn.IFS($C61="1",'Inputs-System'!$C$30*'Coincidence Factors'!$B$7*(1+'Inputs-System'!$C$18)*(1+'Inputs-System'!$C$41)*'Inputs-Proposals'!$L$17*'Inputs-Proposals'!$L$19*('Inputs-Proposals'!$L$20)*(VLOOKUP(CV$3,'Embedded Emissions'!$A$47:$B$78,2,FALSE)+VLOOKUP(CV$3,'Embedded Emissions'!$A$129:$B$158,2,FALSE)), $C61 = "2",'Inputs-System'!$C$30*'Coincidence Factors'!$B$7*(1+'Inputs-System'!$C$18)*(1+'Inputs-System'!$C$41)*'Inputs-Proposals'!$L$23*'Inputs-Proposals'!$L$25*('Inputs-Proposals'!$L$20)*(VLOOKUP(CV$3,'Embedded Emissions'!$A$47:$B$78,2,FALSE)+VLOOKUP(CV$3,'Embedded Emissions'!$A$129:$B$158,2,FALSE)), $C61 = "3", 'Inputs-System'!$C$30*'Coincidence Factors'!$B$7*(1+'Inputs-System'!$C$18)*(1+'Inputs-System'!$C$41)*'Inputs-Proposals'!$L$29*'Inputs-Proposals'!$L$31*('Inputs-Proposals'!$L$20)*(VLOOKUP(CV$3,'Embedded Emissions'!$A$47:$B$78,2,FALSE)+VLOOKUP(CV$3,'Embedded Emissions'!$A$129:$B$158,2,FALSE)), $C61 = "0", 0), 0)</f>
        <v>0</v>
      </c>
      <c r="CX61" s="44">
        <f>IFERROR(_xlfn.IFS($C61="1",( 'Inputs-System'!$C$30*'Coincidence Factors'!$B$7*(1+'Inputs-System'!$C$18)*(1+'Inputs-System'!$C$41))*('Inputs-Proposals'!$L$17*'Inputs-Proposals'!$L$19*('Inputs-Proposals'!$L$20))*(VLOOKUP(CV$3,DRIPE!$A$54:$I$82,5,FALSE)+VLOOKUP(CV$3,DRIPE!$A$54:$I$82,9,FALSE))+ ('Inputs-System'!$C$26*'Coincidence Factors'!$B$7*(1+'Inputs-System'!$C$18)*(1+'Inputs-System'!$C$42))*'Inputs-Proposals'!$L$16*VLOOKUP(CV$3,DRIPE!$A$54:$I$82,8,FALSE), $C61 = "2",( 'Inputs-System'!$C$30*'Coincidence Factors'!$B$7*(1+'Inputs-System'!$C$18)*(1+'Inputs-System'!$C$41))*('Inputs-Proposals'!$L$23*'Inputs-Proposals'!$L$25*('Inputs-Proposals'!$L$26))*(VLOOKUP(CV$3,DRIPE!$A$54:$I$82,5,FALSE)+VLOOKUP(CV$3,DRIPE!$A$54:$I$82,12,FALSE))+ ('Inputs-System'!$C$26*'Coincidence Factors'!$B$7*(1+'Inputs-System'!$C$18)*(1+'Inputs-System'!$C$42))*'Inputs-Proposals'!$L$22*VLOOKUP(CV$3,DRIPE!$A$54:$I$82,8,FALSE), $C61= "3", ( 'Inputs-System'!$C$30*'Coincidence Factors'!$B$7*(1+'Inputs-System'!$C$18)*(1+'Inputs-System'!$C$41))*('Inputs-Proposals'!$L$29*'Inputs-Proposals'!$L$31*('Inputs-Proposals'!$L$32))*(VLOOKUP(CV$3,DRIPE!$A$54:$I$82,5,FALSE)+VLOOKUP(CV$3,DRIPE!$A$54:$I$82,12,FALSE))+ ('Inputs-System'!$C$26*'Coincidence Factors'!$B$7*(1+'Inputs-System'!$C$18)*(1+'Inputs-System'!$C$42))*'Inputs-Proposals'!$L$28*VLOOKUP(CV$3,DRIPE!$A$54:$I$82,8,FALSE), $C61 = "0", 0), 0)</f>
        <v>0</v>
      </c>
      <c r="CY61" s="45">
        <f>IFERROR(_xlfn.IFS($C61="1",('Inputs-System'!$C$26*'Coincidence Factors'!$B$7*(1+'Inputs-System'!$C$18))*'Inputs-Proposals'!$L$16*(VLOOKUP(CV$3,Capacity!$A$53:$E$85,4,FALSE)*(1+'Inputs-System'!$C$42)+VLOOKUP(CV$3,Capacity!$A$53:$E$85,5,FALSE)*'Inputs-System'!$C$29*(1+'Inputs-System'!$C$43)), $C61 = "2", ('Inputs-System'!$C$26*'Coincidence Factors'!$B$7*(1+'Inputs-System'!$C$18))*'Inputs-Proposals'!$L$22*(VLOOKUP(CV$3,Capacity!$A$53:$E$85,4,FALSE)*(1+'Inputs-System'!$C$42)+VLOOKUP(CV$3,Capacity!$A$53:$E$85,5,FALSE)*'Inputs-System'!$C$29*(1+'Inputs-System'!$C$43)), $C61 = "3",('Inputs-System'!$C$26*'Coincidence Factors'!$B$7*(1+'Inputs-System'!$C$18))*'Inputs-Proposals'!$L$28*(VLOOKUP(CV$3,Capacity!$A$53:$E$85,4,FALSE)*(1+'Inputs-System'!$C$42)+VLOOKUP(CV$3,Capacity!$A$53:$E$85,5,FALSE)*'Inputs-System'!$C$29*(1+'Inputs-System'!$C$43)), $C61 = "0", 0), 0)</f>
        <v>0</v>
      </c>
      <c r="CZ61" s="44">
        <v>0</v>
      </c>
      <c r="DA61" s="342">
        <f>IFERROR(_xlfn.IFS($C61="1", 'Inputs-System'!$C$30*'Coincidence Factors'!$B$7*'Inputs-Proposals'!$L$17*'Inputs-Proposals'!$L$19*(VLOOKUP(CV$3,'Non-Embedded Emissions'!$A$56:$D$90,2,FALSE)+VLOOKUP(CV$3,'Non-Embedded Emissions'!$A$143:$D$174,2,FALSE)+VLOOKUP(CV$3,'Non-Embedded Emissions'!$A$230:$D$259,2,FALSE)), $C61 = "2", 'Inputs-System'!$C$30*'Coincidence Factors'!$B$7*'Inputs-Proposals'!$L$23*'Inputs-Proposals'!$L$25*(VLOOKUP(CV$3,'Non-Embedded Emissions'!$A$56:$D$90,2,FALSE)+VLOOKUP(CV$3,'Non-Embedded Emissions'!$A$143:$D$174,2,FALSE)+VLOOKUP(CV$3,'Non-Embedded Emissions'!$A$230:$D$259,2,FALSE)), $C61 = "3", 'Inputs-System'!$C$30*'Coincidence Factors'!$B$7*'Inputs-Proposals'!$L$29*'Inputs-Proposals'!$L$31*(VLOOKUP(CV$3,'Non-Embedded Emissions'!$A$56:$D$90,2,FALSE)+VLOOKUP(CV$3,'Non-Embedded Emissions'!$A$143:$D$174,2,FALSE)+VLOOKUP(CV$3,'Non-Embedded Emissions'!$A$230:$D$259,2,FALSE)), $C61 = "0", 0), 0)</f>
        <v>0</v>
      </c>
      <c r="DB61" s="347">
        <f>IFERROR(_xlfn.IFS($C61="1",('Inputs-System'!$C$30*'Coincidence Factors'!$B$7*(1+'Inputs-System'!$C$18)*(1+'Inputs-System'!$C$41)*('Inputs-Proposals'!$L$17*'Inputs-Proposals'!$L$19*('Inputs-Proposals'!$L$20))*(VLOOKUP(DB$3,Energy!$A$51:$K$83,5,FALSE))), $C61 = "2",('Inputs-System'!$C$30*'Coincidence Factors'!$B$7)*(1+'Inputs-System'!$C$18)*(1+'Inputs-System'!$C$41)*('Inputs-Proposals'!$L$23*'Inputs-Proposals'!$L$25*('Inputs-Proposals'!$L$26))*(VLOOKUP(DB$3,Energy!$A$51:$K$83,5,FALSE)), $C61= "3", ('Inputs-System'!$C$30*'Coincidence Factors'!$B$7*(1+'Inputs-System'!$C$18)*(1+'Inputs-System'!$C$41)*('Inputs-Proposals'!$L$29*'Inputs-Proposals'!$L$31*('Inputs-Proposals'!$L$32))*(VLOOKUP(DB$3,Energy!$A$51:$K$83,5,FALSE))), $C61= "0", 0), 0)</f>
        <v>0</v>
      </c>
      <c r="DC61" s="44">
        <f>IFERROR(_xlfn.IFS($C61="1",'Inputs-System'!$C$30*'Coincidence Factors'!$B$7*(1+'Inputs-System'!$C$18)*(1+'Inputs-System'!$C$41)*'Inputs-Proposals'!$L$17*'Inputs-Proposals'!$L$19*('Inputs-Proposals'!$L$20)*(VLOOKUP(DB$3,'Embedded Emissions'!$A$47:$B$78,2,FALSE)+VLOOKUP(DB$3,'Embedded Emissions'!$A$129:$B$158,2,FALSE)), $C61 = "2",'Inputs-System'!$C$30*'Coincidence Factors'!$B$7*(1+'Inputs-System'!$C$18)*(1+'Inputs-System'!$C$41)*'Inputs-Proposals'!$L$23*'Inputs-Proposals'!$L$25*('Inputs-Proposals'!$L$20)*(VLOOKUP(DB$3,'Embedded Emissions'!$A$47:$B$78,2,FALSE)+VLOOKUP(DB$3,'Embedded Emissions'!$A$129:$B$158,2,FALSE)), $C61 = "3", 'Inputs-System'!$C$30*'Coincidence Factors'!$B$7*(1+'Inputs-System'!$C$18)*(1+'Inputs-System'!$C$41)*'Inputs-Proposals'!$L$29*'Inputs-Proposals'!$L$31*('Inputs-Proposals'!$L$20)*(VLOOKUP(DB$3,'Embedded Emissions'!$A$47:$B$78,2,FALSE)+VLOOKUP(DB$3,'Embedded Emissions'!$A$129:$B$158,2,FALSE)), $C61 = "0", 0), 0)</f>
        <v>0</v>
      </c>
      <c r="DD61" s="44">
        <f>IFERROR(_xlfn.IFS($C61="1",( 'Inputs-System'!$C$30*'Coincidence Factors'!$B$7*(1+'Inputs-System'!$C$18)*(1+'Inputs-System'!$C$41))*('Inputs-Proposals'!$L$17*'Inputs-Proposals'!$L$19*('Inputs-Proposals'!$L$20))*(VLOOKUP(DB$3,DRIPE!$A$54:$I$82,5,FALSE)+VLOOKUP(DB$3,DRIPE!$A$54:$I$82,9,FALSE))+ ('Inputs-System'!$C$26*'Coincidence Factors'!$B$7*(1+'Inputs-System'!$C$18)*(1+'Inputs-System'!$C$42))*'Inputs-Proposals'!$L$16*VLOOKUP(DB$3,DRIPE!$A$54:$I$82,8,FALSE), $C61 = "2",( 'Inputs-System'!$C$30*'Coincidence Factors'!$B$7*(1+'Inputs-System'!$C$18)*(1+'Inputs-System'!$C$41))*('Inputs-Proposals'!$L$23*'Inputs-Proposals'!$L$25*('Inputs-Proposals'!$L$26))*(VLOOKUP(DB$3,DRIPE!$A$54:$I$82,5,FALSE)+VLOOKUP(DB$3,DRIPE!$A$54:$I$82,12,FALSE))+ ('Inputs-System'!$C$26*'Coincidence Factors'!$B$7*(1+'Inputs-System'!$C$18)*(1+'Inputs-System'!$C$42))*'Inputs-Proposals'!$L$22*VLOOKUP(DB$3,DRIPE!$A$54:$I$82,8,FALSE), $C61= "3", ( 'Inputs-System'!$C$30*'Coincidence Factors'!$B$7*(1+'Inputs-System'!$C$18)*(1+'Inputs-System'!$C$41))*('Inputs-Proposals'!$L$29*'Inputs-Proposals'!$L$31*('Inputs-Proposals'!$L$32))*(VLOOKUP(DB$3,DRIPE!$A$54:$I$82,5,FALSE)+VLOOKUP(DB$3,DRIPE!$A$54:$I$82,12,FALSE))+ ('Inputs-System'!$C$26*'Coincidence Factors'!$B$7*(1+'Inputs-System'!$C$18)*(1+'Inputs-System'!$C$42))*'Inputs-Proposals'!$L$28*VLOOKUP(DB$3,DRIPE!$A$54:$I$82,8,FALSE), $C61 = "0", 0), 0)</f>
        <v>0</v>
      </c>
      <c r="DE61" s="45">
        <f>IFERROR(_xlfn.IFS($C61="1",('Inputs-System'!$C$26*'Coincidence Factors'!$B$7*(1+'Inputs-System'!$C$18))*'Inputs-Proposals'!$L$16*(VLOOKUP(DB$3,Capacity!$A$53:$E$85,4,FALSE)*(1+'Inputs-System'!$C$42)+VLOOKUP(DB$3,Capacity!$A$53:$E$85,5,FALSE)*'Inputs-System'!$C$29*(1+'Inputs-System'!$C$43)), $C61 = "2", ('Inputs-System'!$C$26*'Coincidence Factors'!$B$7*(1+'Inputs-System'!$C$18))*'Inputs-Proposals'!$L$22*(VLOOKUP(DB$3,Capacity!$A$53:$E$85,4,FALSE)*(1+'Inputs-System'!$C$42)+VLOOKUP(DB$3,Capacity!$A$53:$E$85,5,FALSE)*'Inputs-System'!$C$29*(1+'Inputs-System'!$C$43)), $C61 = "3",('Inputs-System'!$C$26*'Coincidence Factors'!$B$7*(1+'Inputs-System'!$C$18))*'Inputs-Proposals'!$L$28*(VLOOKUP(DB$3,Capacity!$A$53:$E$85,4,FALSE)*(1+'Inputs-System'!$C$42)+VLOOKUP(DB$3,Capacity!$A$53:$E$85,5,FALSE)*'Inputs-System'!$C$29*(1+'Inputs-System'!$C$43)), $C61 = "0", 0), 0)</f>
        <v>0</v>
      </c>
      <c r="DF61" s="44">
        <v>0</v>
      </c>
      <c r="DG61" s="342">
        <f>IFERROR(_xlfn.IFS($C61="1", 'Inputs-System'!$C$30*'Coincidence Factors'!$B$7*'Inputs-Proposals'!$L$17*'Inputs-Proposals'!$L$19*(VLOOKUP(DB$3,'Non-Embedded Emissions'!$A$56:$D$90,2,FALSE)+VLOOKUP(DB$3,'Non-Embedded Emissions'!$A$143:$D$174,2,FALSE)+VLOOKUP(DB$3,'Non-Embedded Emissions'!$A$230:$D$259,2,FALSE)), $C61 = "2", 'Inputs-System'!$C$30*'Coincidence Factors'!$B$7*'Inputs-Proposals'!$L$23*'Inputs-Proposals'!$L$25*(VLOOKUP(DB$3,'Non-Embedded Emissions'!$A$56:$D$90,2,FALSE)+VLOOKUP(DB$3,'Non-Embedded Emissions'!$A$143:$D$174,2,FALSE)+VLOOKUP(DB$3,'Non-Embedded Emissions'!$A$230:$D$259,2,FALSE)), $C61 = "3", 'Inputs-System'!$C$30*'Coincidence Factors'!$B$7*'Inputs-Proposals'!$L$29*'Inputs-Proposals'!$L$31*(VLOOKUP(DB$3,'Non-Embedded Emissions'!$A$56:$D$90,2,FALSE)+VLOOKUP(DB$3,'Non-Embedded Emissions'!$A$143:$D$174,2,FALSE)+VLOOKUP(DB$3,'Non-Embedded Emissions'!$A$230:$D$259,2,FALSE)), $C61 = "0", 0), 0)</f>
        <v>0</v>
      </c>
      <c r="DH61" s="347">
        <f>IFERROR(_xlfn.IFS($C61="1",('Inputs-System'!$C$30*'Coincidence Factors'!$B$7*(1+'Inputs-System'!$C$18)*(1+'Inputs-System'!$C$41)*('Inputs-Proposals'!$L$17*'Inputs-Proposals'!$L$19*('Inputs-Proposals'!$L$20))*(VLOOKUP(DH$3,Energy!$A$51:$K$83,5,FALSE))), $C61 = "2",('Inputs-System'!$C$30*'Coincidence Factors'!$B$7)*(1+'Inputs-System'!$C$18)*(1+'Inputs-System'!$C$41)*('Inputs-Proposals'!$L$23*'Inputs-Proposals'!$L$25*('Inputs-Proposals'!$L$26))*(VLOOKUP(DH$3,Energy!$A$51:$K$83,5,FALSE)), $C61= "3", ('Inputs-System'!$C$30*'Coincidence Factors'!$B$7*(1+'Inputs-System'!$C$18)*(1+'Inputs-System'!$C$41)*('Inputs-Proposals'!$L$29*'Inputs-Proposals'!$L$31*('Inputs-Proposals'!$L$32))*(VLOOKUP(DH$3,Energy!$A$51:$K$83,5,FALSE))), $C61= "0", 0), 0)</f>
        <v>0</v>
      </c>
      <c r="DI61" s="44">
        <f>IFERROR(_xlfn.IFS($C61="1",'Inputs-System'!$C$30*'Coincidence Factors'!$B$7*(1+'Inputs-System'!$C$18)*(1+'Inputs-System'!$C$41)*'Inputs-Proposals'!$L$17*'Inputs-Proposals'!$L$19*('Inputs-Proposals'!$L$20)*(VLOOKUP(DH$3,'Embedded Emissions'!$A$47:$B$78,2,FALSE)+VLOOKUP(DH$3,'Embedded Emissions'!$A$129:$B$158,2,FALSE)), $C61 = "2",'Inputs-System'!$C$30*'Coincidence Factors'!$B$7*(1+'Inputs-System'!$C$18)*(1+'Inputs-System'!$C$41)*'Inputs-Proposals'!$L$23*'Inputs-Proposals'!$L$25*('Inputs-Proposals'!$L$20)*(VLOOKUP(DH$3,'Embedded Emissions'!$A$47:$B$78,2,FALSE)+VLOOKUP(DH$3,'Embedded Emissions'!$A$129:$B$158,2,FALSE)), $C61 = "3", 'Inputs-System'!$C$30*'Coincidence Factors'!$B$7*(1+'Inputs-System'!$C$18)*(1+'Inputs-System'!$C$41)*'Inputs-Proposals'!$L$29*'Inputs-Proposals'!$L$31*('Inputs-Proposals'!$L$20)*(VLOOKUP(DH$3,'Embedded Emissions'!$A$47:$B$78,2,FALSE)+VLOOKUP(DH$3,'Embedded Emissions'!$A$129:$B$158,2,FALSE)), $C61 = "0", 0), 0)</f>
        <v>0</v>
      </c>
      <c r="DJ61" s="44">
        <f>IFERROR(_xlfn.IFS($C61="1",( 'Inputs-System'!$C$30*'Coincidence Factors'!$B$7*(1+'Inputs-System'!$C$18)*(1+'Inputs-System'!$C$41))*('Inputs-Proposals'!$L$17*'Inputs-Proposals'!$L$19*('Inputs-Proposals'!$L$20))*(VLOOKUP(DH$3,DRIPE!$A$54:$I$82,5,FALSE)+VLOOKUP(DH$3,DRIPE!$A$54:$I$82,9,FALSE))+ ('Inputs-System'!$C$26*'Coincidence Factors'!$B$7*(1+'Inputs-System'!$C$18)*(1+'Inputs-System'!$C$42))*'Inputs-Proposals'!$L$16*VLOOKUP(DH$3,DRIPE!$A$54:$I$82,8,FALSE), $C61 = "2",( 'Inputs-System'!$C$30*'Coincidence Factors'!$B$7*(1+'Inputs-System'!$C$18)*(1+'Inputs-System'!$C$41))*('Inputs-Proposals'!$L$23*'Inputs-Proposals'!$L$25*('Inputs-Proposals'!$L$26))*(VLOOKUP(DH$3,DRIPE!$A$54:$I$82,5,FALSE)+VLOOKUP(DH$3,DRIPE!$A$54:$I$82,12,FALSE))+ ('Inputs-System'!$C$26*'Coincidence Factors'!$B$7*(1+'Inputs-System'!$C$18)*(1+'Inputs-System'!$C$42))*'Inputs-Proposals'!$L$22*VLOOKUP(DH$3,DRIPE!$A$54:$I$82,8,FALSE), $C61= "3", ( 'Inputs-System'!$C$30*'Coincidence Factors'!$B$7*(1+'Inputs-System'!$C$18)*(1+'Inputs-System'!$C$41))*('Inputs-Proposals'!$L$29*'Inputs-Proposals'!$L$31*('Inputs-Proposals'!$L$32))*(VLOOKUP(DH$3,DRIPE!$A$54:$I$82,5,FALSE)+VLOOKUP(DH$3,DRIPE!$A$54:$I$82,12,FALSE))+ ('Inputs-System'!$C$26*'Coincidence Factors'!$B$7*(1+'Inputs-System'!$C$18)*(1+'Inputs-System'!$C$42))*'Inputs-Proposals'!$L$28*VLOOKUP(DH$3,DRIPE!$A$54:$I$82,8,FALSE), $C61 = "0", 0), 0)</f>
        <v>0</v>
      </c>
      <c r="DK61" s="45">
        <f>IFERROR(_xlfn.IFS($C61="1",('Inputs-System'!$C$26*'Coincidence Factors'!$B$7*(1+'Inputs-System'!$C$18))*'Inputs-Proposals'!$L$16*(VLOOKUP(DH$3,Capacity!$A$53:$E$85,4,FALSE)*(1+'Inputs-System'!$C$42)+VLOOKUP(DH$3,Capacity!$A$53:$E$85,5,FALSE)*'Inputs-System'!$C$29*(1+'Inputs-System'!$C$43)), $C61 = "2", ('Inputs-System'!$C$26*'Coincidence Factors'!$B$7*(1+'Inputs-System'!$C$18))*'Inputs-Proposals'!$L$22*(VLOOKUP(DH$3,Capacity!$A$53:$E$85,4,FALSE)*(1+'Inputs-System'!$C$42)+VLOOKUP(DH$3,Capacity!$A$53:$E$85,5,FALSE)*'Inputs-System'!$C$29*(1+'Inputs-System'!$C$43)), $C61 = "3",('Inputs-System'!$C$26*'Coincidence Factors'!$B$7*(1+'Inputs-System'!$C$18))*'Inputs-Proposals'!$L$28*(VLOOKUP(DH$3,Capacity!$A$53:$E$85,4,FALSE)*(1+'Inputs-System'!$C$42)+VLOOKUP(DH$3,Capacity!$A$53:$E$85,5,FALSE)*'Inputs-System'!$C$29*(1+'Inputs-System'!$C$43)), $C61 = "0", 0), 0)</f>
        <v>0</v>
      </c>
      <c r="DL61" s="44">
        <v>0</v>
      </c>
      <c r="DM61" s="342">
        <f>IFERROR(_xlfn.IFS($C61="1", 'Inputs-System'!$C$30*'Coincidence Factors'!$B$7*'Inputs-Proposals'!$L$17*'Inputs-Proposals'!$L$19*(VLOOKUP(DH$3,'Non-Embedded Emissions'!$A$56:$D$90,2,FALSE)+VLOOKUP(DH$3,'Non-Embedded Emissions'!$A$143:$D$174,2,FALSE)+VLOOKUP(DH$3,'Non-Embedded Emissions'!$A$230:$D$259,2,FALSE)), $C61 = "2", 'Inputs-System'!$C$30*'Coincidence Factors'!$B$7*'Inputs-Proposals'!$L$23*'Inputs-Proposals'!$L$25*(VLOOKUP(DH$3,'Non-Embedded Emissions'!$A$56:$D$90,2,FALSE)+VLOOKUP(DH$3,'Non-Embedded Emissions'!$A$143:$D$174,2,FALSE)+VLOOKUP(DH$3,'Non-Embedded Emissions'!$A$230:$D$259,2,FALSE)), $C61 = "3", 'Inputs-System'!$C$30*'Coincidence Factors'!$B$7*'Inputs-Proposals'!$L$29*'Inputs-Proposals'!$L$31*(VLOOKUP(DH$3,'Non-Embedded Emissions'!$A$56:$D$90,2,FALSE)+VLOOKUP(DH$3,'Non-Embedded Emissions'!$A$143:$D$174,2,FALSE)+VLOOKUP(DH$3,'Non-Embedded Emissions'!$A$230:$D$259,2,FALSE)), $C61 = "0", 0), 0)</f>
        <v>0</v>
      </c>
      <c r="DN61" s="347">
        <f>IFERROR(_xlfn.IFS($C61="1",('Inputs-System'!$C$30*'Coincidence Factors'!$B$7*(1+'Inputs-System'!$C$18)*(1+'Inputs-System'!$C$41)*('Inputs-Proposals'!$L$17*'Inputs-Proposals'!$L$19*('Inputs-Proposals'!$L$20))*(VLOOKUP(DN$3,Energy!$A$51:$K$83,5,FALSE))), $C61 = "2",('Inputs-System'!$C$30*'Coincidence Factors'!$B$7)*(1+'Inputs-System'!$C$18)*(1+'Inputs-System'!$C$41)*('Inputs-Proposals'!$L$23*'Inputs-Proposals'!$L$25*('Inputs-Proposals'!$L$26))*(VLOOKUP(DN$3,Energy!$A$51:$K$83,5,FALSE)), $C61= "3", ('Inputs-System'!$C$30*'Coincidence Factors'!$B$7*(1+'Inputs-System'!$C$18)*(1+'Inputs-System'!$C$41)*('Inputs-Proposals'!$L$29*'Inputs-Proposals'!$L$31*('Inputs-Proposals'!$L$32))*(VLOOKUP(DN$3,Energy!$A$51:$K$83,5,FALSE))), $C61= "0", 0), 0)</f>
        <v>0</v>
      </c>
      <c r="DO61" s="44">
        <f>IFERROR(_xlfn.IFS($C61="1",'Inputs-System'!$C$30*'Coincidence Factors'!$B$7*(1+'Inputs-System'!$C$18)*(1+'Inputs-System'!$C$41)*'Inputs-Proposals'!$L$17*'Inputs-Proposals'!$L$19*('Inputs-Proposals'!$L$20)*(VLOOKUP(DN$3,'Embedded Emissions'!$A$47:$B$78,2,FALSE)+VLOOKUP(DN$3,'Embedded Emissions'!$A$129:$B$158,2,FALSE)), $C61 = "2",'Inputs-System'!$C$30*'Coincidence Factors'!$B$7*(1+'Inputs-System'!$C$18)*(1+'Inputs-System'!$C$41)*'Inputs-Proposals'!$L$23*'Inputs-Proposals'!$L$25*('Inputs-Proposals'!$L$20)*(VLOOKUP(DN$3,'Embedded Emissions'!$A$47:$B$78,2,FALSE)+VLOOKUP(DN$3,'Embedded Emissions'!$A$129:$B$158,2,FALSE)), $C61 = "3", 'Inputs-System'!$C$30*'Coincidence Factors'!$B$7*(1+'Inputs-System'!$C$18)*(1+'Inputs-System'!$C$41)*'Inputs-Proposals'!$L$29*'Inputs-Proposals'!$L$31*('Inputs-Proposals'!$L$20)*(VLOOKUP(DN$3,'Embedded Emissions'!$A$47:$B$78,2,FALSE)+VLOOKUP(DN$3,'Embedded Emissions'!$A$129:$B$158,2,FALSE)), $C61 = "0", 0), 0)</f>
        <v>0</v>
      </c>
      <c r="DP61" s="44">
        <f>IFERROR(_xlfn.IFS($C61="1",( 'Inputs-System'!$C$30*'Coincidence Factors'!$B$7*(1+'Inputs-System'!$C$18)*(1+'Inputs-System'!$C$41))*('Inputs-Proposals'!$L$17*'Inputs-Proposals'!$L$19*('Inputs-Proposals'!$L$20))*(VLOOKUP(DN$3,DRIPE!$A$54:$I$82,5,FALSE)+VLOOKUP(DN$3,DRIPE!$A$54:$I$82,9,FALSE))+ ('Inputs-System'!$C$26*'Coincidence Factors'!$B$7*(1+'Inputs-System'!$C$18)*(1+'Inputs-System'!$C$42))*'Inputs-Proposals'!$L$16*VLOOKUP(DN$3,DRIPE!$A$54:$I$82,8,FALSE), $C61 = "2",( 'Inputs-System'!$C$30*'Coincidence Factors'!$B$7*(1+'Inputs-System'!$C$18)*(1+'Inputs-System'!$C$41))*('Inputs-Proposals'!$L$23*'Inputs-Proposals'!$L$25*('Inputs-Proposals'!$L$26))*(VLOOKUP(DN$3,DRIPE!$A$54:$I$82,5,FALSE)+VLOOKUP(DN$3,DRIPE!$A$54:$I$82,12,FALSE))+ ('Inputs-System'!$C$26*'Coincidence Factors'!$B$7*(1+'Inputs-System'!$C$18)*(1+'Inputs-System'!$C$42))*'Inputs-Proposals'!$L$22*VLOOKUP(DN$3,DRIPE!$A$54:$I$82,8,FALSE), $C61= "3", ( 'Inputs-System'!$C$30*'Coincidence Factors'!$B$7*(1+'Inputs-System'!$C$18)*(1+'Inputs-System'!$C$41))*('Inputs-Proposals'!$L$29*'Inputs-Proposals'!$L$31*('Inputs-Proposals'!$L$32))*(VLOOKUP(DN$3,DRIPE!$A$54:$I$82,5,FALSE)+VLOOKUP(DN$3,DRIPE!$A$54:$I$82,12,FALSE))+ ('Inputs-System'!$C$26*'Coincidence Factors'!$B$7*(1+'Inputs-System'!$C$18)*(1+'Inputs-System'!$C$42))*'Inputs-Proposals'!$L$28*VLOOKUP(DN$3,DRIPE!$A$54:$I$82,8,FALSE), $C61 = "0", 0), 0)</f>
        <v>0</v>
      </c>
      <c r="DQ61" s="45">
        <f>IFERROR(_xlfn.IFS($C61="1",('Inputs-System'!$C$26*'Coincidence Factors'!$B$7*(1+'Inputs-System'!$C$18))*'Inputs-Proposals'!$L$16*(VLOOKUP(DN$3,Capacity!$A$53:$E$85,4,FALSE)*(1+'Inputs-System'!$C$42)+VLOOKUP(DN$3,Capacity!$A$53:$E$85,5,FALSE)*'Inputs-System'!$C$29*(1+'Inputs-System'!$C$43)), $C61 = "2", ('Inputs-System'!$C$26*'Coincidence Factors'!$B$7*(1+'Inputs-System'!$C$18))*'Inputs-Proposals'!$L$22*(VLOOKUP(DN$3,Capacity!$A$53:$E$85,4,FALSE)*(1+'Inputs-System'!$C$42)+VLOOKUP(DN$3,Capacity!$A$53:$E$85,5,FALSE)*'Inputs-System'!$C$29*(1+'Inputs-System'!$C$43)), $C61 = "3",('Inputs-System'!$C$26*'Coincidence Factors'!$B$7*(1+'Inputs-System'!$C$18))*'Inputs-Proposals'!$L$28*(VLOOKUP(DN$3,Capacity!$A$53:$E$85,4,FALSE)*(1+'Inputs-System'!$C$42)+VLOOKUP(DN$3,Capacity!$A$53:$E$85,5,FALSE)*'Inputs-System'!$C$29*(1+'Inputs-System'!$C$43)), $C61 = "0", 0), 0)</f>
        <v>0</v>
      </c>
      <c r="DR61" s="44">
        <v>0</v>
      </c>
      <c r="DS61" s="342">
        <f>IFERROR(_xlfn.IFS($C61="1", 'Inputs-System'!$C$30*'Coincidence Factors'!$B$7*'Inputs-Proposals'!$L$17*'Inputs-Proposals'!$L$19*(VLOOKUP(DN$3,'Non-Embedded Emissions'!$A$56:$D$90,2,FALSE)+VLOOKUP(DN$3,'Non-Embedded Emissions'!$A$143:$D$174,2,FALSE)+VLOOKUP(DN$3,'Non-Embedded Emissions'!$A$230:$D$259,2,FALSE)), $C61 = "2", 'Inputs-System'!$C$30*'Coincidence Factors'!$B$7*'Inputs-Proposals'!$L$23*'Inputs-Proposals'!$L$25*(VLOOKUP(DN$3,'Non-Embedded Emissions'!$A$56:$D$90,2,FALSE)+VLOOKUP(DN$3,'Non-Embedded Emissions'!$A$143:$D$174,2,FALSE)+VLOOKUP(DN$3,'Non-Embedded Emissions'!$A$230:$D$259,2,FALSE)), $C61 = "3", 'Inputs-System'!$C$30*'Coincidence Factors'!$B$7*'Inputs-Proposals'!$L$29*'Inputs-Proposals'!$L$31*(VLOOKUP(DN$3,'Non-Embedded Emissions'!$A$56:$D$90,2,FALSE)+VLOOKUP(DN$3,'Non-Embedded Emissions'!$A$143:$D$174,2,FALSE)+VLOOKUP(DN$3,'Non-Embedded Emissions'!$A$230:$D$259,2,FALSE)), $C61 = "0", 0), 0)</f>
        <v>0</v>
      </c>
      <c r="DT61" s="347">
        <f>IFERROR(_xlfn.IFS($C61="1",('Inputs-System'!$C$30*'Coincidence Factors'!$B$7*(1+'Inputs-System'!$C$18)*(1+'Inputs-System'!$C$41)*('Inputs-Proposals'!$L$17*'Inputs-Proposals'!$L$19*('Inputs-Proposals'!$L$20))*(VLOOKUP(DT$3,Energy!$A$51:$K$83,5,FALSE))), $C61 = "2",('Inputs-System'!$C$30*'Coincidence Factors'!$B$7)*(1+'Inputs-System'!$C$18)*(1+'Inputs-System'!$C$41)*('Inputs-Proposals'!$L$23*'Inputs-Proposals'!$L$25*('Inputs-Proposals'!$L$26))*(VLOOKUP(DT$3,Energy!$A$51:$K$83,5,FALSE)), $C61= "3", ('Inputs-System'!$C$30*'Coincidence Factors'!$B$7*(1+'Inputs-System'!$C$18)*(1+'Inputs-System'!$C$41)*('Inputs-Proposals'!$L$29*'Inputs-Proposals'!$L$31*('Inputs-Proposals'!$L$32))*(VLOOKUP(DT$3,Energy!$A$51:$K$83,5,FALSE))), $C61= "0", 0), 0)</f>
        <v>0</v>
      </c>
      <c r="DU61" s="44">
        <f>IFERROR(_xlfn.IFS($C61="1",'Inputs-System'!$C$30*'Coincidence Factors'!$B$7*(1+'Inputs-System'!$C$18)*(1+'Inputs-System'!$C$41)*'Inputs-Proposals'!$L$17*'Inputs-Proposals'!$L$19*('Inputs-Proposals'!$L$20)*(VLOOKUP(DT$3,'Embedded Emissions'!$A$47:$B$78,2,FALSE)+VLOOKUP(DT$3,'Embedded Emissions'!$A$129:$B$158,2,FALSE)), $C61 = "2",'Inputs-System'!$C$30*'Coincidence Factors'!$B$7*(1+'Inputs-System'!$C$18)*(1+'Inputs-System'!$C$41)*'Inputs-Proposals'!$L$23*'Inputs-Proposals'!$L$25*('Inputs-Proposals'!$L$20)*(VLOOKUP(DT$3,'Embedded Emissions'!$A$47:$B$78,2,FALSE)+VLOOKUP(DT$3,'Embedded Emissions'!$A$129:$B$158,2,FALSE)), $C61 = "3", 'Inputs-System'!$C$30*'Coincidence Factors'!$B$7*(1+'Inputs-System'!$C$18)*(1+'Inputs-System'!$C$41)*'Inputs-Proposals'!$L$29*'Inputs-Proposals'!$L$31*('Inputs-Proposals'!$L$20)*(VLOOKUP(DT$3,'Embedded Emissions'!$A$47:$B$78,2,FALSE)+VLOOKUP(DT$3,'Embedded Emissions'!$A$129:$B$158,2,FALSE)), $C61 = "0", 0), 0)</f>
        <v>0</v>
      </c>
      <c r="DV61" s="44">
        <f>IFERROR(_xlfn.IFS($C61="1",( 'Inputs-System'!$C$30*'Coincidence Factors'!$B$7*(1+'Inputs-System'!$C$18)*(1+'Inputs-System'!$C$41))*('Inputs-Proposals'!$L$17*'Inputs-Proposals'!$L$19*('Inputs-Proposals'!$L$20))*(VLOOKUP(DT$3,DRIPE!$A$54:$I$82,5,FALSE)+VLOOKUP(DT$3,DRIPE!$A$54:$I$82,9,FALSE))+ ('Inputs-System'!$C$26*'Coincidence Factors'!$B$7*(1+'Inputs-System'!$C$18)*(1+'Inputs-System'!$C$42))*'Inputs-Proposals'!$L$16*VLOOKUP(DT$3,DRIPE!$A$54:$I$82,8,FALSE), $C61 = "2",( 'Inputs-System'!$C$30*'Coincidence Factors'!$B$7*(1+'Inputs-System'!$C$18)*(1+'Inputs-System'!$C$41))*('Inputs-Proposals'!$L$23*'Inputs-Proposals'!$L$25*('Inputs-Proposals'!$L$26))*(VLOOKUP(DT$3,DRIPE!$A$54:$I$82,5,FALSE)+VLOOKUP(DT$3,DRIPE!$A$54:$I$82,12,FALSE))+ ('Inputs-System'!$C$26*'Coincidence Factors'!$B$7*(1+'Inputs-System'!$C$18)*(1+'Inputs-System'!$C$42))*'Inputs-Proposals'!$L$22*VLOOKUP(DT$3,DRIPE!$A$54:$I$82,8,FALSE), $C61= "3", ( 'Inputs-System'!$C$30*'Coincidence Factors'!$B$7*(1+'Inputs-System'!$C$18)*(1+'Inputs-System'!$C$41))*('Inputs-Proposals'!$L$29*'Inputs-Proposals'!$L$31*('Inputs-Proposals'!$L$32))*(VLOOKUP(DT$3,DRIPE!$A$54:$I$82,5,FALSE)+VLOOKUP(DT$3,DRIPE!$A$54:$I$82,12,FALSE))+ ('Inputs-System'!$C$26*'Coincidence Factors'!$B$7*(1+'Inputs-System'!$C$18)*(1+'Inputs-System'!$C$42))*'Inputs-Proposals'!$L$28*VLOOKUP(DT$3,DRIPE!$A$54:$I$82,8,FALSE), $C61 = "0", 0), 0)</f>
        <v>0</v>
      </c>
      <c r="DW61" s="45">
        <f>IFERROR(_xlfn.IFS($C61="1",('Inputs-System'!$C$26*'Coincidence Factors'!$B$7*(1+'Inputs-System'!$C$18))*'Inputs-Proposals'!$L$16*(VLOOKUP(DT$3,Capacity!$A$53:$E$85,4,FALSE)*(1+'Inputs-System'!$C$42)+VLOOKUP(DT$3,Capacity!$A$53:$E$85,5,FALSE)*'Inputs-System'!$C$29*(1+'Inputs-System'!$C$43)), $C61 = "2", ('Inputs-System'!$C$26*'Coincidence Factors'!$B$7*(1+'Inputs-System'!$C$18))*'Inputs-Proposals'!$L$22*(VLOOKUP(DT$3,Capacity!$A$53:$E$85,4,FALSE)*(1+'Inputs-System'!$C$42)+VLOOKUP(DT$3,Capacity!$A$53:$E$85,5,FALSE)*'Inputs-System'!$C$29*(1+'Inputs-System'!$C$43)), $C61 = "3",('Inputs-System'!$C$26*'Coincidence Factors'!$B$7*(1+'Inputs-System'!$C$18))*'Inputs-Proposals'!$L$28*(VLOOKUP(DT$3,Capacity!$A$53:$E$85,4,FALSE)*(1+'Inputs-System'!$C$42)+VLOOKUP(DT$3,Capacity!$A$53:$E$85,5,FALSE)*'Inputs-System'!$C$29*(1+'Inputs-System'!$C$43)), $C61 = "0", 0), 0)</f>
        <v>0</v>
      </c>
      <c r="DX61" s="44">
        <v>0</v>
      </c>
      <c r="DY61" s="342">
        <f>IFERROR(_xlfn.IFS($C61="1", 'Inputs-System'!$C$30*'Coincidence Factors'!$B$7*'Inputs-Proposals'!$L$17*'Inputs-Proposals'!$L$19*(VLOOKUP(DT$3,'Non-Embedded Emissions'!$A$56:$D$90,2,FALSE)+VLOOKUP(DT$3,'Non-Embedded Emissions'!$A$143:$D$174,2,FALSE)+VLOOKUP(DT$3,'Non-Embedded Emissions'!$A$230:$D$259,2,FALSE)), $C61 = "2", 'Inputs-System'!$C$30*'Coincidence Factors'!$B$7*'Inputs-Proposals'!$L$23*'Inputs-Proposals'!$L$25*(VLOOKUP(DT$3,'Non-Embedded Emissions'!$A$56:$D$90,2,FALSE)+VLOOKUP(DT$3,'Non-Embedded Emissions'!$A$143:$D$174,2,FALSE)+VLOOKUP(DT$3,'Non-Embedded Emissions'!$A$230:$D$259,2,FALSE)), $C61 = "3", 'Inputs-System'!$C$30*'Coincidence Factors'!$B$7*'Inputs-Proposals'!$L$29*'Inputs-Proposals'!$L$31*(VLOOKUP(DT$3,'Non-Embedded Emissions'!$A$56:$D$90,2,FALSE)+VLOOKUP(DT$3,'Non-Embedded Emissions'!$A$143:$D$174,2,FALSE)+VLOOKUP(DT$3,'Non-Embedded Emissions'!$A$230:$D$259,2,FALSE)), $C61 = "0", 0), 0)</f>
        <v>0</v>
      </c>
      <c r="DZ61" s="347">
        <f>IFERROR(_xlfn.IFS($C61="1",('Inputs-System'!$C$30*'Coincidence Factors'!$B$7*(1+'Inputs-System'!$C$18)*(1+'Inputs-System'!$C$41)*('Inputs-Proposals'!$L$17*'Inputs-Proposals'!$L$19*('Inputs-Proposals'!$L$20))*(VLOOKUP(DZ$3,Energy!$A$51:$K$83,5,FALSE))), $C61 = "2",('Inputs-System'!$C$30*'Coincidence Factors'!$B$7)*(1+'Inputs-System'!$C$18)*(1+'Inputs-System'!$C$41)*('Inputs-Proposals'!$L$23*'Inputs-Proposals'!$L$25*('Inputs-Proposals'!$L$26))*(VLOOKUP(DZ$3,Energy!$A$51:$K$83,5,FALSE)), $C61= "3", ('Inputs-System'!$C$30*'Coincidence Factors'!$B$7*(1+'Inputs-System'!$C$18)*(1+'Inputs-System'!$C$41)*('Inputs-Proposals'!$L$29*'Inputs-Proposals'!$L$31*('Inputs-Proposals'!$L$32))*(VLOOKUP(DZ$3,Energy!$A$51:$K$83,5,FALSE))), $C61= "0", 0), 0)</f>
        <v>0</v>
      </c>
      <c r="EA61" s="44">
        <f>IFERROR(_xlfn.IFS($C61="1",'Inputs-System'!$C$30*'Coincidence Factors'!$B$7*(1+'Inputs-System'!$C$18)*(1+'Inputs-System'!$C$41)*'Inputs-Proposals'!$L$17*'Inputs-Proposals'!$L$19*('Inputs-Proposals'!$L$20)*(VLOOKUP(DZ$3,'Embedded Emissions'!$A$47:$B$78,2,FALSE)+VLOOKUP(DZ$3,'Embedded Emissions'!$A$129:$B$158,2,FALSE)), $C61 = "2",'Inputs-System'!$C$30*'Coincidence Factors'!$B$7*(1+'Inputs-System'!$C$18)*(1+'Inputs-System'!$C$41)*'Inputs-Proposals'!$L$23*'Inputs-Proposals'!$L$25*('Inputs-Proposals'!$L$20)*(VLOOKUP(DZ$3,'Embedded Emissions'!$A$47:$B$78,2,FALSE)+VLOOKUP(DZ$3,'Embedded Emissions'!$A$129:$B$158,2,FALSE)), $C61 = "3", 'Inputs-System'!$C$30*'Coincidence Factors'!$B$7*(1+'Inputs-System'!$C$18)*(1+'Inputs-System'!$C$41)*'Inputs-Proposals'!$L$29*'Inputs-Proposals'!$L$31*('Inputs-Proposals'!$L$20)*(VLOOKUP(DZ$3,'Embedded Emissions'!$A$47:$B$78,2,FALSE)+VLOOKUP(DZ$3,'Embedded Emissions'!$A$129:$B$158,2,FALSE)), $C61 = "0", 0), 0)</f>
        <v>0</v>
      </c>
      <c r="EB61" s="44">
        <f>IFERROR(_xlfn.IFS($C61="1",( 'Inputs-System'!$C$30*'Coincidence Factors'!$B$7*(1+'Inputs-System'!$C$18)*(1+'Inputs-System'!$C$41))*('Inputs-Proposals'!$L$17*'Inputs-Proposals'!$L$19*('Inputs-Proposals'!$L$20))*(VLOOKUP(DZ$3,DRIPE!$A$54:$I$82,5,FALSE)+VLOOKUP(DZ$3,DRIPE!$A$54:$I$82,9,FALSE))+ ('Inputs-System'!$C$26*'Coincidence Factors'!$B$7*(1+'Inputs-System'!$C$18)*(1+'Inputs-System'!$C$42))*'Inputs-Proposals'!$L$16*VLOOKUP(DZ$3,DRIPE!$A$54:$I$82,8,FALSE), $C61 = "2",( 'Inputs-System'!$C$30*'Coincidence Factors'!$B$7*(1+'Inputs-System'!$C$18)*(1+'Inputs-System'!$C$41))*('Inputs-Proposals'!$L$23*'Inputs-Proposals'!$L$25*('Inputs-Proposals'!$L$26))*(VLOOKUP(DZ$3,DRIPE!$A$54:$I$82,5,FALSE)+VLOOKUP(DZ$3,DRIPE!$A$54:$I$82,12,FALSE))+ ('Inputs-System'!$C$26*'Coincidence Factors'!$B$7*(1+'Inputs-System'!$C$18)*(1+'Inputs-System'!$C$42))*'Inputs-Proposals'!$L$22*VLOOKUP(DZ$3,DRIPE!$A$54:$I$82,8,FALSE), $C61= "3", ( 'Inputs-System'!$C$30*'Coincidence Factors'!$B$7*(1+'Inputs-System'!$C$18)*(1+'Inputs-System'!$C$41))*('Inputs-Proposals'!$L$29*'Inputs-Proposals'!$L$31*('Inputs-Proposals'!$L$32))*(VLOOKUP(DZ$3,DRIPE!$A$54:$I$82,5,FALSE)+VLOOKUP(DZ$3,DRIPE!$A$54:$I$82,12,FALSE))+ ('Inputs-System'!$C$26*'Coincidence Factors'!$B$7*(1+'Inputs-System'!$C$18)*(1+'Inputs-System'!$C$42))*'Inputs-Proposals'!$L$28*VLOOKUP(DZ$3,DRIPE!$A$54:$I$82,8,FALSE), $C61 = "0", 0), 0)</f>
        <v>0</v>
      </c>
      <c r="EC61" s="45">
        <f>IFERROR(_xlfn.IFS($C61="1",('Inputs-System'!$C$26*'Coincidence Factors'!$B$7*(1+'Inputs-System'!$C$18))*'Inputs-Proposals'!$L$16*(VLOOKUP(DZ$3,Capacity!$A$53:$E$85,4,FALSE)*(1+'Inputs-System'!$C$42)+VLOOKUP(DZ$3,Capacity!$A$53:$E$85,5,FALSE)*'Inputs-System'!$C$29*(1+'Inputs-System'!$C$43)), $C61 = "2", ('Inputs-System'!$C$26*'Coincidence Factors'!$B$7*(1+'Inputs-System'!$C$18))*'Inputs-Proposals'!$L$22*(VLOOKUP(DZ$3,Capacity!$A$53:$E$85,4,FALSE)*(1+'Inputs-System'!$C$42)+VLOOKUP(DZ$3,Capacity!$A$53:$E$85,5,FALSE)*'Inputs-System'!$C$29*(1+'Inputs-System'!$C$43)), $C61 = "3",('Inputs-System'!$C$26*'Coincidence Factors'!$B$7*(1+'Inputs-System'!$C$18))*'Inputs-Proposals'!$L$28*(VLOOKUP(DZ$3,Capacity!$A$53:$E$85,4,FALSE)*(1+'Inputs-System'!$C$42)+VLOOKUP(DZ$3,Capacity!$A$53:$E$85,5,FALSE)*'Inputs-System'!$C$29*(1+'Inputs-System'!$C$43)), $C61 = "0", 0), 0)</f>
        <v>0</v>
      </c>
      <c r="ED61" s="44">
        <v>0</v>
      </c>
      <c r="EE61" s="342">
        <f>IFERROR(_xlfn.IFS($C61="1", 'Inputs-System'!$C$30*'Coincidence Factors'!$B$7*'Inputs-Proposals'!$L$17*'Inputs-Proposals'!$L$19*(VLOOKUP(DZ$3,'Non-Embedded Emissions'!$A$56:$D$90,2,FALSE)+VLOOKUP(DZ$3,'Non-Embedded Emissions'!$A$143:$D$174,2,FALSE)+VLOOKUP(DZ$3,'Non-Embedded Emissions'!$A$230:$D$259,2,FALSE)), $C61 = "2", 'Inputs-System'!$C$30*'Coincidence Factors'!$B$7*'Inputs-Proposals'!$L$23*'Inputs-Proposals'!$L$25*(VLOOKUP(DZ$3,'Non-Embedded Emissions'!$A$56:$D$90,2,FALSE)+VLOOKUP(DZ$3,'Non-Embedded Emissions'!$A$143:$D$174,2,FALSE)+VLOOKUP(DZ$3,'Non-Embedded Emissions'!$A$230:$D$259,2,FALSE)), $C61 = "3", 'Inputs-System'!$C$30*'Coincidence Factors'!$B$7*'Inputs-Proposals'!$L$29*'Inputs-Proposals'!$L$31*(VLOOKUP(DZ$3,'Non-Embedded Emissions'!$A$56:$D$90,2,FALSE)+VLOOKUP(DZ$3,'Non-Embedded Emissions'!$A$143:$D$174,2,FALSE)+VLOOKUP(DZ$3,'Non-Embedded Emissions'!$A$230:$D$259,2,FALSE)), $C61 = "0", 0), 0)</f>
        <v>0</v>
      </c>
    </row>
    <row r="62" spans="1:135" x14ac:dyDescent="0.35">
      <c r="A62" s="708"/>
      <c r="B62" s="3" t="s">
        <v>160</v>
      </c>
      <c r="C62" s="3" t="str">
        <f>IFERROR(_xlfn.IFS('Benefits Calc'!B62='Inputs-Proposals'!$L$15, "1", 'Benefits Calc'!B62='Inputs-Proposals'!$L$21, "2", 'Benefits Calc'!B62='Inputs-Proposals'!$L$27, "3"), "0")</f>
        <v>0</v>
      </c>
      <c r="D62" s="323">
        <f t="shared" si="0"/>
        <v>0</v>
      </c>
      <c r="E62" s="44">
        <f t="shared" si="1"/>
        <v>0</v>
      </c>
      <c r="F62" s="44">
        <f t="shared" si="2"/>
        <v>0</v>
      </c>
      <c r="G62" s="44">
        <f t="shared" si="3"/>
        <v>0</v>
      </c>
      <c r="H62" s="44">
        <f t="shared" si="4"/>
        <v>0</v>
      </c>
      <c r="I62" s="44">
        <f t="shared" si="5"/>
        <v>0</v>
      </c>
      <c r="J62" s="323">
        <f>NPV('Inputs-System'!$C$20,P62+V62+AB62+AH62+AN62+AT62+AZ62+BF62+BL62+BR62+BX62+CD62+CJ62+CP62+CV62+DB62+DH62+DN62+DT62+DZ62)</f>
        <v>0</v>
      </c>
      <c r="K62" s="44">
        <f>NPV('Inputs-System'!$C$20,Q62+W62+AC62+AI62+AO62+AU62+BA62+BG62+BM62+BS62+BY62+CE62+CK62+CQ62+CW62+DC62+DI62+DO62+DU62+EA62)</f>
        <v>0</v>
      </c>
      <c r="L62" s="44">
        <f>NPV('Inputs-System'!$C$20,R62+X62+AD62+AJ62+AP62+AV62+BB62+BH62+BN62+BT62+BZ62+CF62+CL62+CR62+CX62+DD62+DJ62+DP62+DV62+EB62)</f>
        <v>0</v>
      </c>
      <c r="M62" s="44">
        <f>NPV('Inputs-System'!$C$20,S62+Y62+AE62+AK62+AQ62+AW62+BC62+BI62+BO62+BU62+CA62+CG62+CM62+CS62+CY62+DE62+DK62+DQ62+DW62+EC62)</f>
        <v>0</v>
      </c>
      <c r="N62" s="44">
        <f>NPV('Inputs-System'!$C$20,T62+Z62+AF62+AL62+AR62+AX62+BD62+BJ62+BP62+BV62+CB62+CH62+CN62+CT62+CZ62+DF62+DL62+DR62+DX62+ED62)</f>
        <v>0</v>
      </c>
      <c r="O62" s="119">
        <f>NPV('Inputs-System'!$C$20,U62+AA62+AG62+AM62+AS62+AY62+BE62+BK62+BQ62+BW62+CC62+CI62+CO62+CU62+DA62+DG62+DM62+DS62+DY62+EE62)</f>
        <v>0</v>
      </c>
      <c r="P62" s="45">
        <f>IFERROR(_xlfn.IFS($C62="1",('Inputs-System'!$C$30*'Coincidence Factors'!$B$8*(1+'Inputs-System'!$C$18)*(1+'Inputs-System'!$C$41)*('Inputs-Proposals'!$L$17*'Inputs-Proposals'!$L$19*('Inputs-Proposals'!$L$20))*(VLOOKUP(P$3,Energy!$A$51:$K$83,5,FALSE))), $C62 = "2",('Inputs-System'!$C$30*'Coincidence Factors'!$B$8)*(1+'Inputs-System'!$C$18)*(1+'Inputs-System'!$C$41)*('Inputs-Proposals'!$L$23*'Inputs-Proposals'!$L$25*('Inputs-Proposals'!$L$26))*(VLOOKUP(P$3,Energy!$A$51:$K$83,5,FALSE)), $C62= "3", ('Inputs-System'!$C$30*'Coincidence Factors'!$B$8*(1+'Inputs-System'!$C$18)*(1+'Inputs-System'!$C$41)*('Inputs-Proposals'!$L$29*'Inputs-Proposals'!$L$31*('Inputs-Proposals'!$L$32))*(VLOOKUP(P$3,Energy!$A$51:$K$83,5,FALSE))), $C62= "0", 0), 0)</f>
        <v>0</v>
      </c>
      <c r="Q62" s="44">
        <f>IFERROR(_xlfn.IFS($C62="1",'Inputs-System'!$C$30*'Coincidence Factors'!$B$8*(1+'Inputs-System'!$C$18)*(1+'Inputs-System'!$C$41)*'Inputs-Proposals'!$L$17*'Inputs-Proposals'!$L$19*('Inputs-Proposals'!$L$20)*(VLOOKUP(P$3,'Embedded Emissions'!$A$47:$B$78,2,FALSE)+VLOOKUP(P$3,'Embedded Emissions'!$A$129:$B$158,2,FALSE)), $C62 = "2", 'Inputs-System'!$C$30*'Coincidence Factors'!$B$8*(1+'Inputs-System'!$C$18)*(1+'Inputs-System'!$C$41)*'Inputs-Proposals'!$L$23*'Inputs-Proposals'!$L$25*('Inputs-Proposals'!$L$20)*(VLOOKUP(P$3,'Embedded Emissions'!$A$47:$B$78,2,FALSE)+VLOOKUP(P$3,'Embedded Emissions'!$A$129:$B$158,2,FALSE)), $C62 = "3",'Inputs-System'!$C$30*'Coincidence Factors'!$B$8*(1+'Inputs-System'!$C$18)*(1+'Inputs-System'!$C$41)*'Inputs-Proposals'!$L$29*'Inputs-Proposals'!$L$31*('Inputs-Proposals'!$L$20)*(VLOOKUP(P$3,'Embedded Emissions'!$A$47:$B$78,2,FALSE)+VLOOKUP(P$3,'Embedded Emissions'!$A$129:$B$158,2,FALSE)), $C62 = "0", 0), 0)</f>
        <v>0</v>
      </c>
      <c r="R62" s="44">
        <f>IFERROR(_xlfn.IFS($C62="1",( 'Inputs-System'!$C$30*'Coincidence Factors'!$B$8*(1+'Inputs-System'!$C$18)*(1+'Inputs-System'!$C$41))*('Inputs-Proposals'!$L$17*'Inputs-Proposals'!$L$19*('Inputs-Proposals'!$L$20))*(VLOOKUP(P$3,DRIPE!$A$54:$I$82,5,FALSE)+VLOOKUP(P$3,DRIPE!$A$54:$I$82,9,FALSE))+ ('Inputs-System'!$C$26*'Coincidence Factors'!$B$8*(1+'Inputs-System'!$C$18)*(1+'Inputs-System'!$C$42))*'Inputs-Proposals'!$L$16*VLOOKUP(P$3,DRIPE!$A$54:$I$82,8,FALSE), $C62 = "2",( 'Inputs-System'!$C$30*'Coincidence Factors'!$B$8*(1+'Inputs-System'!$C$18)*(1+'Inputs-System'!$C$41))*('Inputs-Proposals'!$L$23*'Inputs-Proposals'!$L$25*('Inputs-Proposals'!$L$26))*(VLOOKUP(P$3,DRIPE!$A$54:$I$82,5,FALSE)+VLOOKUP(P$3,DRIPE!$A$54:$I$82,9,FALSE))+  ('Inputs-System'!$C$26*'Coincidence Factors'!$B$8*(1+'Inputs-System'!$C$18)*(1+'Inputs-System'!$C$42))*'Inputs-Proposals'!$L$22*VLOOKUP(P$3,DRIPE!$A$54:$I$82,8,FALSE), $C62= "3", ( 'Inputs-System'!$C$30*'Coincidence Factors'!$B$8*(1+'Inputs-System'!$C$18)*(1+'Inputs-System'!$C$41))*('Inputs-Proposals'!$L$29*'Inputs-Proposals'!$L$31*('Inputs-Proposals'!$L$32))*(VLOOKUP(P$3,DRIPE!$A$54:$I$82,5,FALSE)+VLOOKUP(P$3,DRIPE!$A$54:$I$82,9,FALSE))+  ('Inputs-System'!$C$26*'Coincidence Factors'!$B$8*(1+'Inputs-System'!$C$18)*(1+'Inputs-System'!$C$42))*'Inputs-Proposals'!$L$28*VLOOKUP(P$3,DRIPE!$A$54:$I$82,8,FALSE), $C62 = "0", 0), 0)</f>
        <v>0</v>
      </c>
      <c r="S62" s="45">
        <f>IFERROR(_xlfn.IFS($C62="1",('Inputs-System'!$C$30*'Coincidence Factors'!$B$8*(1+'Inputs-System'!$C$18))*'Inputs-Proposals'!$L$16*(VLOOKUP(P$3,Capacity!$A$53:$E$85,4,FALSE)*(1+'Inputs-System'!$C$42)+VLOOKUP(P$3,Capacity!$A$53:$E$85,5,FALSE)*'Inputs-System'!$C$29*(1+'Inputs-System'!$C$43)), $C62 = "2", ('Inputs-System'!$C$30*'Coincidence Factors'!$B$8*(1+'Inputs-System'!$C$18))*'Inputs-Proposals'!$L$22*(VLOOKUP(P$3,Capacity!$A$53:$E$85,4,FALSE)*(1+'Inputs-System'!$C$42)+VLOOKUP(P$3,Capacity!$A$53:$E$85,5,FALSE)*'Inputs-System'!$C$29*(1+'Inputs-System'!$C$43)), $C62 = "3",('Inputs-System'!$C$30*'Coincidence Factors'!$B$8*(1+'Inputs-System'!$C$18))*'Inputs-Proposals'!$L$28*(VLOOKUP(P$3,Capacity!$A$53:$E$85,4,FALSE)*(1+'Inputs-System'!$C$42)+VLOOKUP(P$3,Capacity!$A$53:$E$85,5,FALSE)*'Inputs-System'!$C$29*(1+'Inputs-System'!$C$43)), $C62 = "0", 0), 0)</f>
        <v>0</v>
      </c>
      <c r="T62" s="44">
        <v>0</v>
      </c>
      <c r="U62" s="44">
        <f>IFERROR(_xlfn.IFS($C62="1", 'Inputs-System'!$C$30*'Coincidence Factors'!$B$8*'Inputs-Proposals'!$L$17*'Inputs-Proposals'!$L$19*(VLOOKUP(P$3,'Non-Embedded Emissions'!$A$56:$D$90,2,FALSE)+VLOOKUP(P$3,'Non-Embedded Emissions'!$A$143:$D$174,2,FALSE)+VLOOKUP(P$3,'Non-Embedded Emissions'!$A$230:$D$259,2,FALSE)), $C62 = "2", 'Inputs-System'!$C$30*'Coincidence Factors'!$B$8*'Inputs-Proposals'!$L$23*'Inputs-Proposals'!$L$25*(VLOOKUP(P$3,'Non-Embedded Emissions'!$A$56:$D$90,2,FALSE)+VLOOKUP(P$3,'Non-Embedded Emissions'!$A$143:$D$174,2,FALSE)+VLOOKUP(P$3,'Non-Embedded Emissions'!$A$230:$D$259,2,FALSE)), $C62 = "3", 'Inputs-System'!$C$30*'Coincidence Factors'!$B$8*'Inputs-Proposals'!$L$29*'Inputs-Proposals'!$L$31*(VLOOKUP(P$3,'Non-Embedded Emissions'!$A$56:$D$90,2,FALSE)+VLOOKUP(P$3,'Non-Embedded Emissions'!$A$143:$D$174,2,FALSE)+VLOOKUP(P$3,'Non-Embedded Emissions'!$A$230:$D$259,2,FALSE)), $C62 = "0", 0), 0)</f>
        <v>0</v>
      </c>
      <c r="V62" s="347">
        <f>IFERROR(_xlfn.IFS($C62="1",('Inputs-System'!$C$30*'Coincidence Factors'!$B$8*(1+'Inputs-System'!$C$18)*(1+'Inputs-System'!$C$41)*('Inputs-Proposals'!$L$17*'Inputs-Proposals'!$L$19*('Inputs-Proposals'!$L$20))*(VLOOKUP(V$3,Energy!$A$51:$K$83,5,FALSE))), $C62 = "2",('Inputs-System'!$C$30*'Coincidence Factors'!$B$8)*(1+'Inputs-System'!$C$18)*(1+'Inputs-System'!$C$41)*('Inputs-Proposals'!$L$23*'Inputs-Proposals'!$L$25*('Inputs-Proposals'!$L$26))*(VLOOKUP(V$3,Energy!$A$51:$K$83,5,FALSE)), $C62= "3", ('Inputs-System'!$C$30*'Coincidence Factors'!$B$8*(1+'Inputs-System'!$C$18)*(1+'Inputs-System'!$C$41)*('Inputs-Proposals'!$L$29*'Inputs-Proposals'!$L$31*('Inputs-Proposals'!$L$32))*(VLOOKUP(V$3,Energy!$A$51:$K$83,5,FALSE))), $C62= "0", 0), 0)</f>
        <v>0</v>
      </c>
      <c r="W62" s="44">
        <f>IFERROR(_xlfn.IFS($C62="1",'Inputs-System'!$C$30*'Coincidence Factors'!$B$8*(1+'Inputs-System'!$C$18)*(1+'Inputs-System'!$C$41)*'Inputs-Proposals'!$L$17*'Inputs-Proposals'!$L$19*('Inputs-Proposals'!$L$20)*(VLOOKUP(V$3,'Embedded Emissions'!$A$47:$B$78,2,FALSE)+VLOOKUP(V$3,'Embedded Emissions'!$A$129:$B$158,2,FALSE)), $C62 = "2", 'Inputs-System'!$C$30*'Coincidence Factors'!$B$8*(1+'Inputs-System'!$C$18)*(1+'Inputs-System'!$C$41)*'Inputs-Proposals'!$L$23*'Inputs-Proposals'!$L$25*('Inputs-Proposals'!$L$20)*(VLOOKUP(V$3,'Embedded Emissions'!$A$47:$B$78,2,FALSE)+VLOOKUP(V$3,'Embedded Emissions'!$A$129:$B$158,2,FALSE)), $C62 = "3",'Inputs-System'!$C$30*'Coincidence Factors'!$B$8*(1+'Inputs-System'!$C$18)*(1+'Inputs-System'!$C$41)*'Inputs-Proposals'!$L$29*'Inputs-Proposals'!$L$31*('Inputs-Proposals'!$L$20)*(VLOOKUP(V$3,'Embedded Emissions'!$A$47:$B$78,2,FALSE)+VLOOKUP(V$3,'Embedded Emissions'!$A$129:$B$158,2,FALSE)), $C62 = "0", 0), 0)</f>
        <v>0</v>
      </c>
      <c r="X62" s="44">
        <f>IFERROR(_xlfn.IFS($C62="1",( 'Inputs-System'!$C$30*'Coincidence Factors'!$B$8*(1+'Inputs-System'!$C$18)*(1+'Inputs-System'!$C$41))*('Inputs-Proposals'!$L$17*'Inputs-Proposals'!$L$19*('Inputs-Proposals'!$L$20))*(VLOOKUP(V$3,DRIPE!$A$54:$I$82,5,FALSE)+VLOOKUP(V$3,DRIPE!$A$54:$I$82,9,FALSE))+ ('Inputs-System'!$C$26*'Coincidence Factors'!$B$8*(1+'Inputs-System'!$C$18)*(1+'Inputs-System'!$C$42))*'Inputs-Proposals'!$L$16*VLOOKUP(V$3,DRIPE!$A$54:$I$82,8,FALSE), $C62 = "2",( 'Inputs-System'!$C$30*'Coincidence Factors'!$B$8*(1+'Inputs-System'!$C$18)*(1+'Inputs-System'!$C$41))*('Inputs-Proposals'!$L$23*'Inputs-Proposals'!$L$25*('Inputs-Proposals'!$L$26))*(VLOOKUP(V$3,DRIPE!$A$54:$I$82,5,FALSE)+VLOOKUP(V$3,DRIPE!$A$54:$I$82,9,FALSE))+  ('Inputs-System'!$C$26*'Coincidence Factors'!$B$8*(1+'Inputs-System'!$C$18)*(1+'Inputs-System'!$C$42))*'Inputs-Proposals'!$L$22*VLOOKUP(V$3,DRIPE!$A$54:$I$82,8,FALSE), $C62= "3", ( 'Inputs-System'!$C$30*'Coincidence Factors'!$B$8*(1+'Inputs-System'!$C$18)*(1+'Inputs-System'!$C$41))*('Inputs-Proposals'!$L$29*'Inputs-Proposals'!$L$31*('Inputs-Proposals'!$L$32))*(VLOOKUP(V$3,DRIPE!$A$54:$I$82,5,FALSE)+VLOOKUP(V$3,DRIPE!$A$54:$I$82,9,FALSE))+  ('Inputs-System'!$C$26*'Coincidence Factors'!$B$8*(1+'Inputs-System'!$C$18)*(1+'Inputs-System'!$C$42))*'Inputs-Proposals'!$L$28*VLOOKUP(V$3,DRIPE!$A$54:$I$82,8,FALSE), $C62 = "0", 0), 0)</f>
        <v>0</v>
      </c>
      <c r="Y62" s="45">
        <f>IFERROR(_xlfn.IFS($C62="1",('Inputs-System'!$C$30*'Coincidence Factors'!$B$8*(1+'Inputs-System'!$C$18))*'Inputs-Proposals'!$L$16*(VLOOKUP(V$3,Capacity!$A$53:$E$85,4,FALSE)*(1+'Inputs-System'!$C$42)+VLOOKUP(V$3,Capacity!$A$53:$E$85,5,FALSE)*'Inputs-System'!$C$29*(1+'Inputs-System'!$C$43)), $C62 = "2", ('Inputs-System'!$C$30*'Coincidence Factors'!$B$8*(1+'Inputs-System'!$C$18))*'Inputs-Proposals'!$L$22*(VLOOKUP(V$3,Capacity!$A$53:$E$85,4,FALSE)*(1+'Inputs-System'!$C$42)+VLOOKUP(V$3,Capacity!$A$53:$E$85,5,FALSE)*'Inputs-System'!$C$29*(1+'Inputs-System'!$C$43)), $C62 = "3",('Inputs-System'!$C$30*'Coincidence Factors'!$B$8*(1+'Inputs-System'!$C$18))*'Inputs-Proposals'!$L$28*(VLOOKUP(V$3,Capacity!$A$53:$E$85,4,FALSE)*(1+'Inputs-System'!$C$42)+VLOOKUP(V$3,Capacity!$A$53:$E$85,5,FALSE)*'Inputs-System'!$C$29*(1+'Inputs-System'!$C$43)), $C62 = "0", 0), 0)</f>
        <v>0</v>
      </c>
      <c r="Z62" s="44">
        <v>0</v>
      </c>
      <c r="AA62" s="342">
        <f>IFERROR(_xlfn.IFS($C62="1", 'Inputs-System'!$C$30*'Coincidence Factors'!$B$8*'Inputs-Proposals'!$L$17*'Inputs-Proposals'!$L$19*(VLOOKUP(V$3,'Non-Embedded Emissions'!$A$56:$D$90,2,FALSE)+VLOOKUP(V$3,'Non-Embedded Emissions'!$A$143:$D$174,2,FALSE)+VLOOKUP(V$3,'Non-Embedded Emissions'!$A$230:$D$259,2,FALSE)), $C62 = "2", 'Inputs-System'!$C$30*'Coincidence Factors'!$B$8*'Inputs-Proposals'!$L$23*'Inputs-Proposals'!$L$25*(VLOOKUP(V$3,'Non-Embedded Emissions'!$A$56:$D$90,2,FALSE)+VLOOKUP(V$3,'Non-Embedded Emissions'!$A$143:$D$174,2,FALSE)+VLOOKUP(V$3,'Non-Embedded Emissions'!$A$230:$D$259,2,FALSE)), $C62 = "3", 'Inputs-System'!$C$30*'Coincidence Factors'!$B$8*'Inputs-Proposals'!$L$29*'Inputs-Proposals'!$L$31*(VLOOKUP(V$3,'Non-Embedded Emissions'!$A$56:$D$90,2,FALSE)+VLOOKUP(V$3,'Non-Embedded Emissions'!$A$143:$D$174,2,FALSE)+VLOOKUP(V$3,'Non-Embedded Emissions'!$A$230:$D$259,2,FALSE)), $C62 = "0", 0), 0)</f>
        <v>0</v>
      </c>
      <c r="AB62" s="347">
        <f>IFERROR(_xlfn.IFS($C62="1",('Inputs-System'!$C$30*'Coincidence Factors'!$B$8*(1+'Inputs-System'!$C$18)*(1+'Inputs-System'!$C$41)*('Inputs-Proposals'!$L$17*'Inputs-Proposals'!$L$19*('Inputs-Proposals'!$L$20))*(VLOOKUP(AB$3,Energy!$A$51:$K$83,5,FALSE))), $C62 = "2",('Inputs-System'!$C$30*'Coincidence Factors'!$B$8)*(1+'Inputs-System'!$C$18)*(1+'Inputs-System'!$C$41)*('Inputs-Proposals'!$L$23*'Inputs-Proposals'!$L$25*('Inputs-Proposals'!$L$26))*(VLOOKUP(AB$3,Energy!$A$51:$K$83,5,FALSE)), $C62= "3", ('Inputs-System'!$C$30*'Coincidence Factors'!$B$8*(1+'Inputs-System'!$C$18)*(1+'Inputs-System'!$C$41)*('Inputs-Proposals'!$L$29*'Inputs-Proposals'!$L$31*('Inputs-Proposals'!$L$32))*(VLOOKUP(AB$3,Energy!$A$51:$K$83,5,FALSE))), $C62= "0", 0), 0)</f>
        <v>0</v>
      </c>
      <c r="AC62" s="44">
        <f>IFERROR(_xlfn.IFS($C62="1",'Inputs-System'!$C$30*'Coincidence Factors'!$B$8*(1+'Inputs-System'!$C$18)*(1+'Inputs-System'!$C$41)*'Inputs-Proposals'!$L$17*'Inputs-Proposals'!$L$19*('Inputs-Proposals'!$L$20)*(VLOOKUP(AB$3,'Embedded Emissions'!$A$47:$B$78,2,FALSE)+VLOOKUP(AB$3,'Embedded Emissions'!$A$129:$B$158,2,FALSE)), $C62 = "2", 'Inputs-System'!$C$30*'Coincidence Factors'!$B$8*(1+'Inputs-System'!$C$18)*(1+'Inputs-System'!$C$41)*'Inputs-Proposals'!$L$23*'Inputs-Proposals'!$L$25*('Inputs-Proposals'!$L$20)*(VLOOKUP(AB$3,'Embedded Emissions'!$A$47:$B$78,2,FALSE)+VLOOKUP(AB$3,'Embedded Emissions'!$A$129:$B$158,2,FALSE)), $C62 = "3",'Inputs-System'!$C$30*'Coincidence Factors'!$B$8*(1+'Inputs-System'!$C$18)*(1+'Inputs-System'!$C$41)*'Inputs-Proposals'!$L$29*'Inputs-Proposals'!$L$31*('Inputs-Proposals'!$L$20)*(VLOOKUP(AB$3,'Embedded Emissions'!$A$47:$B$78,2,FALSE)+VLOOKUP(AB$3,'Embedded Emissions'!$A$129:$B$158,2,FALSE)), $C62 = "0", 0), 0)</f>
        <v>0</v>
      </c>
      <c r="AD62" s="44">
        <f>IFERROR(_xlfn.IFS($C62="1",( 'Inputs-System'!$C$30*'Coincidence Factors'!$B$8*(1+'Inputs-System'!$C$18)*(1+'Inputs-System'!$C$41))*('Inputs-Proposals'!$L$17*'Inputs-Proposals'!$L$19*('Inputs-Proposals'!$L$20))*(VLOOKUP(AB$3,DRIPE!$A$54:$I$82,5,FALSE)+VLOOKUP(AB$3,DRIPE!$A$54:$I$82,9,FALSE))+ ('Inputs-System'!$C$26*'Coincidence Factors'!$B$8*(1+'Inputs-System'!$C$18)*(1+'Inputs-System'!$C$42))*'Inputs-Proposals'!$L$16*VLOOKUP(AB$3,DRIPE!$A$54:$I$82,8,FALSE), $C62 = "2",( 'Inputs-System'!$C$30*'Coincidence Factors'!$B$8*(1+'Inputs-System'!$C$18)*(1+'Inputs-System'!$C$41))*('Inputs-Proposals'!$L$23*'Inputs-Proposals'!$L$25*('Inputs-Proposals'!$L$26))*(VLOOKUP(AB$3,DRIPE!$A$54:$I$82,5,FALSE)+VLOOKUP(AB$3,DRIPE!$A$54:$I$82,9,FALSE))+  ('Inputs-System'!$C$26*'Coincidence Factors'!$B$8*(1+'Inputs-System'!$C$18)*(1+'Inputs-System'!$C$42))*'Inputs-Proposals'!$L$22*VLOOKUP(AB$3,DRIPE!$A$54:$I$82,8,FALSE), $C62= "3", ( 'Inputs-System'!$C$30*'Coincidence Factors'!$B$8*(1+'Inputs-System'!$C$18)*(1+'Inputs-System'!$C$41))*('Inputs-Proposals'!$L$29*'Inputs-Proposals'!$L$31*('Inputs-Proposals'!$L$32))*(VLOOKUP(AB$3,DRIPE!$A$54:$I$82,5,FALSE)+VLOOKUP(AB$3,DRIPE!$A$54:$I$82,9,FALSE))+  ('Inputs-System'!$C$26*'Coincidence Factors'!$B$8*(1+'Inputs-System'!$C$18)*(1+'Inputs-System'!$C$42))*'Inputs-Proposals'!$L$28*VLOOKUP(AB$3,DRIPE!$A$54:$I$82,8,FALSE), $C62 = "0", 0), 0)</f>
        <v>0</v>
      </c>
      <c r="AE62" s="45">
        <f>IFERROR(_xlfn.IFS($C62="1",('Inputs-System'!$C$30*'Coincidence Factors'!$B$8*(1+'Inputs-System'!$C$18))*'Inputs-Proposals'!$L$16*(VLOOKUP(AB$3,Capacity!$A$53:$E$85,4,FALSE)*(1+'Inputs-System'!$C$42)+VLOOKUP(AB$3,Capacity!$A$53:$E$85,5,FALSE)*'Inputs-System'!$C$29*(1+'Inputs-System'!$C$43)), $C62 = "2", ('Inputs-System'!$C$30*'Coincidence Factors'!$B$8*(1+'Inputs-System'!$C$18))*'Inputs-Proposals'!$L$22*(VLOOKUP(AB$3,Capacity!$A$53:$E$85,4,FALSE)*(1+'Inputs-System'!$C$42)+VLOOKUP(AB$3,Capacity!$A$53:$E$85,5,FALSE)*'Inputs-System'!$C$29*(1+'Inputs-System'!$C$43)), $C62 = "3",('Inputs-System'!$C$30*'Coincidence Factors'!$B$8*(1+'Inputs-System'!$C$18))*'Inputs-Proposals'!$L$28*(VLOOKUP(AB$3,Capacity!$A$53:$E$85,4,FALSE)*(1+'Inputs-System'!$C$42)+VLOOKUP(AB$3,Capacity!$A$53:$E$85,5,FALSE)*'Inputs-System'!$C$29*(1+'Inputs-System'!$C$43)), $C62 = "0", 0), 0)</f>
        <v>0</v>
      </c>
      <c r="AF62" s="44">
        <v>0</v>
      </c>
      <c r="AG62" s="342">
        <f>IFERROR(_xlfn.IFS($C62="1", 'Inputs-System'!$C$30*'Coincidence Factors'!$B$8*'Inputs-Proposals'!$L$17*'Inputs-Proposals'!$L$19*(VLOOKUP(AB$3,'Non-Embedded Emissions'!$A$56:$D$90,2,FALSE)+VLOOKUP(AB$3,'Non-Embedded Emissions'!$A$143:$D$174,2,FALSE)+VLOOKUP(AB$3,'Non-Embedded Emissions'!$A$230:$D$259,2,FALSE)), $C62 = "2", 'Inputs-System'!$C$30*'Coincidence Factors'!$B$8*'Inputs-Proposals'!$L$23*'Inputs-Proposals'!$L$25*(VLOOKUP(AB$3,'Non-Embedded Emissions'!$A$56:$D$90,2,FALSE)+VLOOKUP(AB$3,'Non-Embedded Emissions'!$A$143:$D$174,2,FALSE)+VLOOKUP(AB$3,'Non-Embedded Emissions'!$A$230:$D$259,2,FALSE)), $C62 = "3", 'Inputs-System'!$C$30*'Coincidence Factors'!$B$8*'Inputs-Proposals'!$L$29*'Inputs-Proposals'!$L$31*(VLOOKUP(AB$3,'Non-Embedded Emissions'!$A$56:$D$90,2,FALSE)+VLOOKUP(AB$3,'Non-Embedded Emissions'!$A$143:$D$174,2,FALSE)+VLOOKUP(AB$3,'Non-Embedded Emissions'!$A$230:$D$259,2,FALSE)), $C62 = "0", 0), 0)</f>
        <v>0</v>
      </c>
      <c r="AH62" s="347">
        <f>IFERROR(_xlfn.IFS($C62="1",('Inputs-System'!$C$30*'Coincidence Factors'!$B$8*(1+'Inputs-System'!$C$18)*(1+'Inputs-System'!$C$41)*('Inputs-Proposals'!$L$17*'Inputs-Proposals'!$L$19*('Inputs-Proposals'!$L$20))*(VLOOKUP(AH$3,Energy!$A$51:$K$83,5,FALSE))), $C62 = "2",('Inputs-System'!$C$30*'Coincidence Factors'!$B$8)*(1+'Inputs-System'!$C$18)*(1+'Inputs-System'!$C$41)*('Inputs-Proposals'!$L$23*'Inputs-Proposals'!$L$25*('Inputs-Proposals'!$L$26))*(VLOOKUP(AH$3,Energy!$A$51:$K$83,5,FALSE)), $C62= "3", ('Inputs-System'!$C$30*'Coincidence Factors'!$B$8*(1+'Inputs-System'!$C$18)*(1+'Inputs-System'!$C$41)*('Inputs-Proposals'!$L$29*'Inputs-Proposals'!$L$31*('Inputs-Proposals'!$L$32))*(VLOOKUP(AH$3,Energy!$A$51:$K$83,5,FALSE))), $C62= "0", 0), 0)</f>
        <v>0</v>
      </c>
      <c r="AI62" s="44">
        <f>IFERROR(_xlfn.IFS($C62="1",'Inputs-System'!$C$30*'Coincidence Factors'!$B$8*(1+'Inputs-System'!$C$18)*(1+'Inputs-System'!$C$41)*'Inputs-Proposals'!$L$17*'Inputs-Proposals'!$L$19*('Inputs-Proposals'!$L$20)*(VLOOKUP(AH$3,'Embedded Emissions'!$A$47:$B$78,2,FALSE)+VLOOKUP(AH$3,'Embedded Emissions'!$A$129:$B$158,2,FALSE)), $C62 = "2", 'Inputs-System'!$C$30*'Coincidence Factors'!$B$8*(1+'Inputs-System'!$C$18)*(1+'Inputs-System'!$C$41)*'Inputs-Proposals'!$L$23*'Inputs-Proposals'!$L$25*('Inputs-Proposals'!$L$20)*(VLOOKUP(AH$3,'Embedded Emissions'!$A$47:$B$78,2,FALSE)+VLOOKUP(AH$3,'Embedded Emissions'!$A$129:$B$158,2,FALSE)), $C62 = "3",'Inputs-System'!$C$30*'Coincidence Factors'!$B$8*(1+'Inputs-System'!$C$18)*(1+'Inputs-System'!$C$41)*'Inputs-Proposals'!$L$29*'Inputs-Proposals'!$L$31*('Inputs-Proposals'!$L$20)*(VLOOKUP(AH$3,'Embedded Emissions'!$A$47:$B$78,2,FALSE)+VLOOKUP(AH$3,'Embedded Emissions'!$A$129:$B$158,2,FALSE)), $C62 = "0", 0), 0)</f>
        <v>0</v>
      </c>
      <c r="AJ62" s="44">
        <f>IFERROR(_xlfn.IFS($C62="1",( 'Inputs-System'!$C$30*'Coincidence Factors'!$B$8*(1+'Inputs-System'!$C$18)*(1+'Inputs-System'!$C$41))*('Inputs-Proposals'!$L$17*'Inputs-Proposals'!$L$19*('Inputs-Proposals'!$L$20))*(VLOOKUP(AH$3,DRIPE!$A$54:$I$82,5,FALSE)+VLOOKUP(AH$3,DRIPE!$A$54:$I$82,9,FALSE))+ ('Inputs-System'!$C$26*'Coincidence Factors'!$B$8*(1+'Inputs-System'!$C$18)*(1+'Inputs-System'!$C$42))*'Inputs-Proposals'!$L$16*VLOOKUP(AH$3,DRIPE!$A$54:$I$82,8,FALSE), $C62 = "2",( 'Inputs-System'!$C$30*'Coincidence Factors'!$B$8*(1+'Inputs-System'!$C$18)*(1+'Inputs-System'!$C$41))*('Inputs-Proposals'!$L$23*'Inputs-Proposals'!$L$25*('Inputs-Proposals'!$L$26))*(VLOOKUP(AH$3,DRIPE!$A$54:$I$82,5,FALSE)+VLOOKUP(AH$3,DRIPE!$A$54:$I$82,9,FALSE))+  ('Inputs-System'!$C$26*'Coincidence Factors'!$B$8*(1+'Inputs-System'!$C$18)*(1+'Inputs-System'!$C$42))*'Inputs-Proposals'!$L$22*VLOOKUP(AH$3,DRIPE!$A$54:$I$82,8,FALSE), $C62= "3", ( 'Inputs-System'!$C$30*'Coincidence Factors'!$B$8*(1+'Inputs-System'!$C$18)*(1+'Inputs-System'!$C$41))*('Inputs-Proposals'!$L$29*'Inputs-Proposals'!$L$31*('Inputs-Proposals'!$L$32))*(VLOOKUP(AH$3,DRIPE!$A$54:$I$82,5,FALSE)+VLOOKUP(AH$3,DRIPE!$A$54:$I$82,9,FALSE))+  ('Inputs-System'!$C$26*'Coincidence Factors'!$B$8*(1+'Inputs-System'!$C$18)*(1+'Inputs-System'!$C$42))*'Inputs-Proposals'!$L$28*VLOOKUP(AH$3,DRIPE!$A$54:$I$82,8,FALSE), $C62 = "0", 0), 0)</f>
        <v>0</v>
      </c>
      <c r="AK62" s="45">
        <f>IFERROR(_xlfn.IFS($C62="1",('Inputs-System'!$C$30*'Coincidence Factors'!$B$8*(1+'Inputs-System'!$C$18))*'Inputs-Proposals'!$L$16*(VLOOKUP(AH$3,Capacity!$A$53:$E$85,4,FALSE)*(1+'Inputs-System'!$C$42)+VLOOKUP(AH$3,Capacity!$A$53:$E$85,5,FALSE)*'Inputs-System'!$C$29*(1+'Inputs-System'!$C$43)), $C62 = "2", ('Inputs-System'!$C$30*'Coincidence Factors'!$B$8*(1+'Inputs-System'!$C$18))*'Inputs-Proposals'!$L$22*(VLOOKUP(AH$3,Capacity!$A$53:$E$85,4,FALSE)*(1+'Inputs-System'!$C$42)+VLOOKUP(AH$3,Capacity!$A$53:$E$85,5,FALSE)*'Inputs-System'!$C$29*(1+'Inputs-System'!$C$43)), $C62 = "3",('Inputs-System'!$C$30*'Coincidence Factors'!$B$8*(1+'Inputs-System'!$C$18))*'Inputs-Proposals'!$L$28*(VLOOKUP(AH$3,Capacity!$A$53:$E$85,4,FALSE)*(1+'Inputs-System'!$C$42)+VLOOKUP(AH$3,Capacity!$A$53:$E$85,5,FALSE)*'Inputs-System'!$C$29*(1+'Inputs-System'!$C$43)), $C62 = "0", 0), 0)</f>
        <v>0</v>
      </c>
      <c r="AL62" s="44">
        <v>0</v>
      </c>
      <c r="AM62" s="342">
        <f>IFERROR(_xlfn.IFS($C62="1", 'Inputs-System'!$C$30*'Coincidence Factors'!$B$8*'Inputs-Proposals'!$L$17*'Inputs-Proposals'!$L$19*(VLOOKUP(AH$3,'Non-Embedded Emissions'!$A$56:$D$90,2,FALSE)+VLOOKUP(AH$3,'Non-Embedded Emissions'!$A$143:$D$174,2,FALSE)+VLOOKUP(AH$3,'Non-Embedded Emissions'!$A$230:$D$259,2,FALSE)), $C62 = "2", 'Inputs-System'!$C$30*'Coincidence Factors'!$B$8*'Inputs-Proposals'!$L$23*'Inputs-Proposals'!$L$25*(VLOOKUP(AH$3,'Non-Embedded Emissions'!$A$56:$D$90,2,FALSE)+VLOOKUP(AH$3,'Non-Embedded Emissions'!$A$143:$D$174,2,FALSE)+VLOOKUP(AH$3,'Non-Embedded Emissions'!$A$230:$D$259,2,FALSE)), $C62 = "3", 'Inputs-System'!$C$30*'Coincidence Factors'!$B$8*'Inputs-Proposals'!$L$29*'Inputs-Proposals'!$L$31*(VLOOKUP(AH$3,'Non-Embedded Emissions'!$A$56:$D$90,2,FALSE)+VLOOKUP(AH$3,'Non-Embedded Emissions'!$A$143:$D$174,2,FALSE)+VLOOKUP(AH$3,'Non-Embedded Emissions'!$A$230:$D$259,2,FALSE)), $C62 = "0", 0), 0)</f>
        <v>0</v>
      </c>
      <c r="AN62" s="347">
        <f>IFERROR(_xlfn.IFS($C62="1",('Inputs-System'!$C$30*'Coincidence Factors'!$B$8*(1+'Inputs-System'!$C$18)*(1+'Inputs-System'!$C$41)*('Inputs-Proposals'!$L$17*'Inputs-Proposals'!$L$19*('Inputs-Proposals'!$L$20))*(VLOOKUP(AN$3,Energy!$A$51:$K$83,5,FALSE))), $C62 = "2",('Inputs-System'!$C$30*'Coincidence Factors'!$B$8)*(1+'Inputs-System'!$C$18)*(1+'Inputs-System'!$C$41)*('Inputs-Proposals'!$L$23*'Inputs-Proposals'!$L$25*('Inputs-Proposals'!$L$26))*(VLOOKUP(AN$3,Energy!$A$51:$K$83,5,FALSE)), $C62= "3", ('Inputs-System'!$C$30*'Coincidence Factors'!$B$8*(1+'Inputs-System'!$C$18)*(1+'Inputs-System'!$C$41)*('Inputs-Proposals'!$L$29*'Inputs-Proposals'!$L$31*('Inputs-Proposals'!$L$32))*(VLOOKUP(AN$3,Energy!$A$51:$K$83,5,FALSE))), $C62= "0", 0), 0)</f>
        <v>0</v>
      </c>
      <c r="AO62" s="44">
        <f>IFERROR(_xlfn.IFS($C62="1",'Inputs-System'!$C$30*'Coincidence Factors'!$B$8*(1+'Inputs-System'!$C$18)*(1+'Inputs-System'!$C$41)*'Inputs-Proposals'!$L$17*'Inputs-Proposals'!$L$19*('Inputs-Proposals'!$L$20)*(VLOOKUP(AN$3,'Embedded Emissions'!$A$47:$B$78,2,FALSE)+VLOOKUP(AN$3,'Embedded Emissions'!$A$129:$B$158,2,FALSE)), $C62 = "2", 'Inputs-System'!$C$30*'Coincidence Factors'!$B$8*(1+'Inputs-System'!$C$18)*(1+'Inputs-System'!$C$41)*'Inputs-Proposals'!$L$23*'Inputs-Proposals'!$L$25*('Inputs-Proposals'!$L$20)*(VLOOKUP(AN$3,'Embedded Emissions'!$A$47:$B$78,2,FALSE)+VLOOKUP(AN$3,'Embedded Emissions'!$A$129:$B$158,2,FALSE)), $C62 = "3",'Inputs-System'!$C$30*'Coincidence Factors'!$B$8*(1+'Inputs-System'!$C$18)*(1+'Inputs-System'!$C$41)*'Inputs-Proposals'!$L$29*'Inputs-Proposals'!$L$31*('Inputs-Proposals'!$L$20)*(VLOOKUP(AN$3,'Embedded Emissions'!$A$47:$B$78,2,FALSE)+VLOOKUP(AN$3,'Embedded Emissions'!$A$129:$B$158,2,FALSE)), $C62 = "0", 0), 0)</f>
        <v>0</v>
      </c>
      <c r="AP62" s="44">
        <f>IFERROR(_xlfn.IFS($C62="1",( 'Inputs-System'!$C$30*'Coincidence Factors'!$B$8*(1+'Inputs-System'!$C$18)*(1+'Inputs-System'!$C$41))*('Inputs-Proposals'!$L$17*'Inputs-Proposals'!$L$19*('Inputs-Proposals'!$L$20))*(VLOOKUP(AN$3,DRIPE!$A$54:$I$82,5,FALSE)+VLOOKUP(AN$3,DRIPE!$A$54:$I$82,9,FALSE))+ ('Inputs-System'!$C$26*'Coincidence Factors'!$B$8*(1+'Inputs-System'!$C$18)*(1+'Inputs-System'!$C$42))*'Inputs-Proposals'!$L$16*VLOOKUP(AN$3,DRIPE!$A$54:$I$82,8,FALSE), $C62 = "2",( 'Inputs-System'!$C$30*'Coincidence Factors'!$B$8*(1+'Inputs-System'!$C$18)*(1+'Inputs-System'!$C$41))*('Inputs-Proposals'!$L$23*'Inputs-Proposals'!$L$25*('Inputs-Proposals'!$L$26))*(VLOOKUP(AN$3,DRIPE!$A$54:$I$82,5,FALSE)+VLOOKUP(AN$3,DRIPE!$A$54:$I$82,9,FALSE))+  ('Inputs-System'!$C$26*'Coincidence Factors'!$B$8*(1+'Inputs-System'!$C$18)*(1+'Inputs-System'!$C$42))*'Inputs-Proposals'!$L$22*VLOOKUP(AN$3,DRIPE!$A$54:$I$82,8,FALSE), $C62= "3", ( 'Inputs-System'!$C$30*'Coincidence Factors'!$B$8*(1+'Inputs-System'!$C$18)*(1+'Inputs-System'!$C$41))*('Inputs-Proposals'!$L$29*'Inputs-Proposals'!$L$31*('Inputs-Proposals'!$L$32))*(VLOOKUP(AN$3,DRIPE!$A$54:$I$82,5,FALSE)+VLOOKUP(AN$3,DRIPE!$A$54:$I$82,9,FALSE))+  ('Inputs-System'!$C$26*'Coincidence Factors'!$B$8*(1+'Inputs-System'!$C$18)*(1+'Inputs-System'!$C$42))*'Inputs-Proposals'!$L$28*VLOOKUP(AN$3,DRIPE!$A$54:$I$82,8,FALSE), $C62 = "0", 0), 0)</f>
        <v>0</v>
      </c>
      <c r="AQ62" s="45">
        <f>IFERROR(_xlfn.IFS($C62="1",('Inputs-System'!$C$30*'Coincidence Factors'!$B$8*(1+'Inputs-System'!$C$18))*'Inputs-Proposals'!$L$16*(VLOOKUP(AN$3,Capacity!$A$53:$E$85,4,FALSE)*(1+'Inputs-System'!$C$42)+VLOOKUP(AN$3,Capacity!$A$53:$E$85,5,FALSE)*'Inputs-System'!$C$29*(1+'Inputs-System'!$C$43)), $C62 = "2", ('Inputs-System'!$C$30*'Coincidence Factors'!$B$8*(1+'Inputs-System'!$C$18))*'Inputs-Proposals'!$L$22*(VLOOKUP(AN$3,Capacity!$A$53:$E$85,4,FALSE)*(1+'Inputs-System'!$C$42)+VLOOKUP(AN$3,Capacity!$A$53:$E$85,5,FALSE)*'Inputs-System'!$C$29*(1+'Inputs-System'!$C$43)), $C62 = "3",('Inputs-System'!$C$30*'Coincidence Factors'!$B$8*(1+'Inputs-System'!$C$18))*'Inputs-Proposals'!$L$28*(VLOOKUP(AN$3,Capacity!$A$53:$E$85,4,FALSE)*(1+'Inputs-System'!$C$42)+VLOOKUP(AN$3,Capacity!$A$53:$E$85,5,FALSE)*'Inputs-System'!$C$29*(1+'Inputs-System'!$C$43)), $C62 = "0", 0), 0)</f>
        <v>0</v>
      </c>
      <c r="AR62" s="44">
        <v>0</v>
      </c>
      <c r="AS62" s="342">
        <f>IFERROR(_xlfn.IFS($C62="1", 'Inputs-System'!$C$30*'Coincidence Factors'!$B$8*'Inputs-Proposals'!$L$17*'Inputs-Proposals'!$L$19*(VLOOKUP(AN$3,'Non-Embedded Emissions'!$A$56:$D$90,2,FALSE)+VLOOKUP(AN$3,'Non-Embedded Emissions'!$A$143:$D$174,2,FALSE)+VLOOKUP(AN$3,'Non-Embedded Emissions'!$A$230:$D$259,2,FALSE)), $C62 = "2", 'Inputs-System'!$C$30*'Coincidence Factors'!$B$8*'Inputs-Proposals'!$L$23*'Inputs-Proposals'!$L$25*(VLOOKUP(AN$3,'Non-Embedded Emissions'!$A$56:$D$90,2,FALSE)+VLOOKUP(AN$3,'Non-Embedded Emissions'!$A$143:$D$174,2,FALSE)+VLOOKUP(AN$3,'Non-Embedded Emissions'!$A$230:$D$259,2,FALSE)), $C62 = "3", 'Inputs-System'!$C$30*'Coincidence Factors'!$B$8*'Inputs-Proposals'!$L$29*'Inputs-Proposals'!$L$31*(VLOOKUP(AN$3,'Non-Embedded Emissions'!$A$56:$D$90,2,FALSE)+VLOOKUP(AN$3,'Non-Embedded Emissions'!$A$143:$D$174,2,FALSE)+VLOOKUP(AN$3,'Non-Embedded Emissions'!$A$230:$D$259,2,FALSE)), $C62 = "0", 0), 0)</f>
        <v>0</v>
      </c>
      <c r="AT62" s="347">
        <f>IFERROR(_xlfn.IFS($C62="1",('Inputs-System'!$C$30*'Coincidence Factors'!$B$8*(1+'Inputs-System'!$C$18)*(1+'Inputs-System'!$C$41)*('Inputs-Proposals'!$L$17*'Inputs-Proposals'!$L$19*('Inputs-Proposals'!$L$20))*(VLOOKUP(AT$3,Energy!$A$51:$K$83,5,FALSE))), $C62 = "2",('Inputs-System'!$C$30*'Coincidence Factors'!$B$8)*(1+'Inputs-System'!$C$18)*(1+'Inputs-System'!$C$41)*('Inputs-Proposals'!$L$23*'Inputs-Proposals'!$L$25*('Inputs-Proposals'!$L$26))*(VLOOKUP(AT$3,Energy!$A$51:$K$83,5,FALSE)), $C62= "3", ('Inputs-System'!$C$30*'Coincidence Factors'!$B$8*(1+'Inputs-System'!$C$18)*(1+'Inputs-System'!$C$41)*('Inputs-Proposals'!$L$29*'Inputs-Proposals'!$L$31*('Inputs-Proposals'!$L$32))*(VLOOKUP(AT$3,Energy!$A$51:$K$83,5,FALSE))), $C62= "0", 0), 0)</f>
        <v>0</v>
      </c>
      <c r="AU62" s="44">
        <f>IFERROR(_xlfn.IFS($C62="1",'Inputs-System'!$C$30*'Coincidence Factors'!$B$8*(1+'Inputs-System'!$C$18)*(1+'Inputs-System'!$C$41)*'Inputs-Proposals'!$L$17*'Inputs-Proposals'!$L$19*('Inputs-Proposals'!$L$20)*(VLOOKUP(AT$3,'Embedded Emissions'!$A$47:$B$78,2,FALSE)+VLOOKUP(AT$3,'Embedded Emissions'!$A$129:$B$158,2,FALSE)), $C62 = "2", 'Inputs-System'!$C$30*'Coincidence Factors'!$B$8*(1+'Inputs-System'!$C$18)*(1+'Inputs-System'!$C$41)*'Inputs-Proposals'!$L$23*'Inputs-Proposals'!$L$25*('Inputs-Proposals'!$L$20)*(VLOOKUP(AT$3,'Embedded Emissions'!$A$47:$B$78,2,FALSE)+VLOOKUP(AT$3,'Embedded Emissions'!$A$129:$B$158,2,FALSE)), $C62 = "3",'Inputs-System'!$C$30*'Coincidence Factors'!$B$8*(1+'Inputs-System'!$C$18)*(1+'Inputs-System'!$C$41)*'Inputs-Proposals'!$L$29*'Inputs-Proposals'!$L$31*('Inputs-Proposals'!$L$20)*(VLOOKUP(AT$3,'Embedded Emissions'!$A$47:$B$78,2,FALSE)+VLOOKUP(AT$3,'Embedded Emissions'!$A$129:$B$158,2,FALSE)), $C62 = "0", 0), 0)</f>
        <v>0</v>
      </c>
      <c r="AV62" s="44">
        <f>IFERROR(_xlfn.IFS($C62="1",( 'Inputs-System'!$C$30*'Coincidence Factors'!$B$8*(1+'Inputs-System'!$C$18)*(1+'Inputs-System'!$C$41))*('Inputs-Proposals'!$L$17*'Inputs-Proposals'!$L$19*('Inputs-Proposals'!$L$20))*(VLOOKUP(AT$3,DRIPE!$A$54:$I$82,5,FALSE)+VLOOKUP(AT$3,DRIPE!$A$54:$I$82,9,FALSE))+ ('Inputs-System'!$C$26*'Coincidence Factors'!$B$8*(1+'Inputs-System'!$C$18)*(1+'Inputs-System'!$C$42))*'Inputs-Proposals'!$L$16*VLOOKUP(AT$3,DRIPE!$A$54:$I$82,8,FALSE), $C62 = "2",( 'Inputs-System'!$C$30*'Coincidence Factors'!$B$8*(1+'Inputs-System'!$C$18)*(1+'Inputs-System'!$C$41))*('Inputs-Proposals'!$L$23*'Inputs-Proposals'!$L$25*('Inputs-Proposals'!$L$26))*(VLOOKUP(AT$3,DRIPE!$A$54:$I$82,5,FALSE)+VLOOKUP(AT$3,DRIPE!$A$54:$I$82,9,FALSE))+  ('Inputs-System'!$C$26*'Coincidence Factors'!$B$8*(1+'Inputs-System'!$C$18)*(1+'Inputs-System'!$C$42))*'Inputs-Proposals'!$L$22*VLOOKUP(AT$3,DRIPE!$A$54:$I$82,8,FALSE), $C62= "3", ( 'Inputs-System'!$C$30*'Coincidence Factors'!$B$8*(1+'Inputs-System'!$C$18)*(1+'Inputs-System'!$C$41))*('Inputs-Proposals'!$L$29*'Inputs-Proposals'!$L$31*('Inputs-Proposals'!$L$32))*(VLOOKUP(AT$3,DRIPE!$A$54:$I$82,5,FALSE)+VLOOKUP(AT$3,DRIPE!$A$54:$I$82,9,FALSE))+  ('Inputs-System'!$C$26*'Coincidence Factors'!$B$8*(1+'Inputs-System'!$C$18)*(1+'Inputs-System'!$C$42))*'Inputs-Proposals'!$L$28*VLOOKUP(AT$3,DRIPE!$A$54:$I$82,8,FALSE), $C62 = "0", 0), 0)</f>
        <v>0</v>
      </c>
      <c r="AW62" s="45">
        <f>IFERROR(_xlfn.IFS($C62="1",('Inputs-System'!$C$30*'Coincidence Factors'!$B$8*(1+'Inputs-System'!$C$18))*'Inputs-Proposals'!$L$16*(VLOOKUP(AT$3,Capacity!$A$53:$E$85,4,FALSE)*(1+'Inputs-System'!$C$42)+VLOOKUP(AT$3,Capacity!$A$53:$E$85,5,FALSE)*'Inputs-System'!$C$29*(1+'Inputs-System'!$C$43)), $C62 = "2", ('Inputs-System'!$C$30*'Coincidence Factors'!$B$8*(1+'Inputs-System'!$C$18))*'Inputs-Proposals'!$L$22*(VLOOKUP(AT$3,Capacity!$A$53:$E$85,4,FALSE)*(1+'Inputs-System'!$C$42)+VLOOKUP(AT$3,Capacity!$A$53:$E$85,5,FALSE)*'Inputs-System'!$C$29*(1+'Inputs-System'!$C$43)), $C62 = "3",('Inputs-System'!$C$30*'Coincidence Factors'!$B$8*(1+'Inputs-System'!$C$18))*'Inputs-Proposals'!$L$28*(VLOOKUP(AT$3,Capacity!$A$53:$E$85,4,FALSE)*(1+'Inputs-System'!$C$42)+VLOOKUP(AT$3,Capacity!$A$53:$E$85,5,FALSE)*'Inputs-System'!$C$29*(1+'Inputs-System'!$C$43)), $C62 = "0", 0), 0)</f>
        <v>0</v>
      </c>
      <c r="AX62" s="44">
        <v>0</v>
      </c>
      <c r="AY62" s="342">
        <f>IFERROR(_xlfn.IFS($C62="1", 'Inputs-System'!$C$30*'Coincidence Factors'!$B$8*'Inputs-Proposals'!$L$17*'Inputs-Proposals'!$L$19*(VLOOKUP(AT$3,'Non-Embedded Emissions'!$A$56:$D$90,2,FALSE)+VLOOKUP(AT$3,'Non-Embedded Emissions'!$A$143:$D$174,2,FALSE)+VLOOKUP(AT$3,'Non-Embedded Emissions'!$A$230:$D$259,2,FALSE)), $C62 = "2", 'Inputs-System'!$C$30*'Coincidence Factors'!$B$8*'Inputs-Proposals'!$L$23*'Inputs-Proposals'!$L$25*(VLOOKUP(AT$3,'Non-Embedded Emissions'!$A$56:$D$90,2,FALSE)+VLOOKUP(AT$3,'Non-Embedded Emissions'!$A$143:$D$174,2,FALSE)+VLOOKUP(AT$3,'Non-Embedded Emissions'!$A$230:$D$259,2,FALSE)), $C62 = "3", 'Inputs-System'!$C$30*'Coincidence Factors'!$B$8*'Inputs-Proposals'!$L$29*'Inputs-Proposals'!$L$31*(VLOOKUP(AT$3,'Non-Embedded Emissions'!$A$56:$D$90,2,FALSE)+VLOOKUP(AT$3,'Non-Embedded Emissions'!$A$143:$D$174,2,FALSE)+VLOOKUP(AT$3,'Non-Embedded Emissions'!$A$230:$D$259,2,FALSE)), $C62 = "0", 0), 0)</f>
        <v>0</v>
      </c>
      <c r="AZ62" s="347">
        <f>IFERROR(_xlfn.IFS($C62="1",('Inputs-System'!$C$30*'Coincidence Factors'!$B$8*(1+'Inputs-System'!$C$18)*(1+'Inputs-System'!$C$41)*('Inputs-Proposals'!$L$17*'Inputs-Proposals'!$L$19*('Inputs-Proposals'!$L$20))*(VLOOKUP(AZ$3,Energy!$A$51:$K$83,5,FALSE))), $C62 = "2",('Inputs-System'!$C$30*'Coincidence Factors'!$B$8)*(1+'Inputs-System'!$C$18)*(1+'Inputs-System'!$C$41)*('Inputs-Proposals'!$L$23*'Inputs-Proposals'!$L$25*('Inputs-Proposals'!$L$26))*(VLOOKUP(AZ$3,Energy!$A$51:$K$83,5,FALSE)), $C62= "3", ('Inputs-System'!$C$30*'Coincidence Factors'!$B$8*(1+'Inputs-System'!$C$18)*(1+'Inputs-System'!$C$41)*('Inputs-Proposals'!$L$29*'Inputs-Proposals'!$L$31*('Inputs-Proposals'!$L$32))*(VLOOKUP(AZ$3,Energy!$A$51:$K$83,5,FALSE))), $C62= "0", 0), 0)</f>
        <v>0</v>
      </c>
      <c r="BA62" s="44">
        <f>IFERROR(_xlfn.IFS($C62="1",'Inputs-System'!$C$30*'Coincidence Factors'!$B$8*(1+'Inputs-System'!$C$18)*(1+'Inputs-System'!$C$41)*'Inputs-Proposals'!$L$17*'Inputs-Proposals'!$L$19*('Inputs-Proposals'!$L$20)*(VLOOKUP(AZ$3,'Embedded Emissions'!$A$47:$B$78,2,FALSE)+VLOOKUP(AZ$3,'Embedded Emissions'!$A$129:$B$158,2,FALSE)), $C62 = "2", 'Inputs-System'!$C$30*'Coincidence Factors'!$B$8*(1+'Inputs-System'!$C$18)*(1+'Inputs-System'!$C$41)*'Inputs-Proposals'!$L$23*'Inputs-Proposals'!$L$25*('Inputs-Proposals'!$L$20)*(VLOOKUP(AZ$3,'Embedded Emissions'!$A$47:$B$78,2,FALSE)+VLOOKUP(AZ$3,'Embedded Emissions'!$A$129:$B$158,2,FALSE)), $C62 = "3",'Inputs-System'!$C$30*'Coincidence Factors'!$B$8*(1+'Inputs-System'!$C$18)*(1+'Inputs-System'!$C$41)*'Inputs-Proposals'!$L$29*'Inputs-Proposals'!$L$31*('Inputs-Proposals'!$L$20)*(VLOOKUP(AZ$3,'Embedded Emissions'!$A$47:$B$78,2,FALSE)+VLOOKUP(AZ$3,'Embedded Emissions'!$A$129:$B$158,2,FALSE)), $C62 = "0", 0), 0)</f>
        <v>0</v>
      </c>
      <c r="BB62" s="44">
        <f>IFERROR(_xlfn.IFS($C62="1",( 'Inputs-System'!$C$30*'Coincidence Factors'!$B$8*(1+'Inputs-System'!$C$18)*(1+'Inputs-System'!$C$41))*('Inputs-Proposals'!$L$17*'Inputs-Proposals'!$L$19*('Inputs-Proposals'!$L$20))*(VLOOKUP(AZ$3,DRIPE!$A$54:$I$82,5,FALSE)+VLOOKUP(AZ$3,DRIPE!$A$54:$I$82,9,FALSE))+ ('Inputs-System'!$C$26*'Coincidence Factors'!$B$8*(1+'Inputs-System'!$C$18)*(1+'Inputs-System'!$C$42))*'Inputs-Proposals'!$L$16*VLOOKUP(AZ$3,DRIPE!$A$54:$I$82,8,FALSE), $C62 = "2",( 'Inputs-System'!$C$30*'Coincidence Factors'!$B$8*(1+'Inputs-System'!$C$18)*(1+'Inputs-System'!$C$41))*('Inputs-Proposals'!$L$23*'Inputs-Proposals'!$L$25*('Inputs-Proposals'!$L$26))*(VLOOKUP(AZ$3,DRIPE!$A$54:$I$82,5,FALSE)+VLOOKUP(AZ$3,DRIPE!$A$54:$I$82,9,FALSE))+  ('Inputs-System'!$C$26*'Coincidence Factors'!$B$8*(1+'Inputs-System'!$C$18)*(1+'Inputs-System'!$C$42))*'Inputs-Proposals'!$L$22*VLOOKUP(AZ$3,DRIPE!$A$54:$I$82,8,FALSE), $C62= "3", ( 'Inputs-System'!$C$30*'Coincidence Factors'!$B$8*(1+'Inputs-System'!$C$18)*(1+'Inputs-System'!$C$41))*('Inputs-Proposals'!$L$29*'Inputs-Proposals'!$L$31*('Inputs-Proposals'!$L$32))*(VLOOKUP(AZ$3,DRIPE!$A$54:$I$82,5,FALSE)+VLOOKUP(AZ$3,DRIPE!$A$54:$I$82,9,FALSE))+  ('Inputs-System'!$C$26*'Coincidence Factors'!$B$8*(1+'Inputs-System'!$C$18)*(1+'Inputs-System'!$C$42))*'Inputs-Proposals'!$L$28*VLOOKUP(AZ$3,DRIPE!$A$54:$I$82,8,FALSE), $C62 = "0", 0), 0)</f>
        <v>0</v>
      </c>
      <c r="BC62" s="45">
        <f>IFERROR(_xlfn.IFS($C62="1",('Inputs-System'!$C$30*'Coincidence Factors'!$B$8*(1+'Inputs-System'!$C$18))*'Inputs-Proposals'!$L$16*(VLOOKUP(AZ$3,Capacity!$A$53:$E$85,4,FALSE)*(1+'Inputs-System'!$C$42)+VLOOKUP(AZ$3,Capacity!$A$53:$E$85,5,FALSE)*'Inputs-System'!$C$29*(1+'Inputs-System'!$C$43)), $C62 = "2", ('Inputs-System'!$C$30*'Coincidence Factors'!$B$8*(1+'Inputs-System'!$C$18))*'Inputs-Proposals'!$L$22*(VLOOKUP(AZ$3,Capacity!$A$53:$E$85,4,FALSE)*(1+'Inputs-System'!$C$42)+VLOOKUP(AZ$3,Capacity!$A$53:$E$85,5,FALSE)*'Inputs-System'!$C$29*(1+'Inputs-System'!$C$43)), $C62 = "3",('Inputs-System'!$C$30*'Coincidence Factors'!$B$8*(1+'Inputs-System'!$C$18))*'Inputs-Proposals'!$L$28*(VLOOKUP(AZ$3,Capacity!$A$53:$E$85,4,FALSE)*(1+'Inputs-System'!$C$42)+VLOOKUP(AZ$3,Capacity!$A$53:$E$85,5,FALSE)*'Inputs-System'!$C$29*(1+'Inputs-System'!$C$43)), $C62 = "0", 0), 0)</f>
        <v>0</v>
      </c>
      <c r="BD62" s="44">
        <v>0</v>
      </c>
      <c r="BE62" s="342">
        <f>IFERROR(_xlfn.IFS($C62="1", 'Inputs-System'!$C$30*'Coincidence Factors'!$B$8*'Inputs-Proposals'!$L$17*'Inputs-Proposals'!$L$19*(VLOOKUP(AZ$3,'Non-Embedded Emissions'!$A$56:$D$90,2,FALSE)+VLOOKUP(AZ$3,'Non-Embedded Emissions'!$A$143:$D$174,2,FALSE)+VLOOKUP(AZ$3,'Non-Embedded Emissions'!$A$230:$D$259,2,FALSE)), $C62 = "2", 'Inputs-System'!$C$30*'Coincidence Factors'!$B$8*'Inputs-Proposals'!$L$23*'Inputs-Proposals'!$L$25*(VLOOKUP(AZ$3,'Non-Embedded Emissions'!$A$56:$D$90,2,FALSE)+VLOOKUP(AZ$3,'Non-Embedded Emissions'!$A$143:$D$174,2,FALSE)+VLOOKUP(AZ$3,'Non-Embedded Emissions'!$A$230:$D$259,2,FALSE)), $C62 = "3", 'Inputs-System'!$C$30*'Coincidence Factors'!$B$8*'Inputs-Proposals'!$L$29*'Inputs-Proposals'!$L$31*(VLOOKUP(AZ$3,'Non-Embedded Emissions'!$A$56:$D$90,2,FALSE)+VLOOKUP(AZ$3,'Non-Embedded Emissions'!$A$143:$D$174,2,FALSE)+VLOOKUP(AZ$3,'Non-Embedded Emissions'!$A$230:$D$259,2,FALSE)), $C62 = "0", 0), 0)</f>
        <v>0</v>
      </c>
      <c r="BF62" s="347">
        <f>IFERROR(_xlfn.IFS($C62="1",('Inputs-System'!$C$30*'Coincidence Factors'!$B$8*(1+'Inputs-System'!$C$18)*(1+'Inputs-System'!$C$41)*('Inputs-Proposals'!$L$17*'Inputs-Proposals'!$L$19*('Inputs-Proposals'!$L$20))*(VLOOKUP(BF$3,Energy!$A$51:$K$83,5,FALSE))), $C62 = "2",('Inputs-System'!$C$30*'Coincidence Factors'!$B$8)*(1+'Inputs-System'!$C$18)*(1+'Inputs-System'!$C$41)*('Inputs-Proposals'!$L$23*'Inputs-Proposals'!$L$25*('Inputs-Proposals'!$L$26))*(VLOOKUP(BF$3,Energy!$A$51:$K$83,5,FALSE)), $C62= "3", ('Inputs-System'!$C$30*'Coincidence Factors'!$B$8*(1+'Inputs-System'!$C$18)*(1+'Inputs-System'!$C$41)*('Inputs-Proposals'!$L$29*'Inputs-Proposals'!$L$31*('Inputs-Proposals'!$L$32))*(VLOOKUP(BF$3,Energy!$A$51:$K$83,5,FALSE))), $C62= "0", 0), 0)</f>
        <v>0</v>
      </c>
      <c r="BG62" s="44">
        <f>IFERROR(_xlfn.IFS($C62="1",'Inputs-System'!$C$30*'Coincidence Factors'!$B$8*(1+'Inputs-System'!$C$18)*(1+'Inputs-System'!$C$41)*'Inputs-Proposals'!$L$17*'Inputs-Proposals'!$L$19*('Inputs-Proposals'!$L$20)*(VLOOKUP(BF$3,'Embedded Emissions'!$A$47:$B$78,2,FALSE)+VLOOKUP(BF$3,'Embedded Emissions'!$A$129:$B$158,2,FALSE)), $C62 = "2", 'Inputs-System'!$C$30*'Coincidence Factors'!$B$8*(1+'Inputs-System'!$C$18)*(1+'Inputs-System'!$C$41)*'Inputs-Proposals'!$L$23*'Inputs-Proposals'!$L$25*('Inputs-Proposals'!$L$20)*(VLOOKUP(BF$3,'Embedded Emissions'!$A$47:$B$78,2,FALSE)+VLOOKUP(BF$3,'Embedded Emissions'!$A$129:$B$158,2,FALSE)), $C62 = "3",'Inputs-System'!$C$30*'Coincidence Factors'!$B$8*(1+'Inputs-System'!$C$18)*(1+'Inputs-System'!$C$41)*'Inputs-Proposals'!$L$29*'Inputs-Proposals'!$L$31*('Inputs-Proposals'!$L$20)*(VLOOKUP(BF$3,'Embedded Emissions'!$A$47:$B$78,2,FALSE)+VLOOKUP(BF$3,'Embedded Emissions'!$A$129:$B$158,2,FALSE)), $C62 = "0", 0), 0)</f>
        <v>0</v>
      </c>
      <c r="BH62" s="44">
        <f>IFERROR(_xlfn.IFS($C62="1",( 'Inputs-System'!$C$30*'Coincidence Factors'!$B$8*(1+'Inputs-System'!$C$18)*(1+'Inputs-System'!$C$41))*('Inputs-Proposals'!$L$17*'Inputs-Proposals'!$L$19*('Inputs-Proposals'!$L$20))*(VLOOKUP(BF$3,DRIPE!$A$54:$I$82,5,FALSE)+VLOOKUP(BF$3,DRIPE!$A$54:$I$82,9,FALSE))+ ('Inputs-System'!$C$26*'Coincidence Factors'!$B$8*(1+'Inputs-System'!$C$18)*(1+'Inputs-System'!$C$42))*'Inputs-Proposals'!$L$16*VLOOKUP(BF$3,DRIPE!$A$54:$I$82,8,FALSE), $C62 = "2",( 'Inputs-System'!$C$30*'Coincidence Factors'!$B$8*(1+'Inputs-System'!$C$18)*(1+'Inputs-System'!$C$41))*('Inputs-Proposals'!$L$23*'Inputs-Proposals'!$L$25*('Inputs-Proposals'!$L$26))*(VLOOKUP(BF$3,DRIPE!$A$54:$I$82,5,FALSE)+VLOOKUP(BF$3,DRIPE!$A$54:$I$82,9,FALSE))+  ('Inputs-System'!$C$26*'Coincidence Factors'!$B$8*(1+'Inputs-System'!$C$18)*(1+'Inputs-System'!$C$42))*'Inputs-Proposals'!$L$22*VLOOKUP(BF$3,DRIPE!$A$54:$I$82,8,FALSE), $C62= "3", ( 'Inputs-System'!$C$30*'Coincidence Factors'!$B$8*(1+'Inputs-System'!$C$18)*(1+'Inputs-System'!$C$41))*('Inputs-Proposals'!$L$29*'Inputs-Proposals'!$L$31*('Inputs-Proposals'!$L$32))*(VLOOKUP(BF$3,DRIPE!$A$54:$I$82,5,FALSE)+VLOOKUP(BF$3,DRIPE!$A$54:$I$82,9,FALSE))+  ('Inputs-System'!$C$26*'Coincidence Factors'!$B$8*(1+'Inputs-System'!$C$18)*(1+'Inputs-System'!$C$42))*'Inputs-Proposals'!$L$28*VLOOKUP(BF$3,DRIPE!$A$54:$I$82,8,FALSE), $C62 = "0", 0), 0)</f>
        <v>0</v>
      </c>
      <c r="BI62" s="45">
        <f>IFERROR(_xlfn.IFS($C62="1",('Inputs-System'!$C$30*'Coincidence Factors'!$B$8*(1+'Inputs-System'!$C$18))*'Inputs-Proposals'!$L$16*(VLOOKUP(BF$3,Capacity!$A$53:$E$85,4,FALSE)*(1+'Inputs-System'!$C$42)+VLOOKUP(BF$3,Capacity!$A$53:$E$85,5,FALSE)*'Inputs-System'!$C$29*(1+'Inputs-System'!$C$43)), $C62 = "2", ('Inputs-System'!$C$30*'Coincidence Factors'!$B$8*(1+'Inputs-System'!$C$18))*'Inputs-Proposals'!$L$22*(VLOOKUP(BF$3,Capacity!$A$53:$E$85,4,FALSE)*(1+'Inputs-System'!$C$42)+VLOOKUP(BF$3,Capacity!$A$53:$E$85,5,FALSE)*'Inputs-System'!$C$29*(1+'Inputs-System'!$C$43)), $C62 = "3",('Inputs-System'!$C$30*'Coincidence Factors'!$B$8*(1+'Inputs-System'!$C$18))*'Inputs-Proposals'!$L$28*(VLOOKUP(BF$3,Capacity!$A$53:$E$85,4,FALSE)*(1+'Inputs-System'!$C$42)+VLOOKUP(BF$3,Capacity!$A$53:$E$85,5,FALSE)*'Inputs-System'!$C$29*(1+'Inputs-System'!$C$43)), $C62 = "0", 0), 0)</f>
        <v>0</v>
      </c>
      <c r="BJ62" s="44">
        <v>0</v>
      </c>
      <c r="BK62" s="342">
        <f>IFERROR(_xlfn.IFS($C62="1", 'Inputs-System'!$C$30*'Coincidence Factors'!$B$8*'Inputs-Proposals'!$L$17*'Inputs-Proposals'!$L$19*(VLOOKUP(BF$3,'Non-Embedded Emissions'!$A$56:$D$90,2,FALSE)+VLOOKUP(BF$3,'Non-Embedded Emissions'!$A$143:$D$174,2,FALSE)+VLOOKUP(BF$3,'Non-Embedded Emissions'!$A$230:$D$259,2,FALSE)), $C62 = "2", 'Inputs-System'!$C$30*'Coincidence Factors'!$B$8*'Inputs-Proposals'!$L$23*'Inputs-Proposals'!$L$25*(VLOOKUP(BF$3,'Non-Embedded Emissions'!$A$56:$D$90,2,FALSE)+VLOOKUP(BF$3,'Non-Embedded Emissions'!$A$143:$D$174,2,FALSE)+VLOOKUP(BF$3,'Non-Embedded Emissions'!$A$230:$D$259,2,FALSE)), $C62 = "3", 'Inputs-System'!$C$30*'Coincidence Factors'!$B$8*'Inputs-Proposals'!$L$29*'Inputs-Proposals'!$L$31*(VLOOKUP(BF$3,'Non-Embedded Emissions'!$A$56:$D$90,2,FALSE)+VLOOKUP(BF$3,'Non-Embedded Emissions'!$A$143:$D$174,2,FALSE)+VLOOKUP(BF$3,'Non-Embedded Emissions'!$A$230:$D$259,2,FALSE)), $C62 = "0", 0), 0)</f>
        <v>0</v>
      </c>
      <c r="BL62" s="347">
        <f>IFERROR(_xlfn.IFS($C62="1",('Inputs-System'!$C$30*'Coincidence Factors'!$B$8*(1+'Inputs-System'!$C$18)*(1+'Inputs-System'!$C$41)*('Inputs-Proposals'!$L$17*'Inputs-Proposals'!$L$19*('Inputs-Proposals'!$L$20))*(VLOOKUP(BL$3,Energy!$A$51:$K$83,5,FALSE))), $C62 = "2",('Inputs-System'!$C$30*'Coincidence Factors'!$B$8)*(1+'Inputs-System'!$C$18)*(1+'Inputs-System'!$C$41)*('Inputs-Proposals'!$L$23*'Inputs-Proposals'!$L$25*('Inputs-Proposals'!$L$26))*(VLOOKUP(BL$3,Energy!$A$51:$K$83,5,FALSE)), $C62= "3", ('Inputs-System'!$C$30*'Coincidence Factors'!$B$8*(1+'Inputs-System'!$C$18)*(1+'Inputs-System'!$C$41)*('Inputs-Proposals'!$L$29*'Inputs-Proposals'!$L$31*('Inputs-Proposals'!$L$32))*(VLOOKUP(BL$3,Energy!$A$51:$K$83,5,FALSE))), $C62= "0", 0), 0)</f>
        <v>0</v>
      </c>
      <c r="BM62" s="44">
        <f>IFERROR(_xlfn.IFS($C62="1",'Inputs-System'!$C$30*'Coincidence Factors'!$B$8*(1+'Inputs-System'!$C$18)*(1+'Inputs-System'!$C$41)*'Inputs-Proposals'!$L$17*'Inputs-Proposals'!$L$19*('Inputs-Proposals'!$L$20)*(VLOOKUP(BL$3,'Embedded Emissions'!$A$47:$B$78,2,FALSE)+VLOOKUP(BL$3,'Embedded Emissions'!$A$129:$B$158,2,FALSE)), $C62 = "2", 'Inputs-System'!$C$30*'Coincidence Factors'!$B$8*(1+'Inputs-System'!$C$18)*(1+'Inputs-System'!$C$41)*'Inputs-Proposals'!$L$23*'Inputs-Proposals'!$L$25*('Inputs-Proposals'!$L$20)*(VLOOKUP(BL$3,'Embedded Emissions'!$A$47:$B$78,2,FALSE)+VLOOKUP(BL$3,'Embedded Emissions'!$A$129:$B$158,2,FALSE)), $C62 = "3",'Inputs-System'!$C$30*'Coincidence Factors'!$B$8*(1+'Inputs-System'!$C$18)*(1+'Inputs-System'!$C$41)*'Inputs-Proposals'!$L$29*'Inputs-Proposals'!$L$31*('Inputs-Proposals'!$L$20)*(VLOOKUP(BL$3,'Embedded Emissions'!$A$47:$B$78,2,FALSE)+VLOOKUP(BL$3,'Embedded Emissions'!$A$129:$B$158,2,FALSE)), $C62 = "0", 0), 0)</f>
        <v>0</v>
      </c>
      <c r="BN62" s="44">
        <f>IFERROR(_xlfn.IFS($C62="1",( 'Inputs-System'!$C$30*'Coincidence Factors'!$B$8*(1+'Inputs-System'!$C$18)*(1+'Inputs-System'!$C$41))*('Inputs-Proposals'!$L$17*'Inputs-Proposals'!$L$19*('Inputs-Proposals'!$L$20))*(VLOOKUP(BL$3,DRIPE!$A$54:$I$82,5,FALSE)+VLOOKUP(BL$3,DRIPE!$A$54:$I$82,9,FALSE))+ ('Inputs-System'!$C$26*'Coincidence Factors'!$B$8*(1+'Inputs-System'!$C$18)*(1+'Inputs-System'!$C$42))*'Inputs-Proposals'!$L$16*VLOOKUP(BL$3,DRIPE!$A$54:$I$82,8,FALSE), $C62 = "2",( 'Inputs-System'!$C$30*'Coincidence Factors'!$B$8*(1+'Inputs-System'!$C$18)*(1+'Inputs-System'!$C$41))*('Inputs-Proposals'!$L$23*'Inputs-Proposals'!$L$25*('Inputs-Proposals'!$L$26))*(VLOOKUP(BL$3,DRIPE!$A$54:$I$82,5,FALSE)+VLOOKUP(BL$3,DRIPE!$A$54:$I$82,9,FALSE))+  ('Inputs-System'!$C$26*'Coincidence Factors'!$B$8*(1+'Inputs-System'!$C$18)*(1+'Inputs-System'!$C$42))*'Inputs-Proposals'!$L$22*VLOOKUP(BL$3,DRIPE!$A$54:$I$82,8,FALSE), $C62= "3", ( 'Inputs-System'!$C$30*'Coincidence Factors'!$B$8*(1+'Inputs-System'!$C$18)*(1+'Inputs-System'!$C$41))*('Inputs-Proposals'!$L$29*'Inputs-Proposals'!$L$31*('Inputs-Proposals'!$L$32))*(VLOOKUP(BL$3,DRIPE!$A$54:$I$82,5,FALSE)+VLOOKUP(BL$3,DRIPE!$A$54:$I$82,9,FALSE))+  ('Inputs-System'!$C$26*'Coincidence Factors'!$B$8*(1+'Inputs-System'!$C$18)*(1+'Inputs-System'!$C$42))*'Inputs-Proposals'!$L$28*VLOOKUP(BL$3,DRIPE!$A$54:$I$82,8,FALSE), $C62 = "0", 0), 0)</f>
        <v>0</v>
      </c>
      <c r="BO62" s="45">
        <f>IFERROR(_xlfn.IFS($C62="1",('Inputs-System'!$C$30*'Coincidence Factors'!$B$8*(1+'Inputs-System'!$C$18))*'Inputs-Proposals'!$L$16*(VLOOKUP(BL$3,Capacity!$A$53:$E$85,4,FALSE)*(1+'Inputs-System'!$C$42)+VLOOKUP(BL$3,Capacity!$A$53:$E$85,5,FALSE)*'Inputs-System'!$C$29*(1+'Inputs-System'!$C$43)), $C62 = "2", ('Inputs-System'!$C$30*'Coincidence Factors'!$B$8*(1+'Inputs-System'!$C$18))*'Inputs-Proposals'!$L$22*(VLOOKUP(BL$3,Capacity!$A$53:$E$85,4,FALSE)*(1+'Inputs-System'!$C$42)+VLOOKUP(BL$3,Capacity!$A$53:$E$85,5,FALSE)*'Inputs-System'!$C$29*(1+'Inputs-System'!$C$43)), $C62 = "3",('Inputs-System'!$C$30*'Coincidence Factors'!$B$8*(1+'Inputs-System'!$C$18))*'Inputs-Proposals'!$L$28*(VLOOKUP(BL$3,Capacity!$A$53:$E$85,4,FALSE)*(1+'Inputs-System'!$C$42)+VLOOKUP(BL$3,Capacity!$A$53:$E$85,5,FALSE)*'Inputs-System'!$C$29*(1+'Inputs-System'!$C$43)), $C62 = "0", 0), 0)</f>
        <v>0</v>
      </c>
      <c r="BP62" s="44">
        <v>0</v>
      </c>
      <c r="BQ62" s="342">
        <f>IFERROR(_xlfn.IFS($C62="1", 'Inputs-System'!$C$30*'Coincidence Factors'!$B$8*'Inputs-Proposals'!$L$17*'Inputs-Proposals'!$L$19*(VLOOKUP(BL$3,'Non-Embedded Emissions'!$A$56:$D$90,2,FALSE)+VLOOKUP(BL$3,'Non-Embedded Emissions'!$A$143:$D$174,2,FALSE)+VLOOKUP(BL$3,'Non-Embedded Emissions'!$A$230:$D$259,2,FALSE)), $C62 = "2", 'Inputs-System'!$C$30*'Coincidence Factors'!$B$8*'Inputs-Proposals'!$L$23*'Inputs-Proposals'!$L$25*(VLOOKUP(BL$3,'Non-Embedded Emissions'!$A$56:$D$90,2,FALSE)+VLOOKUP(BL$3,'Non-Embedded Emissions'!$A$143:$D$174,2,FALSE)+VLOOKUP(BL$3,'Non-Embedded Emissions'!$A$230:$D$259,2,FALSE)), $C62 = "3", 'Inputs-System'!$C$30*'Coincidence Factors'!$B$8*'Inputs-Proposals'!$L$29*'Inputs-Proposals'!$L$31*(VLOOKUP(BL$3,'Non-Embedded Emissions'!$A$56:$D$90,2,FALSE)+VLOOKUP(BL$3,'Non-Embedded Emissions'!$A$143:$D$174,2,FALSE)+VLOOKUP(BL$3,'Non-Embedded Emissions'!$A$230:$D$259,2,FALSE)), $C62 = "0", 0), 0)</f>
        <v>0</v>
      </c>
      <c r="BR62" s="347">
        <f>IFERROR(_xlfn.IFS($C62="1",('Inputs-System'!$C$30*'Coincidence Factors'!$B$8*(1+'Inputs-System'!$C$18)*(1+'Inputs-System'!$C$41)*('Inputs-Proposals'!$L$17*'Inputs-Proposals'!$L$19*('Inputs-Proposals'!$L$20))*(VLOOKUP(BR$3,Energy!$A$51:$K$83,5,FALSE))), $C62 = "2",('Inputs-System'!$C$30*'Coincidence Factors'!$B$8)*(1+'Inputs-System'!$C$18)*(1+'Inputs-System'!$C$41)*('Inputs-Proposals'!$L$23*'Inputs-Proposals'!$L$25*('Inputs-Proposals'!$L$26))*(VLOOKUP(BR$3,Energy!$A$51:$K$83,5,FALSE)), $C62= "3", ('Inputs-System'!$C$30*'Coincidence Factors'!$B$8*(1+'Inputs-System'!$C$18)*(1+'Inputs-System'!$C$41)*('Inputs-Proposals'!$L$29*'Inputs-Proposals'!$L$31*('Inputs-Proposals'!$L$32))*(VLOOKUP(BR$3,Energy!$A$51:$K$83,5,FALSE))), $C62= "0", 0), 0)</f>
        <v>0</v>
      </c>
      <c r="BS62" s="44">
        <f>IFERROR(_xlfn.IFS($C62="1",'Inputs-System'!$C$30*'Coincidence Factors'!$B$8*(1+'Inputs-System'!$C$18)*(1+'Inputs-System'!$C$41)*'Inputs-Proposals'!$L$17*'Inputs-Proposals'!$L$19*('Inputs-Proposals'!$L$20)*(VLOOKUP(BR$3,'Embedded Emissions'!$A$47:$B$78,2,FALSE)+VLOOKUP(BR$3,'Embedded Emissions'!$A$129:$B$158,2,FALSE)), $C62 = "2", 'Inputs-System'!$C$30*'Coincidence Factors'!$B$8*(1+'Inputs-System'!$C$18)*(1+'Inputs-System'!$C$41)*'Inputs-Proposals'!$L$23*'Inputs-Proposals'!$L$25*('Inputs-Proposals'!$L$20)*(VLOOKUP(BR$3,'Embedded Emissions'!$A$47:$B$78,2,FALSE)+VLOOKUP(BR$3,'Embedded Emissions'!$A$129:$B$158,2,FALSE)), $C62 = "3",'Inputs-System'!$C$30*'Coincidence Factors'!$B$8*(1+'Inputs-System'!$C$18)*(1+'Inputs-System'!$C$41)*'Inputs-Proposals'!$L$29*'Inputs-Proposals'!$L$31*('Inputs-Proposals'!$L$20)*(VLOOKUP(BR$3,'Embedded Emissions'!$A$47:$B$78,2,FALSE)+VLOOKUP(BR$3,'Embedded Emissions'!$A$129:$B$158,2,FALSE)), $C62 = "0", 0), 0)</f>
        <v>0</v>
      </c>
      <c r="BT62" s="44">
        <f>IFERROR(_xlfn.IFS($C62="1",( 'Inputs-System'!$C$30*'Coincidence Factors'!$B$8*(1+'Inputs-System'!$C$18)*(1+'Inputs-System'!$C$41))*('Inputs-Proposals'!$L$17*'Inputs-Proposals'!$L$19*('Inputs-Proposals'!$L$20))*(VLOOKUP(BR$3,DRIPE!$A$54:$I$82,5,FALSE)+VLOOKUP(BR$3,DRIPE!$A$54:$I$82,9,FALSE))+ ('Inputs-System'!$C$26*'Coincidence Factors'!$B$8*(1+'Inputs-System'!$C$18)*(1+'Inputs-System'!$C$42))*'Inputs-Proposals'!$L$16*VLOOKUP(BR$3,DRIPE!$A$54:$I$82,8,FALSE), $C62 = "2",( 'Inputs-System'!$C$30*'Coincidence Factors'!$B$8*(1+'Inputs-System'!$C$18)*(1+'Inputs-System'!$C$41))*('Inputs-Proposals'!$L$23*'Inputs-Proposals'!$L$25*('Inputs-Proposals'!$L$26))*(VLOOKUP(BR$3,DRIPE!$A$54:$I$82,5,FALSE)+VLOOKUP(BR$3,DRIPE!$A$54:$I$82,9,FALSE))+  ('Inputs-System'!$C$26*'Coincidence Factors'!$B$8*(1+'Inputs-System'!$C$18)*(1+'Inputs-System'!$C$42))*'Inputs-Proposals'!$L$22*VLOOKUP(BR$3,DRIPE!$A$54:$I$82,8,FALSE), $C62= "3", ( 'Inputs-System'!$C$30*'Coincidence Factors'!$B$8*(1+'Inputs-System'!$C$18)*(1+'Inputs-System'!$C$41))*('Inputs-Proposals'!$L$29*'Inputs-Proposals'!$L$31*('Inputs-Proposals'!$L$32))*(VLOOKUP(BR$3,DRIPE!$A$54:$I$82,5,FALSE)+VLOOKUP(BR$3,DRIPE!$A$54:$I$82,9,FALSE))+  ('Inputs-System'!$C$26*'Coincidence Factors'!$B$8*(1+'Inputs-System'!$C$18)*(1+'Inputs-System'!$C$42))*'Inputs-Proposals'!$L$28*VLOOKUP(BR$3,DRIPE!$A$54:$I$82,8,FALSE), $C62 = "0", 0), 0)</f>
        <v>0</v>
      </c>
      <c r="BU62" s="45">
        <f>IFERROR(_xlfn.IFS($C62="1",('Inputs-System'!$C$30*'Coincidence Factors'!$B$8*(1+'Inputs-System'!$C$18))*'Inputs-Proposals'!$L$16*(VLOOKUP(BR$3,Capacity!$A$53:$E$85,4,FALSE)*(1+'Inputs-System'!$C$42)+VLOOKUP(BR$3,Capacity!$A$53:$E$85,5,FALSE)*'Inputs-System'!$C$29*(1+'Inputs-System'!$C$43)), $C62 = "2", ('Inputs-System'!$C$30*'Coincidence Factors'!$B$8*(1+'Inputs-System'!$C$18))*'Inputs-Proposals'!$L$22*(VLOOKUP(BR$3,Capacity!$A$53:$E$85,4,FALSE)*(1+'Inputs-System'!$C$42)+VLOOKUP(BR$3,Capacity!$A$53:$E$85,5,FALSE)*'Inputs-System'!$C$29*(1+'Inputs-System'!$C$43)), $C62 = "3",('Inputs-System'!$C$30*'Coincidence Factors'!$B$8*(1+'Inputs-System'!$C$18))*'Inputs-Proposals'!$L$28*(VLOOKUP(BR$3,Capacity!$A$53:$E$85,4,FALSE)*(1+'Inputs-System'!$C$42)+VLOOKUP(BR$3,Capacity!$A$53:$E$85,5,FALSE)*'Inputs-System'!$C$29*(1+'Inputs-System'!$C$43)), $C62 = "0", 0), 0)</f>
        <v>0</v>
      </c>
      <c r="BV62" s="44">
        <v>0</v>
      </c>
      <c r="BW62" s="342">
        <f>IFERROR(_xlfn.IFS($C62="1", 'Inputs-System'!$C$30*'Coincidence Factors'!$B$8*'Inputs-Proposals'!$L$17*'Inputs-Proposals'!$L$19*(VLOOKUP(BR$3,'Non-Embedded Emissions'!$A$56:$D$90,2,FALSE)+VLOOKUP(BR$3,'Non-Embedded Emissions'!$A$143:$D$174,2,FALSE)+VLOOKUP(BR$3,'Non-Embedded Emissions'!$A$230:$D$259,2,FALSE)), $C62 = "2", 'Inputs-System'!$C$30*'Coincidence Factors'!$B$8*'Inputs-Proposals'!$L$23*'Inputs-Proposals'!$L$25*(VLOOKUP(BR$3,'Non-Embedded Emissions'!$A$56:$D$90,2,FALSE)+VLOOKUP(BR$3,'Non-Embedded Emissions'!$A$143:$D$174,2,FALSE)+VLOOKUP(BR$3,'Non-Embedded Emissions'!$A$230:$D$259,2,FALSE)), $C62 = "3", 'Inputs-System'!$C$30*'Coincidence Factors'!$B$8*'Inputs-Proposals'!$L$29*'Inputs-Proposals'!$L$31*(VLOOKUP(BR$3,'Non-Embedded Emissions'!$A$56:$D$90,2,FALSE)+VLOOKUP(BR$3,'Non-Embedded Emissions'!$A$143:$D$174,2,FALSE)+VLOOKUP(BR$3,'Non-Embedded Emissions'!$A$230:$D$259,2,FALSE)), $C62 = "0", 0), 0)</f>
        <v>0</v>
      </c>
      <c r="BX62" s="347">
        <f>IFERROR(_xlfn.IFS($C62="1",('Inputs-System'!$C$30*'Coincidence Factors'!$B$8*(1+'Inputs-System'!$C$18)*(1+'Inputs-System'!$C$41)*('Inputs-Proposals'!$L$17*'Inputs-Proposals'!$L$19*('Inputs-Proposals'!$L$20))*(VLOOKUP(BX$3,Energy!$A$51:$K$83,5,FALSE))), $C62 = "2",('Inputs-System'!$C$30*'Coincidence Factors'!$B$8)*(1+'Inputs-System'!$C$18)*(1+'Inputs-System'!$C$41)*('Inputs-Proposals'!$L$23*'Inputs-Proposals'!$L$25*('Inputs-Proposals'!$L$26))*(VLOOKUP(BX$3,Energy!$A$51:$K$83,5,FALSE)), $C62= "3", ('Inputs-System'!$C$30*'Coincidence Factors'!$B$8*(1+'Inputs-System'!$C$18)*(1+'Inputs-System'!$C$41)*('Inputs-Proposals'!$L$29*'Inputs-Proposals'!$L$31*('Inputs-Proposals'!$L$32))*(VLOOKUP(BX$3,Energy!$A$51:$K$83,5,FALSE))), $C62= "0", 0), 0)</f>
        <v>0</v>
      </c>
      <c r="BY62" s="44">
        <f>IFERROR(_xlfn.IFS($C62="1",'Inputs-System'!$C$30*'Coincidence Factors'!$B$8*(1+'Inputs-System'!$C$18)*(1+'Inputs-System'!$C$41)*'Inputs-Proposals'!$L$17*'Inputs-Proposals'!$L$19*('Inputs-Proposals'!$L$20)*(VLOOKUP(BX$3,'Embedded Emissions'!$A$47:$B$78,2,FALSE)+VLOOKUP(BX$3,'Embedded Emissions'!$A$129:$B$158,2,FALSE)), $C62 = "2", 'Inputs-System'!$C$30*'Coincidence Factors'!$B$8*(1+'Inputs-System'!$C$18)*(1+'Inputs-System'!$C$41)*'Inputs-Proposals'!$L$23*'Inputs-Proposals'!$L$25*('Inputs-Proposals'!$L$20)*(VLOOKUP(BX$3,'Embedded Emissions'!$A$47:$B$78,2,FALSE)+VLOOKUP(BX$3,'Embedded Emissions'!$A$129:$B$158,2,FALSE)), $C62 = "3",'Inputs-System'!$C$30*'Coincidence Factors'!$B$8*(1+'Inputs-System'!$C$18)*(1+'Inputs-System'!$C$41)*'Inputs-Proposals'!$L$29*'Inputs-Proposals'!$L$31*('Inputs-Proposals'!$L$20)*(VLOOKUP(BX$3,'Embedded Emissions'!$A$47:$B$78,2,FALSE)+VLOOKUP(BX$3,'Embedded Emissions'!$A$129:$B$158,2,FALSE)), $C62 = "0", 0), 0)</f>
        <v>0</v>
      </c>
      <c r="BZ62" s="44">
        <f>IFERROR(_xlfn.IFS($C62="1",( 'Inputs-System'!$C$30*'Coincidence Factors'!$B$8*(1+'Inputs-System'!$C$18)*(1+'Inputs-System'!$C$41))*('Inputs-Proposals'!$L$17*'Inputs-Proposals'!$L$19*('Inputs-Proposals'!$L$20))*(VLOOKUP(BX$3,DRIPE!$A$54:$I$82,5,FALSE)+VLOOKUP(BX$3,DRIPE!$A$54:$I$82,9,FALSE))+ ('Inputs-System'!$C$26*'Coincidence Factors'!$B$8*(1+'Inputs-System'!$C$18)*(1+'Inputs-System'!$C$42))*'Inputs-Proposals'!$L$16*VLOOKUP(BX$3,DRIPE!$A$54:$I$82,8,FALSE), $C62 = "2",( 'Inputs-System'!$C$30*'Coincidence Factors'!$B$8*(1+'Inputs-System'!$C$18)*(1+'Inputs-System'!$C$41))*('Inputs-Proposals'!$L$23*'Inputs-Proposals'!$L$25*('Inputs-Proposals'!$L$26))*(VLOOKUP(BX$3,DRIPE!$A$54:$I$82,5,FALSE)+VLOOKUP(BX$3,DRIPE!$A$54:$I$82,9,FALSE))+  ('Inputs-System'!$C$26*'Coincidence Factors'!$B$8*(1+'Inputs-System'!$C$18)*(1+'Inputs-System'!$C$42))*'Inputs-Proposals'!$L$22*VLOOKUP(BX$3,DRIPE!$A$54:$I$82,8,FALSE), $C62= "3", ( 'Inputs-System'!$C$30*'Coincidence Factors'!$B$8*(1+'Inputs-System'!$C$18)*(1+'Inputs-System'!$C$41))*('Inputs-Proposals'!$L$29*'Inputs-Proposals'!$L$31*('Inputs-Proposals'!$L$32))*(VLOOKUP(BX$3,DRIPE!$A$54:$I$82,5,FALSE)+VLOOKUP(BX$3,DRIPE!$A$54:$I$82,9,FALSE))+  ('Inputs-System'!$C$26*'Coincidence Factors'!$B$8*(1+'Inputs-System'!$C$18)*(1+'Inputs-System'!$C$42))*'Inputs-Proposals'!$L$28*VLOOKUP(BX$3,DRIPE!$A$54:$I$82,8,FALSE), $C62 = "0", 0), 0)</f>
        <v>0</v>
      </c>
      <c r="CA62" s="45">
        <f>IFERROR(_xlfn.IFS($C62="1",('Inputs-System'!$C$30*'Coincidence Factors'!$B$8*(1+'Inputs-System'!$C$18))*'Inputs-Proposals'!$L$16*(VLOOKUP(BX$3,Capacity!$A$53:$E$85,4,FALSE)*(1+'Inputs-System'!$C$42)+VLOOKUP(BX$3,Capacity!$A$53:$E$85,5,FALSE)*'Inputs-System'!$C$29*(1+'Inputs-System'!$C$43)), $C62 = "2", ('Inputs-System'!$C$30*'Coincidence Factors'!$B$8*(1+'Inputs-System'!$C$18))*'Inputs-Proposals'!$L$22*(VLOOKUP(BX$3,Capacity!$A$53:$E$85,4,FALSE)*(1+'Inputs-System'!$C$42)+VLOOKUP(BX$3,Capacity!$A$53:$E$85,5,FALSE)*'Inputs-System'!$C$29*(1+'Inputs-System'!$C$43)), $C62 = "3",('Inputs-System'!$C$30*'Coincidence Factors'!$B$8*(1+'Inputs-System'!$C$18))*'Inputs-Proposals'!$L$28*(VLOOKUP(BX$3,Capacity!$A$53:$E$85,4,FALSE)*(1+'Inputs-System'!$C$42)+VLOOKUP(BX$3,Capacity!$A$53:$E$85,5,FALSE)*'Inputs-System'!$C$29*(1+'Inputs-System'!$C$43)), $C62 = "0", 0), 0)</f>
        <v>0</v>
      </c>
      <c r="CB62" s="44">
        <v>0</v>
      </c>
      <c r="CC62" s="342">
        <f>IFERROR(_xlfn.IFS($C62="1", 'Inputs-System'!$C$30*'Coincidence Factors'!$B$8*'Inputs-Proposals'!$L$17*'Inputs-Proposals'!$L$19*(VLOOKUP(BX$3,'Non-Embedded Emissions'!$A$56:$D$90,2,FALSE)+VLOOKUP(BX$3,'Non-Embedded Emissions'!$A$143:$D$174,2,FALSE)+VLOOKUP(BX$3,'Non-Embedded Emissions'!$A$230:$D$259,2,FALSE)), $C62 = "2", 'Inputs-System'!$C$30*'Coincidence Factors'!$B$8*'Inputs-Proposals'!$L$23*'Inputs-Proposals'!$L$25*(VLOOKUP(BX$3,'Non-Embedded Emissions'!$A$56:$D$90,2,FALSE)+VLOOKUP(BX$3,'Non-Embedded Emissions'!$A$143:$D$174,2,FALSE)+VLOOKUP(BX$3,'Non-Embedded Emissions'!$A$230:$D$259,2,FALSE)), $C62 = "3", 'Inputs-System'!$C$30*'Coincidence Factors'!$B$8*'Inputs-Proposals'!$L$29*'Inputs-Proposals'!$L$31*(VLOOKUP(BX$3,'Non-Embedded Emissions'!$A$56:$D$90,2,FALSE)+VLOOKUP(BX$3,'Non-Embedded Emissions'!$A$143:$D$174,2,FALSE)+VLOOKUP(BX$3,'Non-Embedded Emissions'!$A$230:$D$259,2,FALSE)), $C62 = "0", 0), 0)</f>
        <v>0</v>
      </c>
      <c r="CD62" s="347">
        <f>IFERROR(_xlfn.IFS($C62="1",('Inputs-System'!$C$30*'Coincidence Factors'!$B$8*(1+'Inputs-System'!$C$18)*(1+'Inputs-System'!$C$41)*('Inputs-Proposals'!$L$17*'Inputs-Proposals'!$L$19*('Inputs-Proposals'!$L$20))*(VLOOKUP(CD$3,Energy!$A$51:$K$83,5,FALSE))), $C62 = "2",('Inputs-System'!$C$30*'Coincidence Factors'!$B$8)*(1+'Inputs-System'!$C$18)*(1+'Inputs-System'!$C$41)*('Inputs-Proposals'!$L$23*'Inputs-Proposals'!$L$25*('Inputs-Proposals'!$L$26))*(VLOOKUP(CD$3,Energy!$A$51:$K$83,5,FALSE)), $C62= "3", ('Inputs-System'!$C$30*'Coincidence Factors'!$B$8*(1+'Inputs-System'!$C$18)*(1+'Inputs-System'!$C$41)*('Inputs-Proposals'!$L$29*'Inputs-Proposals'!$L$31*('Inputs-Proposals'!$L$32))*(VLOOKUP(CD$3,Energy!$A$51:$K$83,5,FALSE))), $C62= "0", 0), 0)</f>
        <v>0</v>
      </c>
      <c r="CE62" s="44">
        <f>IFERROR(_xlfn.IFS($C62="1",'Inputs-System'!$C$30*'Coincidence Factors'!$B$8*(1+'Inputs-System'!$C$18)*(1+'Inputs-System'!$C$41)*'Inputs-Proposals'!$L$17*'Inputs-Proposals'!$L$19*('Inputs-Proposals'!$L$20)*(VLOOKUP(CD$3,'Embedded Emissions'!$A$47:$B$78,2,FALSE)+VLOOKUP(CD$3,'Embedded Emissions'!$A$129:$B$158,2,FALSE)), $C62 = "2", 'Inputs-System'!$C$30*'Coincidence Factors'!$B$8*(1+'Inputs-System'!$C$18)*(1+'Inputs-System'!$C$41)*'Inputs-Proposals'!$L$23*'Inputs-Proposals'!$L$25*('Inputs-Proposals'!$L$20)*(VLOOKUP(CD$3,'Embedded Emissions'!$A$47:$B$78,2,FALSE)+VLOOKUP(CD$3,'Embedded Emissions'!$A$129:$B$158,2,FALSE)), $C62 = "3",'Inputs-System'!$C$30*'Coincidence Factors'!$B$8*(1+'Inputs-System'!$C$18)*(1+'Inputs-System'!$C$41)*'Inputs-Proposals'!$L$29*'Inputs-Proposals'!$L$31*('Inputs-Proposals'!$L$20)*(VLOOKUP(CD$3,'Embedded Emissions'!$A$47:$B$78,2,FALSE)+VLOOKUP(CD$3,'Embedded Emissions'!$A$129:$B$158,2,FALSE)), $C62 = "0", 0), 0)</f>
        <v>0</v>
      </c>
      <c r="CF62" s="44">
        <f>IFERROR(_xlfn.IFS($C62="1",( 'Inputs-System'!$C$30*'Coincidence Factors'!$B$8*(1+'Inputs-System'!$C$18)*(1+'Inputs-System'!$C$41))*('Inputs-Proposals'!$L$17*'Inputs-Proposals'!$L$19*('Inputs-Proposals'!$L$20))*(VLOOKUP(CD$3,DRIPE!$A$54:$I$82,5,FALSE)+VLOOKUP(CD$3,DRIPE!$A$54:$I$82,9,FALSE))+ ('Inputs-System'!$C$26*'Coincidence Factors'!$B$8*(1+'Inputs-System'!$C$18)*(1+'Inputs-System'!$C$42))*'Inputs-Proposals'!$L$16*VLOOKUP(CD$3,DRIPE!$A$54:$I$82,8,FALSE), $C62 = "2",( 'Inputs-System'!$C$30*'Coincidence Factors'!$B$8*(1+'Inputs-System'!$C$18)*(1+'Inputs-System'!$C$41))*('Inputs-Proposals'!$L$23*'Inputs-Proposals'!$L$25*('Inputs-Proposals'!$L$26))*(VLOOKUP(CD$3,DRIPE!$A$54:$I$82,5,FALSE)+VLOOKUP(CD$3,DRIPE!$A$54:$I$82,9,FALSE))+  ('Inputs-System'!$C$26*'Coincidence Factors'!$B$8*(1+'Inputs-System'!$C$18)*(1+'Inputs-System'!$C$42))*'Inputs-Proposals'!$L$22*VLOOKUP(CD$3,DRIPE!$A$54:$I$82,8,FALSE), $C62= "3", ( 'Inputs-System'!$C$30*'Coincidence Factors'!$B$8*(1+'Inputs-System'!$C$18)*(1+'Inputs-System'!$C$41))*('Inputs-Proposals'!$L$29*'Inputs-Proposals'!$L$31*('Inputs-Proposals'!$L$32))*(VLOOKUP(CD$3,DRIPE!$A$54:$I$82,5,FALSE)+VLOOKUP(CD$3,DRIPE!$A$54:$I$82,9,FALSE))+  ('Inputs-System'!$C$26*'Coincidence Factors'!$B$8*(1+'Inputs-System'!$C$18)*(1+'Inputs-System'!$C$42))*'Inputs-Proposals'!$L$28*VLOOKUP(CD$3,DRIPE!$A$54:$I$82,8,FALSE), $C62 = "0", 0), 0)</f>
        <v>0</v>
      </c>
      <c r="CG62" s="45">
        <f>IFERROR(_xlfn.IFS($C62="1",('Inputs-System'!$C$30*'Coincidence Factors'!$B$8*(1+'Inputs-System'!$C$18))*'Inputs-Proposals'!$L$16*(VLOOKUP(CD$3,Capacity!$A$53:$E$85,4,FALSE)*(1+'Inputs-System'!$C$42)+VLOOKUP(CD$3,Capacity!$A$53:$E$85,5,FALSE)*'Inputs-System'!$C$29*(1+'Inputs-System'!$C$43)), $C62 = "2", ('Inputs-System'!$C$30*'Coincidence Factors'!$B$8*(1+'Inputs-System'!$C$18))*'Inputs-Proposals'!$L$22*(VLOOKUP(CD$3,Capacity!$A$53:$E$85,4,FALSE)*(1+'Inputs-System'!$C$42)+VLOOKUP(CD$3,Capacity!$A$53:$E$85,5,FALSE)*'Inputs-System'!$C$29*(1+'Inputs-System'!$C$43)), $C62 = "3",('Inputs-System'!$C$30*'Coincidence Factors'!$B$8*(1+'Inputs-System'!$C$18))*'Inputs-Proposals'!$L$28*(VLOOKUP(CD$3,Capacity!$A$53:$E$85,4,FALSE)*(1+'Inputs-System'!$C$42)+VLOOKUP(CD$3,Capacity!$A$53:$E$85,5,FALSE)*'Inputs-System'!$C$29*(1+'Inputs-System'!$C$43)), $C62 = "0", 0), 0)</f>
        <v>0</v>
      </c>
      <c r="CH62" s="44">
        <v>0</v>
      </c>
      <c r="CI62" s="342">
        <f>IFERROR(_xlfn.IFS($C62="1", 'Inputs-System'!$C$30*'Coincidence Factors'!$B$8*'Inputs-Proposals'!$L$17*'Inputs-Proposals'!$L$19*(VLOOKUP(CD$3,'Non-Embedded Emissions'!$A$56:$D$90,2,FALSE)+VLOOKUP(CD$3,'Non-Embedded Emissions'!$A$143:$D$174,2,FALSE)+VLOOKUP(CD$3,'Non-Embedded Emissions'!$A$230:$D$259,2,FALSE)), $C62 = "2", 'Inputs-System'!$C$30*'Coincidence Factors'!$B$8*'Inputs-Proposals'!$L$23*'Inputs-Proposals'!$L$25*(VLOOKUP(CD$3,'Non-Embedded Emissions'!$A$56:$D$90,2,FALSE)+VLOOKUP(CD$3,'Non-Embedded Emissions'!$A$143:$D$174,2,FALSE)+VLOOKUP(CD$3,'Non-Embedded Emissions'!$A$230:$D$259,2,FALSE)), $C62 = "3", 'Inputs-System'!$C$30*'Coincidence Factors'!$B$8*'Inputs-Proposals'!$L$29*'Inputs-Proposals'!$L$31*(VLOOKUP(CD$3,'Non-Embedded Emissions'!$A$56:$D$90,2,FALSE)+VLOOKUP(CD$3,'Non-Embedded Emissions'!$A$143:$D$174,2,FALSE)+VLOOKUP(CD$3,'Non-Embedded Emissions'!$A$230:$D$259,2,FALSE)), $C62 = "0", 0), 0)</f>
        <v>0</v>
      </c>
      <c r="CJ62" s="347">
        <f>IFERROR(_xlfn.IFS($C62="1",('Inputs-System'!$C$30*'Coincidence Factors'!$B$8*(1+'Inputs-System'!$C$18)*(1+'Inputs-System'!$C$41)*('Inputs-Proposals'!$L$17*'Inputs-Proposals'!$L$19*('Inputs-Proposals'!$L$20))*(VLOOKUP(CJ$3,Energy!$A$51:$K$83,5,FALSE))), $C62 = "2",('Inputs-System'!$C$30*'Coincidence Factors'!$B$8)*(1+'Inputs-System'!$C$18)*(1+'Inputs-System'!$C$41)*('Inputs-Proposals'!$L$23*'Inputs-Proposals'!$L$25*('Inputs-Proposals'!$L$26))*(VLOOKUP(CJ$3,Energy!$A$51:$K$83,5,FALSE)), $C62= "3", ('Inputs-System'!$C$30*'Coincidence Factors'!$B$8*(1+'Inputs-System'!$C$18)*(1+'Inputs-System'!$C$41)*('Inputs-Proposals'!$L$29*'Inputs-Proposals'!$L$31*('Inputs-Proposals'!$L$32))*(VLOOKUP(CJ$3,Energy!$A$51:$K$83,5,FALSE))), $C62= "0", 0), 0)</f>
        <v>0</v>
      </c>
      <c r="CK62" s="44">
        <f>IFERROR(_xlfn.IFS($C62="1",'Inputs-System'!$C$30*'Coincidence Factors'!$B$8*(1+'Inputs-System'!$C$18)*(1+'Inputs-System'!$C$41)*'Inputs-Proposals'!$L$17*'Inputs-Proposals'!$L$19*('Inputs-Proposals'!$L$20)*(VLOOKUP(CJ$3,'Embedded Emissions'!$A$47:$B$78,2,FALSE)+VLOOKUP(CJ$3,'Embedded Emissions'!$A$129:$B$158,2,FALSE)), $C62 = "2", 'Inputs-System'!$C$30*'Coincidence Factors'!$B$8*(1+'Inputs-System'!$C$18)*(1+'Inputs-System'!$C$41)*'Inputs-Proposals'!$L$23*'Inputs-Proposals'!$L$25*('Inputs-Proposals'!$L$20)*(VLOOKUP(CJ$3,'Embedded Emissions'!$A$47:$B$78,2,FALSE)+VLOOKUP(CJ$3,'Embedded Emissions'!$A$129:$B$158,2,FALSE)), $C62 = "3",'Inputs-System'!$C$30*'Coincidence Factors'!$B$8*(1+'Inputs-System'!$C$18)*(1+'Inputs-System'!$C$41)*'Inputs-Proposals'!$L$29*'Inputs-Proposals'!$L$31*('Inputs-Proposals'!$L$20)*(VLOOKUP(CJ$3,'Embedded Emissions'!$A$47:$B$78,2,FALSE)+VLOOKUP(CJ$3,'Embedded Emissions'!$A$129:$B$158,2,FALSE)), $C62 = "0", 0), 0)</f>
        <v>0</v>
      </c>
      <c r="CL62" s="44">
        <f>IFERROR(_xlfn.IFS($C62="1",( 'Inputs-System'!$C$30*'Coincidence Factors'!$B$8*(1+'Inputs-System'!$C$18)*(1+'Inputs-System'!$C$41))*('Inputs-Proposals'!$L$17*'Inputs-Proposals'!$L$19*('Inputs-Proposals'!$L$20))*(VLOOKUP(CJ$3,DRIPE!$A$54:$I$82,5,FALSE)+VLOOKUP(CJ$3,DRIPE!$A$54:$I$82,9,FALSE))+ ('Inputs-System'!$C$26*'Coincidence Factors'!$B$8*(1+'Inputs-System'!$C$18)*(1+'Inputs-System'!$C$42))*'Inputs-Proposals'!$L$16*VLOOKUP(CJ$3,DRIPE!$A$54:$I$82,8,FALSE), $C62 = "2",( 'Inputs-System'!$C$30*'Coincidence Factors'!$B$8*(1+'Inputs-System'!$C$18)*(1+'Inputs-System'!$C$41))*('Inputs-Proposals'!$L$23*'Inputs-Proposals'!$L$25*('Inputs-Proposals'!$L$26))*(VLOOKUP(CJ$3,DRIPE!$A$54:$I$82,5,FALSE)+VLOOKUP(CJ$3,DRIPE!$A$54:$I$82,9,FALSE))+  ('Inputs-System'!$C$26*'Coincidence Factors'!$B$8*(1+'Inputs-System'!$C$18)*(1+'Inputs-System'!$C$42))*'Inputs-Proposals'!$L$22*VLOOKUP(CJ$3,DRIPE!$A$54:$I$82,8,FALSE), $C62= "3", ( 'Inputs-System'!$C$30*'Coincidence Factors'!$B$8*(1+'Inputs-System'!$C$18)*(1+'Inputs-System'!$C$41))*('Inputs-Proposals'!$L$29*'Inputs-Proposals'!$L$31*('Inputs-Proposals'!$L$32))*(VLOOKUP(CJ$3,DRIPE!$A$54:$I$82,5,FALSE)+VLOOKUP(CJ$3,DRIPE!$A$54:$I$82,9,FALSE))+  ('Inputs-System'!$C$26*'Coincidence Factors'!$B$8*(1+'Inputs-System'!$C$18)*(1+'Inputs-System'!$C$42))*'Inputs-Proposals'!$L$28*VLOOKUP(CJ$3,DRIPE!$A$54:$I$82,8,FALSE), $C62 = "0", 0), 0)</f>
        <v>0</v>
      </c>
      <c r="CM62" s="45">
        <f>IFERROR(_xlfn.IFS($C62="1",('Inputs-System'!$C$30*'Coincidence Factors'!$B$8*(1+'Inputs-System'!$C$18))*'Inputs-Proposals'!$L$16*(VLOOKUP(CJ$3,Capacity!$A$53:$E$85,4,FALSE)*(1+'Inputs-System'!$C$42)+VLOOKUP(CJ$3,Capacity!$A$53:$E$85,5,FALSE)*'Inputs-System'!$C$29*(1+'Inputs-System'!$C$43)), $C62 = "2", ('Inputs-System'!$C$30*'Coincidence Factors'!$B$8*(1+'Inputs-System'!$C$18))*'Inputs-Proposals'!$L$22*(VLOOKUP(CJ$3,Capacity!$A$53:$E$85,4,FALSE)*(1+'Inputs-System'!$C$42)+VLOOKUP(CJ$3,Capacity!$A$53:$E$85,5,FALSE)*'Inputs-System'!$C$29*(1+'Inputs-System'!$C$43)), $C62 = "3",('Inputs-System'!$C$30*'Coincidence Factors'!$B$8*(1+'Inputs-System'!$C$18))*'Inputs-Proposals'!$L$28*(VLOOKUP(CJ$3,Capacity!$A$53:$E$85,4,FALSE)*(1+'Inputs-System'!$C$42)+VLOOKUP(CJ$3,Capacity!$A$53:$E$85,5,FALSE)*'Inputs-System'!$C$29*(1+'Inputs-System'!$C$43)), $C62 = "0", 0), 0)</f>
        <v>0</v>
      </c>
      <c r="CN62" s="44">
        <v>0</v>
      </c>
      <c r="CO62" s="342">
        <f>IFERROR(_xlfn.IFS($C62="1", 'Inputs-System'!$C$30*'Coincidence Factors'!$B$8*'Inputs-Proposals'!$L$17*'Inputs-Proposals'!$L$19*(VLOOKUP(CJ$3,'Non-Embedded Emissions'!$A$56:$D$90,2,FALSE)+VLOOKUP(CJ$3,'Non-Embedded Emissions'!$A$143:$D$174,2,FALSE)+VLOOKUP(CJ$3,'Non-Embedded Emissions'!$A$230:$D$259,2,FALSE)), $C62 = "2", 'Inputs-System'!$C$30*'Coincidence Factors'!$B$8*'Inputs-Proposals'!$L$23*'Inputs-Proposals'!$L$25*(VLOOKUP(CJ$3,'Non-Embedded Emissions'!$A$56:$D$90,2,FALSE)+VLOOKUP(CJ$3,'Non-Embedded Emissions'!$A$143:$D$174,2,FALSE)+VLOOKUP(CJ$3,'Non-Embedded Emissions'!$A$230:$D$259,2,FALSE)), $C62 = "3", 'Inputs-System'!$C$30*'Coincidence Factors'!$B$8*'Inputs-Proposals'!$L$29*'Inputs-Proposals'!$L$31*(VLOOKUP(CJ$3,'Non-Embedded Emissions'!$A$56:$D$90,2,FALSE)+VLOOKUP(CJ$3,'Non-Embedded Emissions'!$A$143:$D$174,2,FALSE)+VLOOKUP(CJ$3,'Non-Embedded Emissions'!$A$230:$D$259,2,FALSE)), $C62 = "0", 0), 0)</f>
        <v>0</v>
      </c>
      <c r="CP62" s="347">
        <f>IFERROR(_xlfn.IFS($C62="1",('Inputs-System'!$C$30*'Coincidence Factors'!$B$8*(1+'Inputs-System'!$C$18)*(1+'Inputs-System'!$C$41)*('Inputs-Proposals'!$L$17*'Inputs-Proposals'!$L$19*('Inputs-Proposals'!$L$20))*(VLOOKUP(CP$3,Energy!$A$51:$K$83,5,FALSE))), $C62 = "2",('Inputs-System'!$C$30*'Coincidence Factors'!$B$8)*(1+'Inputs-System'!$C$18)*(1+'Inputs-System'!$C$41)*('Inputs-Proposals'!$L$23*'Inputs-Proposals'!$L$25*('Inputs-Proposals'!$L$26))*(VLOOKUP(CP$3,Energy!$A$51:$K$83,5,FALSE)), $C62= "3", ('Inputs-System'!$C$30*'Coincidence Factors'!$B$8*(1+'Inputs-System'!$C$18)*(1+'Inputs-System'!$C$41)*('Inputs-Proposals'!$L$29*'Inputs-Proposals'!$L$31*('Inputs-Proposals'!$L$32))*(VLOOKUP(CP$3,Energy!$A$51:$K$83,5,FALSE))), $C62= "0", 0), 0)</f>
        <v>0</v>
      </c>
      <c r="CQ62" s="44">
        <f>IFERROR(_xlfn.IFS($C62="1",'Inputs-System'!$C$30*'Coincidence Factors'!$B$8*(1+'Inputs-System'!$C$18)*(1+'Inputs-System'!$C$41)*'Inputs-Proposals'!$L$17*'Inputs-Proposals'!$L$19*('Inputs-Proposals'!$L$20)*(VLOOKUP(CP$3,'Embedded Emissions'!$A$47:$B$78,2,FALSE)+VLOOKUP(CP$3,'Embedded Emissions'!$A$129:$B$158,2,FALSE)), $C62 = "2", 'Inputs-System'!$C$30*'Coincidence Factors'!$B$8*(1+'Inputs-System'!$C$18)*(1+'Inputs-System'!$C$41)*'Inputs-Proposals'!$L$23*'Inputs-Proposals'!$L$25*('Inputs-Proposals'!$L$20)*(VLOOKUP(CP$3,'Embedded Emissions'!$A$47:$B$78,2,FALSE)+VLOOKUP(CP$3,'Embedded Emissions'!$A$129:$B$158,2,FALSE)), $C62 = "3",'Inputs-System'!$C$30*'Coincidence Factors'!$B$8*(1+'Inputs-System'!$C$18)*(1+'Inputs-System'!$C$41)*'Inputs-Proposals'!$L$29*'Inputs-Proposals'!$L$31*('Inputs-Proposals'!$L$20)*(VLOOKUP(CP$3,'Embedded Emissions'!$A$47:$B$78,2,FALSE)+VLOOKUP(CP$3,'Embedded Emissions'!$A$129:$B$158,2,FALSE)), $C62 = "0", 0), 0)</f>
        <v>0</v>
      </c>
      <c r="CR62" s="44">
        <f>IFERROR(_xlfn.IFS($C62="1",( 'Inputs-System'!$C$30*'Coincidence Factors'!$B$8*(1+'Inputs-System'!$C$18)*(1+'Inputs-System'!$C$41))*('Inputs-Proposals'!$L$17*'Inputs-Proposals'!$L$19*('Inputs-Proposals'!$L$20))*(VLOOKUP(CP$3,DRIPE!$A$54:$I$82,5,FALSE)+VLOOKUP(CP$3,DRIPE!$A$54:$I$82,9,FALSE))+ ('Inputs-System'!$C$26*'Coincidence Factors'!$B$8*(1+'Inputs-System'!$C$18)*(1+'Inputs-System'!$C$42))*'Inputs-Proposals'!$L$16*VLOOKUP(CP$3,DRIPE!$A$54:$I$82,8,FALSE), $C62 = "2",( 'Inputs-System'!$C$30*'Coincidence Factors'!$B$8*(1+'Inputs-System'!$C$18)*(1+'Inputs-System'!$C$41))*('Inputs-Proposals'!$L$23*'Inputs-Proposals'!$L$25*('Inputs-Proposals'!$L$26))*(VLOOKUP(CP$3,DRIPE!$A$54:$I$82,5,FALSE)+VLOOKUP(CP$3,DRIPE!$A$54:$I$82,9,FALSE))+  ('Inputs-System'!$C$26*'Coincidence Factors'!$B$8*(1+'Inputs-System'!$C$18)*(1+'Inputs-System'!$C$42))*'Inputs-Proposals'!$L$22*VLOOKUP(CP$3,DRIPE!$A$54:$I$82,8,FALSE), $C62= "3", ( 'Inputs-System'!$C$30*'Coincidence Factors'!$B$8*(1+'Inputs-System'!$C$18)*(1+'Inputs-System'!$C$41))*('Inputs-Proposals'!$L$29*'Inputs-Proposals'!$L$31*('Inputs-Proposals'!$L$32))*(VLOOKUP(CP$3,DRIPE!$A$54:$I$82,5,FALSE)+VLOOKUP(CP$3,DRIPE!$A$54:$I$82,9,FALSE))+  ('Inputs-System'!$C$26*'Coincidence Factors'!$B$8*(1+'Inputs-System'!$C$18)*(1+'Inputs-System'!$C$42))*'Inputs-Proposals'!$L$28*VLOOKUP(CP$3,DRIPE!$A$54:$I$82,8,FALSE), $C62 = "0", 0), 0)</f>
        <v>0</v>
      </c>
      <c r="CS62" s="45">
        <f>IFERROR(_xlfn.IFS($C62="1",('Inputs-System'!$C$30*'Coincidence Factors'!$B$8*(1+'Inputs-System'!$C$18))*'Inputs-Proposals'!$L$16*(VLOOKUP(CP$3,Capacity!$A$53:$E$85,4,FALSE)*(1+'Inputs-System'!$C$42)+VLOOKUP(CP$3,Capacity!$A$53:$E$85,5,FALSE)*'Inputs-System'!$C$29*(1+'Inputs-System'!$C$43)), $C62 = "2", ('Inputs-System'!$C$30*'Coincidence Factors'!$B$8*(1+'Inputs-System'!$C$18))*'Inputs-Proposals'!$L$22*(VLOOKUP(CP$3,Capacity!$A$53:$E$85,4,FALSE)*(1+'Inputs-System'!$C$42)+VLOOKUP(CP$3,Capacity!$A$53:$E$85,5,FALSE)*'Inputs-System'!$C$29*(1+'Inputs-System'!$C$43)), $C62 = "3",('Inputs-System'!$C$30*'Coincidence Factors'!$B$8*(1+'Inputs-System'!$C$18))*'Inputs-Proposals'!$L$28*(VLOOKUP(CP$3,Capacity!$A$53:$E$85,4,FALSE)*(1+'Inputs-System'!$C$42)+VLOOKUP(CP$3,Capacity!$A$53:$E$85,5,FALSE)*'Inputs-System'!$C$29*(1+'Inputs-System'!$C$43)), $C62 = "0", 0), 0)</f>
        <v>0</v>
      </c>
      <c r="CT62" s="44">
        <v>0</v>
      </c>
      <c r="CU62" s="342">
        <f>IFERROR(_xlfn.IFS($C62="1", 'Inputs-System'!$C$30*'Coincidence Factors'!$B$8*'Inputs-Proposals'!$L$17*'Inputs-Proposals'!$L$19*(VLOOKUP(CP$3,'Non-Embedded Emissions'!$A$56:$D$90,2,FALSE)+VLOOKUP(CP$3,'Non-Embedded Emissions'!$A$143:$D$174,2,FALSE)+VLOOKUP(CP$3,'Non-Embedded Emissions'!$A$230:$D$259,2,FALSE)), $C62 = "2", 'Inputs-System'!$C$30*'Coincidence Factors'!$B$8*'Inputs-Proposals'!$L$23*'Inputs-Proposals'!$L$25*(VLOOKUP(CP$3,'Non-Embedded Emissions'!$A$56:$D$90,2,FALSE)+VLOOKUP(CP$3,'Non-Embedded Emissions'!$A$143:$D$174,2,FALSE)+VLOOKUP(CP$3,'Non-Embedded Emissions'!$A$230:$D$259,2,FALSE)), $C62 = "3", 'Inputs-System'!$C$30*'Coincidence Factors'!$B$8*'Inputs-Proposals'!$L$29*'Inputs-Proposals'!$L$31*(VLOOKUP(CP$3,'Non-Embedded Emissions'!$A$56:$D$90,2,FALSE)+VLOOKUP(CP$3,'Non-Embedded Emissions'!$A$143:$D$174,2,FALSE)+VLOOKUP(CP$3,'Non-Embedded Emissions'!$A$230:$D$259,2,FALSE)), $C62 = "0", 0), 0)</f>
        <v>0</v>
      </c>
      <c r="CV62" s="347">
        <f>IFERROR(_xlfn.IFS($C62="1",('Inputs-System'!$C$30*'Coincidence Factors'!$B$8*(1+'Inputs-System'!$C$18)*(1+'Inputs-System'!$C$41)*('Inputs-Proposals'!$L$17*'Inputs-Proposals'!$L$19*('Inputs-Proposals'!$L$20))*(VLOOKUP(CV$3,Energy!$A$51:$K$83,5,FALSE))), $C62 = "2",('Inputs-System'!$C$30*'Coincidence Factors'!$B$8)*(1+'Inputs-System'!$C$18)*(1+'Inputs-System'!$C$41)*('Inputs-Proposals'!$L$23*'Inputs-Proposals'!$L$25*('Inputs-Proposals'!$L$26))*(VLOOKUP(CV$3,Energy!$A$51:$K$83,5,FALSE)), $C62= "3", ('Inputs-System'!$C$30*'Coincidence Factors'!$B$8*(1+'Inputs-System'!$C$18)*(1+'Inputs-System'!$C$41)*('Inputs-Proposals'!$L$29*'Inputs-Proposals'!$L$31*('Inputs-Proposals'!$L$32))*(VLOOKUP(CV$3,Energy!$A$51:$K$83,5,FALSE))), $C62= "0", 0), 0)</f>
        <v>0</v>
      </c>
      <c r="CW62" s="44">
        <f>IFERROR(_xlfn.IFS($C62="1",'Inputs-System'!$C$30*'Coincidence Factors'!$B$8*(1+'Inputs-System'!$C$18)*(1+'Inputs-System'!$C$41)*'Inputs-Proposals'!$L$17*'Inputs-Proposals'!$L$19*('Inputs-Proposals'!$L$20)*(VLOOKUP(CV$3,'Embedded Emissions'!$A$47:$B$78,2,FALSE)+VLOOKUP(CV$3,'Embedded Emissions'!$A$129:$B$158,2,FALSE)), $C62 = "2", 'Inputs-System'!$C$30*'Coincidence Factors'!$B$8*(1+'Inputs-System'!$C$18)*(1+'Inputs-System'!$C$41)*'Inputs-Proposals'!$L$23*'Inputs-Proposals'!$L$25*('Inputs-Proposals'!$L$20)*(VLOOKUP(CV$3,'Embedded Emissions'!$A$47:$B$78,2,FALSE)+VLOOKUP(CV$3,'Embedded Emissions'!$A$129:$B$158,2,FALSE)), $C62 = "3",'Inputs-System'!$C$30*'Coincidence Factors'!$B$8*(1+'Inputs-System'!$C$18)*(1+'Inputs-System'!$C$41)*'Inputs-Proposals'!$L$29*'Inputs-Proposals'!$L$31*('Inputs-Proposals'!$L$20)*(VLOOKUP(CV$3,'Embedded Emissions'!$A$47:$B$78,2,FALSE)+VLOOKUP(CV$3,'Embedded Emissions'!$A$129:$B$158,2,FALSE)), $C62 = "0", 0), 0)</f>
        <v>0</v>
      </c>
      <c r="CX62" s="44">
        <f>IFERROR(_xlfn.IFS($C62="1",( 'Inputs-System'!$C$30*'Coincidence Factors'!$B$8*(1+'Inputs-System'!$C$18)*(1+'Inputs-System'!$C$41))*('Inputs-Proposals'!$L$17*'Inputs-Proposals'!$L$19*('Inputs-Proposals'!$L$20))*(VLOOKUP(CV$3,DRIPE!$A$54:$I$82,5,FALSE)+VLOOKUP(CV$3,DRIPE!$A$54:$I$82,9,FALSE))+ ('Inputs-System'!$C$26*'Coincidence Factors'!$B$8*(1+'Inputs-System'!$C$18)*(1+'Inputs-System'!$C$42))*'Inputs-Proposals'!$L$16*VLOOKUP(CV$3,DRIPE!$A$54:$I$82,8,FALSE), $C62 = "2",( 'Inputs-System'!$C$30*'Coincidence Factors'!$B$8*(1+'Inputs-System'!$C$18)*(1+'Inputs-System'!$C$41))*('Inputs-Proposals'!$L$23*'Inputs-Proposals'!$L$25*('Inputs-Proposals'!$L$26))*(VLOOKUP(CV$3,DRIPE!$A$54:$I$82,5,FALSE)+VLOOKUP(CV$3,DRIPE!$A$54:$I$82,9,FALSE))+  ('Inputs-System'!$C$26*'Coincidence Factors'!$B$8*(1+'Inputs-System'!$C$18)*(1+'Inputs-System'!$C$42))*'Inputs-Proposals'!$L$22*VLOOKUP(CV$3,DRIPE!$A$54:$I$82,8,FALSE), $C62= "3", ( 'Inputs-System'!$C$30*'Coincidence Factors'!$B$8*(1+'Inputs-System'!$C$18)*(1+'Inputs-System'!$C$41))*('Inputs-Proposals'!$L$29*'Inputs-Proposals'!$L$31*('Inputs-Proposals'!$L$32))*(VLOOKUP(CV$3,DRIPE!$A$54:$I$82,5,FALSE)+VLOOKUP(CV$3,DRIPE!$A$54:$I$82,9,FALSE))+  ('Inputs-System'!$C$26*'Coincidence Factors'!$B$8*(1+'Inputs-System'!$C$18)*(1+'Inputs-System'!$C$42))*'Inputs-Proposals'!$L$28*VLOOKUP(CV$3,DRIPE!$A$54:$I$82,8,FALSE), $C62 = "0", 0), 0)</f>
        <v>0</v>
      </c>
      <c r="CY62" s="45">
        <f>IFERROR(_xlfn.IFS($C62="1",('Inputs-System'!$C$30*'Coincidence Factors'!$B$8*(1+'Inputs-System'!$C$18))*'Inputs-Proposals'!$L$16*(VLOOKUP(CV$3,Capacity!$A$53:$E$85,4,FALSE)*(1+'Inputs-System'!$C$42)+VLOOKUP(CV$3,Capacity!$A$53:$E$85,5,FALSE)*'Inputs-System'!$C$29*(1+'Inputs-System'!$C$43)), $C62 = "2", ('Inputs-System'!$C$30*'Coincidence Factors'!$B$8*(1+'Inputs-System'!$C$18))*'Inputs-Proposals'!$L$22*(VLOOKUP(CV$3,Capacity!$A$53:$E$85,4,FALSE)*(1+'Inputs-System'!$C$42)+VLOOKUP(CV$3,Capacity!$A$53:$E$85,5,FALSE)*'Inputs-System'!$C$29*(1+'Inputs-System'!$C$43)), $C62 = "3",('Inputs-System'!$C$30*'Coincidence Factors'!$B$8*(1+'Inputs-System'!$C$18))*'Inputs-Proposals'!$L$28*(VLOOKUP(CV$3,Capacity!$A$53:$E$85,4,FALSE)*(1+'Inputs-System'!$C$42)+VLOOKUP(CV$3,Capacity!$A$53:$E$85,5,FALSE)*'Inputs-System'!$C$29*(1+'Inputs-System'!$C$43)), $C62 = "0", 0), 0)</f>
        <v>0</v>
      </c>
      <c r="CZ62" s="44">
        <v>0</v>
      </c>
      <c r="DA62" s="342">
        <f>IFERROR(_xlfn.IFS($C62="1", 'Inputs-System'!$C$30*'Coincidence Factors'!$B$8*'Inputs-Proposals'!$L$17*'Inputs-Proposals'!$L$19*(VLOOKUP(CV$3,'Non-Embedded Emissions'!$A$56:$D$90,2,FALSE)+VLOOKUP(CV$3,'Non-Embedded Emissions'!$A$143:$D$174,2,FALSE)+VLOOKUP(CV$3,'Non-Embedded Emissions'!$A$230:$D$259,2,FALSE)), $C62 = "2", 'Inputs-System'!$C$30*'Coincidence Factors'!$B$8*'Inputs-Proposals'!$L$23*'Inputs-Proposals'!$L$25*(VLOOKUP(CV$3,'Non-Embedded Emissions'!$A$56:$D$90,2,FALSE)+VLOOKUP(CV$3,'Non-Embedded Emissions'!$A$143:$D$174,2,FALSE)+VLOOKUP(CV$3,'Non-Embedded Emissions'!$A$230:$D$259,2,FALSE)), $C62 = "3", 'Inputs-System'!$C$30*'Coincidence Factors'!$B$8*'Inputs-Proposals'!$L$29*'Inputs-Proposals'!$L$31*(VLOOKUP(CV$3,'Non-Embedded Emissions'!$A$56:$D$90,2,FALSE)+VLOOKUP(CV$3,'Non-Embedded Emissions'!$A$143:$D$174,2,FALSE)+VLOOKUP(CV$3,'Non-Embedded Emissions'!$A$230:$D$259,2,FALSE)), $C62 = "0", 0), 0)</f>
        <v>0</v>
      </c>
      <c r="DB62" s="347">
        <f>IFERROR(_xlfn.IFS($C62="1",('Inputs-System'!$C$30*'Coincidence Factors'!$B$8*(1+'Inputs-System'!$C$18)*(1+'Inputs-System'!$C$41)*('Inputs-Proposals'!$L$17*'Inputs-Proposals'!$L$19*('Inputs-Proposals'!$L$20))*(VLOOKUP(DB$3,Energy!$A$51:$K$83,5,FALSE))), $C62 = "2",('Inputs-System'!$C$30*'Coincidence Factors'!$B$8)*(1+'Inputs-System'!$C$18)*(1+'Inputs-System'!$C$41)*('Inputs-Proposals'!$L$23*'Inputs-Proposals'!$L$25*('Inputs-Proposals'!$L$26))*(VLOOKUP(DB$3,Energy!$A$51:$K$83,5,FALSE)), $C62= "3", ('Inputs-System'!$C$30*'Coincidence Factors'!$B$8*(1+'Inputs-System'!$C$18)*(1+'Inputs-System'!$C$41)*('Inputs-Proposals'!$L$29*'Inputs-Proposals'!$L$31*('Inputs-Proposals'!$L$32))*(VLOOKUP(DB$3,Energy!$A$51:$K$83,5,FALSE))), $C62= "0", 0), 0)</f>
        <v>0</v>
      </c>
      <c r="DC62" s="44">
        <f>IFERROR(_xlfn.IFS($C62="1",'Inputs-System'!$C$30*'Coincidence Factors'!$B$8*(1+'Inputs-System'!$C$18)*(1+'Inputs-System'!$C$41)*'Inputs-Proposals'!$L$17*'Inputs-Proposals'!$L$19*('Inputs-Proposals'!$L$20)*(VLOOKUP(DB$3,'Embedded Emissions'!$A$47:$B$78,2,FALSE)+VLOOKUP(DB$3,'Embedded Emissions'!$A$129:$B$158,2,FALSE)), $C62 = "2", 'Inputs-System'!$C$30*'Coincidence Factors'!$B$8*(1+'Inputs-System'!$C$18)*(1+'Inputs-System'!$C$41)*'Inputs-Proposals'!$L$23*'Inputs-Proposals'!$L$25*('Inputs-Proposals'!$L$20)*(VLOOKUP(DB$3,'Embedded Emissions'!$A$47:$B$78,2,FALSE)+VLOOKUP(DB$3,'Embedded Emissions'!$A$129:$B$158,2,FALSE)), $C62 = "3",'Inputs-System'!$C$30*'Coincidence Factors'!$B$8*(1+'Inputs-System'!$C$18)*(1+'Inputs-System'!$C$41)*'Inputs-Proposals'!$L$29*'Inputs-Proposals'!$L$31*('Inputs-Proposals'!$L$20)*(VLOOKUP(DB$3,'Embedded Emissions'!$A$47:$B$78,2,FALSE)+VLOOKUP(DB$3,'Embedded Emissions'!$A$129:$B$158,2,FALSE)), $C62 = "0", 0), 0)</f>
        <v>0</v>
      </c>
      <c r="DD62" s="44">
        <f>IFERROR(_xlfn.IFS($C62="1",( 'Inputs-System'!$C$30*'Coincidence Factors'!$B$8*(1+'Inputs-System'!$C$18)*(1+'Inputs-System'!$C$41))*('Inputs-Proposals'!$L$17*'Inputs-Proposals'!$L$19*('Inputs-Proposals'!$L$20))*(VLOOKUP(DB$3,DRIPE!$A$54:$I$82,5,FALSE)+VLOOKUP(DB$3,DRIPE!$A$54:$I$82,9,FALSE))+ ('Inputs-System'!$C$26*'Coincidence Factors'!$B$8*(1+'Inputs-System'!$C$18)*(1+'Inputs-System'!$C$42))*'Inputs-Proposals'!$L$16*VLOOKUP(DB$3,DRIPE!$A$54:$I$82,8,FALSE), $C62 = "2",( 'Inputs-System'!$C$30*'Coincidence Factors'!$B$8*(1+'Inputs-System'!$C$18)*(1+'Inputs-System'!$C$41))*('Inputs-Proposals'!$L$23*'Inputs-Proposals'!$L$25*('Inputs-Proposals'!$L$26))*(VLOOKUP(DB$3,DRIPE!$A$54:$I$82,5,FALSE)+VLOOKUP(DB$3,DRIPE!$A$54:$I$82,9,FALSE))+  ('Inputs-System'!$C$26*'Coincidence Factors'!$B$8*(1+'Inputs-System'!$C$18)*(1+'Inputs-System'!$C$42))*'Inputs-Proposals'!$L$22*VLOOKUP(DB$3,DRIPE!$A$54:$I$82,8,FALSE), $C62= "3", ( 'Inputs-System'!$C$30*'Coincidence Factors'!$B$8*(1+'Inputs-System'!$C$18)*(1+'Inputs-System'!$C$41))*('Inputs-Proposals'!$L$29*'Inputs-Proposals'!$L$31*('Inputs-Proposals'!$L$32))*(VLOOKUP(DB$3,DRIPE!$A$54:$I$82,5,FALSE)+VLOOKUP(DB$3,DRIPE!$A$54:$I$82,9,FALSE))+  ('Inputs-System'!$C$26*'Coincidence Factors'!$B$8*(1+'Inputs-System'!$C$18)*(1+'Inputs-System'!$C$42))*'Inputs-Proposals'!$L$28*VLOOKUP(DB$3,DRIPE!$A$54:$I$82,8,FALSE), $C62 = "0", 0), 0)</f>
        <v>0</v>
      </c>
      <c r="DE62" s="45">
        <f>IFERROR(_xlfn.IFS($C62="1",('Inputs-System'!$C$30*'Coincidence Factors'!$B$8*(1+'Inputs-System'!$C$18))*'Inputs-Proposals'!$L$16*(VLOOKUP(DB$3,Capacity!$A$53:$E$85,4,FALSE)*(1+'Inputs-System'!$C$42)+VLOOKUP(DB$3,Capacity!$A$53:$E$85,5,FALSE)*'Inputs-System'!$C$29*(1+'Inputs-System'!$C$43)), $C62 = "2", ('Inputs-System'!$C$30*'Coincidence Factors'!$B$8*(1+'Inputs-System'!$C$18))*'Inputs-Proposals'!$L$22*(VLOOKUP(DB$3,Capacity!$A$53:$E$85,4,FALSE)*(1+'Inputs-System'!$C$42)+VLOOKUP(DB$3,Capacity!$A$53:$E$85,5,FALSE)*'Inputs-System'!$C$29*(1+'Inputs-System'!$C$43)), $C62 = "3",('Inputs-System'!$C$30*'Coincidence Factors'!$B$8*(1+'Inputs-System'!$C$18))*'Inputs-Proposals'!$L$28*(VLOOKUP(DB$3,Capacity!$A$53:$E$85,4,FALSE)*(1+'Inputs-System'!$C$42)+VLOOKUP(DB$3,Capacity!$A$53:$E$85,5,FALSE)*'Inputs-System'!$C$29*(1+'Inputs-System'!$C$43)), $C62 = "0", 0), 0)</f>
        <v>0</v>
      </c>
      <c r="DF62" s="44">
        <v>0</v>
      </c>
      <c r="DG62" s="342">
        <f>IFERROR(_xlfn.IFS($C62="1", 'Inputs-System'!$C$30*'Coincidence Factors'!$B$8*'Inputs-Proposals'!$L$17*'Inputs-Proposals'!$L$19*(VLOOKUP(DB$3,'Non-Embedded Emissions'!$A$56:$D$90,2,FALSE)+VLOOKUP(DB$3,'Non-Embedded Emissions'!$A$143:$D$174,2,FALSE)+VLOOKUP(DB$3,'Non-Embedded Emissions'!$A$230:$D$259,2,FALSE)), $C62 = "2", 'Inputs-System'!$C$30*'Coincidence Factors'!$B$8*'Inputs-Proposals'!$L$23*'Inputs-Proposals'!$L$25*(VLOOKUP(DB$3,'Non-Embedded Emissions'!$A$56:$D$90,2,FALSE)+VLOOKUP(DB$3,'Non-Embedded Emissions'!$A$143:$D$174,2,FALSE)+VLOOKUP(DB$3,'Non-Embedded Emissions'!$A$230:$D$259,2,FALSE)), $C62 = "3", 'Inputs-System'!$C$30*'Coincidence Factors'!$B$8*'Inputs-Proposals'!$L$29*'Inputs-Proposals'!$L$31*(VLOOKUP(DB$3,'Non-Embedded Emissions'!$A$56:$D$90,2,FALSE)+VLOOKUP(DB$3,'Non-Embedded Emissions'!$A$143:$D$174,2,FALSE)+VLOOKUP(DB$3,'Non-Embedded Emissions'!$A$230:$D$259,2,FALSE)), $C62 = "0", 0), 0)</f>
        <v>0</v>
      </c>
      <c r="DH62" s="347">
        <f>IFERROR(_xlfn.IFS($C62="1",('Inputs-System'!$C$30*'Coincidence Factors'!$B$8*(1+'Inputs-System'!$C$18)*(1+'Inputs-System'!$C$41)*('Inputs-Proposals'!$L$17*'Inputs-Proposals'!$L$19*('Inputs-Proposals'!$L$20))*(VLOOKUP(DH$3,Energy!$A$51:$K$83,5,FALSE))), $C62 = "2",('Inputs-System'!$C$30*'Coincidence Factors'!$B$8)*(1+'Inputs-System'!$C$18)*(1+'Inputs-System'!$C$41)*('Inputs-Proposals'!$L$23*'Inputs-Proposals'!$L$25*('Inputs-Proposals'!$L$26))*(VLOOKUP(DH$3,Energy!$A$51:$K$83,5,FALSE)), $C62= "3", ('Inputs-System'!$C$30*'Coincidence Factors'!$B$8*(1+'Inputs-System'!$C$18)*(1+'Inputs-System'!$C$41)*('Inputs-Proposals'!$L$29*'Inputs-Proposals'!$L$31*('Inputs-Proposals'!$L$32))*(VLOOKUP(DH$3,Energy!$A$51:$K$83,5,FALSE))), $C62= "0", 0), 0)</f>
        <v>0</v>
      </c>
      <c r="DI62" s="44">
        <f>IFERROR(_xlfn.IFS($C62="1",'Inputs-System'!$C$30*'Coincidence Factors'!$B$8*(1+'Inputs-System'!$C$18)*(1+'Inputs-System'!$C$41)*'Inputs-Proposals'!$L$17*'Inputs-Proposals'!$L$19*('Inputs-Proposals'!$L$20)*(VLOOKUP(DH$3,'Embedded Emissions'!$A$47:$B$78,2,FALSE)+VLOOKUP(DH$3,'Embedded Emissions'!$A$129:$B$158,2,FALSE)), $C62 = "2", 'Inputs-System'!$C$30*'Coincidence Factors'!$B$8*(1+'Inputs-System'!$C$18)*(1+'Inputs-System'!$C$41)*'Inputs-Proposals'!$L$23*'Inputs-Proposals'!$L$25*('Inputs-Proposals'!$L$20)*(VLOOKUP(DH$3,'Embedded Emissions'!$A$47:$B$78,2,FALSE)+VLOOKUP(DH$3,'Embedded Emissions'!$A$129:$B$158,2,FALSE)), $C62 = "3",'Inputs-System'!$C$30*'Coincidence Factors'!$B$8*(1+'Inputs-System'!$C$18)*(1+'Inputs-System'!$C$41)*'Inputs-Proposals'!$L$29*'Inputs-Proposals'!$L$31*('Inputs-Proposals'!$L$20)*(VLOOKUP(DH$3,'Embedded Emissions'!$A$47:$B$78,2,FALSE)+VLOOKUP(DH$3,'Embedded Emissions'!$A$129:$B$158,2,FALSE)), $C62 = "0", 0), 0)</f>
        <v>0</v>
      </c>
      <c r="DJ62" s="44">
        <f>IFERROR(_xlfn.IFS($C62="1",( 'Inputs-System'!$C$30*'Coincidence Factors'!$B$8*(1+'Inputs-System'!$C$18)*(1+'Inputs-System'!$C$41))*('Inputs-Proposals'!$L$17*'Inputs-Proposals'!$L$19*('Inputs-Proposals'!$L$20))*(VLOOKUP(DH$3,DRIPE!$A$54:$I$82,5,FALSE)+VLOOKUP(DH$3,DRIPE!$A$54:$I$82,9,FALSE))+ ('Inputs-System'!$C$26*'Coincidence Factors'!$B$8*(1+'Inputs-System'!$C$18)*(1+'Inputs-System'!$C$42))*'Inputs-Proposals'!$L$16*VLOOKUP(DH$3,DRIPE!$A$54:$I$82,8,FALSE), $C62 = "2",( 'Inputs-System'!$C$30*'Coincidence Factors'!$B$8*(1+'Inputs-System'!$C$18)*(1+'Inputs-System'!$C$41))*('Inputs-Proposals'!$L$23*'Inputs-Proposals'!$L$25*('Inputs-Proposals'!$L$26))*(VLOOKUP(DH$3,DRIPE!$A$54:$I$82,5,FALSE)+VLOOKUP(DH$3,DRIPE!$A$54:$I$82,9,FALSE))+  ('Inputs-System'!$C$26*'Coincidence Factors'!$B$8*(1+'Inputs-System'!$C$18)*(1+'Inputs-System'!$C$42))*'Inputs-Proposals'!$L$22*VLOOKUP(DH$3,DRIPE!$A$54:$I$82,8,FALSE), $C62= "3", ( 'Inputs-System'!$C$30*'Coincidence Factors'!$B$8*(1+'Inputs-System'!$C$18)*(1+'Inputs-System'!$C$41))*('Inputs-Proposals'!$L$29*'Inputs-Proposals'!$L$31*('Inputs-Proposals'!$L$32))*(VLOOKUP(DH$3,DRIPE!$A$54:$I$82,5,FALSE)+VLOOKUP(DH$3,DRIPE!$A$54:$I$82,9,FALSE))+  ('Inputs-System'!$C$26*'Coincidence Factors'!$B$8*(1+'Inputs-System'!$C$18)*(1+'Inputs-System'!$C$42))*'Inputs-Proposals'!$L$28*VLOOKUP(DH$3,DRIPE!$A$54:$I$82,8,FALSE), $C62 = "0", 0), 0)</f>
        <v>0</v>
      </c>
      <c r="DK62" s="45">
        <f>IFERROR(_xlfn.IFS($C62="1",('Inputs-System'!$C$30*'Coincidence Factors'!$B$8*(1+'Inputs-System'!$C$18))*'Inputs-Proposals'!$L$16*(VLOOKUP(DH$3,Capacity!$A$53:$E$85,4,FALSE)*(1+'Inputs-System'!$C$42)+VLOOKUP(DH$3,Capacity!$A$53:$E$85,5,FALSE)*'Inputs-System'!$C$29*(1+'Inputs-System'!$C$43)), $C62 = "2", ('Inputs-System'!$C$30*'Coincidence Factors'!$B$8*(1+'Inputs-System'!$C$18))*'Inputs-Proposals'!$L$22*(VLOOKUP(DH$3,Capacity!$A$53:$E$85,4,FALSE)*(1+'Inputs-System'!$C$42)+VLOOKUP(DH$3,Capacity!$A$53:$E$85,5,FALSE)*'Inputs-System'!$C$29*(1+'Inputs-System'!$C$43)), $C62 = "3",('Inputs-System'!$C$30*'Coincidence Factors'!$B$8*(1+'Inputs-System'!$C$18))*'Inputs-Proposals'!$L$28*(VLOOKUP(DH$3,Capacity!$A$53:$E$85,4,FALSE)*(1+'Inputs-System'!$C$42)+VLOOKUP(DH$3,Capacity!$A$53:$E$85,5,FALSE)*'Inputs-System'!$C$29*(1+'Inputs-System'!$C$43)), $C62 = "0", 0), 0)</f>
        <v>0</v>
      </c>
      <c r="DL62" s="44">
        <v>0</v>
      </c>
      <c r="DM62" s="342">
        <f>IFERROR(_xlfn.IFS($C62="1", 'Inputs-System'!$C$30*'Coincidence Factors'!$B$8*'Inputs-Proposals'!$L$17*'Inputs-Proposals'!$L$19*(VLOOKUP(DH$3,'Non-Embedded Emissions'!$A$56:$D$90,2,FALSE)+VLOOKUP(DH$3,'Non-Embedded Emissions'!$A$143:$D$174,2,FALSE)+VLOOKUP(DH$3,'Non-Embedded Emissions'!$A$230:$D$259,2,FALSE)), $C62 = "2", 'Inputs-System'!$C$30*'Coincidence Factors'!$B$8*'Inputs-Proposals'!$L$23*'Inputs-Proposals'!$L$25*(VLOOKUP(DH$3,'Non-Embedded Emissions'!$A$56:$D$90,2,FALSE)+VLOOKUP(DH$3,'Non-Embedded Emissions'!$A$143:$D$174,2,FALSE)+VLOOKUP(DH$3,'Non-Embedded Emissions'!$A$230:$D$259,2,FALSE)), $C62 = "3", 'Inputs-System'!$C$30*'Coincidence Factors'!$B$8*'Inputs-Proposals'!$L$29*'Inputs-Proposals'!$L$31*(VLOOKUP(DH$3,'Non-Embedded Emissions'!$A$56:$D$90,2,FALSE)+VLOOKUP(DH$3,'Non-Embedded Emissions'!$A$143:$D$174,2,FALSE)+VLOOKUP(DH$3,'Non-Embedded Emissions'!$A$230:$D$259,2,FALSE)), $C62 = "0", 0), 0)</f>
        <v>0</v>
      </c>
      <c r="DN62" s="347">
        <f>IFERROR(_xlfn.IFS($C62="1",('Inputs-System'!$C$30*'Coincidence Factors'!$B$8*(1+'Inputs-System'!$C$18)*(1+'Inputs-System'!$C$41)*('Inputs-Proposals'!$L$17*'Inputs-Proposals'!$L$19*('Inputs-Proposals'!$L$20))*(VLOOKUP(DN$3,Energy!$A$51:$K$83,5,FALSE))), $C62 = "2",('Inputs-System'!$C$30*'Coincidence Factors'!$B$8)*(1+'Inputs-System'!$C$18)*(1+'Inputs-System'!$C$41)*('Inputs-Proposals'!$L$23*'Inputs-Proposals'!$L$25*('Inputs-Proposals'!$L$26))*(VLOOKUP(DN$3,Energy!$A$51:$K$83,5,FALSE)), $C62= "3", ('Inputs-System'!$C$30*'Coincidence Factors'!$B$8*(1+'Inputs-System'!$C$18)*(1+'Inputs-System'!$C$41)*('Inputs-Proposals'!$L$29*'Inputs-Proposals'!$L$31*('Inputs-Proposals'!$L$32))*(VLOOKUP(DN$3,Energy!$A$51:$K$83,5,FALSE))), $C62= "0", 0), 0)</f>
        <v>0</v>
      </c>
      <c r="DO62" s="44">
        <f>IFERROR(_xlfn.IFS($C62="1",'Inputs-System'!$C$30*'Coincidence Factors'!$B$8*(1+'Inputs-System'!$C$18)*(1+'Inputs-System'!$C$41)*'Inputs-Proposals'!$L$17*'Inputs-Proposals'!$L$19*('Inputs-Proposals'!$L$20)*(VLOOKUP(DN$3,'Embedded Emissions'!$A$47:$B$78,2,FALSE)+VLOOKUP(DN$3,'Embedded Emissions'!$A$129:$B$158,2,FALSE)), $C62 = "2", 'Inputs-System'!$C$30*'Coincidence Factors'!$B$8*(1+'Inputs-System'!$C$18)*(1+'Inputs-System'!$C$41)*'Inputs-Proposals'!$L$23*'Inputs-Proposals'!$L$25*('Inputs-Proposals'!$L$20)*(VLOOKUP(DN$3,'Embedded Emissions'!$A$47:$B$78,2,FALSE)+VLOOKUP(DN$3,'Embedded Emissions'!$A$129:$B$158,2,FALSE)), $C62 = "3",'Inputs-System'!$C$30*'Coincidence Factors'!$B$8*(1+'Inputs-System'!$C$18)*(1+'Inputs-System'!$C$41)*'Inputs-Proposals'!$L$29*'Inputs-Proposals'!$L$31*('Inputs-Proposals'!$L$20)*(VLOOKUP(DN$3,'Embedded Emissions'!$A$47:$B$78,2,FALSE)+VLOOKUP(DN$3,'Embedded Emissions'!$A$129:$B$158,2,FALSE)), $C62 = "0", 0), 0)</f>
        <v>0</v>
      </c>
      <c r="DP62" s="44">
        <f>IFERROR(_xlfn.IFS($C62="1",( 'Inputs-System'!$C$30*'Coincidence Factors'!$B$8*(1+'Inputs-System'!$C$18)*(1+'Inputs-System'!$C$41))*('Inputs-Proposals'!$L$17*'Inputs-Proposals'!$L$19*('Inputs-Proposals'!$L$20))*(VLOOKUP(DN$3,DRIPE!$A$54:$I$82,5,FALSE)+VLOOKUP(DN$3,DRIPE!$A$54:$I$82,9,FALSE))+ ('Inputs-System'!$C$26*'Coincidence Factors'!$B$8*(1+'Inputs-System'!$C$18)*(1+'Inputs-System'!$C$42))*'Inputs-Proposals'!$L$16*VLOOKUP(DN$3,DRIPE!$A$54:$I$82,8,FALSE), $C62 = "2",( 'Inputs-System'!$C$30*'Coincidence Factors'!$B$8*(1+'Inputs-System'!$C$18)*(1+'Inputs-System'!$C$41))*('Inputs-Proposals'!$L$23*'Inputs-Proposals'!$L$25*('Inputs-Proposals'!$L$26))*(VLOOKUP(DN$3,DRIPE!$A$54:$I$82,5,FALSE)+VLOOKUP(DN$3,DRIPE!$A$54:$I$82,9,FALSE))+  ('Inputs-System'!$C$26*'Coincidence Factors'!$B$8*(1+'Inputs-System'!$C$18)*(1+'Inputs-System'!$C$42))*'Inputs-Proposals'!$L$22*VLOOKUP(DN$3,DRIPE!$A$54:$I$82,8,FALSE), $C62= "3", ( 'Inputs-System'!$C$30*'Coincidence Factors'!$B$8*(1+'Inputs-System'!$C$18)*(1+'Inputs-System'!$C$41))*('Inputs-Proposals'!$L$29*'Inputs-Proposals'!$L$31*('Inputs-Proposals'!$L$32))*(VLOOKUP(DN$3,DRIPE!$A$54:$I$82,5,FALSE)+VLOOKUP(DN$3,DRIPE!$A$54:$I$82,9,FALSE))+  ('Inputs-System'!$C$26*'Coincidence Factors'!$B$8*(1+'Inputs-System'!$C$18)*(1+'Inputs-System'!$C$42))*'Inputs-Proposals'!$L$28*VLOOKUP(DN$3,DRIPE!$A$54:$I$82,8,FALSE), $C62 = "0", 0), 0)</f>
        <v>0</v>
      </c>
      <c r="DQ62" s="45">
        <f>IFERROR(_xlfn.IFS($C62="1",('Inputs-System'!$C$30*'Coincidence Factors'!$B$8*(1+'Inputs-System'!$C$18))*'Inputs-Proposals'!$L$16*(VLOOKUP(DN$3,Capacity!$A$53:$E$85,4,FALSE)*(1+'Inputs-System'!$C$42)+VLOOKUP(DN$3,Capacity!$A$53:$E$85,5,FALSE)*'Inputs-System'!$C$29*(1+'Inputs-System'!$C$43)), $C62 = "2", ('Inputs-System'!$C$30*'Coincidence Factors'!$B$8*(1+'Inputs-System'!$C$18))*'Inputs-Proposals'!$L$22*(VLOOKUP(DN$3,Capacity!$A$53:$E$85,4,FALSE)*(1+'Inputs-System'!$C$42)+VLOOKUP(DN$3,Capacity!$A$53:$E$85,5,FALSE)*'Inputs-System'!$C$29*(1+'Inputs-System'!$C$43)), $C62 = "3",('Inputs-System'!$C$30*'Coincidence Factors'!$B$8*(1+'Inputs-System'!$C$18))*'Inputs-Proposals'!$L$28*(VLOOKUP(DN$3,Capacity!$A$53:$E$85,4,FALSE)*(1+'Inputs-System'!$C$42)+VLOOKUP(DN$3,Capacity!$A$53:$E$85,5,FALSE)*'Inputs-System'!$C$29*(1+'Inputs-System'!$C$43)), $C62 = "0", 0), 0)</f>
        <v>0</v>
      </c>
      <c r="DR62" s="44">
        <v>0</v>
      </c>
      <c r="DS62" s="342">
        <f>IFERROR(_xlfn.IFS($C62="1", 'Inputs-System'!$C$30*'Coincidence Factors'!$B$8*'Inputs-Proposals'!$L$17*'Inputs-Proposals'!$L$19*(VLOOKUP(DN$3,'Non-Embedded Emissions'!$A$56:$D$90,2,FALSE)+VLOOKUP(DN$3,'Non-Embedded Emissions'!$A$143:$D$174,2,FALSE)+VLOOKUP(DN$3,'Non-Embedded Emissions'!$A$230:$D$259,2,FALSE)), $C62 = "2", 'Inputs-System'!$C$30*'Coincidence Factors'!$B$8*'Inputs-Proposals'!$L$23*'Inputs-Proposals'!$L$25*(VLOOKUP(DN$3,'Non-Embedded Emissions'!$A$56:$D$90,2,FALSE)+VLOOKUP(DN$3,'Non-Embedded Emissions'!$A$143:$D$174,2,FALSE)+VLOOKUP(DN$3,'Non-Embedded Emissions'!$A$230:$D$259,2,FALSE)), $C62 = "3", 'Inputs-System'!$C$30*'Coincidence Factors'!$B$8*'Inputs-Proposals'!$L$29*'Inputs-Proposals'!$L$31*(VLOOKUP(DN$3,'Non-Embedded Emissions'!$A$56:$D$90,2,FALSE)+VLOOKUP(DN$3,'Non-Embedded Emissions'!$A$143:$D$174,2,FALSE)+VLOOKUP(DN$3,'Non-Embedded Emissions'!$A$230:$D$259,2,FALSE)), $C62 = "0", 0), 0)</f>
        <v>0</v>
      </c>
      <c r="DT62" s="347">
        <f>IFERROR(_xlfn.IFS($C62="1",('Inputs-System'!$C$30*'Coincidence Factors'!$B$8*(1+'Inputs-System'!$C$18)*(1+'Inputs-System'!$C$41)*('Inputs-Proposals'!$L$17*'Inputs-Proposals'!$L$19*('Inputs-Proposals'!$L$20))*(VLOOKUP(DT$3,Energy!$A$51:$K$83,5,FALSE))), $C62 = "2",('Inputs-System'!$C$30*'Coincidence Factors'!$B$8)*(1+'Inputs-System'!$C$18)*(1+'Inputs-System'!$C$41)*('Inputs-Proposals'!$L$23*'Inputs-Proposals'!$L$25*('Inputs-Proposals'!$L$26))*(VLOOKUP(DT$3,Energy!$A$51:$K$83,5,FALSE)), $C62= "3", ('Inputs-System'!$C$30*'Coincidence Factors'!$B$8*(1+'Inputs-System'!$C$18)*(1+'Inputs-System'!$C$41)*('Inputs-Proposals'!$L$29*'Inputs-Proposals'!$L$31*('Inputs-Proposals'!$L$32))*(VLOOKUP(DT$3,Energy!$A$51:$K$83,5,FALSE))), $C62= "0", 0), 0)</f>
        <v>0</v>
      </c>
      <c r="DU62" s="44">
        <f>IFERROR(_xlfn.IFS($C62="1",'Inputs-System'!$C$30*'Coincidence Factors'!$B$8*(1+'Inputs-System'!$C$18)*(1+'Inputs-System'!$C$41)*'Inputs-Proposals'!$L$17*'Inputs-Proposals'!$L$19*('Inputs-Proposals'!$L$20)*(VLOOKUP(DT$3,'Embedded Emissions'!$A$47:$B$78,2,FALSE)+VLOOKUP(DT$3,'Embedded Emissions'!$A$129:$B$158,2,FALSE)), $C62 = "2", 'Inputs-System'!$C$30*'Coincidence Factors'!$B$8*(1+'Inputs-System'!$C$18)*(1+'Inputs-System'!$C$41)*'Inputs-Proposals'!$L$23*'Inputs-Proposals'!$L$25*('Inputs-Proposals'!$L$20)*(VLOOKUP(DT$3,'Embedded Emissions'!$A$47:$B$78,2,FALSE)+VLOOKUP(DT$3,'Embedded Emissions'!$A$129:$B$158,2,FALSE)), $C62 = "3",'Inputs-System'!$C$30*'Coincidence Factors'!$B$8*(1+'Inputs-System'!$C$18)*(1+'Inputs-System'!$C$41)*'Inputs-Proposals'!$L$29*'Inputs-Proposals'!$L$31*('Inputs-Proposals'!$L$20)*(VLOOKUP(DT$3,'Embedded Emissions'!$A$47:$B$78,2,FALSE)+VLOOKUP(DT$3,'Embedded Emissions'!$A$129:$B$158,2,FALSE)), $C62 = "0", 0), 0)</f>
        <v>0</v>
      </c>
      <c r="DV62" s="44">
        <f>IFERROR(_xlfn.IFS($C62="1",( 'Inputs-System'!$C$30*'Coincidence Factors'!$B$8*(1+'Inputs-System'!$C$18)*(1+'Inputs-System'!$C$41))*('Inputs-Proposals'!$L$17*'Inputs-Proposals'!$L$19*('Inputs-Proposals'!$L$20))*(VLOOKUP(DT$3,DRIPE!$A$54:$I$82,5,FALSE)+VLOOKUP(DT$3,DRIPE!$A$54:$I$82,9,FALSE))+ ('Inputs-System'!$C$26*'Coincidence Factors'!$B$8*(1+'Inputs-System'!$C$18)*(1+'Inputs-System'!$C$42))*'Inputs-Proposals'!$L$16*VLOOKUP(DT$3,DRIPE!$A$54:$I$82,8,FALSE), $C62 = "2",( 'Inputs-System'!$C$30*'Coincidence Factors'!$B$8*(1+'Inputs-System'!$C$18)*(1+'Inputs-System'!$C$41))*('Inputs-Proposals'!$L$23*'Inputs-Proposals'!$L$25*('Inputs-Proposals'!$L$26))*(VLOOKUP(DT$3,DRIPE!$A$54:$I$82,5,FALSE)+VLOOKUP(DT$3,DRIPE!$A$54:$I$82,9,FALSE))+  ('Inputs-System'!$C$26*'Coincidence Factors'!$B$8*(1+'Inputs-System'!$C$18)*(1+'Inputs-System'!$C$42))*'Inputs-Proposals'!$L$22*VLOOKUP(DT$3,DRIPE!$A$54:$I$82,8,FALSE), $C62= "3", ( 'Inputs-System'!$C$30*'Coincidence Factors'!$B$8*(1+'Inputs-System'!$C$18)*(1+'Inputs-System'!$C$41))*('Inputs-Proposals'!$L$29*'Inputs-Proposals'!$L$31*('Inputs-Proposals'!$L$32))*(VLOOKUP(DT$3,DRIPE!$A$54:$I$82,5,FALSE)+VLOOKUP(DT$3,DRIPE!$A$54:$I$82,9,FALSE))+  ('Inputs-System'!$C$26*'Coincidence Factors'!$B$8*(1+'Inputs-System'!$C$18)*(1+'Inputs-System'!$C$42))*'Inputs-Proposals'!$L$28*VLOOKUP(DT$3,DRIPE!$A$54:$I$82,8,FALSE), $C62 = "0", 0), 0)</f>
        <v>0</v>
      </c>
      <c r="DW62" s="45">
        <f>IFERROR(_xlfn.IFS($C62="1",('Inputs-System'!$C$30*'Coincidence Factors'!$B$8*(1+'Inputs-System'!$C$18))*'Inputs-Proposals'!$L$16*(VLOOKUP(DT$3,Capacity!$A$53:$E$85,4,FALSE)*(1+'Inputs-System'!$C$42)+VLOOKUP(DT$3,Capacity!$A$53:$E$85,5,FALSE)*'Inputs-System'!$C$29*(1+'Inputs-System'!$C$43)), $C62 = "2", ('Inputs-System'!$C$30*'Coincidence Factors'!$B$8*(1+'Inputs-System'!$C$18))*'Inputs-Proposals'!$L$22*(VLOOKUP(DT$3,Capacity!$A$53:$E$85,4,FALSE)*(1+'Inputs-System'!$C$42)+VLOOKUP(DT$3,Capacity!$A$53:$E$85,5,FALSE)*'Inputs-System'!$C$29*(1+'Inputs-System'!$C$43)), $C62 = "3",('Inputs-System'!$C$30*'Coincidence Factors'!$B$8*(1+'Inputs-System'!$C$18))*'Inputs-Proposals'!$L$28*(VLOOKUP(DT$3,Capacity!$A$53:$E$85,4,FALSE)*(1+'Inputs-System'!$C$42)+VLOOKUP(DT$3,Capacity!$A$53:$E$85,5,FALSE)*'Inputs-System'!$C$29*(1+'Inputs-System'!$C$43)), $C62 = "0", 0), 0)</f>
        <v>0</v>
      </c>
      <c r="DX62" s="44">
        <v>0</v>
      </c>
      <c r="DY62" s="342">
        <f>IFERROR(_xlfn.IFS($C62="1", 'Inputs-System'!$C$30*'Coincidence Factors'!$B$8*'Inputs-Proposals'!$L$17*'Inputs-Proposals'!$L$19*(VLOOKUP(DT$3,'Non-Embedded Emissions'!$A$56:$D$90,2,FALSE)+VLOOKUP(DT$3,'Non-Embedded Emissions'!$A$143:$D$174,2,FALSE)+VLOOKUP(DT$3,'Non-Embedded Emissions'!$A$230:$D$259,2,FALSE)), $C62 = "2", 'Inputs-System'!$C$30*'Coincidence Factors'!$B$8*'Inputs-Proposals'!$L$23*'Inputs-Proposals'!$L$25*(VLOOKUP(DT$3,'Non-Embedded Emissions'!$A$56:$D$90,2,FALSE)+VLOOKUP(DT$3,'Non-Embedded Emissions'!$A$143:$D$174,2,FALSE)+VLOOKUP(DT$3,'Non-Embedded Emissions'!$A$230:$D$259,2,FALSE)), $C62 = "3", 'Inputs-System'!$C$30*'Coincidence Factors'!$B$8*'Inputs-Proposals'!$L$29*'Inputs-Proposals'!$L$31*(VLOOKUP(DT$3,'Non-Embedded Emissions'!$A$56:$D$90,2,FALSE)+VLOOKUP(DT$3,'Non-Embedded Emissions'!$A$143:$D$174,2,FALSE)+VLOOKUP(DT$3,'Non-Embedded Emissions'!$A$230:$D$259,2,FALSE)), $C62 = "0", 0), 0)</f>
        <v>0</v>
      </c>
      <c r="DZ62" s="347">
        <f>IFERROR(_xlfn.IFS($C62="1",('Inputs-System'!$C$30*'Coincidence Factors'!$B$8*(1+'Inputs-System'!$C$18)*(1+'Inputs-System'!$C$41)*('Inputs-Proposals'!$L$17*'Inputs-Proposals'!$L$19*('Inputs-Proposals'!$L$20))*(VLOOKUP(DZ$3,Energy!$A$51:$K$83,5,FALSE))), $C62 = "2",('Inputs-System'!$C$30*'Coincidence Factors'!$B$8)*(1+'Inputs-System'!$C$18)*(1+'Inputs-System'!$C$41)*('Inputs-Proposals'!$L$23*'Inputs-Proposals'!$L$25*('Inputs-Proposals'!$L$26))*(VLOOKUP(DZ$3,Energy!$A$51:$K$83,5,FALSE)), $C62= "3", ('Inputs-System'!$C$30*'Coincidence Factors'!$B$8*(1+'Inputs-System'!$C$18)*(1+'Inputs-System'!$C$41)*('Inputs-Proposals'!$L$29*'Inputs-Proposals'!$L$31*('Inputs-Proposals'!$L$32))*(VLOOKUP(DZ$3,Energy!$A$51:$K$83,5,FALSE))), $C62= "0", 0), 0)</f>
        <v>0</v>
      </c>
      <c r="EA62" s="44">
        <f>IFERROR(_xlfn.IFS($C62="1",'Inputs-System'!$C$30*'Coincidence Factors'!$B$8*(1+'Inputs-System'!$C$18)*(1+'Inputs-System'!$C$41)*'Inputs-Proposals'!$L$17*'Inputs-Proposals'!$L$19*('Inputs-Proposals'!$L$20)*(VLOOKUP(DZ$3,'Embedded Emissions'!$A$47:$B$78,2,FALSE)+VLOOKUP(DZ$3,'Embedded Emissions'!$A$129:$B$158,2,FALSE)), $C62 = "2", 'Inputs-System'!$C$30*'Coincidence Factors'!$B$8*(1+'Inputs-System'!$C$18)*(1+'Inputs-System'!$C$41)*'Inputs-Proposals'!$L$23*'Inputs-Proposals'!$L$25*('Inputs-Proposals'!$L$20)*(VLOOKUP(DZ$3,'Embedded Emissions'!$A$47:$B$78,2,FALSE)+VLOOKUP(DZ$3,'Embedded Emissions'!$A$129:$B$158,2,FALSE)), $C62 = "3",'Inputs-System'!$C$30*'Coincidence Factors'!$B$8*(1+'Inputs-System'!$C$18)*(1+'Inputs-System'!$C$41)*'Inputs-Proposals'!$L$29*'Inputs-Proposals'!$L$31*('Inputs-Proposals'!$L$20)*(VLOOKUP(DZ$3,'Embedded Emissions'!$A$47:$B$78,2,FALSE)+VLOOKUP(DZ$3,'Embedded Emissions'!$A$129:$B$158,2,FALSE)), $C62 = "0", 0), 0)</f>
        <v>0</v>
      </c>
      <c r="EB62" s="44">
        <f>IFERROR(_xlfn.IFS($C62="1",( 'Inputs-System'!$C$30*'Coincidence Factors'!$B$8*(1+'Inputs-System'!$C$18)*(1+'Inputs-System'!$C$41))*('Inputs-Proposals'!$L$17*'Inputs-Proposals'!$L$19*('Inputs-Proposals'!$L$20))*(VLOOKUP(DZ$3,DRIPE!$A$54:$I$82,5,FALSE)+VLOOKUP(DZ$3,DRIPE!$A$54:$I$82,9,FALSE))+ ('Inputs-System'!$C$26*'Coincidence Factors'!$B$8*(1+'Inputs-System'!$C$18)*(1+'Inputs-System'!$C$42))*'Inputs-Proposals'!$L$16*VLOOKUP(DZ$3,DRIPE!$A$54:$I$82,8,FALSE), $C62 = "2",( 'Inputs-System'!$C$30*'Coincidence Factors'!$B$8*(1+'Inputs-System'!$C$18)*(1+'Inputs-System'!$C$41))*('Inputs-Proposals'!$L$23*'Inputs-Proposals'!$L$25*('Inputs-Proposals'!$L$26))*(VLOOKUP(DZ$3,DRIPE!$A$54:$I$82,5,FALSE)+VLOOKUP(DZ$3,DRIPE!$A$54:$I$82,9,FALSE))+  ('Inputs-System'!$C$26*'Coincidence Factors'!$B$8*(1+'Inputs-System'!$C$18)*(1+'Inputs-System'!$C$42))*'Inputs-Proposals'!$L$22*VLOOKUP(DZ$3,DRIPE!$A$54:$I$82,8,FALSE), $C62= "3", ( 'Inputs-System'!$C$30*'Coincidence Factors'!$B$8*(1+'Inputs-System'!$C$18)*(1+'Inputs-System'!$C$41))*('Inputs-Proposals'!$L$29*'Inputs-Proposals'!$L$31*('Inputs-Proposals'!$L$32))*(VLOOKUP(DZ$3,DRIPE!$A$54:$I$82,5,FALSE)+VLOOKUP(DZ$3,DRIPE!$A$54:$I$82,9,FALSE))+  ('Inputs-System'!$C$26*'Coincidence Factors'!$B$8*(1+'Inputs-System'!$C$18)*(1+'Inputs-System'!$C$42))*'Inputs-Proposals'!$L$28*VLOOKUP(DZ$3,DRIPE!$A$54:$I$82,8,FALSE), $C62 = "0", 0), 0)</f>
        <v>0</v>
      </c>
      <c r="EC62" s="45">
        <f>IFERROR(_xlfn.IFS($C62="1",('Inputs-System'!$C$30*'Coincidence Factors'!$B$8*(1+'Inputs-System'!$C$18))*'Inputs-Proposals'!$L$16*(VLOOKUP(DZ$3,Capacity!$A$53:$E$85,4,FALSE)*(1+'Inputs-System'!$C$42)+VLOOKUP(DZ$3,Capacity!$A$53:$E$85,5,FALSE)*'Inputs-System'!$C$29*(1+'Inputs-System'!$C$43)), $C62 = "2", ('Inputs-System'!$C$30*'Coincidence Factors'!$B$8*(1+'Inputs-System'!$C$18))*'Inputs-Proposals'!$L$22*(VLOOKUP(DZ$3,Capacity!$A$53:$E$85,4,FALSE)*(1+'Inputs-System'!$C$42)+VLOOKUP(DZ$3,Capacity!$A$53:$E$85,5,FALSE)*'Inputs-System'!$C$29*(1+'Inputs-System'!$C$43)), $C62 = "3",('Inputs-System'!$C$30*'Coincidence Factors'!$B$8*(1+'Inputs-System'!$C$18))*'Inputs-Proposals'!$L$28*(VLOOKUP(DZ$3,Capacity!$A$53:$E$85,4,FALSE)*(1+'Inputs-System'!$C$42)+VLOOKUP(DZ$3,Capacity!$A$53:$E$85,5,FALSE)*'Inputs-System'!$C$29*(1+'Inputs-System'!$C$43)), $C62 = "0", 0), 0)</f>
        <v>0</v>
      </c>
      <c r="ED62" s="44">
        <v>0</v>
      </c>
      <c r="EE62" s="342">
        <f>IFERROR(_xlfn.IFS($C62="1", 'Inputs-System'!$C$30*'Coincidence Factors'!$B$8*'Inputs-Proposals'!$L$17*'Inputs-Proposals'!$L$19*(VLOOKUP(DZ$3,'Non-Embedded Emissions'!$A$56:$D$90,2,FALSE)+VLOOKUP(DZ$3,'Non-Embedded Emissions'!$A$143:$D$174,2,FALSE)+VLOOKUP(DZ$3,'Non-Embedded Emissions'!$A$230:$D$259,2,FALSE)), $C62 = "2", 'Inputs-System'!$C$30*'Coincidence Factors'!$B$8*'Inputs-Proposals'!$L$23*'Inputs-Proposals'!$L$25*(VLOOKUP(DZ$3,'Non-Embedded Emissions'!$A$56:$D$90,2,FALSE)+VLOOKUP(DZ$3,'Non-Embedded Emissions'!$A$143:$D$174,2,FALSE)+VLOOKUP(DZ$3,'Non-Embedded Emissions'!$A$230:$D$259,2,FALSE)), $C62 = "3", 'Inputs-System'!$C$30*'Coincidence Factors'!$B$8*'Inputs-Proposals'!$L$29*'Inputs-Proposals'!$L$31*(VLOOKUP(DZ$3,'Non-Embedded Emissions'!$A$56:$D$90,2,FALSE)+VLOOKUP(DZ$3,'Non-Embedded Emissions'!$A$143:$D$174,2,FALSE)+VLOOKUP(DZ$3,'Non-Embedded Emissions'!$A$230:$D$259,2,FALSE)), $C62 = "0", 0), 0)</f>
        <v>0</v>
      </c>
    </row>
    <row r="63" spans="1:135" x14ac:dyDescent="0.35">
      <c r="A63" s="708"/>
      <c r="B63" s="3" t="str">
        <f>B57</f>
        <v>Diesel GenSet</v>
      </c>
      <c r="C63" s="3" t="str">
        <f>IFERROR(_xlfn.IFS('Benefits Calc'!B63='Inputs-Proposals'!$L$15, "1", 'Benefits Calc'!B63='Inputs-Proposals'!$L$21, "2", 'Benefits Calc'!B63='Inputs-Proposals'!$L$27, "3"), "0")</f>
        <v>0</v>
      </c>
      <c r="D63" s="323">
        <f t="shared" ref="D63:D64" si="60">P63+V63+AB63+AH63+AN63+AT63+AZ63+BF63+BL63+BR63+BX63+CD63+CJ63+CP63+CV63+DB63+DH63+DN63+DT63+DZ63</f>
        <v>0</v>
      </c>
      <c r="E63" s="44">
        <f t="shared" ref="E63:E64" si="61">Q63+W63+AC63+AI63+AO63+AU63+BA63+BG63+BM63+BS63+BY63+CE63+CK63+CQ63+CW63+DC63+DI63+DO63+DU63+EA63</f>
        <v>0</v>
      </c>
      <c r="F63" s="44">
        <f t="shared" ref="F63:F64" si="62">R63+X63+AD63+AJ63+AP63+AV63+BB63+BH63+BN63+BT63+BZ63+CF63+CL63+CR63+CX63+DD63+DJ63+DP63+DV63+EB63</f>
        <v>0</v>
      </c>
      <c r="G63" s="44">
        <f t="shared" ref="G63:G64" si="63">S63+Y63+AE63+AK63+AQ63+AW63+BC63+BI63+BO63+BU63+CA63+CG63+CM63+CS63+CY63+DE63+DK63+DQ63+DW63+EC63</f>
        <v>0</v>
      </c>
      <c r="H63" s="44">
        <f t="shared" ref="H63:H64" si="64">T63+Z63+AF63+AL63+AR63+AX63+BD63+BJ63+BP63+BV63+CB63+CH63+CN63+CT63+CZ63+DF63+DL63+DR63+DX63+ED63</f>
        <v>0</v>
      </c>
      <c r="I63" s="44">
        <f t="shared" ref="I63:I64" si="65">U63+AA63+AG63+AM63+AS63+AY63+BE63+BK63+BQ63+BW63+CC63+CI63+CO63+CU63+DA63+DG63+DM63+DS63+DY63+EE63</f>
        <v>0</v>
      </c>
      <c r="J63" s="323">
        <f>NPV('Inputs-System'!$C$20,P63+V63+AB63+AH63+AN63+AT63+AZ63+BF63+BL63+BR63+BX63+CD63+CJ63+CP63+CV63+DB63+DH63+DN63+DT63+DZ63)</f>
        <v>0</v>
      </c>
      <c r="K63" s="44">
        <f>NPV('Inputs-System'!$C$20,Q63+W63+AC63+AI63+AO63+AU63+BA63+BG63+BM63+BS63+BY63+CE63+CK63+CQ63+CW63+DC63+DI63+DO63+DU63+EA63)</f>
        <v>0</v>
      </c>
      <c r="L63" s="44">
        <f>NPV('Inputs-System'!$C$20,R63+X63+AD63+AJ63+AP63+AV63+BB63+BH63+BN63+BT63+BZ63+CF63+CL63+CR63+CX63+DD63+DJ63+DP63+DV63+EB63)</f>
        <v>0</v>
      </c>
      <c r="M63" s="44">
        <f>NPV('Inputs-System'!$C$20,S63+Y63+AE63+AK63+AQ63+AW63+BC63+BI63+BO63+BU63+CA63+CG63+CM63+CS63+CY63+DE63+DK63+DQ63+DW63+EC63)</f>
        <v>0</v>
      </c>
      <c r="N63" s="44">
        <f>NPV('Inputs-System'!$C$20,T63+Z63+AF63+AL63+AR63+AX63+BD63+BJ63+BP63+BV63+CB63+CH63+CN63+CT63+CZ63+DF63+DL63+DR63+DX63+ED63)</f>
        <v>0</v>
      </c>
      <c r="O63" s="119">
        <f>NPV('Inputs-System'!$C$20,U63+AA63+AG63+AM63+AS63+AY63+BE63+BK63+BQ63+BW63+CC63+CI63+CO63+CU63+DA63+DG63+DM63+DS63+DY63+EE63)</f>
        <v>0</v>
      </c>
      <c r="P63" s="366">
        <f>IFERROR(_xlfn.IFS($C63="1",('Inputs-System'!$C$30*'Coincidence Factors'!$B$9*(1+'Inputs-System'!$C$18)*(1+'Inputs-System'!$C$41)*('Inputs-Proposals'!$L$17*'Inputs-Proposals'!$L$19*(1-'Inputs-Proposals'!$L$20^(P$3-'Inputs-System'!$C$7+1)))*(VLOOKUP(P$3,Energy!$A$51:$K$83,5,FALSE))), $C63 = "2",('Inputs-System'!$C$30*'Coincidence Factors'!$B$9)*(1+'Inputs-System'!$C$18)*(1+'Inputs-System'!$C$41)*('Inputs-Proposals'!$L$23*'Inputs-Proposals'!$L$25*(1-'Inputs-Proposals'!$L$26^(P$3-'Inputs-System'!$C$7+1)))*(VLOOKUP(P$3,Energy!$A$51:$K$83,5,FALSE)), $C63= "3", ('Inputs-System'!$C$30*'Coincidence Factors'!$B$9*(1+'Inputs-System'!$C$18)*(1+'Inputs-System'!$C$41)*('Inputs-Proposals'!$L$29*'Inputs-Proposals'!$L$31*(1-'Inputs-Proposals'!$L$32^(P$3-'Inputs-System'!$C$7+1)))*(VLOOKUP(P$3,Energy!$A$51:$K$83,5,FALSE))), $C63= "0", 0), 0)</f>
        <v>0</v>
      </c>
      <c r="Q63" s="44">
        <f>IFERROR(_xlfn.IFS($C63="1",('Inputs-System'!$C$30*'Coincidence Factors'!$B$9*(1+'Inputs-System'!$C$18)*(1+'Inputs-System'!$C$41))*'Inputs-Proposals'!$L$17*'Inputs-Proposals'!$L$19*(1-'Inputs-Proposals'!$L$20^(P$3-'Inputs-System'!$C$7+1))*(VLOOKUP(P$3,'Embedded Emissions'!$A$47:$B$78,2,FALSE)+VLOOKUP(P$3,'Embedded Emissions'!$A$129:$B$158,2,FALSE)), $C63 = "2",('Inputs-System'!$C$30*'Coincidence Factors'!$B$9*(1+'Inputs-System'!$C$18)*(1+'Inputs-System'!$C$41))*'Inputs-Proposals'!$L$23*'Inputs-Proposals'!$L$25*(1-'Inputs-Proposals'!$L$20^(P$3-'Inputs-System'!$C$7+1))*(VLOOKUP(P$3,'Embedded Emissions'!$A$47:$B$78,2,FALSE)+VLOOKUP(P$3,'Embedded Emissions'!$A$129:$B$158,2,FALSE)), $C63 = "3", ('Inputs-System'!$C$30*'Coincidence Factors'!$B$9*(1+'Inputs-System'!$C$18)*(1+'Inputs-System'!$C$41))*'Inputs-Proposals'!$L$29*'Inputs-Proposals'!$L$31*(1-'Inputs-Proposals'!$L$20^(P$3-'Inputs-System'!$C$7+1))*(VLOOKUP(P$3,'Embedded Emissions'!$A$47:$B$78,2,FALSE)+VLOOKUP(P$3,'Embedded Emissions'!$A$129:$B$158,2,FALSE)), $C63 = "0", 0), 0)</f>
        <v>0</v>
      </c>
      <c r="R63" s="44">
        <f>IFERROR(_xlfn.IFS($C63="1",( 'Inputs-System'!$C$30*'Coincidence Factors'!$B$9*(1+'Inputs-System'!$C$18)*(1+'Inputs-System'!$C$41))*('Inputs-Proposals'!$L$17*'Inputs-Proposals'!$L$19*(1-'Inputs-Proposals'!$L$20)^(P$3-'Inputs-System'!$C$7))*(VLOOKUP(P$3,DRIPE!$A$54:$I$82,5,FALSE)+VLOOKUP(P$3,DRIPE!$A$54:$I$82,9,FALSE))+ ('Inputs-System'!$C$26*'Coincidence Factors'!$B$6*(1+'Inputs-System'!$C$18)*(1+'Inputs-System'!$C$42))*'Inputs-Proposals'!$L$16*VLOOKUP(P$3,DRIPE!$A$54:$I$82,8,FALSE), $C63 = "2",( 'Inputs-System'!$C$30*'Coincidence Factors'!$B$9*(1+'Inputs-System'!$C$18)*(1+'Inputs-System'!$C$41))*('Inputs-Proposals'!$L$23*'Inputs-Proposals'!$L$25*(1-'Inputs-Proposals'!$L$26)^(P$3-'Inputs-System'!$C$7))*(VLOOKUP(P$3,DRIPE!$A$54:$I$82,5,FALSE)+VLOOKUP(P$3,DRIPE!$A$54:$I$82,9,FALSE))+ ('Inputs-System'!$C$26*'Coincidence Factors'!$B$6*(1+'Inputs-System'!$C$18)*(1+'Inputs-System'!$C$42))*'Inputs-Proposals'!$L$22*VLOOKUP(P$3,DRIPE!$A$54:$I$82,8,FALSE), $C63= "3", ( 'Inputs-System'!$C$30*'Coincidence Factors'!$B$9*(1+'Inputs-System'!$C$18)*(1+'Inputs-System'!$C$41))*('Inputs-Proposals'!$L$29*'Inputs-Proposals'!$L$31*(1-'Inputs-Proposals'!$L$32)^(P$3-'Inputs-System'!$C$7))*(VLOOKUP(P$3,DRIPE!$A$54:$I$82,5,FALSE)+VLOOKUP(P$3,DRIPE!$A$54:$I$82,9,FALSE))+ ('Inputs-System'!$C$26*'Coincidence Factors'!$B$6*(1+'Inputs-System'!$C$18)*(1+'Inputs-System'!$C$42))*'Inputs-Proposals'!$L$28*VLOOKUP(P$3,DRIPE!$A$54:$I$82,8,FALSE), $C63 = "0", 0), 0)</f>
        <v>0</v>
      </c>
      <c r="S63" s="45">
        <f>IFERROR(_xlfn.IFS($C63="1",('Inputs-System'!$C$26*'Coincidence Factors'!$B$9*(1+'Inputs-System'!$C$18)*(1+'Inputs-System'!$C$42))*'Inputs-Proposals'!$D$16*(VLOOKUP(P$3,Capacity!$A$53:$E$85,4,FALSE)*(1+'Inputs-System'!$C$42)+VLOOKUP(P$3,Capacity!$A$53:$E$85,5,FALSE)*(1+'Inputs-System'!$C$43)*'Inputs-System'!$C$29), $C63 = "2", ('Inputs-System'!$C$26*'Coincidence Factors'!$B$9*(1+'Inputs-System'!$C$18))*'Inputs-Proposals'!$D$22*(VLOOKUP(P$3,Capacity!$A$53:$E$85,4,FALSE)*(1+'Inputs-System'!$C$42)+VLOOKUP(P$3,Capacity!$A$53:$E$85,5,FALSE)*'Inputs-System'!$C$29*(1+'Inputs-System'!$C$43)), $C63 = "3", ('Inputs-System'!$C$26*'Coincidence Factors'!$B$9*(1+'Inputs-System'!$C$18))*'Inputs-Proposals'!$D$28*(VLOOKUP(P$3,Capacity!$A$53:$E$85,4,FALSE)*(1+'Inputs-System'!$C$42)+VLOOKUP(P$3,Capacity!$A$53:$E$85,5,FALSE)*'Inputs-System'!$C$29*(1+'Inputs-System'!$C$43)), $C63 = "0", 0), 0)</f>
        <v>0</v>
      </c>
      <c r="T63" s="44">
        <v>0</v>
      </c>
      <c r="U63" s="342">
        <f>IFERROR(_xlfn.IFS($C63="1", 'Inputs-System'!$C$30*'Coincidence Factors'!$B$9*'Inputs-Proposals'!$L$17*'Inputs-Proposals'!$L$19*(VLOOKUP(P$3,'Non-Embedded Emissions'!$A$56:$D$90,2,FALSE)-VLOOKUP(P$3,'Non-Embedded Emissions'!$F$57:$H$88,2,FALSE)+VLOOKUP(P$3,'Non-Embedded Emissions'!$A$143:$D$174,2,FALSE)-VLOOKUP(P$3,'Non-Embedded Emissions'!$F$143:$H$174,2,FALSE)+VLOOKUP(P$3,'Non-Embedded Emissions'!$A$230:$D$259,2,FALSE)), $C63 = "2", 'Inputs-System'!$C$30*'Coincidence Factors'!$B$9*'Inputs-Proposals'!$L$23*'Inputs-Proposals'!$L$25*(VLOOKUP(P$3,'Non-Embedded Emissions'!$A$56:$D$90,2,FALSE)-VLOOKUP(P$3,'Non-Embedded Emissions'!$F$57:$H$88,2,FALSE)+VLOOKUP(P$3,'Non-Embedded Emissions'!$A$143:$D$174,2,FALSE)-VLOOKUP(P$3,'Non-Embedded Emissions'!$F$143:$H$174,2,FALSE)+VLOOKUP(P$3,'Non-Embedded Emissions'!$A$230:$D$259,2,FALSE)), $C63 = "3", 'Inputs-System'!$C$30*'Coincidence Factors'!$B$9*'Inputs-Proposals'!$L$29*'Inputs-Proposals'!$L$31*(VLOOKUP(P$3,'Non-Embedded Emissions'!$A$56:$D$90,2,FALSE)-VLOOKUP(P$3,'Non-Embedded Emissions'!$F$57:$H$88,2,FALSE)+VLOOKUP(P$3,'Non-Embedded Emissions'!$A$143:$D$174,2,FALSE)-VLOOKUP(P$3,'Non-Embedded Emissions'!$F$143:$H$174,2,FALSE)+VLOOKUP(P$3,'Non-Embedded Emissions'!$A$230:$D$259,2,FALSE)), $C63 = "0", 0), 0)</f>
        <v>0</v>
      </c>
      <c r="V63" s="45">
        <f>IFERROR(_xlfn.IFS($C63="1",('Inputs-System'!$C$30*'Coincidence Factors'!$B$9*(1+'Inputs-System'!$C$18)*(1+'Inputs-System'!$C$41)*('Inputs-Proposals'!$L$17*'Inputs-Proposals'!$L$19*(1-'Inputs-Proposals'!$L$20^(V$3-'Inputs-System'!$C$7)))*(VLOOKUP(V$3,Energy!$A$51:$K$83,5,FALSE))), $C63 = "2",('Inputs-System'!$C$30*'Coincidence Factors'!$B$9)*(1+'Inputs-System'!$C$18)*(1+'Inputs-System'!$C$41)*('Inputs-Proposals'!$L$23*'Inputs-Proposals'!$L$25*(1-'Inputs-Proposals'!$L$26^(V$3-'Inputs-System'!$C$7)))*(VLOOKUP(V$3,Energy!$A$51:$K$83,5,FALSE)), $C63= "3", ('Inputs-System'!$C$30*'Coincidence Factors'!$B$9*(1+'Inputs-System'!$C$18)*(1+'Inputs-System'!$C$41)*('Inputs-Proposals'!$L$29*'Inputs-Proposals'!$L$31*(1-'Inputs-Proposals'!$L$32^(V$3-'Inputs-System'!$C$7)))*(VLOOKUP(V$3,Energy!$A$51:$K$83,5,FALSE))), $C63= "0", 0), 0)</f>
        <v>0</v>
      </c>
      <c r="W63" s="44">
        <f>IFERROR(_xlfn.IFS($C63="1",('Inputs-System'!$C$30*'Coincidence Factors'!$B$9*(1+'Inputs-System'!$C$18)*(1+'Inputs-System'!$C$41))*'Inputs-Proposals'!$L$17*'Inputs-Proposals'!$L$19*(1-'Inputs-Proposals'!$L$20^(V$3-'Inputs-System'!$C$7))*(VLOOKUP(V$3,'Embedded Emissions'!$A$47:$B$78,2,FALSE)+VLOOKUP(V$3,'Embedded Emissions'!$A$129:$B$158,2,FALSE)), $C63 = "2",('Inputs-System'!$C$30*'Coincidence Factors'!$B$9*(1+'Inputs-System'!$C$18)*(1+'Inputs-System'!$C$41))*'Inputs-Proposals'!$L$23*'Inputs-Proposals'!$L$25*(1-'Inputs-Proposals'!$L$20^(V$3-'Inputs-System'!$C$7))*(VLOOKUP(V$3,'Embedded Emissions'!$A$47:$B$78,2,FALSE)+VLOOKUP(V$3,'Embedded Emissions'!$A$129:$B$158,2,FALSE)), $C63 = "3", ('Inputs-System'!$C$30*'Coincidence Factors'!$B$9*(1+'Inputs-System'!$C$18)*(1+'Inputs-System'!$C$41))*'Inputs-Proposals'!$L$29*'Inputs-Proposals'!$L$31*(1-'Inputs-Proposals'!$L$20^(V$3-'Inputs-System'!$C$7))*(VLOOKUP(V$3,'Embedded Emissions'!$A$47:$B$78,2,FALSE)+VLOOKUP(V$3,'Embedded Emissions'!$A$129:$B$158,2,FALSE)), $C63 = "0", 0), 0)</f>
        <v>0</v>
      </c>
      <c r="X63" s="44">
        <f>IFERROR(_xlfn.IFS($C63="1",( 'Inputs-System'!$C$30*'Coincidence Factors'!$B$9*(1+'Inputs-System'!$C$18)*(1+'Inputs-System'!$C$41))*('Inputs-Proposals'!$L$17*'Inputs-Proposals'!$L$19*(1-'Inputs-Proposals'!$L$20)^(V$3-'Inputs-System'!$C$7))*(VLOOKUP(V$3,DRIPE!$A$54:$I$82,5,FALSE)+VLOOKUP(V$3,DRIPE!$A$54:$I$82,9,FALSE))+ ('Inputs-System'!$C$26*'Coincidence Factors'!$B$6*(1+'Inputs-System'!$C$18)*(1+'Inputs-System'!$C$42))*'Inputs-Proposals'!$L$16*VLOOKUP(V$3,DRIPE!$A$54:$I$82,8,FALSE), $C63 = "2",( 'Inputs-System'!$C$30*'Coincidence Factors'!$B$9*(1+'Inputs-System'!$C$18)*(1+'Inputs-System'!$C$41))*('Inputs-Proposals'!$L$23*'Inputs-Proposals'!$L$25*(1-'Inputs-Proposals'!$L$26)^(V$3-'Inputs-System'!$C$7))*(VLOOKUP(V$3,DRIPE!$A$54:$I$82,5,FALSE)+VLOOKUP(V$3,DRIPE!$A$54:$I$82,9,FALSE))+ ('Inputs-System'!$C$26*'Coincidence Factors'!$B$6*(1+'Inputs-System'!$C$18)*(1+'Inputs-System'!$C$42))*'Inputs-Proposals'!$L$22*VLOOKUP(V$3,DRIPE!$A$54:$I$82,8,FALSE), $C63= "3", ( 'Inputs-System'!$C$30*'Coincidence Factors'!$B$9*(1+'Inputs-System'!$C$18)*(1+'Inputs-System'!$C$41))*('Inputs-Proposals'!$L$29*'Inputs-Proposals'!$L$31*(1-'Inputs-Proposals'!$L$32)^(V$3-'Inputs-System'!$C$7))*(VLOOKUP(V$3,DRIPE!$A$54:$I$82,5,FALSE)+VLOOKUP(V$3,DRIPE!$A$54:$I$82,9,FALSE))+ ('Inputs-System'!$C$26*'Coincidence Factors'!$B$6*(1+'Inputs-System'!$C$18)*(1+'Inputs-System'!$C$42))*'Inputs-Proposals'!$L$28*VLOOKUP(V$3,DRIPE!$A$54:$I$82,8,FALSE), $C63 = "0", 0), 0)</f>
        <v>0</v>
      </c>
      <c r="Y63" s="45">
        <f>IFERROR(_xlfn.IFS($C63="1",('Inputs-System'!$C$26*'Coincidence Factors'!$B$9*(1+'Inputs-System'!$C$18)*(1+'Inputs-System'!$C$42))*'Inputs-Proposals'!$D$16*(VLOOKUP(V$3,Capacity!$A$53:$E$85,4,FALSE)*(1+'Inputs-System'!$C$42)+VLOOKUP(V$3,Capacity!$A$53:$E$85,5,FALSE)*(1+'Inputs-System'!$C$43)*'Inputs-System'!$C$29), $C63 = "2", ('Inputs-System'!$C$26*'Coincidence Factors'!$B$9*(1+'Inputs-System'!$C$18))*'Inputs-Proposals'!$D$22*(VLOOKUP(V$3,Capacity!$A$53:$E$85,4,FALSE)*(1+'Inputs-System'!$C$42)+VLOOKUP(V$3,Capacity!$A$53:$E$85,5,FALSE)*'Inputs-System'!$C$29*(1+'Inputs-System'!$C$43)), $C63 = "3", ('Inputs-System'!$C$26*'Coincidence Factors'!$B$9*(1+'Inputs-System'!$C$18))*'Inputs-Proposals'!$D$28*(VLOOKUP(V$3,Capacity!$A$53:$E$85,4,FALSE)*(1+'Inputs-System'!$C$42)+VLOOKUP(V$3,Capacity!$A$53:$E$85,5,FALSE)*'Inputs-System'!$C$29*(1+'Inputs-System'!$C$43)), $C63 = "0", 0), 0)</f>
        <v>0</v>
      </c>
      <c r="Z63" s="44">
        <v>0</v>
      </c>
      <c r="AA63" s="342">
        <f>IFERROR(_xlfn.IFS($C63="1", 'Inputs-System'!$C$30*'Coincidence Factors'!$B$9*'Inputs-Proposals'!$L$17*'Inputs-Proposals'!$L$19*(VLOOKUP(V$3,'Non-Embedded Emissions'!$A$56:$D$90,2,FALSE)-VLOOKUP(V$3,'Non-Embedded Emissions'!$F$57:$H$88,2,FALSE)+VLOOKUP(V$3,'Non-Embedded Emissions'!$A$143:$D$174,2,FALSE)-VLOOKUP(V$3,'Non-Embedded Emissions'!$F$143:$H$174,2,FALSE)+VLOOKUP(V$3,'Non-Embedded Emissions'!$A$230:$D$259,2,FALSE)), $C63 = "2", 'Inputs-System'!$C$30*'Coincidence Factors'!$B$9*'Inputs-Proposals'!$L$23*'Inputs-Proposals'!$L$25*(VLOOKUP(V$3,'Non-Embedded Emissions'!$A$56:$D$90,2,FALSE)-VLOOKUP(V$3,'Non-Embedded Emissions'!$F$57:$H$88,2,FALSE)+VLOOKUP(V$3,'Non-Embedded Emissions'!$A$143:$D$174,2,FALSE)-VLOOKUP(V$3,'Non-Embedded Emissions'!$F$143:$H$174,2,FALSE)+VLOOKUP(V$3,'Non-Embedded Emissions'!$A$230:$D$259,2,FALSE)), $C63 = "3", 'Inputs-System'!$C$30*'Coincidence Factors'!$B$9*'Inputs-Proposals'!$L$29*'Inputs-Proposals'!$L$31*(VLOOKUP(V$3,'Non-Embedded Emissions'!$A$56:$D$90,2,FALSE)-VLOOKUP(V$3,'Non-Embedded Emissions'!$F$57:$H$88,2,FALSE)+VLOOKUP(V$3,'Non-Embedded Emissions'!$A$143:$D$174,2,FALSE)-VLOOKUP(V$3,'Non-Embedded Emissions'!$F$143:$H$174,2,FALSE)+VLOOKUP(V$3,'Non-Embedded Emissions'!$A$230:$D$259,2,FALSE)), $C63 = "0", 0), 0)</f>
        <v>0</v>
      </c>
      <c r="AB63" s="45">
        <f>IFERROR(_xlfn.IFS($C63="1",('Inputs-System'!$C$30*'Coincidence Factors'!$B$9*(1+'Inputs-System'!$C$18)*(1+'Inputs-System'!$C$41)*('Inputs-Proposals'!$L$17*'Inputs-Proposals'!$L$19*(1-'Inputs-Proposals'!$L$20^(AB$3-'Inputs-System'!$C$7)))*(VLOOKUP(AB$3,Energy!$A$51:$K$83,5,FALSE))), $C63 = "2",('Inputs-System'!$C$30*'Coincidence Factors'!$B$9)*(1+'Inputs-System'!$C$18)*(1+'Inputs-System'!$C$41)*('Inputs-Proposals'!$L$23*'Inputs-Proposals'!$L$25*(1-'Inputs-Proposals'!$L$26^(AB$3-'Inputs-System'!$C$7)))*(VLOOKUP(AB$3,Energy!$A$51:$K$83,5,FALSE)), $C63= "3", ('Inputs-System'!$C$30*'Coincidence Factors'!$B$9*(1+'Inputs-System'!$C$18)*(1+'Inputs-System'!$C$41)*('Inputs-Proposals'!$L$29*'Inputs-Proposals'!$L$31*(1-'Inputs-Proposals'!$L$32^(AB$3-'Inputs-System'!$C$7)))*(VLOOKUP(AB$3,Energy!$A$51:$K$83,5,FALSE))), $C63= "0", 0), 0)</f>
        <v>0</v>
      </c>
      <c r="AC63" s="44">
        <f>IFERROR(_xlfn.IFS($C63="1",('Inputs-System'!$C$30*'Coincidence Factors'!$B$9*(1+'Inputs-System'!$C$18)*(1+'Inputs-System'!$C$41))*'Inputs-Proposals'!$L$17*'Inputs-Proposals'!$L$19*(1-'Inputs-Proposals'!$L$20^(AB$3-'Inputs-System'!$C$7))*(VLOOKUP(AB$3,'Embedded Emissions'!$A$47:$B$78,2,FALSE)+VLOOKUP(AB$3,'Embedded Emissions'!$A$129:$B$158,2,FALSE)), $C63 = "2",('Inputs-System'!$C$30*'Coincidence Factors'!$B$9*(1+'Inputs-System'!$C$18)*(1+'Inputs-System'!$C$41))*'Inputs-Proposals'!$L$23*'Inputs-Proposals'!$L$25*(1-'Inputs-Proposals'!$L$20^(AB$3-'Inputs-System'!$C$7))*(VLOOKUP(AB$3,'Embedded Emissions'!$A$47:$B$78,2,FALSE)+VLOOKUP(AB$3,'Embedded Emissions'!$A$129:$B$158,2,FALSE)), $C63 = "3", ('Inputs-System'!$C$30*'Coincidence Factors'!$B$9*(1+'Inputs-System'!$C$18)*(1+'Inputs-System'!$C$41))*'Inputs-Proposals'!$L$29*'Inputs-Proposals'!$L$31*(1-'Inputs-Proposals'!$L$20^(AB$3-'Inputs-System'!$C$7))*(VLOOKUP(AB$3,'Embedded Emissions'!$A$47:$B$78,2,FALSE)+VLOOKUP(AB$3,'Embedded Emissions'!$A$129:$B$158,2,FALSE)), $C63 = "0", 0), 0)</f>
        <v>0</v>
      </c>
      <c r="AD63" s="44">
        <f>IFERROR(_xlfn.IFS($C63="1",( 'Inputs-System'!$C$30*'Coincidence Factors'!$B$9*(1+'Inputs-System'!$C$18)*(1+'Inputs-System'!$C$41))*('Inputs-Proposals'!$L$17*'Inputs-Proposals'!$L$19*(1-'Inputs-Proposals'!$L$20)^(AB$3-'Inputs-System'!$C$7))*(VLOOKUP(AB$3,DRIPE!$A$54:$I$82,5,FALSE)+VLOOKUP(AB$3,DRIPE!$A$54:$I$82,9,FALSE))+ ('Inputs-System'!$C$26*'Coincidence Factors'!$B$6*(1+'Inputs-System'!$C$18)*(1+'Inputs-System'!$C$42))*'Inputs-Proposals'!$L$16*VLOOKUP(AB$3,DRIPE!$A$54:$I$82,8,FALSE), $C63 = "2",( 'Inputs-System'!$C$30*'Coincidence Factors'!$B$9*(1+'Inputs-System'!$C$18)*(1+'Inputs-System'!$C$41))*('Inputs-Proposals'!$L$23*'Inputs-Proposals'!$L$25*(1-'Inputs-Proposals'!$L$26)^(AB$3-'Inputs-System'!$C$7))*(VLOOKUP(AB$3,DRIPE!$A$54:$I$82,5,FALSE)+VLOOKUP(AB$3,DRIPE!$A$54:$I$82,9,FALSE))+ ('Inputs-System'!$C$26*'Coincidence Factors'!$B$6*(1+'Inputs-System'!$C$18)*(1+'Inputs-System'!$C$42))*'Inputs-Proposals'!$L$22*VLOOKUP(AB$3,DRIPE!$A$54:$I$82,8,FALSE), $C63= "3", ( 'Inputs-System'!$C$30*'Coincidence Factors'!$B$9*(1+'Inputs-System'!$C$18)*(1+'Inputs-System'!$C$41))*('Inputs-Proposals'!$L$29*'Inputs-Proposals'!$L$31*(1-'Inputs-Proposals'!$L$32)^(AB$3-'Inputs-System'!$C$7))*(VLOOKUP(AB$3,DRIPE!$A$54:$I$82,5,FALSE)+VLOOKUP(AB$3,DRIPE!$A$54:$I$82,9,FALSE))+ ('Inputs-System'!$C$26*'Coincidence Factors'!$B$6*(1+'Inputs-System'!$C$18)*(1+'Inputs-System'!$C$42))*'Inputs-Proposals'!$L$28*VLOOKUP(AB$3,DRIPE!$A$54:$I$82,8,FALSE), $C63 = "0", 0), 0)</f>
        <v>0</v>
      </c>
      <c r="AE63" s="45">
        <f>IFERROR(_xlfn.IFS($C63="1",('Inputs-System'!$C$26*'Coincidence Factors'!$B$9*(1+'Inputs-System'!$C$18)*(1+'Inputs-System'!$C$42))*'Inputs-Proposals'!$D$16*(VLOOKUP(AB$3,Capacity!$A$53:$E$85,4,FALSE)*(1+'Inputs-System'!$C$42)+VLOOKUP(AB$3,Capacity!$A$53:$E$85,5,FALSE)*(1+'Inputs-System'!$C$43)*'Inputs-System'!$C$29), $C63 = "2", ('Inputs-System'!$C$26*'Coincidence Factors'!$B$9*(1+'Inputs-System'!$C$18))*'Inputs-Proposals'!$D$22*(VLOOKUP(AB$3,Capacity!$A$53:$E$85,4,FALSE)*(1+'Inputs-System'!$C$42)+VLOOKUP(AB$3,Capacity!$A$53:$E$85,5,FALSE)*'Inputs-System'!$C$29*(1+'Inputs-System'!$C$43)), $C63 = "3", ('Inputs-System'!$C$26*'Coincidence Factors'!$B$9*(1+'Inputs-System'!$C$18))*'Inputs-Proposals'!$D$28*(VLOOKUP(AB$3,Capacity!$A$53:$E$85,4,FALSE)*(1+'Inputs-System'!$C$42)+VLOOKUP(AB$3,Capacity!$A$53:$E$85,5,FALSE)*'Inputs-System'!$C$29*(1+'Inputs-System'!$C$43)), $C63 = "0", 0), 0)</f>
        <v>0</v>
      </c>
      <c r="AF63" s="44">
        <v>0</v>
      </c>
      <c r="AG63" s="342">
        <f>IFERROR(_xlfn.IFS($C63="1", 'Inputs-System'!$C$30*'Coincidence Factors'!$B$9*'Inputs-Proposals'!$L$17*'Inputs-Proposals'!$L$19*(VLOOKUP(AB$3,'Non-Embedded Emissions'!$A$56:$D$90,2,FALSE)-VLOOKUP(AB$3,'Non-Embedded Emissions'!$F$57:$H$88,2,FALSE)+VLOOKUP(AB$3,'Non-Embedded Emissions'!$A$143:$D$174,2,FALSE)-VLOOKUP(AB$3,'Non-Embedded Emissions'!$F$143:$H$174,2,FALSE)+VLOOKUP(AB$3,'Non-Embedded Emissions'!$A$230:$D$259,2,FALSE)), $C63 = "2", 'Inputs-System'!$C$30*'Coincidence Factors'!$B$9*'Inputs-Proposals'!$L$23*'Inputs-Proposals'!$L$25*(VLOOKUP(AB$3,'Non-Embedded Emissions'!$A$56:$D$90,2,FALSE)-VLOOKUP(AB$3,'Non-Embedded Emissions'!$F$57:$H$88,2,FALSE)+VLOOKUP(AB$3,'Non-Embedded Emissions'!$A$143:$D$174,2,FALSE)-VLOOKUP(AB$3,'Non-Embedded Emissions'!$F$143:$H$174,2,FALSE)+VLOOKUP(AB$3,'Non-Embedded Emissions'!$A$230:$D$259,2,FALSE)), $C63 = "3", 'Inputs-System'!$C$30*'Coincidence Factors'!$B$9*'Inputs-Proposals'!$L$29*'Inputs-Proposals'!$L$31*(VLOOKUP(AB$3,'Non-Embedded Emissions'!$A$56:$D$90,2,FALSE)-VLOOKUP(AB$3,'Non-Embedded Emissions'!$F$57:$H$88,2,FALSE)+VLOOKUP(AB$3,'Non-Embedded Emissions'!$A$143:$D$174,2,FALSE)-VLOOKUP(AB$3,'Non-Embedded Emissions'!$F$143:$H$174,2,FALSE)+VLOOKUP(AB$3,'Non-Embedded Emissions'!$A$230:$D$259,2,FALSE)), $C63 = "0", 0), 0)</f>
        <v>0</v>
      </c>
      <c r="AH63" s="45">
        <f>IFERROR(_xlfn.IFS($C63="1",('Inputs-System'!$C$30*'Coincidence Factors'!$B$9*(1+'Inputs-System'!$C$18)*(1+'Inputs-System'!$C$41)*('Inputs-Proposals'!$L$17*'Inputs-Proposals'!$L$19*(1-'Inputs-Proposals'!$L$20^(AH$3-'Inputs-System'!$C$7)))*(VLOOKUP(AH$3,Energy!$A$51:$K$83,5,FALSE))), $C63 = "2",('Inputs-System'!$C$30*'Coincidence Factors'!$B$9)*(1+'Inputs-System'!$C$18)*(1+'Inputs-System'!$C$41)*('Inputs-Proposals'!$L$23*'Inputs-Proposals'!$L$25*(1-'Inputs-Proposals'!$L$26^(AH$3-'Inputs-System'!$C$7)))*(VLOOKUP(AH$3,Energy!$A$51:$K$83,5,FALSE)), $C63= "3", ('Inputs-System'!$C$30*'Coincidence Factors'!$B$9*(1+'Inputs-System'!$C$18)*(1+'Inputs-System'!$C$41)*('Inputs-Proposals'!$L$29*'Inputs-Proposals'!$L$31*(1-'Inputs-Proposals'!$L$32^(AH$3-'Inputs-System'!$C$7)))*(VLOOKUP(AH$3,Energy!$A$51:$K$83,5,FALSE))), $C63= "0", 0), 0)</f>
        <v>0</v>
      </c>
      <c r="AI63" s="44">
        <f>IFERROR(_xlfn.IFS($C63="1",('Inputs-System'!$C$30*'Coincidence Factors'!$B$9*(1+'Inputs-System'!$C$18)*(1+'Inputs-System'!$C$41))*'Inputs-Proposals'!$L$17*'Inputs-Proposals'!$L$19*(1-'Inputs-Proposals'!$L$20^(AH$3-'Inputs-System'!$C$7))*(VLOOKUP(AH$3,'Embedded Emissions'!$A$47:$B$78,2,FALSE)+VLOOKUP(AH$3,'Embedded Emissions'!$A$129:$B$158,2,FALSE)), $C63 = "2",('Inputs-System'!$C$30*'Coincidence Factors'!$B$9*(1+'Inputs-System'!$C$18)*(1+'Inputs-System'!$C$41))*'Inputs-Proposals'!$L$23*'Inputs-Proposals'!$L$25*(1-'Inputs-Proposals'!$L$20^(AH$3-'Inputs-System'!$C$7))*(VLOOKUP(AH$3,'Embedded Emissions'!$A$47:$B$78,2,FALSE)+VLOOKUP(AH$3,'Embedded Emissions'!$A$129:$B$158,2,FALSE)), $C63 = "3", ('Inputs-System'!$C$30*'Coincidence Factors'!$B$9*(1+'Inputs-System'!$C$18)*(1+'Inputs-System'!$C$41))*'Inputs-Proposals'!$L$29*'Inputs-Proposals'!$L$31*(1-'Inputs-Proposals'!$L$20^(AH$3-'Inputs-System'!$C$7))*(VLOOKUP(AH$3,'Embedded Emissions'!$A$47:$B$78,2,FALSE)+VLOOKUP(AH$3,'Embedded Emissions'!$A$129:$B$158,2,FALSE)), $C63 = "0", 0), 0)</f>
        <v>0</v>
      </c>
      <c r="AJ63" s="44">
        <f>IFERROR(_xlfn.IFS($C63="1",( 'Inputs-System'!$C$30*'Coincidence Factors'!$B$9*(1+'Inputs-System'!$C$18)*(1+'Inputs-System'!$C$41))*('Inputs-Proposals'!$L$17*'Inputs-Proposals'!$L$19*(1-'Inputs-Proposals'!$L$20)^(AH$3-'Inputs-System'!$C$7))*(VLOOKUP(AH$3,DRIPE!$A$54:$I$82,5,FALSE)+VLOOKUP(AH$3,DRIPE!$A$54:$I$82,9,FALSE))+ ('Inputs-System'!$C$26*'Coincidence Factors'!$B$6*(1+'Inputs-System'!$C$18)*(1+'Inputs-System'!$C$42))*'Inputs-Proposals'!$L$16*VLOOKUP(AH$3,DRIPE!$A$54:$I$82,8,FALSE), $C63 = "2",( 'Inputs-System'!$C$30*'Coincidence Factors'!$B$9*(1+'Inputs-System'!$C$18)*(1+'Inputs-System'!$C$41))*('Inputs-Proposals'!$L$23*'Inputs-Proposals'!$L$25*(1-'Inputs-Proposals'!$L$26)^(AH$3-'Inputs-System'!$C$7))*(VLOOKUP(AH$3,DRIPE!$A$54:$I$82,5,FALSE)+VLOOKUP(AH$3,DRIPE!$A$54:$I$82,9,FALSE))+ ('Inputs-System'!$C$26*'Coincidence Factors'!$B$6*(1+'Inputs-System'!$C$18)*(1+'Inputs-System'!$C$42))*'Inputs-Proposals'!$L$22*VLOOKUP(AH$3,DRIPE!$A$54:$I$82,8,FALSE), $C63= "3", ( 'Inputs-System'!$C$30*'Coincidence Factors'!$B$9*(1+'Inputs-System'!$C$18)*(1+'Inputs-System'!$C$41))*('Inputs-Proposals'!$L$29*'Inputs-Proposals'!$L$31*(1-'Inputs-Proposals'!$L$32)^(AH$3-'Inputs-System'!$C$7))*(VLOOKUP(AH$3,DRIPE!$A$54:$I$82,5,FALSE)+VLOOKUP(AH$3,DRIPE!$A$54:$I$82,9,FALSE))+ ('Inputs-System'!$C$26*'Coincidence Factors'!$B$6*(1+'Inputs-System'!$C$18)*(1+'Inputs-System'!$C$42))*'Inputs-Proposals'!$L$28*VLOOKUP(AH$3,DRIPE!$A$54:$I$82,8,FALSE), $C63 = "0", 0), 0)</f>
        <v>0</v>
      </c>
      <c r="AK63" s="45">
        <f>IFERROR(_xlfn.IFS($C63="1",('Inputs-System'!$C$26*'Coincidence Factors'!$B$9*(1+'Inputs-System'!$C$18)*(1+'Inputs-System'!$C$42))*'Inputs-Proposals'!$D$16*(VLOOKUP(AH$3,Capacity!$A$53:$E$85,4,FALSE)*(1+'Inputs-System'!$C$42)+VLOOKUP(AH$3,Capacity!$A$53:$E$85,5,FALSE)*(1+'Inputs-System'!$C$43)*'Inputs-System'!$C$29), $C63 = "2", ('Inputs-System'!$C$26*'Coincidence Factors'!$B$9*(1+'Inputs-System'!$C$18))*'Inputs-Proposals'!$D$22*(VLOOKUP(AH$3,Capacity!$A$53:$E$85,4,FALSE)*(1+'Inputs-System'!$C$42)+VLOOKUP(AH$3,Capacity!$A$53:$E$85,5,FALSE)*'Inputs-System'!$C$29*(1+'Inputs-System'!$C$43)), $C63 = "3", ('Inputs-System'!$C$26*'Coincidence Factors'!$B$9*(1+'Inputs-System'!$C$18))*'Inputs-Proposals'!$D$28*(VLOOKUP(AH$3,Capacity!$A$53:$E$85,4,FALSE)*(1+'Inputs-System'!$C$42)+VLOOKUP(AH$3,Capacity!$A$53:$E$85,5,FALSE)*'Inputs-System'!$C$29*(1+'Inputs-System'!$C$43)), $C63 = "0", 0), 0)</f>
        <v>0</v>
      </c>
      <c r="AL63" s="44">
        <v>0</v>
      </c>
      <c r="AM63" s="342">
        <f>IFERROR(_xlfn.IFS($C63="1", 'Inputs-System'!$C$30*'Coincidence Factors'!$B$9*'Inputs-Proposals'!$L$17*'Inputs-Proposals'!$L$19*(VLOOKUP(AH$3,'Non-Embedded Emissions'!$A$56:$D$90,2,FALSE)-VLOOKUP(AH$3,'Non-Embedded Emissions'!$F$57:$H$88,2,FALSE)+VLOOKUP(AH$3,'Non-Embedded Emissions'!$A$143:$D$174,2,FALSE)-VLOOKUP(AH$3,'Non-Embedded Emissions'!$F$143:$H$174,2,FALSE)+VLOOKUP(AH$3,'Non-Embedded Emissions'!$A$230:$D$259,2,FALSE)), $C63 = "2", 'Inputs-System'!$C$30*'Coincidence Factors'!$B$9*'Inputs-Proposals'!$L$23*'Inputs-Proposals'!$L$25*(VLOOKUP(AH$3,'Non-Embedded Emissions'!$A$56:$D$90,2,FALSE)-VLOOKUP(AH$3,'Non-Embedded Emissions'!$F$57:$H$88,2,FALSE)+VLOOKUP(AH$3,'Non-Embedded Emissions'!$A$143:$D$174,2,FALSE)-VLOOKUP(AH$3,'Non-Embedded Emissions'!$F$143:$H$174,2,FALSE)+VLOOKUP(AH$3,'Non-Embedded Emissions'!$A$230:$D$259,2,FALSE)), $C63 = "3", 'Inputs-System'!$C$30*'Coincidence Factors'!$B$9*'Inputs-Proposals'!$L$29*'Inputs-Proposals'!$L$31*(VLOOKUP(AH$3,'Non-Embedded Emissions'!$A$56:$D$90,2,FALSE)-VLOOKUP(AH$3,'Non-Embedded Emissions'!$F$57:$H$88,2,FALSE)+VLOOKUP(AH$3,'Non-Embedded Emissions'!$A$143:$D$174,2,FALSE)-VLOOKUP(AH$3,'Non-Embedded Emissions'!$F$143:$H$174,2,FALSE)+VLOOKUP(AH$3,'Non-Embedded Emissions'!$A$230:$D$259,2,FALSE)), $C63 = "0", 0), 0)</f>
        <v>0</v>
      </c>
      <c r="AN63" s="45">
        <f>IFERROR(_xlfn.IFS($C63="1",('Inputs-System'!$C$30*'Coincidence Factors'!$B$9*(1+'Inputs-System'!$C$18)*(1+'Inputs-System'!$C$41)*('Inputs-Proposals'!$L$17*'Inputs-Proposals'!$L$19*(1-'Inputs-Proposals'!$L$20^(AN$3-'Inputs-System'!$C$7)))*(VLOOKUP(AN$3,Energy!$A$51:$K$83,5,FALSE))), $C63 = "2",('Inputs-System'!$C$30*'Coincidence Factors'!$B$9)*(1+'Inputs-System'!$C$18)*(1+'Inputs-System'!$C$41)*('Inputs-Proposals'!$L$23*'Inputs-Proposals'!$L$25*(1-'Inputs-Proposals'!$L$26^(AN$3-'Inputs-System'!$C$7)))*(VLOOKUP(AN$3,Energy!$A$51:$K$83,5,FALSE)), $C63= "3", ('Inputs-System'!$C$30*'Coincidence Factors'!$B$9*(1+'Inputs-System'!$C$18)*(1+'Inputs-System'!$C$41)*('Inputs-Proposals'!$L$29*'Inputs-Proposals'!$L$31*(1-'Inputs-Proposals'!$L$32^(AN$3-'Inputs-System'!$C$7)))*(VLOOKUP(AN$3,Energy!$A$51:$K$83,5,FALSE))), $C63= "0", 0), 0)</f>
        <v>0</v>
      </c>
      <c r="AO63" s="44">
        <f>IFERROR(_xlfn.IFS($C63="1",('Inputs-System'!$C$30*'Coincidence Factors'!$B$9*(1+'Inputs-System'!$C$18)*(1+'Inputs-System'!$C$41))*'Inputs-Proposals'!$L$17*'Inputs-Proposals'!$L$19*(1-'Inputs-Proposals'!$L$20^(AN$3-'Inputs-System'!$C$7))*(VLOOKUP(AN$3,'Embedded Emissions'!$A$47:$B$78,2,FALSE)+VLOOKUP(AN$3,'Embedded Emissions'!$A$129:$B$158,2,FALSE)), $C63 = "2",('Inputs-System'!$C$30*'Coincidence Factors'!$B$9*(1+'Inputs-System'!$C$18)*(1+'Inputs-System'!$C$41))*'Inputs-Proposals'!$L$23*'Inputs-Proposals'!$L$25*(1-'Inputs-Proposals'!$L$20^(AN$3-'Inputs-System'!$C$7))*(VLOOKUP(AN$3,'Embedded Emissions'!$A$47:$B$78,2,FALSE)+VLOOKUP(AN$3,'Embedded Emissions'!$A$129:$B$158,2,FALSE)), $C63 = "3", ('Inputs-System'!$C$30*'Coincidence Factors'!$B$9*(1+'Inputs-System'!$C$18)*(1+'Inputs-System'!$C$41))*'Inputs-Proposals'!$L$29*'Inputs-Proposals'!$L$31*(1-'Inputs-Proposals'!$L$20^(AN$3-'Inputs-System'!$C$7))*(VLOOKUP(AN$3,'Embedded Emissions'!$A$47:$B$78,2,FALSE)+VLOOKUP(AN$3,'Embedded Emissions'!$A$129:$B$158,2,FALSE)), $C63 = "0", 0), 0)</f>
        <v>0</v>
      </c>
      <c r="AP63" s="44">
        <f>IFERROR(_xlfn.IFS($C63="1",( 'Inputs-System'!$C$30*'Coincidence Factors'!$B$9*(1+'Inputs-System'!$C$18)*(1+'Inputs-System'!$C$41))*('Inputs-Proposals'!$L$17*'Inputs-Proposals'!$L$19*(1-'Inputs-Proposals'!$L$20)^(AN$3-'Inputs-System'!$C$7))*(VLOOKUP(AN$3,DRIPE!$A$54:$I$82,5,FALSE)+VLOOKUP(AN$3,DRIPE!$A$54:$I$82,9,FALSE))+ ('Inputs-System'!$C$26*'Coincidence Factors'!$B$6*(1+'Inputs-System'!$C$18)*(1+'Inputs-System'!$C$42))*'Inputs-Proposals'!$L$16*VLOOKUP(AN$3,DRIPE!$A$54:$I$82,8,FALSE), $C63 = "2",( 'Inputs-System'!$C$30*'Coincidence Factors'!$B$9*(1+'Inputs-System'!$C$18)*(1+'Inputs-System'!$C$41))*('Inputs-Proposals'!$L$23*'Inputs-Proposals'!$L$25*(1-'Inputs-Proposals'!$L$26)^(AN$3-'Inputs-System'!$C$7))*(VLOOKUP(AN$3,DRIPE!$A$54:$I$82,5,FALSE)+VLOOKUP(AN$3,DRIPE!$A$54:$I$82,9,FALSE))+ ('Inputs-System'!$C$26*'Coincidence Factors'!$B$6*(1+'Inputs-System'!$C$18)*(1+'Inputs-System'!$C$42))*'Inputs-Proposals'!$L$22*VLOOKUP(AN$3,DRIPE!$A$54:$I$82,8,FALSE), $C63= "3", ( 'Inputs-System'!$C$30*'Coincidence Factors'!$B$9*(1+'Inputs-System'!$C$18)*(1+'Inputs-System'!$C$41))*('Inputs-Proposals'!$L$29*'Inputs-Proposals'!$L$31*(1-'Inputs-Proposals'!$L$32)^(AN$3-'Inputs-System'!$C$7))*(VLOOKUP(AN$3,DRIPE!$A$54:$I$82,5,FALSE)+VLOOKUP(AN$3,DRIPE!$A$54:$I$82,9,FALSE))+ ('Inputs-System'!$C$26*'Coincidence Factors'!$B$6*(1+'Inputs-System'!$C$18)*(1+'Inputs-System'!$C$42))*'Inputs-Proposals'!$L$28*VLOOKUP(AN$3,DRIPE!$A$54:$I$82,8,FALSE), $C63 = "0", 0), 0)</f>
        <v>0</v>
      </c>
      <c r="AQ63" s="45">
        <f>IFERROR(_xlfn.IFS($C63="1",('Inputs-System'!$C$26*'Coincidence Factors'!$B$9*(1+'Inputs-System'!$C$18)*(1+'Inputs-System'!$C$42))*'Inputs-Proposals'!$D$16*(VLOOKUP(AN$3,Capacity!$A$53:$E$85,4,FALSE)*(1+'Inputs-System'!$C$42)+VLOOKUP(AN$3,Capacity!$A$53:$E$85,5,FALSE)*(1+'Inputs-System'!$C$43)*'Inputs-System'!$C$29), $C63 = "2", ('Inputs-System'!$C$26*'Coincidence Factors'!$B$9*(1+'Inputs-System'!$C$18))*'Inputs-Proposals'!$D$22*(VLOOKUP(AN$3,Capacity!$A$53:$E$85,4,FALSE)*(1+'Inputs-System'!$C$42)+VLOOKUP(AN$3,Capacity!$A$53:$E$85,5,FALSE)*'Inputs-System'!$C$29*(1+'Inputs-System'!$C$43)), $C63 = "3", ('Inputs-System'!$C$26*'Coincidence Factors'!$B$9*(1+'Inputs-System'!$C$18))*'Inputs-Proposals'!$D$28*(VLOOKUP(AN$3,Capacity!$A$53:$E$85,4,FALSE)*(1+'Inputs-System'!$C$42)+VLOOKUP(AN$3,Capacity!$A$53:$E$85,5,FALSE)*'Inputs-System'!$C$29*(1+'Inputs-System'!$C$43)), $C63 = "0", 0), 0)</f>
        <v>0</v>
      </c>
      <c r="AR63" s="44">
        <v>0</v>
      </c>
      <c r="AS63" s="342">
        <f>IFERROR(_xlfn.IFS($C63="1", 'Inputs-System'!$C$30*'Coincidence Factors'!$B$9*'Inputs-Proposals'!$L$17*'Inputs-Proposals'!$L$19*(VLOOKUP(AN$3,'Non-Embedded Emissions'!$A$56:$D$90,2,FALSE)-VLOOKUP(AN$3,'Non-Embedded Emissions'!$F$57:$H$88,2,FALSE)+VLOOKUP(AN$3,'Non-Embedded Emissions'!$A$143:$D$174,2,FALSE)-VLOOKUP(AN$3,'Non-Embedded Emissions'!$F$143:$H$174,2,FALSE)+VLOOKUP(AN$3,'Non-Embedded Emissions'!$A$230:$D$259,2,FALSE)), $C63 = "2", 'Inputs-System'!$C$30*'Coincidence Factors'!$B$9*'Inputs-Proposals'!$L$23*'Inputs-Proposals'!$L$25*(VLOOKUP(AN$3,'Non-Embedded Emissions'!$A$56:$D$90,2,FALSE)-VLOOKUP(AN$3,'Non-Embedded Emissions'!$F$57:$H$88,2,FALSE)+VLOOKUP(AN$3,'Non-Embedded Emissions'!$A$143:$D$174,2,FALSE)-VLOOKUP(AN$3,'Non-Embedded Emissions'!$F$143:$H$174,2,FALSE)+VLOOKUP(AN$3,'Non-Embedded Emissions'!$A$230:$D$259,2,FALSE)), $C63 = "3", 'Inputs-System'!$C$30*'Coincidence Factors'!$B$9*'Inputs-Proposals'!$L$29*'Inputs-Proposals'!$L$31*(VLOOKUP(AN$3,'Non-Embedded Emissions'!$A$56:$D$90,2,FALSE)-VLOOKUP(AN$3,'Non-Embedded Emissions'!$F$57:$H$88,2,FALSE)+VLOOKUP(AN$3,'Non-Embedded Emissions'!$A$143:$D$174,2,FALSE)-VLOOKUP(AN$3,'Non-Embedded Emissions'!$F$143:$H$174,2,FALSE)+VLOOKUP(AN$3,'Non-Embedded Emissions'!$A$230:$D$259,2,FALSE)), $C63 = "0", 0), 0)</f>
        <v>0</v>
      </c>
      <c r="AT63" s="45">
        <f>IFERROR(_xlfn.IFS($C63="1",('Inputs-System'!$C$30*'Coincidence Factors'!$B$9*(1+'Inputs-System'!$C$18)*(1+'Inputs-System'!$C$41)*('Inputs-Proposals'!$L$17*'Inputs-Proposals'!$L$19*(1-'Inputs-Proposals'!$L$20^(AT$3-'Inputs-System'!$C$7)))*(VLOOKUP(AT$3,Energy!$A$51:$K$83,5,FALSE))), $C63 = "2",('Inputs-System'!$C$30*'Coincidence Factors'!$B$9)*(1+'Inputs-System'!$C$18)*(1+'Inputs-System'!$C$41)*('Inputs-Proposals'!$L$23*'Inputs-Proposals'!$L$25*(1-'Inputs-Proposals'!$L$26^(AT$3-'Inputs-System'!$C$7)))*(VLOOKUP(AT$3,Energy!$A$51:$K$83,5,FALSE)), $C63= "3", ('Inputs-System'!$C$30*'Coincidence Factors'!$B$9*(1+'Inputs-System'!$C$18)*(1+'Inputs-System'!$C$41)*('Inputs-Proposals'!$L$29*'Inputs-Proposals'!$L$31*(1-'Inputs-Proposals'!$L$32^(AT$3-'Inputs-System'!$C$7)))*(VLOOKUP(AT$3,Energy!$A$51:$K$83,5,FALSE))), $C63= "0", 0), 0)</f>
        <v>0</v>
      </c>
      <c r="AU63" s="44">
        <f>IFERROR(_xlfn.IFS($C63="1",('Inputs-System'!$C$30*'Coincidence Factors'!$B$9*(1+'Inputs-System'!$C$18)*(1+'Inputs-System'!$C$41))*'Inputs-Proposals'!$L$17*'Inputs-Proposals'!$L$19*(1-'Inputs-Proposals'!$L$20^(AT$3-'Inputs-System'!$C$7))*(VLOOKUP(AT$3,'Embedded Emissions'!$A$47:$B$78,2,FALSE)+VLOOKUP(AT$3,'Embedded Emissions'!$A$129:$B$158,2,FALSE)), $C63 = "2",('Inputs-System'!$C$30*'Coincidence Factors'!$B$9*(1+'Inputs-System'!$C$18)*(1+'Inputs-System'!$C$41))*'Inputs-Proposals'!$L$23*'Inputs-Proposals'!$L$25*(1-'Inputs-Proposals'!$L$20^(AT$3-'Inputs-System'!$C$7))*(VLOOKUP(AT$3,'Embedded Emissions'!$A$47:$B$78,2,FALSE)+VLOOKUP(AT$3,'Embedded Emissions'!$A$129:$B$158,2,FALSE)), $C63 = "3", ('Inputs-System'!$C$30*'Coincidence Factors'!$B$9*(1+'Inputs-System'!$C$18)*(1+'Inputs-System'!$C$41))*'Inputs-Proposals'!$L$29*'Inputs-Proposals'!$L$31*(1-'Inputs-Proposals'!$L$20^(AT$3-'Inputs-System'!$C$7))*(VLOOKUP(AT$3,'Embedded Emissions'!$A$47:$B$78,2,FALSE)+VLOOKUP(AT$3,'Embedded Emissions'!$A$129:$B$158,2,FALSE)), $C63 = "0", 0), 0)</f>
        <v>0</v>
      </c>
      <c r="AV63" s="44">
        <f>IFERROR(_xlfn.IFS($C63="1",( 'Inputs-System'!$C$30*'Coincidence Factors'!$B$9*(1+'Inputs-System'!$C$18)*(1+'Inputs-System'!$C$41))*('Inputs-Proposals'!$L$17*'Inputs-Proposals'!$L$19*(1-'Inputs-Proposals'!$L$20)^(AT$3-'Inputs-System'!$C$7))*(VLOOKUP(AT$3,DRIPE!$A$54:$I$82,5,FALSE)+VLOOKUP(AT$3,DRIPE!$A$54:$I$82,9,FALSE))+ ('Inputs-System'!$C$26*'Coincidence Factors'!$B$6*(1+'Inputs-System'!$C$18)*(1+'Inputs-System'!$C$42))*'Inputs-Proposals'!$L$16*VLOOKUP(AT$3,DRIPE!$A$54:$I$82,8,FALSE), $C63 = "2",( 'Inputs-System'!$C$30*'Coincidence Factors'!$B$9*(1+'Inputs-System'!$C$18)*(1+'Inputs-System'!$C$41))*('Inputs-Proposals'!$L$23*'Inputs-Proposals'!$L$25*(1-'Inputs-Proposals'!$L$26)^(AT$3-'Inputs-System'!$C$7))*(VLOOKUP(AT$3,DRIPE!$A$54:$I$82,5,FALSE)+VLOOKUP(AT$3,DRIPE!$A$54:$I$82,9,FALSE))+ ('Inputs-System'!$C$26*'Coincidence Factors'!$B$6*(1+'Inputs-System'!$C$18)*(1+'Inputs-System'!$C$42))*'Inputs-Proposals'!$L$22*VLOOKUP(AT$3,DRIPE!$A$54:$I$82,8,FALSE), $C63= "3", ( 'Inputs-System'!$C$30*'Coincidence Factors'!$B$9*(1+'Inputs-System'!$C$18)*(1+'Inputs-System'!$C$41))*('Inputs-Proposals'!$L$29*'Inputs-Proposals'!$L$31*(1-'Inputs-Proposals'!$L$32)^(AT$3-'Inputs-System'!$C$7))*(VLOOKUP(AT$3,DRIPE!$A$54:$I$82,5,FALSE)+VLOOKUP(AT$3,DRIPE!$A$54:$I$82,9,FALSE))+ ('Inputs-System'!$C$26*'Coincidence Factors'!$B$6*(1+'Inputs-System'!$C$18)*(1+'Inputs-System'!$C$42))*'Inputs-Proposals'!$L$28*VLOOKUP(AT$3,DRIPE!$A$54:$I$82,8,FALSE), $C63 = "0", 0), 0)</f>
        <v>0</v>
      </c>
      <c r="AW63" s="45">
        <f>IFERROR(_xlfn.IFS($C63="1",('Inputs-System'!$C$26*'Coincidence Factors'!$B$9*(1+'Inputs-System'!$C$18)*(1+'Inputs-System'!$C$42))*'Inputs-Proposals'!$D$16*(VLOOKUP(AT$3,Capacity!$A$53:$E$85,4,FALSE)*(1+'Inputs-System'!$C$42)+VLOOKUP(AT$3,Capacity!$A$53:$E$85,5,FALSE)*(1+'Inputs-System'!$C$43)*'Inputs-System'!$C$29), $C63 = "2", ('Inputs-System'!$C$26*'Coincidence Factors'!$B$9*(1+'Inputs-System'!$C$18))*'Inputs-Proposals'!$D$22*(VLOOKUP(AT$3,Capacity!$A$53:$E$85,4,FALSE)*(1+'Inputs-System'!$C$42)+VLOOKUP(AT$3,Capacity!$A$53:$E$85,5,FALSE)*'Inputs-System'!$C$29*(1+'Inputs-System'!$C$43)), $C63 = "3", ('Inputs-System'!$C$26*'Coincidence Factors'!$B$9*(1+'Inputs-System'!$C$18))*'Inputs-Proposals'!$D$28*(VLOOKUP(AT$3,Capacity!$A$53:$E$85,4,FALSE)*(1+'Inputs-System'!$C$42)+VLOOKUP(AT$3,Capacity!$A$53:$E$85,5,FALSE)*'Inputs-System'!$C$29*(1+'Inputs-System'!$C$43)), $C63 = "0", 0), 0)</f>
        <v>0</v>
      </c>
      <c r="AX63" s="44">
        <v>0</v>
      </c>
      <c r="AY63" s="342">
        <f>IFERROR(_xlfn.IFS($C63="1", 'Inputs-System'!$C$30*'Coincidence Factors'!$B$9*'Inputs-Proposals'!$L$17*'Inputs-Proposals'!$L$19*(VLOOKUP(AT$3,'Non-Embedded Emissions'!$A$56:$D$90,2,FALSE)-VLOOKUP(AT$3,'Non-Embedded Emissions'!$F$57:$H$88,2,FALSE)+VLOOKUP(AT$3,'Non-Embedded Emissions'!$A$143:$D$174,2,FALSE)-VLOOKUP(AT$3,'Non-Embedded Emissions'!$F$143:$H$174,2,FALSE)+VLOOKUP(AT$3,'Non-Embedded Emissions'!$A$230:$D$259,2,FALSE)), $C63 = "2", 'Inputs-System'!$C$30*'Coincidence Factors'!$B$9*'Inputs-Proposals'!$L$23*'Inputs-Proposals'!$L$25*(VLOOKUP(AT$3,'Non-Embedded Emissions'!$A$56:$D$90,2,FALSE)-VLOOKUP(AT$3,'Non-Embedded Emissions'!$F$57:$H$88,2,FALSE)+VLOOKUP(AT$3,'Non-Embedded Emissions'!$A$143:$D$174,2,FALSE)-VLOOKUP(AT$3,'Non-Embedded Emissions'!$F$143:$H$174,2,FALSE)+VLOOKUP(AT$3,'Non-Embedded Emissions'!$A$230:$D$259,2,FALSE)), $C63 = "3", 'Inputs-System'!$C$30*'Coincidence Factors'!$B$9*'Inputs-Proposals'!$L$29*'Inputs-Proposals'!$L$31*(VLOOKUP(AT$3,'Non-Embedded Emissions'!$A$56:$D$90,2,FALSE)-VLOOKUP(AT$3,'Non-Embedded Emissions'!$F$57:$H$88,2,FALSE)+VLOOKUP(AT$3,'Non-Embedded Emissions'!$A$143:$D$174,2,FALSE)-VLOOKUP(AT$3,'Non-Embedded Emissions'!$F$143:$H$174,2,FALSE)+VLOOKUP(AT$3,'Non-Embedded Emissions'!$A$230:$D$259,2,FALSE)), $C63 = "0", 0), 0)</f>
        <v>0</v>
      </c>
      <c r="AZ63" s="45">
        <f>IFERROR(_xlfn.IFS($C63="1",('Inputs-System'!$C$30*'Coincidence Factors'!$B$9*(1+'Inputs-System'!$C$18)*(1+'Inputs-System'!$C$41)*('Inputs-Proposals'!$L$17*'Inputs-Proposals'!$L$19*(1-'Inputs-Proposals'!$L$20^(AZ$3-'Inputs-System'!$C$7)))*(VLOOKUP(AZ$3,Energy!$A$51:$K$83,5,FALSE))), $C63 = "2",('Inputs-System'!$C$30*'Coincidence Factors'!$B$9)*(1+'Inputs-System'!$C$18)*(1+'Inputs-System'!$C$41)*('Inputs-Proposals'!$L$23*'Inputs-Proposals'!$L$25*(1-'Inputs-Proposals'!$L$26^(AZ$3-'Inputs-System'!$C$7)))*(VLOOKUP(AZ$3,Energy!$A$51:$K$83,5,FALSE)), $C63= "3", ('Inputs-System'!$C$30*'Coincidence Factors'!$B$9*(1+'Inputs-System'!$C$18)*(1+'Inputs-System'!$C$41)*('Inputs-Proposals'!$L$29*'Inputs-Proposals'!$L$31*(1-'Inputs-Proposals'!$L$32^(AZ$3-'Inputs-System'!$C$7)))*(VLOOKUP(AZ$3,Energy!$A$51:$K$83,5,FALSE))), $C63= "0", 0), 0)</f>
        <v>0</v>
      </c>
      <c r="BA63" s="44">
        <f>IFERROR(_xlfn.IFS($C63="1",('Inputs-System'!$C$30*'Coincidence Factors'!$B$9*(1+'Inputs-System'!$C$18)*(1+'Inputs-System'!$C$41))*'Inputs-Proposals'!$L$17*'Inputs-Proposals'!$L$19*(1-'Inputs-Proposals'!$L$20^(AZ$3-'Inputs-System'!$C$7))*(VLOOKUP(AZ$3,'Embedded Emissions'!$A$47:$B$78,2,FALSE)+VLOOKUP(AZ$3,'Embedded Emissions'!$A$129:$B$158,2,FALSE)), $C63 = "2",('Inputs-System'!$C$30*'Coincidence Factors'!$B$9*(1+'Inputs-System'!$C$18)*(1+'Inputs-System'!$C$41))*'Inputs-Proposals'!$L$23*'Inputs-Proposals'!$L$25*(1-'Inputs-Proposals'!$L$20^(AZ$3-'Inputs-System'!$C$7))*(VLOOKUP(AZ$3,'Embedded Emissions'!$A$47:$B$78,2,FALSE)+VLOOKUP(AZ$3,'Embedded Emissions'!$A$129:$B$158,2,FALSE)), $C63 = "3", ('Inputs-System'!$C$30*'Coincidence Factors'!$B$9*(1+'Inputs-System'!$C$18)*(1+'Inputs-System'!$C$41))*'Inputs-Proposals'!$L$29*'Inputs-Proposals'!$L$31*(1-'Inputs-Proposals'!$L$20^(AZ$3-'Inputs-System'!$C$7))*(VLOOKUP(AZ$3,'Embedded Emissions'!$A$47:$B$78,2,FALSE)+VLOOKUP(AZ$3,'Embedded Emissions'!$A$129:$B$158,2,FALSE)), $C63 = "0", 0), 0)</f>
        <v>0</v>
      </c>
      <c r="BB63" s="44">
        <f>IFERROR(_xlfn.IFS($C63="1",( 'Inputs-System'!$C$30*'Coincidence Factors'!$B$9*(1+'Inputs-System'!$C$18)*(1+'Inputs-System'!$C$41))*('Inputs-Proposals'!$L$17*'Inputs-Proposals'!$L$19*(1-'Inputs-Proposals'!$L$20)^(AZ$3-'Inputs-System'!$C$7))*(VLOOKUP(AZ$3,DRIPE!$A$54:$I$82,5,FALSE)+VLOOKUP(AZ$3,DRIPE!$A$54:$I$82,9,FALSE))+ ('Inputs-System'!$C$26*'Coincidence Factors'!$B$6*(1+'Inputs-System'!$C$18)*(1+'Inputs-System'!$C$42))*'Inputs-Proposals'!$L$16*VLOOKUP(AZ$3,DRIPE!$A$54:$I$82,8,FALSE), $C63 = "2",( 'Inputs-System'!$C$30*'Coincidence Factors'!$B$9*(1+'Inputs-System'!$C$18)*(1+'Inputs-System'!$C$41))*('Inputs-Proposals'!$L$23*'Inputs-Proposals'!$L$25*(1-'Inputs-Proposals'!$L$26)^(AZ$3-'Inputs-System'!$C$7))*(VLOOKUP(AZ$3,DRIPE!$A$54:$I$82,5,FALSE)+VLOOKUP(AZ$3,DRIPE!$A$54:$I$82,9,FALSE))+ ('Inputs-System'!$C$26*'Coincidence Factors'!$B$6*(1+'Inputs-System'!$C$18)*(1+'Inputs-System'!$C$42))*'Inputs-Proposals'!$L$22*VLOOKUP(AZ$3,DRIPE!$A$54:$I$82,8,FALSE), $C63= "3", ( 'Inputs-System'!$C$30*'Coincidence Factors'!$B$9*(1+'Inputs-System'!$C$18)*(1+'Inputs-System'!$C$41))*('Inputs-Proposals'!$L$29*'Inputs-Proposals'!$L$31*(1-'Inputs-Proposals'!$L$32)^(AZ$3-'Inputs-System'!$C$7))*(VLOOKUP(AZ$3,DRIPE!$A$54:$I$82,5,FALSE)+VLOOKUP(AZ$3,DRIPE!$A$54:$I$82,9,FALSE))+ ('Inputs-System'!$C$26*'Coincidence Factors'!$B$6*(1+'Inputs-System'!$C$18)*(1+'Inputs-System'!$C$42))*'Inputs-Proposals'!$L$28*VLOOKUP(AZ$3,DRIPE!$A$54:$I$82,8,FALSE), $C63 = "0", 0), 0)</f>
        <v>0</v>
      </c>
      <c r="BC63" s="45">
        <f>IFERROR(_xlfn.IFS($C63="1",('Inputs-System'!$C$26*'Coincidence Factors'!$B$9*(1+'Inputs-System'!$C$18)*(1+'Inputs-System'!$C$42))*'Inputs-Proposals'!$D$16*(VLOOKUP(AZ$3,Capacity!$A$53:$E$85,4,FALSE)*(1+'Inputs-System'!$C$42)+VLOOKUP(AZ$3,Capacity!$A$53:$E$85,5,FALSE)*(1+'Inputs-System'!$C$43)*'Inputs-System'!$C$29), $C63 = "2", ('Inputs-System'!$C$26*'Coincidence Factors'!$B$9*(1+'Inputs-System'!$C$18))*'Inputs-Proposals'!$D$22*(VLOOKUP(AZ$3,Capacity!$A$53:$E$85,4,FALSE)*(1+'Inputs-System'!$C$42)+VLOOKUP(AZ$3,Capacity!$A$53:$E$85,5,FALSE)*'Inputs-System'!$C$29*(1+'Inputs-System'!$C$43)), $C63 = "3", ('Inputs-System'!$C$26*'Coincidence Factors'!$B$9*(1+'Inputs-System'!$C$18))*'Inputs-Proposals'!$D$28*(VLOOKUP(AZ$3,Capacity!$A$53:$E$85,4,FALSE)*(1+'Inputs-System'!$C$42)+VLOOKUP(AZ$3,Capacity!$A$53:$E$85,5,FALSE)*'Inputs-System'!$C$29*(1+'Inputs-System'!$C$43)), $C63 = "0", 0), 0)</f>
        <v>0</v>
      </c>
      <c r="BD63" s="44">
        <v>0</v>
      </c>
      <c r="BE63" s="342">
        <f>IFERROR(_xlfn.IFS($C63="1", 'Inputs-System'!$C$30*'Coincidence Factors'!$B$9*'Inputs-Proposals'!$L$17*'Inputs-Proposals'!$L$19*(VLOOKUP(AZ$3,'Non-Embedded Emissions'!$A$56:$D$90,2,FALSE)-VLOOKUP(AZ$3,'Non-Embedded Emissions'!$F$57:$H$88,2,FALSE)+VLOOKUP(AZ$3,'Non-Embedded Emissions'!$A$143:$D$174,2,FALSE)-VLOOKUP(AZ$3,'Non-Embedded Emissions'!$F$143:$H$174,2,FALSE)+VLOOKUP(AZ$3,'Non-Embedded Emissions'!$A$230:$D$259,2,FALSE)), $C63 = "2", 'Inputs-System'!$C$30*'Coincidence Factors'!$B$9*'Inputs-Proposals'!$L$23*'Inputs-Proposals'!$L$25*(VLOOKUP(AZ$3,'Non-Embedded Emissions'!$A$56:$D$90,2,FALSE)-VLOOKUP(AZ$3,'Non-Embedded Emissions'!$F$57:$H$88,2,FALSE)+VLOOKUP(AZ$3,'Non-Embedded Emissions'!$A$143:$D$174,2,FALSE)-VLOOKUP(AZ$3,'Non-Embedded Emissions'!$F$143:$H$174,2,FALSE)+VLOOKUP(AZ$3,'Non-Embedded Emissions'!$A$230:$D$259,2,FALSE)), $C63 = "3", 'Inputs-System'!$C$30*'Coincidence Factors'!$B$9*'Inputs-Proposals'!$L$29*'Inputs-Proposals'!$L$31*(VLOOKUP(AZ$3,'Non-Embedded Emissions'!$A$56:$D$90,2,FALSE)-VLOOKUP(AZ$3,'Non-Embedded Emissions'!$F$57:$H$88,2,FALSE)+VLOOKUP(AZ$3,'Non-Embedded Emissions'!$A$143:$D$174,2,FALSE)-VLOOKUP(AZ$3,'Non-Embedded Emissions'!$F$143:$H$174,2,FALSE)+VLOOKUP(AZ$3,'Non-Embedded Emissions'!$A$230:$D$259,2,FALSE)), $C63 = "0", 0), 0)</f>
        <v>0</v>
      </c>
      <c r="BF63" s="45">
        <f>IFERROR(_xlfn.IFS($C63="1",('Inputs-System'!$C$30*'Coincidence Factors'!$B$9*(1+'Inputs-System'!$C$18)*(1+'Inputs-System'!$C$41)*('Inputs-Proposals'!$L$17*'Inputs-Proposals'!$L$19*(1-'Inputs-Proposals'!$L$20^(BF$3-'Inputs-System'!$C$7)))*(VLOOKUP(BF$3,Energy!$A$51:$K$83,5,FALSE))), $C63 = "2",('Inputs-System'!$C$30*'Coincidence Factors'!$B$9)*(1+'Inputs-System'!$C$18)*(1+'Inputs-System'!$C$41)*('Inputs-Proposals'!$L$23*'Inputs-Proposals'!$L$25*(1-'Inputs-Proposals'!$L$26^(BF$3-'Inputs-System'!$C$7)))*(VLOOKUP(BF$3,Energy!$A$51:$K$83,5,FALSE)), $C63= "3", ('Inputs-System'!$C$30*'Coincidence Factors'!$B$9*(1+'Inputs-System'!$C$18)*(1+'Inputs-System'!$C$41)*('Inputs-Proposals'!$L$29*'Inputs-Proposals'!$L$31*(1-'Inputs-Proposals'!$L$32^(BF$3-'Inputs-System'!$C$7)))*(VLOOKUP(BF$3,Energy!$A$51:$K$83,5,FALSE))), $C63= "0", 0), 0)</f>
        <v>0</v>
      </c>
      <c r="BG63" s="44">
        <f>IFERROR(_xlfn.IFS($C63="1",('Inputs-System'!$C$30*'Coincidence Factors'!$B$9*(1+'Inputs-System'!$C$18)*(1+'Inputs-System'!$C$41))*'Inputs-Proposals'!$L$17*'Inputs-Proposals'!$L$19*(1-'Inputs-Proposals'!$L$20^(BF$3-'Inputs-System'!$C$7))*(VLOOKUP(BF$3,'Embedded Emissions'!$A$47:$B$78,2,FALSE)+VLOOKUP(BF$3,'Embedded Emissions'!$A$129:$B$158,2,FALSE)), $C63 = "2",('Inputs-System'!$C$30*'Coincidence Factors'!$B$9*(1+'Inputs-System'!$C$18)*(1+'Inputs-System'!$C$41))*'Inputs-Proposals'!$L$23*'Inputs-Proposals'!$L$25*(1-'Inputs-Proposals'!$L$20^(BF$3-'Inputs-System'!$C$7))*(VLOOKUP(BF$3,'Embedded Emissions'!$A$47:$B$78,2,FALSE)+VLOOKUP(BF$3,'Embedded Emissions'!$A$129:$B$158,2,FALSE)), $C63 = "3", ('Inputs-System'!$C$30*'Coincidence Factors'!$B$9*(1+'Inputs-System'!$C$18)*(1+'Inputs-System'!$C$41))*'Inputs-Proposals'!$L$29*'Inputs-Proposals'!$L$31*(1-'Inputs-Proposals'!$L$20^(BF$3-'Inputs-System'!$C$7))*(VLOOKUP(BF$3,'Embedded Emissions'!$A$47:$B$78,2,FALSE)+VLOOKUP(BF$3,'Embedded Emissions'!$A$129:$B$158,2,FALSE)), $C63 = "0", 0), 0)</f>
        <v>0</v>
      </c>
      <c r="BH63" s="44">
        <f>IFERROR(_xlfn.IFS($C63="1",( 'Inputs-System'!$C$30*'Coincidence Factors'!$B$9*(1+'Inputs-System'!$C$18)*(1+'Inputs-System'!$C$41))*('Inputs-Proposals'!$L$17*'Inputs-Proposals'!$L$19*(1-'Inputs-Proposals'!$L$20)^(BF$3-'Inputs-System'!$C$7))*(VLOOKUP(BF$3,DRIPE!$A$54:$I$82,5,FALSE)+VLOOKUP(BF$3,DRIPE!$A$54:$I$82,9,FALSE))+ ('Inputs-System'!$C$26*'Coincidence Factors'!$B$6*(1+'Inputs-System'!$C$18)*(1+'Inputs-System'!$C$42))*'Inputs-Proposals'!$L$16*VLOOKUP(BF$3,DRIPE!$A$54:$I$82,8,FALSE), $C63 = "2",( 'Inputs-System'!$C$30*'Coincidence Factors'!$B$9*(1+'Inputs-System'!$C$18)*(1+'Inputs-System'!$C$41))*('Inputs-Proposals'!$L$23*'Inputs-Proposals'!$L$25*(1-'Inputs-Proposals'!$L$26)^(BF$3-'Inputs-System'!$C$7))*(VLOOKUP(BF$3,DRIPE!$A$54:$I$82,5,FALSE)+VLOOKUP(BF$3,DRIPE!$A$54:$I$82,9,FALSE))+ ('Inputs-System'!$C$26*'Coincidence Factors'!$B$6*(1+'Inputs-System'!$C$18)*(1+'Inputs-System'!$C$42))*'Inputs-Proposals'!$L$22*VLOOKUP(BF$3,DRIPE!$A$54:$I$82,8,FALSE), $C63= "3", ( 'Inputs-System'!$C$30*'Coincidence Factors'!$B$9*(1+'Inputs-System'!$C$18)*(1+'Inputs-System'!$C$41))*('Inputs-Proposals'!$L$29*'Inputs-Proposals'!$L$31*(1-'Inputs-Proposals'!$L$32)^(BF$3-'Inputs-System'!$C$7))*(VLOOKUP(BF$3,DRIPE!$A$54:$I$82,5,FALSE)+VLOOKUP(BF$3,DRIPE!$A$54:$I$82,9,FALSE))+ ('Inputs-System'!$C$26*'Coincidence Factors'!$B$6*(1+'Inputs-System'!$C$18)*(1+'Inputs-System'!$C$42))*'Inputs-Proposals'!$L$28*VLOOKUP(BF$3,DRIPE!$A$54:$I$82,8,FALSE), $C63 = "0", 0), 0)</f>
        <v>0</v>
      </c>
      <c r="BI63" s="45">
        <f>IFERROR(_xlfn.IFS($C63="1",('Inputs-System'!$C$26*'Coincidence Factors'!$B$9*(1+'Inputs-System'!$C$18)*(1+'Inputs-System'!$C$42))*'Inputs-Proposals'!$D$16*(VLOOKUP(BF$3,Capacity!$A$53:$E$85,4,FALSE)*(1+'Inputs-System'!$C$42)+VLOOKUP(BF$3,Capacity!$A$53:$E$85,5,FALSE)*(1+'Inputs-System'!$C$43)*'Inputs-System'!$C$29), $C63 = "2", ('Inputs-System'!$C$26*'Coincidence Factors'!$B$9*(1+'Inputs-System'!$C$18))*'Inputs-Proposals'!$D$22*(VLOOKUP(BF$3,Capacity!$A$53:$E$85,4,FALSE)*(1+'Inputs-System'!$C$42)+VLOOKUP(BF$3,Capacity!$A$53:$E$85,5,FALSE)*'Inputs-System'!$C$29*(1+'Inputs-System'!$C$43)), $C63 = "3", ('Inputs-System'!$C$26*'Coincidence Factors'!$B$9*(1+'Inputs-System'!$C$18))*'Inputs-Proposals'!$D$28*(VLOOKUP(BF$3,Capacity!$A$53:$E$85,4,FALSE)*(1+'Inputs-System'!$C$42)+VLOOKUP(BF$3,Capacity!$A$53:$E$85,5,FALSE)*'Inputs-System'!$C$29*(1+'Inputs-System'!$C$43)), $C63 = "0", 0), 0)</f>
        <v>0</v>
      </c>
      <c r="BJ63" s="44">
        <v>0</v>
      </c>
      <c r="BK63" s="342">
        <f>IFERROR(_xlfn.IFS($C63="1", 'Inputs-System'!$C$30*'Coincidence Factors'!$B$9*'Inputs-Proposals'!$L$17*'Inputs-Proposals'!$L$19*(VLOOKUP(BF$3,'Non-Embedded Emissions'!$A$56:$D$90,2,FALSE)-VLOOKUP(BF$3,'Non-Embedded Emissions'!$F$57:$H$88,2,FALSE)+VLOOKUP(BF$3,'Non-Embedded Emissions'!$A$143:$D$174,2,FALSE)-VLOOKUP(BF$3,'Non-Embedded Emissions'!$F$143:$H$174,2,FALSE)+VLOOKUP(BF$3,'Non-Embedded Emissions'!$A$230:$D$259,2,FALSE)), $C63 = "2", 'Inputs-System'!$C$30*'Coincidence Factors'!$B$9*'Inputs-Proposals'!$L$23*'Inputs-Proposals'!$L$25*(VLOOKUP(BF$3,'Non-Embedded Emissions'!$A$56:$D$90,2,FALSE)-VLOOKUP(BF$3,'Non-Embedded Emissions'!$F$57:$H$88,2,FALSE)+VLOOKUP(BF$3,'Non-Embedded Emissions'!$A$143:$D$174,2,FALSE)-VLOOKUP(BF$3,'Non-Embedded Emissions'!$F$143:$H$174,2,FALSE)+VLOOKUP(BF$3,'Non-Embedded Emissions'!$A$230:$D$259,2,FALSE)), $C63 = "3", 'Inputs-System'!$C$30*'Coincidence Factors'!$B$9*'Inputs-Proposals'!$L$29*'Inputs-Proposals'!$L$31*(VLOOKUP(BF$3,'Non-Embedded Emissions'!$A$56:$D$90,2,FALSE)-VLOOKUP(BF$3,'Non-Embedded Emissions'!$F$57:$H$88,2,FALSE)+VLOOKUP(BF$3,'Non-Embedded Emissions'!$A$143:$D$174,2,FALSE)-VLOOKUP(BF$3,'Non-Embedded Emissions'!$F$143:$H$174,2,FALSE)+VLOOKUP(BF$3,'Non-Embedded Emissions'!$A$230:$D$259,2,FALSE)), $C63 = "0", 0), 0)</f>
        <v>0</v>
      </c>
      <c r="BL63" s="45">
        <f>IFERROR(_xlfn.IFS($C63="1",('Inputs-System'!$C$30*'Coincidence Factors'!$B$9*(1+'Inputs-System'!$C$18)*(1+'Inputs-System'!$C$41)*('Inputs-Proposals'!$L$17*'Inputs-Proposals'!$L$19*(1-'Inputs-Proposals'!$L$20^(BL$3-'Inputs-System'!$C$7)))*(VLOOKUP(BL$3,Energy!$A$51:$K$83,5,FALSE))), $C63 = "2",('Inputs-System'!$C$30*'Coincidence Factors'!$B$9)*(1+'Inputs-System'!$C$18)*(1+'Inputs-System'!$C$41)*('Inputs-Proposals'!$L$23*'Inputs-Proposals'!$L$25*(1-'Inputs-Proposals'!$L$26^(BL$3-'Inputs-System'!$C$7)))*(VLOOKUP(BL$3,Energy!$A$51:$K$83,5,FALSE)), $C63= "3", ('Inputs-System'!$C$30*'Coincidence Factors'!$B$9*(1+'Inputs-System'!$C$18)*(1+'Inputs-System'!$C$41)*('Inputs-Proposals'!$L$29*'Inputs-Proposals'!$L$31*(1-'Inputs-Proposals'!$L$32^(BL$3-'Inputs-System'!$C$7)))*(VLOOKUP(BL$3,Energy!$A$51:$K$83,5,FALSE))), $C63= "0", 0), 0)</f>
        <v>0</v>
      </c>
      <c r="BM63" s="44">
        <f>IFERROR(_xlfn.IFS($C63="1",('Inputs-System'!$C$30*'Coincidence Factors'!$B$9*(1+'Inputs-System'!$C$18)*(1+'Inputs-System'!$C$41))*'Inputs-Proposals'!$L$17*'Inputs-Proposals'!$L$19*(1-'Inputs-Proposals'!$L$20^(BL$3-'Inputs-System'!$C$7))*(VLOOKUP(BL$3,'Embedded Emissions'!$A$47:$B$78,2,FALSE)+VLOOKUP(BL$3,'Embedded Emissions'!$A$129:$B$158,2,FALSE)), $C63 = "2",('Inputs-System'!$C$30*'Coincidence Factors'!$B$9*(1+'Inputs-System'!$C$18)*(1+'Inputs-System'!$C$41))*'Inputs-Proposals'!$L$23*'Inputs-Proposals'!$L$25*(1-'Inputs-Proposals'!$L$20^(BL$3-'Inputs-System'!$C$7))*(VLOOKUP(BL$3,'Embedded Emissions'!$A$47:$B$78,2,FALSE)+VLOOKUP(BL$3,'Embedded Emissions'!$A$129:$B$158,2,FALSE)), $C63 = "3", ('Inputs-System'!$C$30*'Coincidence Factors'!$B$9*(1+'Inputs-System'!$C$18)*(1+'Inputs-System'!$C$41))*'Inputs-Proposals'!$L$29*'Inputs-Proposals'!$L$31*(1-'Inputs-Proposals'!$L$20^(BL$3-'Inputs-System'!$C$7))*(VLOOKUP(BL$3,'Embedded Emissions'!$A$47:$B$78,2,FALSE)+VLOOKUP(BL$3,'Embedded Emissions'!$A$129:$B$158,2,FALSE)), $C63 = "0", 0), 0)</f>
        <v>0</v>
      </c>
      <c r="BN63" s="44">
        <f>IFERROR(_xlfn.IFS($C63="1",( 'Inputs-System'!$C$30*'Coincidence Factors'!$B$9*(1+'Inputs-System'!$C$18)*(1+'Inputs-System'!$C$41))*('Inputs-Proposals'!$L$17*'Inputs-Proposals'!$L$19*(1-'Inputs-Proposals'!$L$20)^(BL$3-'Inputs-System'!$C$7))*(VLOOKUP(BL$3,DRIPE!$A$54:$I$82,5,FALSE)+VLOOKUP(BL$3,DRIPE!$A$54:$I$82,9,FALSE))+ ('Inputs-System'!$C$26*'Coincidence Factors'!$B$6*(1+'Inputs-System'!$C$18)*(1+'Inputs-System'!$C$42))*'Inputs-Proposals'!$L$16*VLOOKUP(BL$3,DRIPE!$A$54:$I$82,8,FALSE), $C63 = "2",( 'Inputs-System'!$C$30*'Coincidence Factors'!$B$9*(1+'Inputs-System'!$C$18)*(1+'Inputs-System'!$C$41))*('Inputs-Proposals'!$L$23*'Inputs-Proposals'!$L$25*(1-'Inputs-Proposals'!$L$26)^(BL$3-'Inputs-System'!$C$7))*(VLOOKUP(BL$3,DRIPE!$A$54:$I$82,5,FALSE)+VLOOKUP(BL$3,DRIPE!$A$54:$I$82,9,FALSE))+ ('Inputs-System'!$C$26*'Coincidence Factors'!$B$6*(1+'Inputs-System'!$C$18)*(1+'Inputs-System'!$C$42))*'Inputs-Proposals'!$L$22*VLOOKUP(BL$3,DRIPE!$A$54:$I$82,8,FALSE), $C63= "3", ( 'Inputs-System'!$C$30*'Coincidence Factors'!$B$9*(1+'Inputs-System'!$C$18)*(1+'Inputs-System'!$C$41))*('Inputs-Proposals'!$L$29*'Inputs-Proposals'!$L$31*(1-'Inputs-Proposals'!$L$32)^(BL$3-'Inputs-System'!$C$7))*(VLOOKUP(BL$3,DRIPE!$A$54:$I$82,5,FALSE)+VLOOKUP(BL$3,DRIPE!$A$54:$I$82,9,FALSE))+ ('Inputs-System'!$C$26*'Coincidence Factors'!$B$6*(1+'Inputs-System'!$C$18)*(1+'Inputs-System'!$C$42))*'Inputs-Proposals'!$L$28*VLOOKUP(BL$3,DRIPE!$A$54:$I$82,8,FALSE), $C63 = "0", 0), 0)</f>
        <v>0</v>
      </c>
      <c r="BO63" s="45">
        <f>IFERROR(_xlfn.IFS($C63="1",('Inputs-System'!$C$26*'Coincidence Factors'!$B$9*(1+'Inputs-System'!$C$18)*(1+'Inputs-System'!$C$42))*'Inputs-Proposals'!$D$16*(VLOOKUP(BL$3,Capacity!$A$53:$E$85,4,FALSE)*(1+'Inputs-System'!$C$42)+VLOOKUP(BL$3,Capacity!$A$53:$E$85,5,FALSE)*(1+'Inputs-System'!$C$43)*'Inputs-System'!$C$29), $C63 = "2", ('Inputs-System'!$C$26*'Coincidence Factors'!$B$9*(1+'Inputs-System'!$C$18))*'Inputs-Proposals'!$D$22*(VLOOKUP(BL$3,Capacity!$A$53:$E$85,4,FALSE)*(1+'Inputs-System'!$C$42)+VLOOKUP(BL$3,Capacity!$A$53:$E$85,5,FALSE)*'Inputs-System'!$C$29*(1+'Inputs-System'!$C$43)), $C63 = "3", ('Inputs-System'!$C$26*'Coincidence Factors'!$B$9*(1+'Inputs-System'!$C$18))*'Inputs-Proposals'!$D$28*(VLOOKUP(BL$3,Capacity!$A$53:$E$85,4,FALSE)*(1+'Inputs-System'!$C$42)+VLOOKUP(BL$3,Capacity!$A$53:$E$85,5,FALSE)*'Inputs-System'!$C$29*(1+'Inputs-System'!$C$43)), $C63 = "0", 0), 0)</f>
        <v>0</v>
      </c>
      <c r="BP63" s="44">
        <v>0</v>
      </c>
      <c r="BQ63" s="342">
        <f>IFERROR(_xlfn.IFS($C63="1", 'Inputs-System'!$C$30*'Coincidence Factors'!$B$9*'Inputs-Proposals'!$L$17*'Inputs-Proposals'!$L$19*(VLOOKUP(BL$3,'Non-Embedded Emissions'!$A$56:$D$90,2,FALSE)-VLOOKUP(BL$3,'Non-Embedded Emissions'!$F$57:$H$88,2,FALSE)+VLOOKUP(BL$3,'Non-Embedded Emissions'!$A$143:$D$174,2,FALSE)-VLOOKUP(BL$3,'Non-Embedded Emissions'!$F$143:$H$174,2,FALSE)+VLOOKUP(BL$3,'Non-Embedded Emissions'!$A$230:$D$259,2,FALSE)), $C63 = "2", 'Inputs-System'!$C$30*'Coincidence Factors'!$B$9*'Inputs-Proposals'!$L$23*'Inputs-Proposals'!$L$25*(VLOOKUP(BL$3,'Non-Embedded Emissions'!$A$56:$D$90,2,FALSE)-VLOOKUP(BL$3,'Non-Embedded Emissions'!$F$57:$H$88,2,FALSE)+VLOOKUP(BL$3,'Non-Embedded Emissions'!$A$143:$D$174,2,FALSE)-VLOOKUP(BL$3,'Non-Embedded Emissions'!$F$143:$H$174,2,FALSE)+VLOOKUP(BL$3,'Non-Embedded Emissions'!$A$230:$D$259,2,FALSE)), $C63 = "3", 'Inputs-System'!$C$30*'Coincidence Factors'!$B$9*'Inputs-Proposals'!$L$29*'Inputs-Proposals'!$L$31*(VLOOKUP(BL$3,'Non-Embedded Emissions'!$A$56:$D$90,2,FALSE)-VLOOKUP(BL$3,'Non-Embedded Emissions'!$F$57:$H$88,2,FALSE)+VLOOKUP(BL$3,'Non-Embedded Emissions'!$A$143:$D$174,2,FALSE)-VLOOKUP(BL$3,'Non-Embedded Emissions'!$F$143:$H$174,2,FALSE)+VLOOKUP(BL$3,'Non-Embedded Emissions'!$A$230:$D$259,2,FALSE)), $C63 = "0", 0), 0)</f>
        <v>0</v>
      </c>
      <c r="BR63" s="45">
        <f>IFERROR(_xlfn.IFS($C63="1",('Inputs-System'!$C$30*'Coincidence Factors'!$B$9*(1+'Inputs-System'!$C$18)*(1+'Inputs-System'!$C$41)*('Inputs-Proposals'!$L$17*'Inputs-Proposals'!$L$19*(1-'Inputs-Proposals'!$L$20^(BR$3-'Inputs-System'!$C$7)))*(VLOOKUP(BR$3,Energy!$A$51:$K$83,5,FALSE))), $C63 = "2",('Inputs-System'!$C$30*'Coincidence Factors'!$B$9)*(1+'Inputs-System'!$C$18)*(1+'Inputs-System'!$C$41)*('Inputs-Proposals'!$L$23*'Inputs-Proposals'!$L$25*(1-'Inputs-Proposals'!$L$26^(BR$3-'Inputs-System'!$C$7)))*(VLOOKUP(BR$3,Energy!$A$51:$K$83,5,FALSE)), $C63= "3", ('Inputs-System'!$C$30*'Coincidence Factors'!$B$9*(1+'Inputs-System'!$C$18)*(1+'Inputs-System'!$C$41)*('Inputs-Proposals'!$L$29*'Inputs-Proposals'!$L$31*(1-'Inputs-Proposals'!$L$32^(BR$3-'Inputs-System'!$C$7)))*(VLOOKUP(BR$3,Energy!$A$51:$K$83,5,FALSE))), $C63= "0", 0), 0)</f>
        <v>0</v>
      </c>
      <c r="BS63" s="44">
        <f>IFERROR(_xlfn.IFS($C63="1",('Inputs-System'!$C$30*'Coincidence Factors'!$B$9*(1+'Inputs-System'!$C$18)*(1+'Inputs-System'!$C$41))*'Inputs-Proposals'!$L$17*'Inputs-Proposals'!$L$19*(1-'Inputs-Proposals'!$L$20^(BR$3-'Inputs-System'!$C$7))*(VLOOKUP(BR$3,'Embedded Emissions'!$A$47:$B$78,2,FALSE)+VLOOKUP(BR$3,'Embedded Emissions'!$A$129:$B$158,2,FALSE)), $C63 = "2",('Inputs-System'!$C$30*'Coincidence Factors'!$B$9*(1+'Inputs-System'!$C$18)*(1+'Inputs-System'!$C$41))*'Inputs-Proposals'!$L$23*'Inputs-Proposals'!$L$25*(1-'Inputs-Proposals'!$L$20^(BR$3-'Inputs-System'!$C$7))*(VLOOKUP(BR$3,'Embedded Emissions'!$A$47:$B$78,2,FALSE)+VLOOKUP(BR$3,'Embedded Emissions'!$A$129:$B$158,2,FALSE)), $C63 = "3", ('Inputs-System'!$C$30*'Coincidence Factors'!$B$9*(1+'Inputs-System'!$C$18)*(1+'Inputs-System'!$C$41))*'Inputs-Proposals'!$L$29*'Inputs-Proposals'!$L$31*(1-'Inputs-Proposals'!$L$20^(BR$3-'Inputs-System'!$C$7))*(VLOOKUP(BR$3,'Embedded Emissions'!$A$47:$B$78,2,FALSE)+VLOOKUP(BR$3,'Embedded Emissions'!$A$129:$B$158,2,FALSE)), $C63 = "0", 0), 0)</f>
        <v>0</v>
      </c>
      <c r="BT63" s="44">
        <f>IFERROR(_xlfn.IFS($C63="1",( 'Inputs-System'!$C$30*'Coincidence Factors'!$B$9*(1+'Inputs-System'!$C$18)*(1+'Inputs-System'!$C$41))*('Inputs-Proposals'!$L$17*'Inputs-Proposals'!$L$19*(1-'Inputs-Proposals'!$L$20)^(BR$3-'Inputs-System'!$C$7))*(VLOOKUP(BR$3,DRIPE!$A$54:$I$82,5,FALSE)+VLOOKUP(BR$3,DRIPE!$A$54:$I$82,9,FALSE))+ ('Inputs-System'!$C$26*'Coincidence Factors'!$B$6*(1+'Inputs-System'!$C$18)*(1+'Inputs-System'!$C$42))*'Inputs-Proposals'!$L$16*VLOOKUP(BR$3,DRIPE!$A$54:$I$82,8,FALSE), $C63 = "2",( 'Inputs-System'!$C$30*'Coincidence Factors'!$B$9*(1+'Inputs-System'!$C$18)*(1+'Inputs-System'!$C$41))*('Inputs-Proposals'!$L$23*'Inputs-Proposals'!$L$25*(1-'Inputs-Proposals'!$L$26)^(BR$3-'Inputs-System'!$C$7))*(VLOOKUP(BR$3,DRIPE!$A$54:$I$82,5,FALSE)+VLOOKUP(BR$3,DRIPE!$A$54:$I$82,9,FALSE))+ ('Inputs-System'!$C$26*'Coincidence Factors'!$B$6*(1+'Inputs-System'!$C$18)*(1+'Inputs-System'!$C$42))*'Inputs-Proposals'!$L$22*VLOOKUP(BR$3,DRIPE!$A$54:$I$82,8,FALSE), $C63= "3", ( 'Inputs-System'!$C$30*'Coincidence Factors'!$B$9*(1+'Inputs-System'!$C$18)*(1+'Inputs-System'!$C$41))*('Inputs-Proposals'!$L$29*'Inputs-Proposals'!$L$31*(1-'Inputs-Proposals'!$L$32)^(BR$3-'Inputs-System'!$C$7))*(VLOOKUP(BR$3,DRIPE!$A$54:$I$82,5,FALSE)+VLOOKUP(BR$3,DRIPE!$A$54:$I$82,9,FALSE))+ ('Inputs-System'!$C$26*'Coincidence Factors'!$B$6*(1+'Inputs-System'!$C$18)*(1+'Inputs-System'!$C$42))*'Inputs-Proposals'!$L$28*VLOOKUP(BR$3,DRIPE!$A$54:$I$82,8,FALSE), $C63 = "0", 0), 0)</f>
        <v>0</v>
      </c>
      <c r="BU63" s="45">
        <f>IFERROR(_xlfn.IFS($C63="1",('Inputs-System'!$C$26*'Coincidence Factors'!$B$9*(1+'Inputs-System'!$C$18)*(1+'Inputs-System'!$C$42))*'Inputs-Proposals'!$D$16*(VLOOKUP(BR$3,Capacity!$A$53:$E$85,4,FALSE)*(1+'Inputs-System'!$C$42)+VLOOKUP(BR$3,Capacity!$A$53:$E$85,5,FALSE)*(1+'Inputs-System'!$C$43)*'Inputs-System'!$C$29), $C63 = "2", ('Inputs-System'!$C$26*'Coincidence Factors'!$B$9*(1+'Inputs-System'!$C$18))*'Inputs-Proposals'!$D$22*(VLOOKUP(BR$3,Capacity!$A$53:$E$85,4,FALSE)*(1+'Inputs-System'!$C$42)+VLOOKUP(BR$3,Capacity!$A$53:$E$85,5,FALSE)*'Inputs-System'!$C$29*(1+'Inputs-System'!$C$43)), $C63 = "3", ('Inputs-System'!$C$26*'Coincidence Factors'!$B$9*(1+'Inputs-System'!$C$18))*'Inputs-Proposals'!$D$28*(VLOOKUP(BR$3,Capacity!$A$53:$E$85,4,FALSE)*(1+'Inputs-System'!$C$42)+VLOOKUP(BR$3,Capacity!$A$53:$E$85,5,FALSE)*'Inputs-System'!$C$29*(1+'Inputs-System'!$C$43)), $C63 = "0", 0), 0)</f>
        <v>0</v>
      </c>
      <c r="BV63" s="44">
        <v>0</v>
      </c>
      <c r="BW63" s="342">
        <f>IFERROR(_xlfn.IFS($C63="1", 'Inputs-System'!$C$30*'Coincidence Factors'!$B$9*'Inputs-Proposals'!$L$17*'Inputs-Proposals'!$L$19*(VLOOKUP(BR$3,'Non-Embedded Emissions'!$A$56:$D$90,2,FALSE)-VLOOKUP(BR$3,'Non-Embedded Emissions'!$F$57:$H$88,2,FALSE)+VLOOKUP(BR$3,'Non-Embedded Emissions'!$A$143:$D$174,2,FALSE)-VLOOKUP(BR$3,'Non-Embedded Emissions'!$F$143:$H$174,2,FALSE)+VLOOKUP(BR$3,'Non-Embedded Emissions'!$A$230:$D$259,2,FALSE)), $C63 = "2", 'Inputs-System'!$C$30*'Coincidence Factors'!$B$9*'Inputs-Proposals'!$L$23*'Inputs-Proposals'!$L$25*(VLOOKUP(BR$3,'Non-Embedded Emissions'!$A$56:$D$90,2,FALSE)-VLOOKUP(BR$3,'Non-Embedded Emissions'!$F$57:$H$88,2,FALSE)+VLOOKUP(BR$3,'Non-Embedded Emissions'!$A$143:$D$174,2,FALSE)-VLOOKUP(BR$3,'Non-Embedded Emissions'!$F$143:$H$174,2,FALSE)+VLOOKUP(BR$3,'Non-Embedded Emissions'!$A$230:$D$259,2,FALSE)), $C63 = "3", 'Inputs-System'!$C$30*'Coincidence Factors'!$B$9*'Inputs-Proposals'!$L$29*'Inputs-Proposals'!$L$31*(VLOOKUP(BR$3,'Non-Embedded Emissions'!$A$56:$D$90,2,FALSE)-VLOOKUP(BR$3,'Non-Embedded Emissions'!$F$57:$H$88,2,FALSE)+VLOOKUP(BR$3,'Non-Embedded Emissions'!$A$143:$D$174,2,FALSE)-VLOOKUP(BR$3,'Non-Embedded Emissions'!$F$143:$H$174,2,FALSE)+VLOOKUP(BR$3,'Non-Embedded Emissions'!$A$230:$D$259,2,FALSE)), $C63 = "0", 0), 0)</f>
        <v>0</v>
      </c>
      <c r="BX63" s="45">
        <f>IFERROR(_xlfn.IFS($C63="1",('Inputs-System'!$C$30*'Coincidence Factors'!$B$9*(1+'Inputs-System'!$C$18)*(1+'Inputs-System'!$C$41)*('Inputs-Proposals'!$L$17*'Inputs-Proposals'!$L$19*(1-'Inputs-Proposals'!$L$20^(BX$3-'Inputs-System'!$C$7)))*(VLOOKUP(BX$3,Energy!$A$51:$K$83,5,FALSE))), $C63 = "2",('Inputs-System'!$C$30*'Coincidence Factors'!$B$9)*(1+'Inputs-System'!$C$18)*(1+'Inputs-System'!$C$41)*('Inputs-Proposals'!$L$23*'Inputs-Proposals'!$L$25*(1-'Inputs-Proposals'!$L$26^(BX$3-'Inputs-System'!$C$7)))*(VLOOKUP(BX$3,Energy!$A$51:$K$83,5,FALSE)), $C63= "3", ('Inputs-System'!$C$30*'Coincidence Factors'!$B$9*(1+'Inputs-System'!$C$18)*(1+'Inputs-System'!$C$41)*('Inputs-Proposals'!$L$29*'Inputs-Proposals'!$L$31*(1-'Inputs-Proposals'!$L$32^(BX$3-'Inputs-System'!$C$7)))*(VLOOKUP(BX$3,Energy!$A$51:$K$83,5,FALSE))), $C63= "0", 0), 0)</f>
        <v>0</v>
      </c>
      <c r="BY63" s="44">
        <f>IFERROR(_xlfn.IFS($C63="1",('Inputs-System'!$C$30*'Coincidence Factors'!$B$9*(1+'Inputs-System'!$C$18)*(1+'Inputs-System'!$C$41))*'Inputs-Proposals'!$L$17*'Inputs-Proposals'!$L$19*(1-'Inputs-Proposals'!$L$20^(BX$3-'Inputs-System'!$C$7))*(VLOOKUP(BX$3,'Embedded Emissions'!$A$47:$B$78,2,FALSE)+VLOOKUP(BX$3,'Embedded Emissions'!$A$129:$B$158,2,FALSE)), $C63 = "2",('Inputs-System'!$C$30*'Coincidence Factors'!$B$9*(1+'Inputs-System'!$C$18)*(1+'Inputs-System'!$C$41))*'Inputs-Proposals'!$L$23*'Inputs-Proposals'!$L$25*(1-'Inputs-Proposals'!$L$20^(BX$3-'Inputs-System'!$C$7))*(VLOOKUP(BX$3,'Embedded Emissions'!$A$47:$B$78,2,FALSE)+VLOOKUP(BX$3,'Embedded Emissions'!$A$129:$B$158,2,FALSE)), $C63 = "3", ('Inputs-System'!$C$30*'Coincidence Factors'!$B$9*(1+'Inputs-System'!$C$18)*(1+'Inputs-System'!$C$41))*'Inputs-Proposals'!$L$29*'Inputs-Proposals'!$L$31*(1-'Inputs-Proposals'!$L$20^(BX$3-'Inputs-System'!$C$7))*(VLOOKUP(BX$3,'Embedded Emissions'!$A$47:$B$78,2,FALSE)+VLOOKUP(BX$3,'Embedded Emissions'!$A$129:$B$158,2,FALSE)), $C63 = "0", 0), 0)</f>
        <v>0</v>
      </c>
      <c r="BZ63" s="44">
        <f>IFERROR(_xlfn.IFS($C63="1",( 'Inputs-System'!$C$30*'Coincidence Factors'!$B$9*(1+'Inputs-System'!$C$18)*(1+'Inputs-System'!$C$41))*('Inputs-Proposals'!$L$17*'Inputs-Proposals'!$L$19*(1-'Inputs-Proposals'!$L$20)^(BX$3-'Inputs-System'!$C$7))*(VLOOKUP(BX$3,DRIPE!$A$54:$I$82,5,FALSE)+VLOOKUP(BX$3,DRIPE!$A$54:$I$82,9,FALSE))+ ('Inputs-System'!$C$26*'Coincidence Factors'!$B$6*(1+'Inputs-System'!$C$18)*(1+'Inputs-System'!$C$42))*'Inputs-Proposals'!$L$16*VLOOKUP(BX$3,DRIPE!$A$54:$I$82,8,FALSE), $C63 = "2",( 'Inputs-System'!$C$30*'Coincidence Factors'!$B$9*(1+'Inputs-System'!$C$18)*(1+'Inputs-System'!$C$41))*('Inputs-Proposals'!$L$23*'Inputs-Proposals'!$L$25*(1-'Inputs-Proposals'!$L$26)^(BX$3-'Inputs-System'!$C$7))*(VLOOKUP(BX$3,DRIPE!$A$54:$I$82,5,FALSE)+VLOOKUP(BX$3,DRIPE!$A$54:$I$82,9,FALSE))+ ('Inputs-System'!$C$26*'Coincidence Factors'!$B$6*(1+'Inputs-System'!$C$18)*(1+'Inputs-System'!$C$42))*'Inputs-Proposals'!$L$22*VLOOKUP(BX$3,DRIPE!$A$54:$I$82,8,FALSE), $C63= "3", ( 'Inputs-System'!$C$30*'Coincidence Factors'!$B$9*(1+'Inputs-System'!$C$18)*(1+'Inputs-System'!$C$41))*('Inputs-Proposals'!$L$29*'Inputs-Proposals'!$L$31*(1-'Inputs-Proposals'!$L$32)^(BX$3-'Inputs-System'!$C$7))*(VLOOKUP(BX$3,DRIPE!$A$54:$I$82,5,FALSE)+VLOOKUP(BX$3,DRIPE!$A$54:$I$82,9,FALSE))+ ('Inputs-System'!$C$26*'Coincidence Factors'!$B$6*(1+'Inputs-System'!$C$18)*(1+'Inputs-System'!$C$42))*'Inputs-Proposals'!$L$28*VLOOKUP(BX$3,DRIPE!$A$54:$I$82,8,FALSE), $C63 = "0", 0), 0)</f>
        <v>0</v>
      </c>
      <c r="CA63" s="45">
        <f>IFERROR(_xlfn.IFS($C63="1",('Inputs-System'!$C$26*'Coincidence Factors'!$B$9*(1+'Inputs-System'!$C$18)*(1+'Inputs-System'!$C$42))*'Inputs-Proposals'!$D$16*(VLOOKUP(BX$3,Capacity!$A$53:$E$85,4,FALSE)*(1+'Inputs-System'!$C$42)+VLOOKUP(BX$3,Capacity!$A$53:$E$85,5,FALSE)*(1+'Inputs-System'!$C$43)*'Inputs-System'!$C$29), $C63 = "2", ('Inputs-System'!$C$26*'Coincidence Factors'!$B$9*(1+'Inputs-System'!$C$18))*'Inputs-Proposals'!$D$22*(VLOOKUP(BX$3,Capacity!$A$53:$E$85,4,FALSE)*(1+'Inputs-System'!$C$42)+VLOOKUP(BX$3,Capacity!$A$53:$E$85,5,FALSE)*'Inputs-System'!$C$29*(1+'Inputs-System'!$C$43)), $C63 = "3", ('Inputs-System'!$C$26*'Coincidence Factors'!$B$9*(1+'Inputs-System'!$C$18))*'Inputs-Proposals'!$D$28*(VLOOKUP(BX$3,Capacity!$A$53:$E$85,4,FALSE)*(1+'Inputs-System'!$C$42)+VLOOKUP(BX$3,Capacity!$A$53:$E$85,5,FALSE)*'Inputs-System'!$C$29*(1+'Inputs-System'!$C$43)), $C63 = "0", 0), 0)</f>
        <v>0</v>
      </c>
      <c r="CB63" s="44">
        <v>0</v>
      </c>
      <c r="CC63" s="342">
        <f>IFERROR(_xlfn.IFS($C63="1", 'Inputs-System'!$C$30*'Coincidence Factors'!$B$9*'Inputs-Proposals'!$L$17*'Inputs-Proposals'!$L$19*(VLOOKUP(BX$3,'Non-Embedded Emissions'!$A$56:$D$90,2,FALSE)-VLOOKUP(BX$3,'Non-Embedded Emissions'!$F$57:$H$88,2,FALSE)+VLOOKUP(BX$3,'Non-Embedded Emissions'!$A$143:$D$174,2,FALSE)-VLOOKUP(BX$3,'Non-Embedded Emissions'!$F$143:$H$174,2,FALSE)+VLOOKUP(BX$3,'Non-Embedded Emissions'!$A$230:$D$259,2,FALSE)), $C63 = "2", 'Inputs-System'!$C$30*'Coincidence Factors'!$B$9*'Inputs-Proposals'!$L$23*'Inputs-Proposals'!$L$25*(VLOOKUP(BX$3,'Non-Embedded Emissions'!$A$56:$D$90,2,FALSE)-VLOOKUP(BX$3,'Non-Embedded Emissions'!$F$57:$H$88,2,FALSE)+VLOOKUP(BX$3,'Non-Embedded Emissions'!$A$143:$D$174,2,FALSE)-VLOOKUP(BX$3,'Non-Embedded Emissions'!$F$143:$H$174,2,FALSE)+VLOOKUP(BX$3,'Non-Embedded Emissions'!$A$230:$D$259,2,FALSE)), $C63 = "3", 'Inputs-System'!$C$30*'Coincidence Factors'!$B$9*'Inputs-Proposals'!$L$29*'Inputs-Proposals'!$L$31*(VLOOKUP(BX$3,'Non-Embedded Emissions'!$A$56:$D$90,2,FALSE)-VLOOKUP(BX$3,'Non-Embedded Emissions'!$F$57:$H$88,2,FALSE)+VLOOKUP(BX$3,'Non-Embedded Emissions'!$A$143:$D$174,2,FALSE)-VLOOKUP(BX$3,'Non-Embedded Emissions'!$F$143:$H$174,2,FALSE)+VLOOKUP(BX$3,'Non-Embedded Emissions'!$A$230:$D$259,2,FALSE)), $C63 = "0", 0), 0)</f>
        <v>0</v>
      </c>
      <c r="CD63" s="45">
        <f>IFERROR(_xlfn.IFS($C63="1",('Inputs-System'!$C$30*'Coincidence Factors'!$B$9*(1+'Inputs-System'!$C$18)*(1+'Inputs-System'!$C$41)*('Inputs-Proposals'!$L$17*'Inputs-Proposals'!$L$19*(1-'Inputs-Proposals'!$L$20^(CD$3-'Inputs-System'!$C$7)))*(VLOOKUP(CD$3,Energy!$A$51:$K$83,5,FALSE))), $C63 = "2",('Inputs-System'!$C$30*'Coincidence Factors'!$B$9)*(1+'Inputs-System'!$C$18)*(1+'Inputs-System'!$C$41)*('Inputs-Proposals'!$L$23*'Inputs-Proposals'!$L$25*(1-'Inputs-Proposals'!$L$26^(CD$3-'Inputs-System'!$C$7)))*(VLOOKUP(CD$3,Energy!$A$51:$K$83,5,FALSE)), $C63= "3", ('Inputs-System'!$C$30*'Coincidence Factors'!$B$9*(1+'Inputs-System'!$C$18)*(1+'Inputs-System'!$C$41)*('Inputs-Proposals'!$L$29*'Inputs-Proposals'!$L$31*(1-'Inputs-Proposals'!$L$32^(CD$3-'Inputs-System'!$C$7)))*(VLOOKUP(CD$3,Energy!$A$51:$K$83,5,FALSE))), $C63= "0", 0), 0)</f>
        <v>0</v>
      </c>
      <c r="CE63" s="44">
        <f>IFERROR(_xlfn.IFS($C63="1",('Inputs-System'!$C$30*'Coincidence Factors'!$B$9*(1+'Inputs-System'!$C$18)*(1+'Inputs-System'!$C$41))*'Inputs-Proposals'!$L$17*'Inputs-Proposals'!$L$19*(1-'Inputs-Proposals'!$L$20^(CD$3-'Inputs-System'!$C$7))*(VLOOKUP(CD$3,'Embedded Emissions'!$A$47:$B$78,2,FALSE)+VLOOKUP(CD$3,'Embedded Emissions'!$A$129:$B$158,2,FALSE)), $C63 = "2",('Inputs-System'!$C$30*'Coincidence Factors'!$B$9*(1+'Inputs-System'!$C$18)*(1+'Inputs-System'!$C$41))*'Inputs-Proposals'!$L$23*'Inputs-Proposals'!$L$25*(1-'Inputs-Proposals'!$L$20^(CD$3-'Inputs-System'!$C$7))*(VLOOKUP(CD$3,'Embedded Emissions'!$A$47:$B$78,2,FALSE)+VLOOKUP(CD$3,'Embedded Emissions'!$A$129:$B$158,2,FALSE)), $C63 = "3", ('Inputs-System'!$C$30*'Coincidence Factors'!$B$9*(1+'Inputs-System'!$C$18)*(1+'Inputs-System'!$C$41))*'Inputs-Proposals'!$L$29*'Inputs-Proposals'!$L$31*(1-'Inputs-Proposals'!$L$20^(CD$3-'Inputs-System'!$C$7))*(VLOOKUP(CD$3,'Embedded Emissions'!$A$47:$B$78,2,FALSE)+VLOOKUP(CD$3,'Embedded Emissions'!$A$129:$B$158,2,FALSE)), $C63 = "0", 0), 0)</f>
        <v>0</v>
      </c>
      <c r="CF63" s="44">
        <f>IFERROR(_xlfn.IFS($C63="1",( 'Inputs-System'!$C$30*'Coincidence Factors'!$B$9*(1+'Inputs-System'!$C$18)*(1+'Inputs-System'!$C$41))*('Inputs-Proposals'!$L$17*'Inputs-Proposals'!$L$19*(1-'Inputs-Proposals'!$L$20)^(CD$3-'Inputs-System'!$C$7))*(VLOOKUP(CD$3,DRIPE!$A$54:$I$82,5,FALSE)+VLOOKUP(CD$3,DRIPE!$A$54:$I$82,9,FALSE))+ ('Inputs-System'!$C$26*'Coincidence Factors'!$B$6*(1+'Inputs-System'!$C$18)*(1+'Inputs-System'!$C$42))*'Inputs-Proposals'!$L$16*VLOOKUP(CD$3,DRIPE!$A$54:$I$82,8,FALSE), $C63 = "2",( 'Inputs-System'!$C$30*'Coincidence Factors'!$B$9*(1+'Inputs-System'!$C$18)*(1+'Inputs-System'!$C$41))*('Inputs-Proposals'!$L$23*'Inputs-Proposals'!$L$25*(1-'Inputs-Proposals'!$L$26)^(CD$3-'Inputs-System'!$C$7))*(VLOOKUP(CD$3,DRIPE!$A$54:$I$82,5,FALSE)+VLOOKUP(CD$3,DRIPE!$A$54:$I$82,9,FALSE))+ ('Inputs-System'!$C$26*'Coincidence Factors'!$B$6*(1+'Inputs-System'!$C$18)*(1+'Inputs-System'!$C$42))*'Inputs-Proposals'!$L$22*VLOOKUP(CD$3,DRIPE!$A$54:$I$82,8,FALSE), $C63= "3", ( 'Inputs-System'!$C$30*'Coincidence Factors'!$B$9*(1+'Inputs-System'!$C$18)*(1+'Inputs-System'!$C$41))*('Inputs-Proposals'!$L$29*'Inputs-Proposals'!$L$31*(1-'Inputs-Proposals'!$L$32)^(CD$3-'Inputs-System'!$C$7))*(VLOOKUP(CD$3,DRIPE!$A$54:$I$82,5,FALSE)+VLOOKUP(CD$3,DRIPE!$A$54:$I$82,9,FALSE))+ ('Inputs-System'!$C$26*'Coincidence Factors'!$B$6*(1+'Inputs-System'!$C$18)*(1+'Inputs-System'!$C$42))*'Inputs-Proposals'!$L$28*VLOOKUP(CD$3,DRIPE!$A$54:$I$82,8,FALSE), $C63 = "0", 0), 0)</f>
        <v>0</v>
      </c>
      <c r="CG63" s="45">
        <f>IFERROR(_xlfn.IFS($C63="1",('Inputs-System'!$C$26*'Coincidence Factors'!$B$9*(1+'Inputs-System'!$C$18)*(1+'Inputs-System'!$C$42))*'Inputs-Proposals'!$D$16*(VLOOKUP(CD$3,Capacity!$A$53:$E$85,4,FALSE)*(1+'Inputs-System'!$C$42)+VLOOKUP(CD$3,Capacity!$A$53:$E$85,5,FALSE)*(1+'Inputs-System'!$C$43)*'Inputs-System'!$C$29), $C63 = "2", ('Inputs-System'!$C$26*'Coincidence Factors'!$B$9*(1+'Inputs-System'!$C$18))*'Inputs-Proposals'!$D$22*(VLOOKUP(CD$3,Capacity!$A$53:$E$85,4,FALSE)*(1+'Inputs-System'!$C$42)+VLOOKUP(CD$3,Capacity!$A$53:$E$85,5,FALSE)*'Inputs-System'!$C$29*(1+'Inputs-System'!$C$43)), $C63 = "3", ('Inputs-System'!$C$26*'Coincidence Factors'!$B$9*(1+'Inputs-System'!$C$18))*'Inputs-Proposals'!$D$28*(VLOOKUP(CD$3,Capacity!$A$53:$E$85,4,FALSE)*(1+'Inputs-System'!$C$42)+VLOOKUP(CD$3,Capacity!$A$53:$E$85,5,FALSE)*'Inputs-System'!$C$29*(1+'Inputs-System'!$C$43)), $C63 = "0", 0), 0)</f>
        <v>0</v>
      </c>
      <c r="CH63" s="44">
        <v>0</v>
      </c>
      <c r="CI63" s="342">
        <f>IFERROR(_xlfn.IFS($C63="1", 'Inputs-System'!$C$30*'Coincidence Factors'!$B$9*'Inputs-Proposals'!$L$17*'Inputs-Proposals'!$L$19*(VLOOKUP(CD$3,'Non-Embedded Emissions'!$A$56:$D$90,2,FALSE)-VLOOKUP(CD$3,'Non-Embedded Emissions'!$F$57:$H$88,2,FALSE)+VLOOKUP(CD$3,'Non-Embedded Emissions'!$A$143:$D$174,2,FALSE)-VLOOKUP(CD$3,'Non-Embedded Emissions'!$F$143:$H$174,2,FALSE)+VLOOKUP(CD$3,'Non-Embedded Emissions'!$A$230:$D$259,2,FALSE)), $C63 = "2", 'Inputs-System'!$C$30*'Coincidence Factors'!$B$9*'Inputs-Proposals'!$L$23*'Inputs-Proposals'!$L$25*(VLOOKUP(CD$3,'Non-Embedded Emissions'!$A$56:$D$90,2,FALSE)-VLOOKUP(CD$3,'Non-Embedded Emissions'!$F$57:$H$88,2,FALSE)+VLOOKUP(CD$3,'Non-Embedded Emissions'!$A$143:$D$174,2,FALSE)-VLOOKUP(CD$3,'Non-Embedded Emissions'!$F$143:$H$174,2,FALSE)+VLOOKUP(CD$3,'Non-Embedded Emissions'!$A$230:$D$259,2,FALSE)), $C63 = "3", 'Inputs-System'!$C$30*'Coincidence Factors'!$B$9*'Inputs-Proposals'!$L$29*'Inputs-Proposals'!$L$31*(VLOOKUP(CD$3,'Non-Embedded Emissions'!$A$56:$D$90,2,FALSE)-VLOOKUP(CD$3,'Non-Embedded Emissions'!$F$57:$H$88,2,FALSE)+VLOOKUP(CD$3,'Non-Embedded Emissions'!$A$143:$D$174,2,FALSE)-VLOOKUP(CD$3,'Non-Embedded Emissions'!$F$143:$H$174,2,FALSE)+VLOOKUP(CD$3,'Non-Embedded Emissions'!$A$230:$D$259,2,FALSE)), $C63 = "0", 0), 0)</f>
        <v>0</v>
      </c>
      <c r="CJ63" s="45">
        <f>IFERROR(_xlfn.IFS($C63="1",('Inputs-System'!$C$30*'Coincidence Factors'!$B$9*(1+'Inputs-System'!$C$18)*(1+'Inputs-System'!$C$41)*('Inputs-Proposals'!$L$17*'Inputs-Proposals'!$L$19*(1-'Inputs-Proposals'!$L$20^(CJ$3-'Inputs-System'!$C$7)))*(VLOOKUP(CJ$3,Energy!$A$51:$K$83,5,FALSE))), $C63 = "2",('Inputs-System'!$C$30*'Coincidence Factors'!$B$9)*(1+'Inputs-System'!$C$18)*(1+'Inputs-System'!$C$41)*('Inputs-Proposals'!$L$23*'Inputs-Proposals'!$L$25*(1-'Inputs-Proposals'!$L$26^(CJ$3-'Inputs-System'!$C$7)))*(VLOOKUP(CJ$3,Energy!$A$51:$K$83,5,FALSE)), $C63= "3", ('Inputs-System'!$C$30*'Coincidence Factors'!$B$9*(1+'Inputs-System'!$C$18)*(1+'Inputs-System'!$C$41)*('Inputs-Proposals'!$L$29*'Inputs-Proposals'!$L$31*(1-'Inputs-Proposals'!$L$32^(CJ$3-'Inputs-System'!$C$7)))*(VLOOKUP(CJ$3,Energy!$A$51:$K$83,5,FALSE))), $C63= "0", 0), 0)</f>
        <v>0</v>
      </c>
      <c r="CK63" s="44">
        <f>IFERROR(_xlfn.IFS($C63="1",('Inputs-System'!$C$30*'Coincidence Factors'!$B$9*(1+'Inputs-System'!$C$18)*(1+'Inputs-System'!$C$41))*'Inputs-Proposals'!$L$17*'Inputs-Proposals'!$L$19*(1-'Inputs-Proposals'!$L$20^(CJ$3-'Inputs-System'!$C$7))*(VLOOKUP(CJ$3,'Embedded Emissions'!$A$47:$B$78,2,FALSE)+VLOOKUP(CJ$3,'Embedded Emissions'!$A$129:$B$158,2,FALSE)), $C63 = "2",('Inputs-System'!$C$30*'Coincidence Factors'!$B$9*(1+'Inputs-System'!$C$18)*(1+'Inputs-System'!$C$41))*'Inputs-Proposals'!$L$23*'Inputs-Proposals'!$L$25*(1-'Inputs-Proposals'!$L$20^(CJ$3-'Inputs-System'!$C$7))*(VLOOKUP(CJ$3,'Embedded Emissions'!$A$47:$B$78,2,FALSE)+VLOOKUP(CJ$3,'Embedded Emissions'!$A$129:$B$158,2,FALSE)), $C63 = "3", ('Inputs-System'!$C$30*'Coincidence Factors'!$B$9*(1+'Inputs-System'!$C$18)*(1+'Inputs-System'!$C$41))*'Inputs-Proposals'!$L$29*'Inputs-Proposals'!$L$31*(1-'Inputs-Proposals'!$L$20^(CJ$3-'Inputs-System'!$C$7))*(VLOOKUP(CJ$3,'Embedded Emissions'!$A$47:$B$78,2,FALSE)+VLOOKUP(CJ$3,'Embedded Emissions'!$A$129:$B$158,2,FALSE)), $C63 = "0", 0), 0)</f>
        <v>0</v>
      </c>
      <c r="CL63" s="44">
        <f>IFERROR(_xlfn.IFS($C63="1",( 'Inputs-System'!$C$30*'Coincidence Factors'!$B$9*(1+'Inputs-System'!$C$18)*(1+'Inputs-System'!$C$41))*('Inputs-Proposals'!$L$17*'Inputs-Proposals'!$L$19*(1-'Inputs-Proposals'!$L$20)^(CJ$3-'Inputs-System'!$C$7))*(VLOOKUP(CJ$3,DRIPE!$A$54:$I$82,5,FALSE)+VLOOKUP(CJ$3,DRIPE!$A$54:$I$82,9,FALSE))+ ('Inputs-System'!$C$26*'Coincidence Factors'!$B$6*(1+'Inputs-System'!$C$18)*(1+'Inputs-System'!$C$42))*'Inputs-Proposals'!$L$16*VLOOKUP(CJ$3,DRIPE!$A$54:$I$82,8,FALSE), $C63 = "2",( 'Inputs-System'!$C$30*'Coincidence Factors'!$B$9*(1+'Inputs-System'!$C$18)*(1+'Inputs-System'!$C$41))*('Inputs-Proposals'!$L$23*'Inputs-Proposals'!$L$25*(1-'Inputs-Proposals'!$L$26)^(CJ$3-'Inputs-System'!$C$7))*(VLOOKUP(CJ$3,DRIPE!$A$54:$I$82,5,FALSE)+VLOOKUP(CJ$3,DRIPE!$A$54:$I$82,9,FALSE))+ ('Inputs-System'!$C$26*'Coincidence Factors'!$B$6*(1+'Inputs-System'!$C$18)*(1+'Inputs-System'!$C$42))*'Inputs-Proposals'!$L$22*VLOOKUP(CJ$3,DRIPE!$A$54:$I$82,8,FALSE), $C63= "3", ( 'Inputs-System'!$C$30*'Coincidence Factors'!$B$9*(1+'Inputs-System'!$C$18)*(1+'Inputs-System'!$C$41))*('Inputs-Proposals'!$L$29*'Inputs-Proposals'!$L$31*(1-'Inputs-Proposals'!$L$32)^(CJ$3-'Inputs-System'!$C$7))*(VLOOKUP(CJ$3,DRIPE!$A$54:$I$82,5,FALSE)+VLOOKUP(CJ$3,DRIPE!$A$54:$I$82,9,FALSE))+ ('Inputs-System'!$C$26*'Coincidence Factors'!$B$6*(1+'Inputs-System'!$C$18)*(1+'Inputs-System'!$C$42))*'Inputs-Proposals'!$L$28*VLOOKUP(CJ$3,DRIPE!$A$54:$I$82,8,FALSE), $C63 = "0", 0), 0)</f>
        <v>0</v>
      </c>
      <c r="CM63" s="45">
        <f>IFERROR(_xlfn.IFS($C63="1",('Inputs-System'!$C$26*'Coincidence Factors'!$B$9*(1+'Inputs-System'!$C$18)*(1+'Inputs-System'!$C$42))*'Inputs-Proposals'!$D$16*(VLOOKUP(CJ$3,Capacity!$A$53:$E$85,4,FALSE)*(1+'Inputs-System'!$C$42)+VLOOKUP(CJ$3,Capacity!$A$53:$E$85,5,FALSE)*(1+'Inputs-System'!$C$43)*'Inputs-System'!$C$29), $C63 = "2", ('Inputs-System'!$C$26*'Coincidence Factors'!$B$9*(1+'Inputs-System'!$C$18))*'Inputs-Proposals'!$D$22*(VLOOKUP(CJ$3,Capacity!$A$53:$E$85,4,FALSE)*(1+'Inputs-System'!$C$42)+VLOOKUP(CJ$3,Capacity!$A$53:$E$85,5,FALSE)*'Inputs-System'!$C$29*(1+'Inputs-System'!$C$43)), $C63 = "3", ('Inputs-System'!$C$26*'Coincidence Factors'!$B$9*(1+'Inputs-System'!$C$18))*'Inputs-Proposals'!$D$28*(VLOOKUP(CJ$3,Capacity!$A$53:$E$85,4,FALSE)*(1+'Inputs-System'!$C$42)+VLOOKUP(CJ$3,Capacity!$A$53:$E$85,5,FALSE)*'Inputs-System'!$C$29*(1+'Inputs-System'!$C$43)), $C63 = "0", 0), 0)</f>
        <v>0</v>
      </c>
      <c r="CN63" s="44">
        <v>0</v>
      </c>
      <c r="CO63" s="342">
        <f>IFERROR(_xlfn.IFS($C63="1", 'Inputs-System'!$C$30*'Coincidence Factors'!$B$9*'Inputs-Proposals'!$L$17*'Inputs-Proposals'!$L$19*(VLOOKUP(CJ$3,'Non-Embedded Emissions'!$A$56:$D$90,2,FALSE)-VLOOKUP(CJ$3,'Non-Embedded Emissions'!$F$57:$H$88,2,FALSE)+VLOOKUP(CJ$3,'Non-Embedded Emissions'!$A$143:$D$174,2,FALSE)-VLOOKUP(CJ$3,'Non-Embedded Emissions'!$F$143:$H$174,2,FALSE)+VLOOKUP(CJ$3,'Non-Embedded Emissions'!$A$230:$D$259,2,FALSE)), $C63 = "2", 'Inputs-System'!$C$30*'Coincidence Factors'!$B$9*'Inputs-Proposals'!$L$23*'Inputs-Proposals'!$L$25*(VLOOKUP(CJ$3,'Non-Embedded Emissions'!$A$56:$D$90,2,FALSE)-VLOOKUP(CJ$3,'Non-Embedded Emissions'!$F$57:$H$88,2,FALSE)+VLOOKUP(CJ$3,'Non-Embedded Emissions'!$A$143:$D$174,2,FALSE)-VLOOKUP(CJ$3,'Non-Embedded Emissions'!$F$143:$H$174,2,FALSE)+VLOOKUP(CJ$3,'Non-Embedded Emissions'!$A$230:$D$259,2,FALSE)), $C63 = "3", 'Inputs-System'!$C$30*'Coincidence Factors'!$B$9*'Inputs-Proposals'!$L$29*'Inputs-Proposals'!$L$31*(VLOOKUP(CJ$3,'Non-Embedded Emissions'!$A$56:$D$90,2,FALSE)-VLOOKUP(CJ$3,'Non-Embedded Emissions'!$F$57:$H$88,2,FALSE)+VLOOKUP(CJ$3,'Non-Embedded Emissions'!$A$143:$D$174,2,FALSE)-VLOOKUP(CJ$3,'Non-Embedded Emissions'!$F$143:$H$174,2,FALSE)+VLOOKUP(CJ$3,'Non-Embedded Emissions'!$A$230:$D$259,2,FALSE)), $C63 = "0", 0), 0)</f>
        <v>0</v>
      </c>
      <c r="CP63" s="45">
        <f>IFERROR(_xlfn.IFS($C63="1",('Inputs-System'!$C$30*'Coincidence Factors'!$B$9*(1+'Inputs-System'!$C$18)*(1+'Inputs-System'!$C$41)*('Inputs-Proposals'!$L$17*'Inputs-Proposals'!$L$19*(1-'Inputs-Proposals'!$L$20^(CP$3-'Inputs-System'!$C$7)))*(VLOOKUP(CP$3,Energy!$A$51:$K$83,5,FALSE))), $C63 = "2",('Inputs-System'!$C$30*'Coincidence Factors'!$B$9)*(1+'Inputs-System'!$C$18)*(1+'Inputs-System'!$C$41)*('Inputs-Proposals'!$L$23*'Inputs-Proposals'!$L$25*(1-'Inputs-Proposals'!$L$26^(CP$3-'Inputs-System'!$C$7)))*(VLOOKUP(CP$3,Energy!$A$51:$K$83,5,FALSE)), $C63= "3", ('Inputs-System'!$C$30*'Coincidence Factors'!$B$9*(1+'Inputs-System'!$C$18)*(1+'Inputs-System'!$C$41)*('Inputs-Proposals'!$L$29*'Inputs-Proposals'!$L$31*(1-'Inputs-Proposals'!$L$32^(CP$3-'Inputs-System'!$C$7)))*(VLOOKUP(CP$3,Energy!$A$51:$K$83,5,FALSE))), $C63= "0", 0), 0)</f>
        <v>0</v>
      </c>
      <c r="CQ63" s="44">
        <f>IFERROR(_xlfn.IFS($C63="1",('Inputs-System'!$C$30*'Coincidence Factors'!$B$9*(1+'Inputs-System'!$C$18)*(1+'Inputs-System'!$C$41))*'Inputs-Proposals'!$L$17*'Inputs-Proposals'!$L$19*(1-'Inputs-Proposals'!$L$20^(CP$3-'Inputs-System'!$C$7))*(VLOOKUP(CP$3,'Embedded Emissions'!$A$47:$B$78,2,FALSE)+VLOOKUP(CP$3,'Embedded Emissions'!$A$129:$B$158,2,FALSE)), $C63 = "2",('Inputs-System'!$C$30*'Coincidence Factors'!$B$9*(1+'Inputs-System'!$C$18)*(1+'Inputs-System'!$C$41))*'Inputs-Proposals'!$L$23*'Inputs-Proposals'!$L$25*(1-'Inputs-Proposals'!$L$20^(CP$3-'Inputs-System'!$C$7))*(VLOOKUP(CP$3,'Embedded Emissions'!$A$47:$B$78,2,FALSE)+VLOOKUP(CP$3,'Embedded Emissions'!$A$129:$B$158,2,FALSE)), $C63 = "3", ('Inputs-System'!$C$30*'Coincidence Factors'!$B$9*(1+'Inputs-System'!$C$18)*(1+'Inputs-System'!$C$41))*'Inputs-Proposals'!$L$29*'Inputs-Proposals'!$L$31*(1-'Inputs-Proposals'!$L$20^(CP$3-'Inputs-System'!$C$7))*(VLOOKUP(CP$3,'Embedded Emissions'!$A$47:$B$78,2,FALSE)+VLOOKUP(CP$3,'Embedded Emissions'!$A$129:$B$158,2,FALSE)), $C63 = "0", 0), 0)</f>
        <v>0</v>
      </c>
      <c r="CR63" s="44">
        <f>IFERROR(_xlfn.IFS($C63="1",( 'Inputs-System'!$C$30*'Coincidence Factors'!$B$9*(1+'Inputs-System'!$C$18)*(1+'Inputs-System'!$C$41))*('Inputs-Proposals'!$L$17*'Inputs-Proposals'!$L$19*(1-'Inputs-Proposals'!$L$20)^(CP$3-'Inputs-System'!$C$7))*(VLOOKUP(CP$3,DRIPE!$A$54:$I$82,5,FALSE)+VLOOKUP(CP$3,DRIPE!$A$54:$I$82,9,FALSE))+ ('Inputs-System'!$C$26*'Coincidence Factors'!$B$6*(1+'Inputs-System'!$C$18)*(1+'Inputs-System'!$C$42))*'Inputs-Proposals'!$L$16*VLOOKUP(CP$3,DRIPE!$A$54:$I$82,8,FALSE), $C63 = "2",( 'Inputs-System'!$C$30*'Coincidence Factors'!$B$9*(1+'Inputs-System'!$C$18)*(1+'Inputs-System'!$C$41))*('Inputs-Proposals'!$L$23*'Inputs-Proposals'!$L$25*(1-'Inputs-Proposals'!$L$26)^(CP$3-'Inputs-System'!$C$7))*(VLOOKUP(CP$3,DRIPE!$A$54:$I$82,5,FALSE)+VLOOKUP(CP$3,DRIPE!$A$54:$I$82,9,FALSE))+ ('Inputs-System'!$C$26*'Coincidence Factors'!$B$6*(1+'Inputs-System'!$C$18)*(1+'Inputs-System'!$C$42))*'Inputs-Proposals'!$L$22*VLOOKUP(CP$3,DRIPE!$A$54:$I$82,8,FALSE), $C63= "3", ( 'Inputs-System'!$C$30*'Coincidence Factors'!$B$9*(1+'Inputs-System'!$C$18)*(1+'Inputs-System'!$C$41))*('Inputs-Proposals'!$L$29*'Inputs-Proposals'!$L$31*(1-'Inputs-Proposals'!$L$32)^(CP$3-'Inputs-System'!$C$7))*(VLOOKUP(CP$3,DRIPE!$A$54:$I$82,5,FALSE)+VLOOKUP(CP$3,DRIPE!$A$54:$I$82,9,FALSE))+ ('Inputs-System'!$C$26*'Coincidence Factors'!$B$6*(1+'Inputs-System'!$C$18)*(1+'Inputs-System'!$C$42))*'Inputs-Proposals'!$L$28*VLOOKUP(CP$3,DRIPE!$A$54:$I$82,8,FALSE), $C63 = "0", 0), 0)</f>
        <v>0</v>
      </c>
      <c r="CS63" s="45">
        <f>IFERROR(_xlfn.IFS($C63="1",('Inputs-System'!$C$26*'Coincidence Factors'!$B$9*(1+'Inputs-System'!$C$18)*(1+'Inputs-System'!$C$42))*'Inputs-Proposals'!$D$16*(VLOOKUP(CP$3,Capacity!$A$53:$E$85,4,FALSE)*(1+'Inputs-System'!$C$42)+VLOOKUP(CP$3,Capacity!$A$53:$E$85,5,FALSE)*(1+'Inputs-System'!$C$43)*'Inputs-System'!$C$29), $C63 = "2", ('Inputs-System'!$C$26*'Coincidence Factors'!$B$9*(1+'Inputs-System'!$C$18))*'Inputs-Proposals'!$D$22*(VLOOKUP(CP$3,Capacity!$A$53:$E$85,4,FALSE)*(1+'Inputs-System'!$C$42)+VLOOKUP(CP$3,Capacity!$A$53:$E$85,5,FALSE)*'Inputs-System'!$C$29*(1+'Inputs-System'!$C$43)), $C63 = "3", ('Inputs-System'!$C$26*'Coincidence Factors'!$B$9*(1+'Inputs-System'!$C$18))*'Inputs-Proposals'!$D$28*(VLOOKUP(CP$3,Capacity!$A$53:$E$85,4,FALSE)*(1+'Inputs-System'!$C$42)+VLOOKUP(CP$3,Capacity!$A$53:$E$85,5,FALSE)*'Inputs-System'!$C$29*(1+'Inputs-System'!$C$43)), $C63 = "0", 0), 0)</f>
        <v>0</v>
      </c>
      <c r="CT63" s="44">
        <v>0</v>
      </c>
      <c r="CU63" s="342">
        <f>IFERROR(_xlfn.IFS($C63="1", 'Inputs-System'!$C$30*'Coincidence Factors'!$B$9*'Inputs-Proposals'!$L$17*'Inputs-Proposals'!$L$19*(VLOOKUP(CP$3,'Non-Embedded Emissions'!$A$56:$D$90,2,FALSE)-VLOOKUP(CP$3,'Non-Embedded Emissions'!$F$57:$H$88,2,FALSE)+VLOOKUP(CP$3,'Non-Embedded Emissions'!$A$143:$D$174,2,FALSE)-VLOOKUP(CP$3,'Non-Embedded Emissions'!$F$143:$H$174,2,FALSE)+VLOOKUP(CP$3,'Non-Embedded Emissions'!$A$230:$D$259,2,FALSE)), $C63 = "2", 'Inputs-System'!$C$30*'Coincidence Factors'!$B$9*'Inputs-Proposals'!$L$23*'Inputs-Proposals'!$L$25*(VLOOKUP(CP$3,'Non-Embedded Emissions'!$A$56:$D$90,2,FALSE)-VLOOKUP(CP$3,'Non-Embedded Emissions'!$F$57:$H$88,2,FALSE)+VLOOKUP(CP$3,'Non-Embedded Emissions'!$A$143:$D$174,2,FALSE)-VLOOKUP(CP$3,'Non-Embedded Emissions'!$F$143:$H$174,2,FALSE)+VLOOKUP(CP$3,'Non-Embedded Emissions'!$A$230:$D$259,2,FALSE)), $C63 = "3", 'Inputs-System'!$C$30*'Coincidence Factors'!$B$9*'Inputs-Proposals'!$L$29*'Inputs-Proposals'!$L$31*(VLOOKUP(CP$3,'Non-Embedded Emissions'!$A$56:$D$90,2,FALSE)-VLOOKUP(CP$3,'Non-Embedded Emissions'!$F$57:$H$88,2,FALSE)+VLOOKUP(CP$3,'Non-Embedded Emissions'!$A$143:$D$174,2,FALSE)-VLOOKUP(CP$3,'Non-Embedded Emissions'!$F$143:$H$174,2,FALSE)+VLOOKUP(CP$3,'Non-Embedded Emissions'!$A$230:$D$259,2,FALSE)), $C63 = "0", 0), 0)</f>
        <v>0</v>
      </c>
      <c r="CV63" s="45">
        <f>IFERROR(_xlfn.IFS($C63="1",('Inputs-System'!$C$30*'Coincidence Factors'!$B$9*(1+'Inputs-System'!$C$18)*(1+'Inputs-System'!$C$41)*('Inputs-Proposals'!$L$17*'Inputs-Proposals'!$L$19*(1-'Inputs-Proposals'!$L$20^(CV$3-'Inputs-System'!$C$7)))*(VLOOKUP(CV$3,Energy!$A$51:$K$83,5,FALSE))), $C63 = "2",('Inputs-System'!$C$30*'Coincidence Factors'!$B$9)*(1+'Inputs-System'!$C$18)*(1+'Inputs-System'!$C$41)*('Inputs-Proposals'!$L$23*'Inputs-Proposals'!$L$25*(1-'Inputs-Proposals'!$L$26^(CV$3-'Inputs-System'!$C$7)))*(VLOOKUP(CV$3,Energy!$A$51:$K$83,5,FALSE)), $C63= "3", ('Inputs-System'!$C$30*'Coincidence Factors'!$B$9*(1+'Inputs-System'!$C$18)*(1+'Inputs-System'!$C$41)*('Inputs-Proposals'!$L$29*'Inputs-Proposals'!$L$31*(1-'Inputs-Proposals'!$L$32^(CV$3-'Inputs-System'!$C$7)))*(VLOOKUP(CV$3,Energy!$A$51:$K$83,5,FALSE))), $C63= "0", 0), 0)</f>
        <v>0</v>
      </c>
      <c r="CW63" s="44">
        <f>IFERROR(_xlfn.IFS($C63="1",('Inputs-System'!$C$30*'Coincidence Factors'!$B$9*(1+'Inputs-System'!$C$18)*(1+'Inputs-System'!$C$41))*'Inputs-Proposals'!$L$17*'Inputs-Proposals'!$L$19*(1-'Inputs-Proposals'!$L$20^(CV$3-'Inputs-System'!$C$7))*(VLOOKUP(CV$3,'Embedded Emissions'!$A$47:$B$78,2,FALSE)+VLOOKUP(CV$3,'Embedded Emissions'!$A$129:$B$158,2,FALSE)), $C63 = "2",('Inputs-System'!$C$30*'Coincidence Factors'!$B$9*(1+'Inputs-System'!$C$18)*(1+'Inputs-System'!$C$41))*'Inputs-Proposals'!$L$23*'Inputs-Proposals'!$L$25*(1-'Inputs-Proposals'!$L$20^(CV$3-'Inputs-System'!$C$7))*(VLOOKUP(CV$3,'Embedded Emissions'!$A$47:$B$78,2,FALSE)+VLOOKUP(CV$3,'Embedded Emissions'!$A$129:$B$158,2,FALSE)), $C63 = "3", ('Inputs-System'!$C$30*'Coincidence Factors'!$B$9*(1+'Inputs-System'!$C$18)*(1+'Inputs-System'!$C$41))*'Inputs-Proposals'!$L$29*'Inputs-Proposals'!$L$31*(1-'Inputs-Proposals'!$L$20^(CV$3-'Inputs-System'!$C$7))*(VLOOKUP(CV$3,'Embedded Emissions'!$A$47:$B$78,2,FALSE)+VLOOKUP(CV$3,'Embedded Emissions'!$A$129:$B$158,2,FALSE)), $C63 = "0", 0), 0)</f>
        <v>0</v>
      </c>
      <c r="CX63" s="44">
        <f>IFERROR(_xlfn.IFS($C63="1",( 'Inputs-System'!$C$30*'Coincidence Factors'!$B$9*(1+'Inputs-System'!$C$18)*(1+'Inputs-System'!$C$41))*('Inputs-Proposals'!$L$17*'Inputs-Proposals'!$L$19*(1-'Inputs-Proposals'!$L$20)^(CV$3-'Inputs-System'!$C$7))*(VLOOKUP(CV$3,DRIPE!$A$54:$I$82,5,FALSE)+VLOOKUP(CV$3,DRIPE!$A$54:$I$82,9,FALSE))+ ('Inputs-System'!$C$26*'Coincidence Factors'!$B$6*(1+'Inputs-System'!$C$18)*(1+'Inputs-System'!$C$42))*'Inputs-Proposals'!$L$16*VLOOKUP(CV$3,DRIPE!$A$54:$I$82,8,FALSE), $C63 = "2",( 'Inputs-System'!$C$30*'Coincidence Factors'!$B$9*(1+'Inputs-System'!$C$18)*(1+'Inputs-System'!$C$41))*('Inputs-Proposals'!$L$23*'Inputs-Proposals'!$L$25*(1-'Inputs-Proposals'!$L$26)^(CV$3-'Inputs-System'!$C$7))*(VLOOKUP(CV$3,DRIPE!$A$54:$I$82,5,FALSE)+VLOOKUP(CV$3,DRIPE!$A$54:$I$82,9,FALSE))+ ('Inputs-System'!$C$26*'Coincidence Factors'!$B$6*(1+'Inputs-System'!$C$18)*(1+'Inputs-System'!$C$42))*'Inputs-Proposals'!$L$22*VLOOKUP(CV$3,DRIPE!$A$54:$I$82,8,FALSE), $C63= "3", ( 'Inputs-System'!$C$30*'Coincidence Factors'!$B$9*(1+'Inputs-System'!$C$18)*(1+'Inputs-System'!$C$41))*('Inputs-Proposals'!$L$29*'Inputs-Proposals'!$L$31*(1-'Inputs-Proposals'!$L$32)^(CV$3-'Inputs-System'!$C$7))*(VLOOKUP(CV$3,DRIPE!$A$54:$I$82,5,FALSE)+VLOOKUP(CV$3,DRIPE!$A$54:$I$82,9,FALSE))+ ('Inputs-System'!$C$26*'Coincidence Factors'!$B$6*(1+'Inputs-System'!$C$18)*(1+'Inputs-System'!$C$42))*'Inputs-Proposals'!$L$28*VLOOKUP(CV$3,DRIPE!$A$54:$I$82,8,FALSE), $C63 = "0", 0), 0)</f>
        <v>0</v>
      </c>
      <c r="CY63" s="45">
        <f>IFERROR(_xlfn.IFS($C63="1",('Inputs-System'!$C$26*'Coincidence Factors'!$B$9*(1+'Inputs-System'!$C$18)*(1+'Inputs-System'!$C$42))*'Inputs-Proposals'!$D$16*(VLOOKUP(CV$3,Capacity!$A$53:$E$85,4,FALSE)*(1+'Inputs-System'!$C$42)+VLOOKUP(CV$3,Capacity!$A$53:$E$85,5,FALSE)*(1+'Inputs-System'!$C$43)*'Inputs-System'!$C$29), $C63 = "2", ('Inputs-System'!$C$26*'Coincidence Factors'!$B$9*(1+'Inputs-System'!$C$18))*'Inputs-Proposals'!$D$22*(VLOOKUP(CV$3,Capacity!$A$53:$E$85,4,FALSE)*(1+'Inputs-System'!$C$42)+VLOOKUP(CV$3,Capacity!$A$53:$E$85,5,FALSE)*'Inputs-System'!$C$29*(1+'Inputs-System'!$C$43)), $C63 = "3", ('Inputs-System'!$C$26*'Coincidence Factors'!$B$9*(1+'Inputs-System'!$C$18))*'Inputs-Proposals'!$D$28*(VLOOKUP(CV$3,Capacity!$A$53:$E$85,4,FALSE)*(1+'Inputs-System'!$C$42)+VLOOKUP(CV$3,Capacity!$A$53:$E$85,5,FALSE)*'Inputs-System'!$C$29*(1+'Inputs-System'!$C$43)), $C63 = "0", 0), 0)</f>
        <v>0</v>
      </c>
      <c r="CZ63" s="44">
        <v>0</v>
      </c>
      <c r="DA63" s="342">
        <f>IFERROR(_xlfn.IFS($C63="1", 'Inputs-System'!$C$30*'Coincidence Factors'!$B$9*'Inputs-Proposals'!$L$17*'Inputs-Proposals'!$L$19*(VLOOKUP(CV$3,'Non-Embedded Emissions'!$A$56:$D$90,2,FALSE)-VLOOKUP(CV$3,'Non-Embedded Emissions'!$F$57:$H$88,2,FALSE)+VLOOKUP(CV$3,'Non-Embedded Emissions'!$A$143:$D$174,2,FALSE)-VLOOKUP(CV$3,'Non-Embedded Emissions'!$F$143:$H$174,2,FALSE)+VLOOKUP(CV$3,'Non-Embedded Emissions'!$A$230:$D$259,2,FALSE)), $C63 = "2", 'Inputs-System'!$C$30*'Coincidence Factors'!$B$9*'Inputs-Proposals'!$L$23*'Inputs-Proposals'!$L$25*(VLOOKUP(CV$3,'Non-Embedded Emissions'!$A$56:$D$90,2,FALSE)-VLOOKUP(CV$3,'Non-Embedded Emissions'!$F$57:$H$88,2,FALSE)+VLOOKUP(CV$3,'Non-Embedded Emissions'!$A$143:$D$174,2,FALSE)-VLOOKUP(CV$3,'Non-Embedded Emissions'!$F$143:$H$174,2,FALSE)+VLOOKUP(CV$3,'Non-Embedded Emissions'!$A$230:$D$259,2,FALSE)), $C63 = "3", 'Inputs-System'!$C$30*'Coincidence Factors'!$B$9*'Inputs-Proposals'!$L$29*'Inputs-Proposals'!$L$31*(VLOOKUP(CV$3,'Non-Embedded Emissions'!$A$56:$D$90,2,FALSE)-VLOOKUP(CV$3,'Non-Embedded Emissions'!$F$57:$H$88,2,FALSE)+VLOOKUP(CV$3,'Non-Embedded Emissions'!$A$143:$D$174,2,FALSE)-VLOOKUP(CV$3,'Non-Embedded Emissions'!$F$143:$H$174,2,FALSE)+VLOOKUP(CV$3,'Non-Embedded Emissions'!$A$230:$D$259,2,FALSE)), $C63 = "0", 0), 0)</f>
        <v>0</v>
      </c>
      <c r="DB63" s="45">
        <f>IFERROR(_xlfn.IFS($C63="1",('Inputs-System'!$C$30*'Coincidence Factors'!$B$9*(1+'Inputs-System'!$C$18)*(1+'Inputs-System'!$C$41)*('Inputs-Proposals'!$L$17*'Inputs-Proposals'!$L$19*(1-'Inputs-Proposals'!$L$20^(DB$3-'Inputs-System'!$C$7)))*(VLOOKUP(DB$3,Energy!$A$51:$K$83,5,FALSE))), $C63 = "2",('Inputs-System'!$C$30*'Coincidence Factors'!$B$9)*(1+'Inputs-System'!$C$18)*(1+'Inputs-System'!$C$41)*('Inputs-Proposals'!$L$23*'Inputs-Proposals'!$L$25*(1-'Inputs-Proposals'!$L$26^(DB$3-'Inputs-System'!$C$7)))*(VLOOKUP(DB$3,Energy!$A$51:$K$83,5,FALSE)), $C63= "3", ('Inputs-System'!$C$30*'Coincidence Factors'!$B$9*(1+'Inputs-System'!$C$18)*(1+'Inputs-System'!$C$41)*('Inputs-Proposals'!$L$29*'Inputs-Proposals'!$L$31*(1-'Inputs-Proposals'!$L$32^(DB$3-'Inputs-System'!$C$7)))*(VLOOKUP(DB$3,Energy!$A$51:$K$83,5,FALSE))), $C63= "0", 0), 0)</f>
        <v>0</v>
      </c>
      <c r="DC63" s="44">
        <f>IFERROR(_xlfn.IFS($C63="1",('Inputs-System'!$C$30*'Coincidence Factors'!$B$9*(1+'Inputs-System'!$C$18)*(1+'Inputs-System'!$C$41))*'Inputs-Proposals'!$L$17*'Inputs-Proposals'!$L$19*(1-'Inputs-Proposals'!$L$20^(DB$3-'Inputs-System'!$C$7))*(VLOOKUP(DB$3,'Embedded Emissions'!$A$47:$B$78,2,FALSE)+VLOOKUP(DB$3,'Embedded Emissions'!$A$129:$B$158,2,FALSE)), $C63 = "2",('Inputs-System'!$C$30*'Coincidence Factors'!$B$9*(1+'Inputs-System'!$C$18)*(1+'Inputs-System'!$C$41))*'Inputs-Proposals'!$L$23*'Inputs-Proposals'!$L$25*(1-'Inputs-Proposals'!$L$20^(DB$3-'Inputs-System'!$C$7))*(VLOOKUP(DB$3,'Embedded Emissions'!$A$47:$B$78,2,FALSE)+VLOOKUP(DB$3,'Embedded Emissions'!$A$129:$B$158,2,FALSE)), $C63 = "3", ('Inputs-System'!$C$30*'Coincidence Factors'!$B$9*(1+'Inputs-System'!$C$18)*(1+'Inputs-System'!$C$41))*'Inputs-Proposals'!$L$29*'Inputs-Proposals'!$L$31*(1-'Inputs-Proposals'!$L$20^(DB$3-'Inputs-System'!$C$7))*(VLOOKUP(DB$3,'Embedded Emissions'!$A$47:$B$78,2,FALSE)+VLOOKUP(DB$3,'Embedded Emissions'!$A$129:$B$158,2,FALSE)), $C63 = "0", 0), 0)</f>
        <v>0</v>
      </c>
      <c r="DD63" s="44">
        <f>IFERROR(_xlfn.IFS($C63="1",( 'Inputs-System'!$C$30*'Coincidence Factors'!$B$9*(1+'Inputs-System'!$C$18)*(1+'Inputs-System'!$C$41))*('Inputs-Proposals'!$L$17*'Inputs-Proposals'!$L$19*(1-'Inputs-Proposals'!$L$20)^(DB$3-'Inputs-System'!$C$7))*(VLOOKUP(DB$3,DRIPE!$A$54:$I$82,5,FALSE)+VLOOKUP(DB$3,DRIPE!$A$54:$I$82,9,FALSE))+ ('Inputs-System'!$C$26*'Coincidence Factors'!$B$6*(1+'Inputs-System'!$C$18)*(1+'Inputs-System'!$C$42))*'Inputs-Proposals'!$L$16*VLOOKUP(DB$3,DRIPE!$A$54:$I$82,8,FALSE), $C63 = "2",( 'Inputs-System'!$C$30*'Coincidence Factors'!$B$9*(1+'Inputs-System'!$C$18)*(1+'Inputs-System'!$C$41))*('Inputs-Proposals'!$L$23*'Inputs-Proposals'!$L$25*(1-'Inputs-Proposals'!$L$26)^(DB$3-'Inputs-System'!$C$7))*(VLOOKUP(DB$3,DRIPE!$A$54:$I$82,5,FALSE)+VLOOKUP(DB$3,DRIPE!$A$54:$I$82,9,FALSE))+ ('Inputs-System'!$C$26*'Coincidence Factors'!$B$6*(1+'Inputs-System'!$C$18)*(1+'Inputs-System'!$C$42))*'Inputs-Proposals'!$L$22*VLOOKUP(DB$3,DRIPE!$A$54:$I$82,8,FALSE), $C63= "3", ( 'Inputs-System'!$C$30*'Coincidence Factors'!$B$9*(1+'Inputs-System'!$C$18)*(1+'Inputs-System'!$C$41))*('Inputs-Proposals'!$L$29*'Inputs-Proposals'!$L$31*(1-'Inputs-Proposals'!$L$32)^(DB$3-'Inputs-System'!$C$7))*(VLOOKUP(DB$3,DRIPE!$A$54:$I$82,5,FALSE)+VLOOKUP(DB$3,DRIPE!$A$54:$I$82,9,FALSE))+ ('Inputs-System'!$C$26*'Coincidence Factors'!$B$6*(1+'Inputs-System'!$C$18)*(1+'Inputs-System'!$C$42))*'Inputs-Proposals'!$L$28*VLOOKUP(DB$3,DRIPE!$A$54:$I$82,8,FALSE), $C63 = "0", 0), 0)</f>
        <v>0</v>
      </c>
      <c r="DE63" s="45">
        <f>IFERROR(_xlfn.IFS($C63="1",('Inputs-System'!$C$26*'Coincidence Factors'!$B$9*(1+'Inputs-System'!$C$18)*(1+'Inputs-System'!$C$42))*'Inputs-Proposals'!$D$16*(VLOOKUP(DB$3,Capacity!$A$53:$E$85,4,FALSE)*(1+'Inputs-System'!$C$42)+VLOOKUP(DB$3,Capacity!$A$53:$E$85,5,FALSE)*(1+'Inputs-System'!$C$43)*'Inputs-System'!$C$29), $C63 = "2", ('Inputs-System'!$C$26*'Coincidence Factors'!$B$9*(1+'Inputs-System'!$C$18))*'Inputs-Proposals'!$D$22*(VLOOKUP(DB$3,Capacity!$A$53:$E$85,4,FALSE)*(1+'Inputs-System'!$C$42)+VLOOKUP(DB$3,Capacity!$A$53:$E$85,5,FALSE)*'Inputs-System'!$C$29*(1+'Inputs-System'!$C$43)), $C63 = "3", ('Inputs-System'!$C$26*'Coincidence Factors'!$B$9*(1+'Inputs-System'!$C$18))*'Inputs-Proposals'!$D$28*(VLOOKUP(DB$3,Capacity!$A$53:$E$85,4,FALSE)*(1+'Inputs-System'!$C$42)+VLOOKUP(DB$3,Capacity!$A$53:$E$85,5,FALSE)*'Inputs-System'!$C$29*(1+'Inputs-System'!$C$43)), $C63 = "0", 0), 0)</f>
        <v>0</v>
      </c>
      <c r="DF63" s="44">
        <v>0</v>
      </c>
      <c r="DG63" s="342">
        <f>IFERROR(_xlfn.IFS($C63="1", 'Inputs-System'!$C$30*'Coincidence Factors'!$B$9*'Inputs-Proposals'!$L$17*'Inputs-Proposals'!$L$19*(VLOOKUP(DB$3,'Non-Embedded Emissions'!$A$56:$D$90,2,FALSE)-VLOOKUP(DB$3,'Non-Embedded Emissions'!$F$57:$H$88,2,FALSE)+VLOOKUP(DB$3,'Non-Embedded Emissions'!$A$143:$D$174,2,FALSE)-VLOOKUP(DB$3,'Non-Embedded Emissions'!$F$143:$H$174,2,FALSE)+VLOOKUP(DB$3,'Non-Embedded Emissions'!$A$230:$D$259,2,FALSE)), $C63 = "2", 'Inputs-System'!$C$30*'Coincidence Factors'!$B$9*'Inputs-Proposals'!$L$23*'Inputs-Proposals'!$L$25*(VLOOKUP(DB$3,'Non-Embedded Emissions'!$A$56:$D$90,2,FALSE)-VLOOKUP(DB$3,'Non-Embedded Emissions'!$F$57:$H$88,2,FALSE)+VLOOKUP(DB$3,'Non-Embedded Emissions'!$A$143:$D$174,2,FALSE)-VLOOKUP(DB$3,'Non-Embedded Emissions'!$F$143:$H$174,2,FALSE)+VLOOKUP(DB$3,'Non-Embedded Emissions'!$A$230:$D$259,2,FALSE)), $C63 = "3", 'Inputs-System'!$C$30*'Coincidence Factors'!$B$9*'Inputs-Proposals'!$L$29*'Inputs-Proposals'!$L$31*(VLOOKUP(DB$3,'Non-Embedded Emissions'!$A$56:$D$90,2,FALSE)-VLOOKUP(DB$3,'Non-Embedded Emissions'!$F$57:$H$88,2,FALSE)+VLOOKUP(DB$3,'Non-Embedded Emissions'!$A$143:$D$174,2,FALSE)-VLOOKUP(DB$3,'Non-Embedded Emissions'!$F$143:$H$174,2,FALSE)+VLOOKUP(DB$3,'Non-Embedded Emissions'!$A$230:$D$259,2,FALSE)), $C63 = "0", 0), 0)</f>
        <v>0</v>
      </c>
      <c r="DH63" s="45">
        <f>IFERROR(_xlfn.IFS($C63="1",('Inputs-System'!$C$30*'Coincidence Factors'!$B$9*(1+'Inputs-System'!$C$18)*(1+'Inputs-System'!$C$41)*('Inputs-Proposals'!$L$17*'Inputs-Proposals'!$L$19*(1-'Inputs-Proposals'!$L$20^(DH$3-'Inputs-System'!$C$7)))*(VLOOKUP(DH$3,Energy!$A$51:$K$83,5,FALSE))), $C63 = "2",('Inputs-System'!$C$30*'Coincidence Factors'!$B$9)*(1+'Inputs-System'!$C$18)*(1+'Inputs-System'!$C$41)*('Inputs-Proposals'!$L$23*'Inputs-Proposals'!$L$25*(1-'Inputs-Proposals'!$L$26^(DH$3-'Inputs-System'!$C$7)))*(VLOOKUP(DH$3,Energy!$A$51:$K$83,5,FALSE)), $C63= "3", ('Inputs-System'!$C$30*'Coincidence Factors'!$B$9*(1+'Inputs-System'!$C$18)*(1+'Inputs-System'!$C$41)*('Inputs-Proposals'!$L$29*'Inputs-Proposals'!$L$31*(1-'Inputs-Proposals'!$L$32^(DH$3-'Inputs-System'!$C$7)))*(VLOOKUP(DH$3,Energy!$A$51:$K$83,5,FALSE))), $C63= "0", 0), 0)</f>
        <v>0</v>
      </c>
      <c r="DI63" s="44">
        <f>IFERROR(_xlfn.IFS($C63="1",('Inputs-System'!$C$30*'Coincidence Factors'!$B$9*(1+'Inputs-System'!$C$18)*(1+'Inputs-System'!$C$41))*'Inputs-Proposals'!$L$17*'Inputs-Proposals'!$L$19*(1-'Inputs-Proposals'!$L$20^(DH$3-'Inputs-System'!$C$7))*(VLOOKUP(DH$3,'Embedded Emissions'!$A$47:$B$78,2,FALSE)+VLOOKUP(DH$3,'Embedded Emissions'!$A$129:$B$158,2,FALSE)), $C63 = "2",('Inputs-System'!$C$30*'Coincidence Factors'!$B$9*(1+'Inputs-System'!$C$18)*(1+'Inputs-System'!$C$41))*'Inputs-Proposals'!$L$23*'Inputs-Proposals'!$L$25*(1-'Inputs-Proposals'!$L$20^(DH$3-'Inputs-System'!$C$7))*(VLOOKUP(DH$3,'Embedded Emissions'!$A$47:$B$78,2,FALSE)+VLOOKUP(DH$3,'Embedded Emissions'!$A$129:$B$158,2,FALSE)), $C63 = "3", ('Inputs-System'!$C$30*'Coincidence Factors'!$B$9*(1+'Inputs-System'!$C$18)*(1+'Inputs-System'!$C$41))*'Inputs-Proposals'!$L$29*'Inputs-Proposals'!$L$31*(1-'Inputs-Proposals'!$L$20^(DH$3-'Inputs-System'!$C$7))*(VLOOKUP(DH$3,'Embedded Emissions'!$A$47:$B$78,2,FALSE)+VLOOKUP(DH$3,'Embedded Emissions'!$A$129:$B$158,2,FALSE)), $C63 = "0", 0), 0)</f>
        <v>0</v>
      </c>
      <c r="DJ63" s="44">
        <f>IFERROR(_xlfn.IFS($C63="1",( 'Inputs-System'!$C$30*'Coincidence Factors'!$B$9*(1+'Inputs-System'!$C$18)*(1+'Inputs-System'!$C$41))*('Inputs-Proposals'!$L$17*'Inputs-Proposals'!$L$19*(1-'Inputs-Proposals'!$L$20)^(DH$3-'Inputs-System'!$C$7))*(VLOOKUP(DH$3,DRIPE!$A$54:$I$82,5,FALSE)+VLOOKUP(DH$3,DRIPE!$A$54:$I$82,9,FALSE))+ ('Inputs-System'!$C$26*'Coincidence Factors'!$B$6*(1+'Inputs-System'!$C$18)*(1+'Inputs-System'!$C$42))*'Inputs-Proposals'!$L$16*VLOOKUP(DH$3,DRIPE!$A$54:$I$82,8,FALSE), $C63 = "2",( 'Inputs-System'!$C$30*'Coincidence Factors'!$B$9*(1+'Inputs-System'!$C$18)*(1+'Inputs-System'!$C$41))*('Inputs-Proposals'!$L$23*'Inputs-Proposals'!$L$25*(1-'Inputs-Proposals'!$L$26)^(DH$3-'Inputs-System'!$C$7))*(VLOOKUP(DH$3,DRIPE!$A$54:$I$82,5,FALSE)+VLOOKUP(DH$3,DRIPE!$A$54:$I$82,9,FALSE))+ ('Inputs-System'!$C$26*'Coincidence Factors'!$B$6*(1+'Inputs-System'!$C$18)*(1+'Inputs-System'!$C$42))*'Inputs-Proposals'!$L$22*VLOOKUP(DH$3,DRIPE!$A$54:$I$82,8,FALSE), $C63= "3", ( 'Inputs-System'!$C$30*'Coincidence Factors'!$B$9*(1+'Inputs-System'!$C$18)*(1+'Inputs-System'!$C$41))*('Inputs-Proposals'!$L$29*'Inputs-Proposals'!$L$31*(1-'Inputs-Proposals'!$L$32)^(DH$3-'Inputs-System'!$C$7))*(VLOOKUP(DH$3,DRIPE!$A$54:$I$82,5,FALSE)+VLOOKUP(DH$3,DRIPE!$A$54:$I$82,9,FALSE))+ ('Inputs-System'!$C$26*'Coincidence Factors'!$B$6*(1+'Inputs-System'!$C$18)*(1+'Inputs-System'!$C$42))*'Inputs-Proposals'!$L$28*VLOOKUP(DH$3,DRIPE!$A$54:$I$82,8,FALSE), $C63 = "0", 0), 0)</f>
        <v>0</v>
      </c>
      <c r="DK63" s="45">
        <f>IFERROR(_xlfn.IFS($C63="1",('Inputs-System'!$C$26*'Coincidence Factors'!$B$9*(1+'Inputs-System'!$C$18)*(1+'Inputs-System'!$C$42))*'Inputs-Proposals'!$D$16*(VLOOKUP(DH$3,Capacity!$A$53:$E$85,4,FALSE)*(1+'Inputs-System'!$C$42)+VLOOKUP(DH$3,Capacity!$A$53:$E$85,5,FALSE)*(1+'Inputs-System'!$C$43)*'Inputs-System'!$C$29), $C63 = "2", ('Inputs-System'!$C$26*'Coincidence Factors'!$B$9*(1+'Inputs-System'!$C$18))*'Inputs-Proposals'!$D$22*(VLOOKUP(DH$3,Capacity!$A$53:$E$85,4,FALSE)*(1+'Inputs-System'!$C$42)+VLOOKUP(DH$3,Capacity!$A$53:$E$85,5,FALSE)*'Inputs-System'!$C$29*(1+'Inputs-System'!$C$43)), $C63 = "3", ('Inputs-System'!$C$26*'Coincidence Factors'!$B$9*(1+'Inputs-System'!$C$18))*'Inputs-Proposals'!$D$28*(VLOOKUP(DH$3,Capacity!$A$53:$E$85,4,FALSE)*(1+'Inputs-System'!$C$42)+VLOOKUP(DH$3,Capacity!$A$53:$E$85,5,FALSE)*'Inputs-System'!$C$29*(1+'Inputs-System'!$C$43)), $C63 = "0", 0), 0)</f>
        <v>0</v>
      </c>
      <c r="DL63" s="44">
        <v>0</v>
      </c>
      <c r="DM63" s="342">
        <f>IFERROR(_xlfn.IFS($C63="1", 'Inputs-System'!$C$30*'Coincidence Factors'!$B$9*'Inputs-Proposals'!$L$17*'Inputs-Proposals'!$L$19*(VLOOKUP(DH$3,'Non-Embedded Emissions'!$A$56:$D$90,2,FALSE)-VLOOKUP(DH$3,'Non-Embedded Emissions'!$F$57:$H$88,2,FALSE)+VLOOKUP(DH$3,'Non-Embedded Emissions'!$A$143:$D$174,2,FALSE)-VLOOKUP(DH$3,'Non-Embedded Emissions'!$F$143:$H$174,2,FALSE)+VLOOKUP(DH$3,'Non-Embedded Emissions'!$A$230:$D$259,2,FALSE)), $C63 = "2", 'Inputs-System'!$C$30*'Coincidence Factors'!$B$9*'Inputs-Proposals'!$L$23*'Inputs-Proposals'!$L$25*(VLOOKUP(DH$3,'Non-Embedded Emissions'!$A$56:$D$90,2,FALSE)-VLOOKUP(DH$3,'Non-Embedded Emissions'!$F$57:$H$88,2,FALSE)+VLOOKUP(DH$3,'Non-Embedded Emissions'!$A$143:$D$174,2,FALSE)-VLOOKUP(DH$3,'Non-Embedded Emissions'!$F$143:$H$174,2,FALSE)+VLOOKUP(DH$3,'Non-Embedded Emissions'!$A$230:$D$259,2,FALSE)), $C63 = "3", 'Inputs-System'!$C$30*'Coincidence Factors'!$B$9*'Inputs-Proposals'!$L$29*'Inputs-Proposals'!$L$31*(VLOOKUP(DH$3,'Non-Embedded Emissions'!$A$56:$D$90,2,FALSE)-VLOOKUP(DH$3,'Non-Embedded Emissions'!$F$57:$H$88,2,FALSE)+VLOOKUP(DH$3,'Non-Embedded Emissions'!$A$143:$D$174,2,FALSE)-VLOOKUP(DH$3,'Non-Embedded Emissions'!$F$143:$H$174,2,FALSE)+VLOOKUP(DH$3,'Non-Embedded Emissions'!$A$230:$D$259,2,FALSE)), $C63 = "0", 0), 0)</f>
        <v>0</v>
      </c>
      <c r="DN63" s="45">
        <f>IFERROR(_xlfn.IFS($C63="1",('Inputs-System'!$C$30*'Coincidence Factors'!$B$9*(1+'Inputs-System'!$C$18)*(1+'Inputs-System'!$C$41)*('Inputs-Proposals'!$L$17*'Inputs-Proposals'!$L$19*(1-'Inputs-Proposals'!$L$20^(DN$3-'Inputs-System'!$C$7)))*(VLOOKUP(DN$3,Energy!$A$51:$K$83,5,FALSE))), $C63 = "2",('Inputs-System'!$C$30*'Coincidence Factors'!$B$9)*(1+'Inputs-System'!$C$18)*(1+'Inputs-System'!$C$41)*('Inputs-Proposals'!$L$23*'Inputs-Proposals'!$L$25*(1-'Inputs-Proposals'!$L$26^(DN$3-'Inputs-System'!$C$7)))*(VLOOKUP(DN$3,Energy!$A$51:$K$83,5,FALSE)), $C63= "3", ('Inputs-System'!$C$30*'Coincidence Factors'!$B$9*(1+'Inputs-System'!$C$18)*(1+'Inputs-System'!$C$41)*('Inputs-Proposals'!$L$29*'Inputs-Proposals'!$L$31*(1-'Inputs-Proposals'!$L$32^(DN$3-'Inputs-System'!$C$7)))*(VLOOKUP(DN$3,Energy!$A$51:$K$83,5,FALSE))), $C63= "0", 0), 0)</f>
        <v>0</v>
      </c>
      <c r="DO63" s="44">
        <f>IFERROR(_xlfn.IFS($C63="1",('Inputs-System'!$C$30*'Coincidence Factors'!$B$9*(1+'Inputs-System'!$C$18)*(1+'Inputs-System'!$C$41))*'Inputs-Proposals'!$L$17*'Inputs-Proposals'!$L$19*(1-'Inputs-Proposals'!$L$20^(DN$3-'Inputs-System'!$C$7))*(VLOOKUP(DN$3,'Embedded Emissions'!$A$47:$B$78,2,FALSE)+VLOOKUP(DN$3,'Embedded Emissions'!$A$129:$B$158,2,FALSE)), $C63 = "2",('Inputs-System'!$C$30*'Coincidence Factors'!$B$9*(1+'Inputs-System'!$C$18)*(1+'Inputs-System'!$C$41))*'Inputs-Proposals'!$L$23*'Inputs-Proposals'!$L$25*(1-'Inputs-Proposals'!$L$20^(DN$3-'Inputs-System'!$C$7))*(VLOOKUP(DN$3,'Embedded Emissions'!$A$47:$B$78,2,FALSE)+VLOOKUP(DN$3,'Embedded Emissions'!$A$129:$B$158,2,FALSE)), $C63 = "3", ('Inputs-System'!$C$30*'Coincidence Factors'!$B$9*(1+'Inputs-System'!$C$18)*(1+'Inputs-System'!$C$41))*'Inputs-Proposals'!$L$29*'Inputs-Proposals'!$L$31*(1-'Inputs-Proposals'!$L$20^(DN$3-'Inputs-System'!$C$7))*(VLOOKUP(DN$3,'Embedded Emissions'!$A$47:$B$78,2,FALSE)+VLOOKUP(DN$3,'Embedded Emissions'!$A$129:$B$158,2,FALSE)), $C63 = "0", 0), 0)</f>
        <v>0</v>
      </c>
      <c r="DP63" s="44">
        <f>IFERROR(_xlfn.IFS($C63="1",( 'Inputs-System'!$C$30*'Coincidence Factors'!$B$9*(1+'Inputs-System'!$C$18)*(1+'Inputs-System'!$C$41))*('Inputs-Proposals'!$L$17*'Inputs-Proposals'!$L$19*(1-'Inputs-Proposals'!$L$20)^(DN$3-'Inputs-System'!$C$7))*(VLOOKUP(DN$3,DRIPE!$A$54:$I$82,5,FALSE)+VLOOKUP(DN$3,DRIPE!$A$54:$I$82,9,FALSE))+ ('Inputs-System'!$C$26*'Coincidence Factors'!$B$6*(1+'Inputs-System'!$C$18)*(1+'Inputs-System'!$C$42))*'Inputs-Proposals'!$L$16*VLOOKUP(DN$3,DRIPE!$A$54:$I$82,8,FALSE), $C63 = "2",( 'Inputs-System'!$C$30*'Coincidence Factors'!$B$9*(1+'Inputs-System'!$C$18)*(1+'Inputs-System'!$C$41))*('Inputs-Proposals'!$L$23*'Inputs-Proposals'!$L$25*(1-'Inputs-Proposals'!$L$26)^(DN$3-'Inputs-System'!$C$7))*(VLOOKUP(DN$3,DRIPE!$A$54:$I$82,5,FALSE)+VLOOKUP(DN$3,DRIPE!$A$54:$I$82,9,FALSE))+ ('Inputs-System'!$C$26*'Coincidence Factors'!$B$6*(1+'Inputs-System'!$C$18)*(1+'Inputs-System'!$C$42))*'Inputs-Proposals'!$L$22*VLOOKUP(DN$3,DRIPE!$A$54:$I$82,8,FALSE), $C63= "3", ( 'Inputs-System'!$C$30*'Coincidence Factors'!$B$9*(1+'Inputs-System'!$C$18)*(1+'Inputs-System'!$C$41))*('Inputs-Proposals'!$L$29*'Inputs-Proposals'!$L$31*(1-'Inputs-Proposals'!$L$32)^(DN$3-'Inputs-System'!$C$7))*(VLOOKUP(DN$3,DRIPE!$A$54:$I$82,5,FALSE)+VLOOKUP(DN$3,DRIPE!$A$54:$I$82,9,FALSE))+ ('Inputs-System'!$C$26*'Coincidence Factors'!$B$6*(1+'Inputs-System'!$C$18)*(1+'Inputs-System'!$C$42))*'Inputs-Proposals'!$L$28*VLOOKUP(DN$3,DRIPE!$A$54:$I$82,8,FALSE), $C63 = "0", 0), 0)</f>
        <v>0</v>
      </c>
      <c r="DQ63" s="45">
        <f>IFERROR(_xlfn.IFS($C63="1",('Inputs-System'!$C$26*'Coincidence Factors'!$B$9*(1+'Inputs-System'!$C$18)*(1+'Inputs-System'!$C$42))*'Inputs-Proposals'!$D$16*(VLOOKUP(DN$3,Capacity!$A$53:$E$85,4,FALSE)*(1+'Inputs-System'!$C$42)+VLOOKUP(DN$3,Capacity!$A$53:$E$85,5,FALSE)*(1+'Inputs-System'!$C$43)*'Inputs-System'!$C$29), $C63 = "2", ('Inputs-System'!$C$26*'Coincidence Factors'!$B$9*(1+'Inputs-System'!$C$18))*'Inputs-Proposals'!$D$22*(VLOOKUP(DN$3,Capacity!$A$53:$E$85,4,FALSE)*(1+'Inputs-System'!$C$42)+VLOOKUP(DN$3,Capacity!$A$53:$E$85,5,FALSE)*'Inputs-System'!$C$29*(1+'Inputs-System'!$C$43)), $C63 = "3", ('Inputs-System'!$C$26*'Coincidence Factors'!$B$9*(1+'Inputs-System'!$C$18))*'Inputs-Proposals'!$D$28*(VLOOKUP(DN$3,Capacity!$A$53:$E$85,4,FALSE)*(1+'Inputs-System'!$C$42)+VLOOKUP(DN$3,Capacity!$A$53:$E$85,5,FALSE)*'Inputs-System'!$C$29*(1+'Inputs-System'!$C$43)), $C63 = "0", 0), 0)</f>
        <v>0</v>
      </c>
      <c r="DR63" s="44">
        <v>0</v>
      </c>
      <c r="DS63" s="342">
        <f>IFERROR(_xlfn.IFS($C63="1", 'Inputs-System'!$C$30*'Coincidence Factors'!$B$9*'Inputs-Proposals'!$L$17*'Inputs-Proposals'!$L$19*(VLOOKUP(DN$3,'Non-Embedded Emissions'!$A$56:$D$90,2,FALSE)-VLOOKUP(DN$3,'Non-Embedded Emissions'!$F$57:$H$88,2,FALSE)+VLOOKUP(DN$3,'Non-Embedded Emissions'!$A$143:$D$174,2,FALSE)-VLOOKUP(DN$3,'Non-Embedded Emissions'!$F$143:$H$174,2,FALSE)+VLOOKUP(DN$3,'Non-Embedded Emissions'!$A$230:$D$259,2,FALSE)), $C63 = "2", 'Inputs-System'!$C$30*'Coincidence Factors'!$B$9*'Inputs-Proposals'!$L$23*'Inputs-Proposals'!$L$25*(VLOOKUP(DN$3,'Non-Embedded Emissions'!$A$56:$D$90,2,FALSE)-VLOOKUP(DN$3,'Non-Embedded Emissions'!$F$57:$H$88,2,FALSE)+VLOOKUP(DN$3,'Non-Embedded Emissions'!$A$143:$D$174,2,FALSE)-VLOOKUP(DN$3,'Non-Embedded Emissions'!$F$143:$H$174,2,FALSE)+VLOOKUP(DN$3,'Non-Embedded Emissions'!$A$230:$D$259,2,FALSE)), $C63 = "3", 'Inputs-System'!$C$30*'Coincidence Factors'!$B$9*'Inputs-Proposals'!$L$29*'Inputs-Proposals'!$L$31*(VLOOKUP(DN$3,'Non-Embedded Emissions'!$A$56:$D$90,2,FALSE)-VLOOKUP(DN$3,'Non-Embedded Emissions'!$F$57:$H$88,2,FALSE)+VLOOKUP(DN$3,'Non-Embedded Emissions'!$A$143:$D$174,2,FALSE)-VLOOKUP(DN$3,'Non-Embedded Emissions'!$F$143:$H$174,2,FALSE)+VLOOKUP(DN$3,'Non-Embedded Emissions'!$A$230:$D$259,2,FALSE)), $C63 = "0", 0), 0)</f>
        <v>0</v>
      </c>
      <c r="DT63" s="45">
        <f>IFERROR(_xlfn.IFS($C63="1",('Inputs-System'!$C$30*'Coincidence Factors'!$B$9*(1+'Inputs-System'!$C$18)*(1+'Inputs-System'!$C$41)*('Inputs-Proposals'!$L$17*'Inputs-Proposals'!$L$19*(1-'Inputs-Proposals'!$L$20^(DT$3-'Inputs-System'!$C$7)))*(VLOOKUP(DT$3,Energy!$A$51:$K$83,5,FALSE))), $C63 = "2",('Inputs-System'!$C$30*'Coincidence Factors'!$B$9)*(1+'Inputs-System'!$C$18)*(1+'Inputs-System'!$C$41)*('Inputs-Proposals'!$L$23*'Inputs-Proposals'!$L$25*(1-'Inputs-Proposals'!$L$26^(DT$3-'Inputs-System'!$C$7)))*(VLOOKUP(DT$3,Energy!$A$51:$K$83,5,FALSE)), $C63= "3", ('Inputs-System'!$C$30*'Coincidence Factors'!$B$9*(1+'Inputs-System'!$C$18)*(1+'Inputs-System'!$C$41)*('Inputs-Proposals'!$L$29*'Inputs-Proposals'!$L$31*(1-'Inputs-Proposals'!$L$32^(DT$3-'Inputs-System'!$C$7)))*(VLOOKUP(DT$3,Energy!$A$51:$K$83,5,FALSE))), $C63= "0", 0), 0)</f>
        <v>0</v>
      </c>
      <c r="DU63" s="44">
        <f>IFERROR(_xlfn.IFS($C63="1",('Inputs-System'!$C$30*'Coincidence Factors'!$B$9*(1+'Inputs-System'!$C$18)*(1+'Inputs-System'!$C$41))*'Inputs-Proposals'!$L$17*'Inputs-Proposals'!$L$19*(1-'Inputs-Proposals'!$L$20^(DT$3-'Inputs-System'!$C$7))*(VLOOKUP(DT$3,'Embedded Emissions'!$A$47:$B$78,2,FALSE)+VLOOKUP(DT$3,'Embedded Emissions'!$A$129:$B$158,2,FALSE)), $C63 = "2",('Inputs-System'!$C$30*'Coincidence Factors'!$B$9*(1+'Inputs-System'!$C$18)*(1+'Inputs-System'!$C$41))*'Inputs-Proposals'!$L$23*'Inputs-Proposals'!$L$25*(1-'Inputs-Proposals'!$L$20^(DT$3-'Inputs-System'!$C$7))*(VLOOKUP(DT$3,'Embedded Emissions'!$A$47:$B$78,2,FALSE)+VLOOKUP(DT$3,'Embedded Emissions'!$A$129:$B$158,2,FALSE)), $C63 = "3", ('Inputs-System'!$C$30*'Coincidence Factors'!$B$9*(1+'Inputs-System'!$C$18)*(1+'Inputs-System'!$C$41))*'Inputs-Proposals'!$L$29*'Inputs-Proposals'!$L$31*(1-'Inputs-Proposals'!$L$20^(DT$3-'Inputs-System'!$C$7))*(VLOOKUP(DT$3,'Embedded Emissions'!$A$47:$B$78,2,FALSE)+VLOOKUP(DT$3,'Embedded Emissions'!$A$129:$B$158,2,FALSE)), $C63 = "0", 0), 0)</f>
        <v>0</v>
      </c>
      <c r="DV63" s="44">
        <f>IFERROR(_xlfn.IFS($C63="1",( 'Inputs-System'!$C$30*'Coincidence Factors'!$B$9*(1+'Inputs-System'!$C$18)*(1+'Inputs-System'!$C$41))*('Inputs-Proposals'!$L$17*'Inputs-Proposals'!$L$19*(1-'Inputs-Proposals'!$L$20)^(DT$3-'Inputs-System'!$C$7))*(VLOOKUP(DT$3,DRIPE!$A$54:$I$82,5,FALSE)+VLOOKUP(DT$3,DRIPE!$A$54:$I$82,9,FALSE))+ ('Inputs-System'!$C$26*'Coincidence Factors'!$B$6*(1+'Inputs-System'!$C$18)*(1+'Inputs-System'!$C$42))*'Inputs-Proposals'!$L$16*VLOOKUP(DT$3,DRIPE!$A$54:$I$82,8,FALSE), $C63 = "2",( 'Inputs-System'!$C$30*'Coincidence Factors'!$B$9*(1+'Inputs-System'!$C$18)*(1+'Inputs-System'!$C$41))*('Inputs-Proposals'!$L$23*'Inputs-Proposals'!$L$25*(1-'Inputs-Proposals'!$L$26)^(DT$3-'Inputs-System'!$C$7))*(VLOOKUP(DT$3,DRIPE!$A$54:$I$82,5,FALSE)+VLOOKUP(DT$3,DRIPE!$A$54:$I$82,9,FALSE))+ ('Inputs-System'!$C$26*'Coincidence Factors'!$B$6*(1+'Inputs-System'!$C$18)*(1+'Inputs-System'!$C$42))*'Inputs-Proposals'!$L$22*VLOOKUP(DT$3,DRIPE!$A$54:$I$82,8,FALSE), $C63= "3", ( 'Inputs-System'!$C$30*'Coincidence Factors'!$B$9*(1+'Inputs-System'!$C$18)*(1+'Inputs-System'!$C$41))*('Inputs-Proposals'!$L$29*'Inputs-Proposals'!$L$31*(1-'Inputs-Proposals'!$L$32)^(DT$3-'Inputs-System'!$C$7))*(VLOOKUP(DT$3,DRIPE!$A$54:$I$82,5,FALSE)+VLOOKUP(DT$3,DRIPE!$A$54:$I$82,9,FALSE))+ ('Inputs-System'!$C$26*'Coincidence Factors'!$B$6*(1+'Inputs-System'!$C$18)*(1+'Inputs-System'!$C$42))*'Inputs-Proposals'!$L$28*VLOOKUP(DT$3,DRIPE!$A$54:$I$82,8,FALSE), $C63 = "0", 0), 0)</f>
        <v>0</v>
      </c>
      <c r="DW63" s="45">
        <f>IFERROR(_xlfn.IFS($C63="1",('Inputs-System'!$C$26*'Coincidence Factors'!$B$9*(1+'Inputs-System'!$C$18)*(1+'Inputs-System'!$C$42))*'Inputs-Proposals'!$D$16*(VLOOKUP(DT$3,Capacity!$A$53:$E$85,4,FALSE)*(1+'Inputs-System'!$C$42)+VLOOKUP(DT$3,Capacity!$A$53:$E$85,5,FALSE)*(1+'Inputs-System'!$C$43)*'Inputs-System'!$C$29), $C63 = "2", ('Inputs-System'!$C$26*'Coincidence Factors'!$B$9*(1+'Inputs-System'!$C$18))*'Inputs-Proposals'!$D$22*(VLOOKUP(DT$3,Capacity!$A$53:$E$85,4,FALSE)*(1+'Inputs-System'!$C$42)+VLOOKUP(DT$3,Capacity!$A$53:$E$85,5,FALSE)*'Inputs-System'!$C$29*(1+'Inputs-System'!$C$43)), $C63 = "3", ('Inputs-System'!$C$26*'Coincidence Factors'!$B$9*(1+'Inputs-System'!$C$18))*'Inputs-Proposals'!$D$28*(VLOOKUP(DT$3,Capacity!$A$53:$E$85,4,FALSE)*(1+'Inputs-System'!$C$42)+VLOOKUP(DT$3,Capacity!$A$53:$E$85,5,FALSE)*'Inputs-System'!$C$29*(1+'Inputs-System'!$C$43)), $C63 = "0", 0), 0)</f>
        <v>0</v>
      </c>
      <c r="DX63" s="44">
        <v>0</v>
      </c>
      <c r="DY63" s="342">
        <f>IFERROR(_xlfn.IFS($C63="1", 'Inputs-System'!$C$30*'Coincidence Factors'!$B$9*'Inputs-Proposals'!$L$17*'Inputs-Proposals'!$L$19*(VLOOKUP(DT$3,'Non-Embedded Emissions'!$A$56:$D$90,2,FALSE)-VLOOKUP(DT$3,'Non-Embedded Emissions'!$F$57:$H$88,2,FALSE)+VLOOKUP(DT$3,'Non-Embedded Emissions'!$A$143:$D$174,2,FALSE)-VLOOKUP(DT$3,'Non-Embedded Emissions'!$F$143:$H$174,2,FALSE)+VLOOKUP(DT$3,'Non-Embedded Emissions'!$A$230:$D$259,2,FALSE)), $C63 = "2", 'Inputs-System'!$C$30*'Coincidence Factors'!$B$9*'Inputs-Proposals'!$L$23*'Inputs-Proposals'!$L$25*(VLOOKUP(DT$3,'Non-Embedded Emissions'!$A$56:$D$90,2,FALSE)-VLOOKUP(DT$3,'Non-Embedded Emissions'!$F$57:$H$88,2,FALSE)+VLOOKUP(DT$3,'Non-Embedded Emissions'!$A$143:$D$174,2,FALSE)-VLOOKUP(DT$3,'Non-Embedded Emissions'!$F$143:$H$174,2,FALSE)+VLOOKUP(DT$3,'Non-Embedded Emissions'!$A$230:$D$259,2,FALSE)), $C63 = "3", 'Inputs-System'!$C$30*'Coincidence Factors'!$B$9*'Inputs-Proposals'!$L$29*'Inputs-Proposals'!$L$31*(VLOOKUP(DT$3,'Non-Embedded Emissions'!$A$56:$D$90,2,FALSE)-VLOOKUP(DT$3,'Non-Embedded Emissions'!$F$57:$H$88,2,FALSE)+VLOOKUP(DT$3,'Non-Embedded Emissions'!$A$143:$D$174,2,FALSE)-VLOOKUP(DT$3,'Non-Embedded Emissions'!$F$143:$H$174,2,FALSE)+VLOOKUP(DT$3,'Non-Embedded Emissions'!$A$230:$D$259,2,FALSE)), $C63 = "0", 0), 0)</f>
        <v>0</v>
      </c>
      <c r="DZ63" s="45">
        <f>IFERROR(_xlfn.IFS($C63="1",('Inputs-System'!$C$30*'Coincidence Factors'!$B$9*(1+'Inputs-System'!$C$18)*(1+'Inputs-System'!$C$41)*('Inputs-Proposals'!$L$17*'Inputs-Proposals'!$L$19*(1-'Inputs-Proposals'!$L$20^(DZ$3-'Inputs-System'!$C$7)))*(VLOOKUP(DZ$3,Energy!$A$51:$K$83,5,FALSE))), $C63 = "2",('Inputs-System'!$C$30*'Coincidence Factors'!$B$9)*(1+'Inputs-System'!$C$18)*(1+'Inputs-System'!$C$41)*('Inputs-Proposals'!$L$23*'Inputs-Proposals'!$L$25*(1-'Inputs-Proposals'!$L$26^(DZ$3-'Inputs-System'!$C$7)))*(VLOOKUP(DZ$3,Energy!$A$51:$K$83,5,FALSE)), $C63= "3", ('Inputs-System'!$C$30*'Coincidence Factors'!$B$9*(1+'Inputs-System'!$C$18)*(1+'Inputs-System'!$C$41)*('Inputs-Proposals'!$L$29*'Inputs-Proposals'!$L$31*(1-'Inputs-Proposals'!$L$32^(DZ$3-'Inputs-System'!$C$7)))*(VLOOKUP(DZ$3,Energy!$A$51:$K$83,5,FALSE))), $C63= "0", 0), 0)</f>
        <v>0</v>
      </c>
      <c r="EA63" s="44">
        <f>IFERROR(_xlfn.IFS($C63="1",('Inputs-System'!$C$30*'Coincidence Factors'!$B$9*(1+'Inputs-System'!$C$18)*(1+'Inputs-System'!$C$41))*'Inputs-Proposals'!$L$17*'Inputs-Proposals'!$L$19*(1-'Inputs-Proposals'!$L$20^(DZ$3-'Inputs-System'!$C$7))*(VLOOKUP(DZ$3,'Embedded Emissions'!$A$47:$B$78,2,FALSE)+VLOOKUP(DZ$3,'Embedded Emissions'!$A$129:$B$158,2,FALSE)), $C63 = "2",('Inputs-System'!$C$30*'Coincidence Factors'!$B$9*(1+'Inputs-System'!$C$18)*(1+'Inputs-System'!$C$41))*'Inputs-Proposals'!$L$23*'Inputs-Proposals'!$L$25*(1-'Inputs-Proposals'!$L$20^(DZ$3-'Inputs-System'!$C$7))*(VLOOKUP(DZ$3,'Embedded Emissions'!$A$47:$B$78,2,FALSE)+VLOOKUP(DZ$3,'Embedded Emissions'!$A$129:$B$158,2,FALSE)), $C63 = "3", ('Inputs-System'!$C$30*'Coincidence Factors'!$B$9*(1+'Inputs-System'!$C$18)*(1+'Inputs-System'!$C$41))*'Inputs-Proposals'!$L$29*'Inputs-Proposals'!$L$31*(1-'Inputs-Proposals'!$L$20^(DZ$3-'Inputs-System'!$C$7))*(VLOOKUP(DZ$3,'Embedded Emissions'!$A$47:$B$78,2,FALSE)+VLOOKUP(DZ$3,'Embedded Emissions'!$A$129:$B$158,2,FALSE)), $C63 = "0", 0), 0)</f>
        <v>0</v>
      </c>
      <c r="EB63" s="44">
        <f>IFERROR(_xlfn.IFS($C63="1",( 'Inputs-System'!$C$30*'Coincidence Factors'!$B$9*(1+'Inputs-System'!$C$18)*(1+'Inputs-System'!$C$41))*('Inputs-Proposals'!$L$17*'Inputs-Proposals'!$L$19*(1-'Inputs-Proposals'!$L$20)^(DZ$3-'Inputs-System'!$C$7))*(VLOOKUP(DZ$3,DRIPE!$A$54:$I$82,5,FALSE)+VLOOKUP(DZ$3,DRIPE!$A$54:$I$82,9,FALSE))+ ('Inputs-System'!$C$26*'Coincidence Factors'!$B$6*(1+'Inputs-System'!$C$18)*(1+'Inputs-System'!$C$42))*'Inputs-Proposals'!$L$16*VLOOKUP(DZ$3,DRIPE!$A$54:$I$82,8,FALSE), $C63 = "2",( 'Inputs-System'!$C$30*'Coincidence Factors'!$B$9*(1+'Inputs-System'!$C$18)*(1+'Inputs-System'!$C$41))*('Inputs-Proposals'!$L$23*'Inputs-Proposals'!$L$25*(1-'Inputs-Proposals'!$L$26)^(DZ$3-'Inputs-System'!$C$7))*(VLOOKUP(DZ$3,DRIPE!$A$54:$I$82,5,FALSE)+VLOOKUP(DZ$3,DRIPE!$A$54:$I$82,9,FALSE))+ ('Inputs-System'!$C$26*'Coincidence Factors'!$B$6*(1+'Inputs-System'!$C$18)*(1+'Inputs-System'!$C$42))*'Inputs-Proposals'!$L$22*VLOOKUP(DZ$3,DRIPE!$A$54:$I$82,8,FALSE), $C63= "3", ( 'Inputs-System'!$C$30*'Coincidence Factors'!$B$9*(1+'Inputs-System'!$C$18)*(1+'Inputs-System'!$C$41))*('Inputs-Proposals'!$L$29*'Inputs-Proposals'!$L$31*(1-'Inputs-Proposals'!$L$32)^(DZ$3-'Inputs-System'!$C$7))*(VLOOKUP(DZ$3,DRIPE!$A$54:$I$82,5,FALSE)+VLOOKUP(DZ$3,DRIPE!$A$54:$I$82,9,FALSE))+ ('Inputs-System'!$C$26*'Coincidence Factors'!$B$6*(1+'Inputs-System'!$C$18)*(1+'Inputs-System'!$C$42))*'Inputs-Proposals'!$L$28*VLOOKUP(DZ$3,DRIPE!$A$54:$I$82,8,FALSE), $C63 = "0", 0), 0)</f>
        <v>0</v>
      </c>
      <c r="EC63" s="45">
        <f>IFERROR(_xlfn.IFS($C63="1",('Inputs-System'!$C$26*'Coincidence Factors'!$B$9*(1+'Inputs-System'!$C$18)*(1+'Inputs-System'!$C$42))*'Inputs-Proposals'!$D$16*(VLOOKUP(DZ$3,Capacity!$A$53:$E$85,4,FALSE)*(1+'Inputs-System'!$C$42)+VLOOKUP(DZ$3,Capacity!$A$53:$E$85,5,FALSE)*(1+'Inputs-System'!$C$43)*'Inputs-System'!$C$29), $C63 = "2", ('Inputs-System'!$C$26*'Coincidence Factors'!$B$9*(1+'Inputs-System'!$C$18))*'Inputs-Proposals'!$D$22*(VLOOKUP(DZ$3,Capacity!$A$53:$E$85,4,FALSE)*(1+'Inputs-System'!$C$42)+VLOOKUP(DZ$3,Capacity!$A$53:$E$85,5,FALSE)*'Inputs-System'!$C$29*(1+'Inputs-System'!$C$43)), $C63 = "3", ('Inputs-System'!$C$26*'Coincidence Factors'!$B$9*(1+'Inputs-System'!$C$18))*'Inputs-Proposals'!$D$28*(VLOOKUP(DZ$3,Capacity!$A$53:$E$85,4,FALSE)*(1+'Inputs-System'!$C$42)+VLOOKUP(DZ$3,Capacity!$A$53:$E$85,5,FALSE)*'Inputs-System'!$C$29*(1+'Inputs-System'!$C$43)), $C63 = "0", 0), 0)</f>
        <v>0</v>
      </c>
      <c r="ED63" s="44">
        <v>0</v>
      </c>
      <c r="EE63" s="342">
        <f>IFERROR(_xlfn.IFS($C63="1", 'Inputs-System'!$C$30*'Coincidence Factors'!$B$9*'Inputs-Proposals'!$L$17*'Inputs-Proposals'!$L$19*(VLOOKUP(DZ$3,'Non-Embedded Emissions'!$A$56:$D$90,2,FALSE)-VLOOKUP(DZ$3,'Non-Embedded Emissions'!$F$57:$H$88,2,FALSE)+VLOOKUP(DZ$3,'Non-Embedded Emissions'!$A$143:$D$174,2,FALSE)-VLOOKUP(DZ$3,'Non-Embedded Emissions'!$F$143:$H$174,2,FALSE)+VLOOKUP(DZ$3,'Non-Embedded Emissions'!$A$230:$D$259,2,FALSE)), $C63 = "2", 'Inputs-System'!$C$30*'Coincidence Factors'!$B$9*'Inputs-Proposals'!$L$23*'Inputs-Proposals'!$L$25*(VLOOKUP(DZ$3,'Non-Embedded Emissions'!$A$56:$D$90,2,FALSE)-VLOOKUP(DZ$3,'Non-Embedded Emissions'!$F$57:$H$88,2,FALSE)+VLOOKUP(DZ$3,'Non-Embedded Emissions'!$A$143:$D$174,2,FALSE)-VLOOKUP(DZ$3,'Non-Embedded Emissions'!$F$143:$H$174,2,FALSE)+VLOOKUP(DZ$3,'Non-Embedded Emissions'!$A$230:$D$259,2,FALSE)), $C63 = "3", 'Inputs-System'!$C$30*'Coincidence Factors'!$B$9*'Inputs-Proposals'!$L$29*'Inputs-Proposals'!$L$31*(VLOOKUP(DZ$3,'Non-Embedded Emissions'!$A$56:$D$90,2,FALSE)-VLOOKUP(DZ$3,'Non-Embedded Emissions'!$F$57:$H$88,2,FALSE)+VLOOKUP(DZ$3,'Non-Embedded Emissions'!$A$143:$D$174,2,FALSE)-VLOOKUP(DZ$3,'Non-Embedded Emissions'!$F$143:$H$174,2,FALSE)+VLOOKUP(DZ$3,'Non-Embedded Emissions'!$A$230:$D$259,2,FALSE)), $C63 = "0", 0), 0)</f>
        <v>0</v>
      </c>
    </row>
    <row r="64" spans="1:135" x14ac:dyDescent="0.35">
      <c r="A64" s="708"/>
      <c r="B64" s="3" t="str">
        <f>B58</f>
        <v>LNG GenSet</v>
      </c>
      <c r="C64" s="3" t="str">
        <f>IFERROR(_xlfn.IFS('Benefits Calc'!B64='Inputs-Proposals'!$L$15, "1", 'Benefits Calc'!B64='Inputs-Proposals'!$L$21, "2", 'Benefits Calc'!B64='Inputs-Proposals'!$L$27, "3"), "0")</f>
        <v>0</v>
      </c>
      <c r="D64" s="324">
        <f t="shared" si="60"/>
        <v>0</v>
      </c>
      <c r="E64" s="320">
        <f t="shared" si="61"/>
        <v>0</v>
      </c>
      <c r="F64" s="320">
        <f t="shared" si="62"/>
        <v>0</v>
      </c>
      <c r="G64" s="320">
        <f t="shared" si="63"/>
        <v>0</v>
      </c>
      <c r="H64" s="320">
        <f t="shared" si="64"/>
        <v>0</v>
      </c>
      <c r="I64" s="320">
        <f t="shared" si="65"/>
        <v>0</v>
      </c>
      <c r="J64" s="323">
        <f>NPV('Inputs-System'!$C$20,P64+V64+AB64+AH64+AN64+AT64+AZ64+BF64+BL64+BR64+BX64+CD64+CJ64+CP64+CV64+DB64+DH64+DN64+DT64+DZ64)</f>
        <v>0</v>
      </c>
      <c r="K64" s="44">
        <f>NPV('Inputs-System'!$C$20,Q64+W64+AC64+AI64+AO64+AU64+BA64+BG64+BM64+BS64+BY64+CE64+CK64+CQ64+CW64+DC64+DI64+DO64+DU64+EA64)</f>
        <v>0</v>
      </c>
      <c r="L64" s="44">
        <f>NPV('Inputs-System'!$C$20,R64+X64+AD64+AJ64+AP64+AV64+BB64+BH64+BN64+BT64+BZ64+CF64+CL64+CR64+CX64+DD64+DJ64+DP64+DV64+EB64)</f>
        <v>0</v>
      </c>
      <c r="M64" s="44">
        <f>NPV('Inputs-System'!$C$20,S64+Y64+AE64+AK64+AQ64+AW64+BC64+BI64+BO64+BU64+CA64+CG64+CM64+CS64+CY64+DE64+DK64+DQ64+DW64+EC64)</f>
        <v>0</v>
      </c>
      <c r="N64" s="44">
        <f>NPV('Inputs-System'!$C$20,T64+Z64+AF64+AL64+AR64+AX64+BD64+BJ64+BP64+BV64+CB64+CH64+CN64+CT64+CZ64+DF64+DL64+DR64+DX64+ED64)</f>
        <v>0</v>
      </c>
      <c r="O64" s="119">
        <f>NPV('Inputs-System'!$C$20,U64+AA64+AG64+AM64+AS64+AY64+BE64+BK64+BQ64+BW64+CC64+CI64+CO64+CU64+DA64+DG64+DM64+DS64+DY64+EE64)</f>
        <v>0</v>
      </c>
      <c r="P64" s="366">
        <f>IFERROR(_xlfn.IFS($C64="1",('Inputs-System'!$C$30*'Coincidence Factors'!$B$10*(1+'Inputs-System'!$C$18)*(1+'Inputs-System'!$C$41)*('Inputs-Proposals'!$L$17*'Inputs-Proposals'!$L$19*(1-'Inputs-Proposals'!$L$20^(P$3-'Inputs-System'!$C$7+1)))*(VLOOKUP(P$3,Energy!$A$51:$K$83,5,FALSE))), $C64 = "2",('Inputs-System'!$C$30*'Coincidence Factors'!$B$10)*(1+'Inputs-System'!$C$18)*(1+'Inputs-System'!$C$41)*('Inputs-Proposals'!$L$23*'Inputs-Proposals'!$L$25*(1-'Inputs-Proposals'!$L$26^(P$3-'Inputs-System'!$C$7+1)))*(VLOOKUP(P$3,Energy!$A$51:$K$83,5,FALSE)), $C64= "3", ('Inputs-System'!$C$30*'Coincidence Factors'!$B$10*(1+'Inputs-System'!$C$18)*(1+'Inputs-System'!$C$41)*('Inputs-Proposals'!$L$29*'Inputs-Proposals'!$L$31*(1-'Inputs-Proposals'!$L$32^(P$3-'Inputs-System'!$C$7+1)))*(VLOOKUP(P$3,Energy!$A$51:$K$83,5,FALSE))), $C64= "0", 0), 0)</f>
        <v>0</v>
      </c>
      <c r="Q64" s="44">
        <f>IFERROR(_xlfn.IFS($C64="1",('Inputs-System'!$C$30*'Coincidence Factors'!$B$10*(1+'Inputs-System'!$C$18)*(1+'Inputs-System'!$C$41))*'Inputs-Proposals'!$L$17*'Inputs-Proposals'!$L$19*(1-'Inputs-Proposals'!$L$20^(P$3-'Inputs-System'!$C$7+1))*(VLOOKUP(P$3,'Embedded Emissions'!$A$47:$B$78,2,FALSE)+VLOOKUP(P$3,'Embedded Emissions'!$A$129:$B$158,2,FALSE)), $C64 = "2",('Inputs-System'!$C$30*'Coincidence Factors'!$B$10*(1+'Inputs-System'!$C$18)*(1+'Inputs-System'!$C$41))*'Inputs-Proposals'!$L$23*'Inputs-Proposals'!$L$25*(1-'Inputs-Proposals'!$L$20^(P$3-'Inputs-System'!$C$7+1))*(VLOOKUP(P$3,'Embedded Emissions'!$A$47:$B$78,2,FALSE)+VLOOKUP(P$3,'Embedded Emissions'!$A$129:$B$158,2,FALSE)), $C64 = "3", ('Inputs-System'!$C$30*'Coincidence Factors'!$B$10*(1+'Inputs-System'!$C$18)*(1+'Inputs-System'!$C$41))*'Inputs-Proposals'!$L$29*'Inputs-Proposals'!$L$31*(1-'Inputs-Proposals'!$L$20^(P$3-'Inputs-System'!$C$7+1))*(VLOOKUP(P$3,'Embedded Emissions'!$A$47:$B$78,2,FALSE)+VLOOKUP(P$3,'Embedded Emissions'!$A$129:$B$158,2,FALSE)), $C64 = "0", 0), 0)</f>
        <v>0</v>
      </c>
      <c r="R64" s="44">
        <f>IFERROR(_xlfn.IFS($C64="1",( 'Inputs-System'!$C$30*'Coincidence Factors'!$B$10*(1+'Inputs-System'!$C$18)*(1+'Inputs-System'!$C$41))*('Inputs-Proposals'!$L$17*'Inputs-Proposals'!$L$19*(1-'Inputs-Proposals'!$L$20)^(P$3-'Inputs-System'!$C$7))*(VLOOKUP(P$3,DRIPE!$A$54:$I$82,5,FALSE)+VLOOKUP(P$3,DRIPE!$A$54:$I$82,9,FALSE))+ ('Inputs-System'!$C$26*'Coincidence Factors'!$B$6*(1+'Inputs-System'!$C$18)*(1+'Inputs-System'!$C$42))*'Inputs-Proposals'!$L$16*VLOOKUP(P$3,DRIPE!$A$54:$I$82,8,FALSE), $C64 = "2",( 'Inputs-System'!$C$30*'Coincidence Factors'!$B$10*(1+'Inputs-System'!$C$18)*(1+'Inputs-System'!$C$41))*('Inputs-Proposals'!$L$23*'Inputs-Proposals'!$L$25*(1-'Inputs-Proposals'!$L$26)^(P$3-'Inputs-System'!$C$7))*(VLOOKUP(P$3,DRIPE!$A$54:$I$82,5,FALSE)+VLOOKUP(P$3,DRIPE!$A$54:$I$82,9,FALSE))+ ('Inputs-System'!$C$26*'Coincidence Factors'!$B$6*(1+'Inputs-System'!$C$18)*(1+'Inputs-System'!$C$42))*'Inputs-Proposals'!$L$22*VLOOKUP(P$3,DRIPE!$A$54:$I$82,8,FALSE), $C64= "3", ( 'Inputs-System'!$C$30*'Coincidence Factors'!$B$10*(1+'Inputs-System'!$C$18)*(1+'Inputs-System'!$C$41))*('Inputs-Proposals'!$L$29*'Inputs-Proposals'!$L$31*(1-'Inputs-Proposals'!$L$32)^(P$3-'Inputs-System'!$C$7))*(VLOOKUP(P$3,DRIPE!$A$54:$I$82,5,FALSE)+VLOOKUP(P$3,DRIPE!$A$54:$I$82,9,FALSE))+ ('Inputs-System'!$C$26*'Coincidence Factors'!$B$6*(1+'Inputs-System'!$C$18)*(1+'Inputs-System'!$C$42))*'Inputs-Proposals'!$L$28*VLOOKUP(P$3,DRIPE!$A$54:$I$82,8,FALSE), $C64 = "0", 0), 0)</f>
        <v>0</v>
      </c>
      <c r="S64" s="45">
        <f>IFERROR(_xlfn.IFS($C64="1",('Inputs-System'!$C$26*'Coincidence Factors'!$B$10*(1+'Inputs-System'!$C$18)*(1+'Inputs-System'!$C$42))*'Inputs-Proposals'!$D$16*(VLOOKUP(P$3,Capacity!$A$53:$E$85,4,FALSE)*(1+'Inputs-System'!$C$42)+VLOOKUP(P$3,Capacity!$A$53:$E$85,5,FALSE)*(1+'Inputs-System'!$C$43)*'Inputs-System'!$C$29), $C64 = "2", ('Inputs-System'!$C$26*'Coincidence Factors'!$B$10*(1+'Inputs-System'!$C$18))*'Inputs-Proposals'!$D$22*(VLOOKUP(P$3,Capacity!$A$53:$E$85,4,FALSE)*(1+'Inputs-System'!$C$42)+VLOOKUP(P$3,Capacity!$A$53:$E$85,5,FALSE)*'Inputs-System'!$C$29*(1+'Inputs-System'!$C$43)), $C64 = "3", ('Inputs-System'!$C$26*'Coincidence Factors'!$B$10*(1+'Inputs-System'!$C$18))*'Inputs-Proposals'!$D$28*(VLOOKUP(P$3,Capacity!$A$53:$E$85,4,FALSE)*(1+'Inputs-System'!$C$42)+VLOOKUP(P$3,Capacity!$A$53:$E$85,5,FALSE)*'Inputs-System'!$C$29*(1+'Inputs-System'!$C$43)), $C64 = "0", 0), 0)</f>
        <v>0</v>
      </c>
      <c r="T64" s="44">
        <v>0</v>
      </c>
      <c r="U64" s="342">
        <f>IFERROR(_xlfn.IFS($C64="1", 'Inputs-System'!$C$30*'Coincidence Factors'!$B$10*'Inputs-Proposals'!$L$17*'Inputs-Proposals'!$L$19*(VLOOKUP(P$3,'Non-Embedded Emissions'!$A$56:$D$90,2,FALSE)-VLOOKUP(P$3,'Non-Embedded Emissions'!$F$57:$H$88,3,FALSE)+VLOOKUP(P$3,'Non-Embedded Emissions'!$A$143:$D$174,2,FALSE)-VLOOKUP(P$3,'Non-Embedded Emissions'!$F$143:$H$174,3,FALSE)+VLOOKUP(P$3,'Non-Embedded Emissions'!$A$230:$D$259,2,FALSE)), $C64 = "2", 'Inputs-System'!$C$30*'Coincidence Factors'!$B$10*'Inputs-Proposals'!$L$23*'Inputs-Proposals'!$L$25*(VLOOKUP(P$3,'Non-Embedded Emissions'!$A$56:$D$90,2,FALSE)-VLOOKUP(P$3,'Non-Embedded Emissions'!$F$57:$H$88,3,FALSE)+VLOOKUP(P$3,'Non-Embedded Emissions'!$A$143:$D$174,2,FALSE)-VLOOKUP(P$3,'Non-Embedded Emissions'!$F$143:$H$174,3,FALSE)+VLOOKUP(P$3,'Non-Embedded Emissions'!$A$230:$D$259,2,FALSE)), $C64 = "3", 'Inputs-System'!$C$30*'Coincidence Factors'!$B$10*'Inputs-Proposals'!$L$29*'Inputs-Proposals'!$L$31*(VLOOKUP(P$3,'Non-Embedded Emissions'!$A$56:$D$90,2,FALSE)-VLOOKUP(P$3,'Non-Embedded Emissions'!$F$57:$H$88,3,FALSE)+VLOOKUP(P$3,'Non-Embedded Emissions'!$A$143:$D$174,2,FALSE)-VLOOKUP(P$3,'Non-Embedded Emissions'!$F$143:$H$174,3,FALSE)+VLOOKUP(P$3,'Non-Embedded Emissions'!$A$230:$D$259,2,FALSE)), $C64 = "0", 0), 0)</f>
        <v>0</v>
      </c>
      <c r="V64" s="45">
        <f>IFERROR(_xlfn.IFS($C64="1",('Inputs-System'!$C$30*'Coincidence Factors'!$B$10*(1+'Inputs-System'!$C$18)*(1+'Inputs-System'!$C$41)*('Inputs-Proposals'!$L$17*'Inputs-Proposals'!$L$19*(1-'Inputs-Proposals'!$L$20^(V$3-'Inputs-System'!$C$7)))*(VLOOKUP(V$3,Energy!$A$51:$K$83,5,FALSE))), $C64 = "2",('Inputs-System'!$C$30*'Coincidence Factors'!$B$10)*(1+'Inputs-System'!$C$18)*(1+'Inputs-System'!$C$41)*('Inputs-Proposals'!$L$23*'Inputs-Proposals'!$L$25*(1-'Inputs-Proposals'!$L$26^(V$3-'Inputs-System'!$C$7)))*(VLOOKUP(V$3,Energy!$A$51:$K$83,5,FALSE)), $C64= "3", ('Inputs-System'!$C$30*'Coincidence Factors'!$B$10*(1+'Inputs-System'!$C$18)*(1+'Inputs-System'!$C$41)*('Inputs-Proposals'!$L$29*'Inputs-Proposals'!$L$31*(1-'Inputs-Proposals'!$L$32^(V$3-'Inputs-System'!$C$7)))*(VLOOKUP(V$3,Energy!$A$51:$K$83,5,FALSE))), $C64= "0", 0), 0)</f>
        <v>0</v>
      </c>
      <c r="W64" s="44">
        <f>IFERROR(_xlfn.IFS($C64="1",('Inputs-System'!$C$30*'Coincidence Factors'!$B$10*(1+'Inputs-System'!$C$18)*(1+'Inputs-System'!$C$41))*'Inputs-Proposals'!$L$17*'Inputs-Proposals'!$L$19*(1-'Inputs-Proposals'!$L$20^(V$3-'Inputs-System'!$C$7))*(VLOOKUP(V$3,'Embedded Emissions'!$A$47:$B$78,2,FALSE)+VLOOKUP(V$3,'Embedded Emissions'!$A$129:$B$158,2,FALSE)), $C64 = "2",('Inputs-System'!$C$30*'Coincidence Factors'!$B$10*(1+'Inputs-System'!$C$18)*(1+'Inputs-System'!$C$41))*'Inputs-Proposals'!$L$23*'Inputs-Proposals'!$L$25*(1-'Inputs-Proposals'!$L$20^(V$3-'Inputs-System'!$C$7))*(VLOOKUP(V$3,'Embedded Emissions'!$A$47:$B$78,2,FALSE)+VLOOKUP(V$3,'Embedded Emissions'!$A$129:$B$158,2,FALSE)), $C64 = "3", ('Inputs-System'!$C$30*'Coincidence Factors'!$B$10*(1+'Inputs-System'!$C$18)*(1+'Inputs-System'!$C$41))*'Inputs-Proposals'!$L$29*'Inputs-Proposals'!$L$31*(1-'Inputs-Proposals'!$L$20^(V$3-'Inputs-System'!$C$7))*(VLOOKUP(V$3,'Embedded Emissions'!$A$47:$B$78,2,FALSE)+VLOOKUP(V$3,'Embedded Emissions'!$A$129:$B$158,2,FALSE)), $C64 = "0", 0), 0)</f>
        <v>0</v>
      </c>
      <c r="X64" s="44">
        <f>IFERROR(_xlfn.IFS($C64="1",( 'Inputs-System'!$C$30*'Coincidence Factors'!$B$10*(1+'Inputs-System'!$C$18)*(1+'Inputs-System'!$C$41))*('Inputs-Proposals'!$L$17*'Inputs-Proposals'!$L$19*(1-'Inputs-Proposals'!$L$20)^(V$3-'Inputs-System'!$C$7))*(VLOOKUP(V$3,DRIPE!$A$54:$I$82,5,FALSE)+VLOOKUP(V$3,DRIPE!$A$54:$I$82,9,FALSE))+ ('Inputs-System'!$C$26*'Coincidence Factors'!$B$6*(1+'Inputs-System'!$C$18)*(1+'Inputs-System'!$C$42))*'Inputs-Proposals'!$L$16*VLOOKUP(V$3,DRIPE!$A$54:$I$82,8,FALSE), $C64 = "2",( 'Inputs-System'!$C$30*'Coincidence Factors'!$B$10*(1+'Inputs-System'!$C$18)*(1+'Inputs-System'!$C$41))*('Inputs-Proposals'!$L$23*'Inputs-Proposals'!$L$25*(1-'Inputs-Proposals'!$L$26)^(V$3-'Inputs-System'!$C$7))*(VLOOKUP(V$3,DRIPE!$A$54:$I$82,5,FALSE)+VLOOKUP(V$3,DRIPE!$A$54:$I$82,9,FALSE))+ ('Inputs-System'!$C$26*'Coincidence Factors'!$B$6*(1+'Inputs-System'!$C$18)*(1+'Inputs-System'!$C$42))*'Inputs-Proposals'!$L$22*VLOOKUP(V$3,DRIPE!$A$54:$I$82,8,FALSE), $C64= "3", ( 'Inputs-System'!$C$30*'Coincidence Factors'!$B$10*(1+'Inputs-System'!$C$18)*(1+'Inputs-System'!$C$41))*('Inputs-Proposals'!$L$29*'Inputs-Proposals'!$L$31*(1-'Inputs-Proposals'!$L$32)^(V$3-'Inputs-System'!$C$7))*(VLOOKUP(V$3,DRIPE!$A$54:$I$82,5,FALSE)+VLOOKUP(V$3,DRIPE!$A$54:$I$82,9,FALSE))+ ('Inputs-System'!$C$26*'Coincidence Factors'!$B$6*(1+'Inputs-System'!$C$18)*(1+'Inputs-System'!$C$42))*'Inputs-Proposals'!$L$28*VLOOKUP(V$3,DRIPE!$A$54:$I$82,8,FALSE), $C64 = "0", 0), 0)</f>
        <v>0</v>
      </c>
      <c r="Y64" s="45">
        <f>IFERROR(_xlfn.IFS($C64="1",('Inputs-System'!$C$26*'Coincidence Factors'!$B$10*(1+'Inputs-System'!$C$18)*(1+'Inputs-System'!$C$42))*'Inputs-Proposals'!$D$16*(VLOOKUP(V$3,Capacity!$A$53:$E$85,4,FALSE)*(1+'Inputs-System'!$C$42)+VLOOKUP(V$3,Capacity!$A$53:$E$85,5,FALSE)*(1+'Inputs-System'!$C$43)*'Inputs-System'!$C$29), $C64 = "2", ('Inputs-System'!$C$26*'Coincidence Factors'!$B$10*(1+'Inputs-System'!$C$18))*'Inputs-Proposals'!$D$22*(VLOOKUP(V$3,Capacity!$A$53:$E$85,4,FALSE)*(1+'Inputs-System'!$C$42)+VLOOKUP(V$3,Capacity!$A$53:$E$85,5,FALSE)*'Inputs-System'!$C$29*(1+'Inputs-System'!$C$43)), $C64 = "3", ('Inputs-System'!$C$26*'Coincidence Factors'!$B$10*(1+'Inputs-System'!$C$18))*'Inputs-Proposals'!$D$28*(VLOOKUP(V$3,Capacity!$A$53:$E$85,4,FALSE)*(1+'Inputs-System'!$C$42)+VLOOKUP(V$3,Capacity!$A$53:$E$85,5,FALSE)*'Inputs-System'!$C$29*(1+'Inputs-System'!$C$43)), $C64 = "0", 0), 0)</f>
        <v>0</v>
      </c>
      <c r="Z64" s="44">
        <v>0</v>
      </c>
      <c r="AA64" s="342">
        <f>IFERROR(_xlfn.IFS($C64="1", 'Inputs-System'!$C$30*'Coincidence Factors'!$B$10*'Inputs-Proposals'!$L$17*'Inputs-Proposals'!$L$19*(VLOOKUP(V$3,'Non-Embedded Emissions'!$A$56:$D$90,2,FALSE)-VLOOKUP(V$3,'Non-Embedded Emissions'!$F$57:$H$88,3,FALSE)+VLOOKUP(V$3,'Non-Embedded Emissions'!$A$143:$D$174,2,FALSE)-VLOOKUP(V$3,'Non-Embedded Emissions'!$F$143:$H$174,3,FALSE)+VLOOKUP(V$3,'Non-Embedded Emissions'!$A$230:$D$259,2,FALSE)), $C64 = "2", 'Inputs-System'!$C$30*'Coincidence Factors'!$B$10*'Inputs-Proposals'!$L$23*'Inputs-Proposals'!$L$25*(VLOOKUP(V$3,'Non-Embedded Emissions'!$A$56:$D$90,2,FALSE)-VLOOKUP(V$3,'Non-Embedded Emissions'!$F$57:$H$88,3,FALSE)+VLOOKUP(V$3,'Non-Embedded Emissions'!$A$143:$D$174,2,FALSE)-VLOOKUP(V$3,'Non-Embedded Emissions'!$F$143:$H$174,3,FALSE)+VLOOKUP(V$3,'Non-Embedded Emissions'!$A$230:$D$259,2,FALSE)), $C64 = "3", 'Inputs-System'!$C$30*'Coincidence Factors'!$B$10*'Inputs-Proposals'!$L$29*'Inputs-Proposals'!$L$31*(VLOOKUP(V$3,'Non-Embedded Emissions'!$A$56:$D$90,2,FALSE)-VLOOKUP(V$3,'Non-Embedded Emissions'!$F$57:$H$88,3,FALSE)+VLOOKUP(V$3,'Non-Embedded Emissions'!$A$143:$D$174,2,FALSE)-VLOOKUP(V$3,'Non-Embedded Emissions'!$F$143:$H$174,3,FALSE)+VLOOKUP(V$3,'Non-Embedded Emissions'!$A$230:$D$259,2,FALSE)), $C64 = "0", 0), 0)</f>
        <v>0</v>
      </c>
      <c r="AB64" s="45">
        <f>IFERROR(_xlfn.IFS($C64="1",('Inputs-System'!$C$30*'Coincidence Factors'!$B$10*(1+'Inputs-System'!$C$18)*(1+'Inputs-System'!$C$41)*('Inputs-Proposals'!$L$17*'Inputs-Proposals'!$L$19*(1-'Inputs-Proposals'!$L$20^(AB$3-'Inputs-System'!$C$7)))*(VLOOKUP(AB$3,Energy!$A$51:$K$83,5,FALSE))), $C64 = "2",('Inputs-System'!$C$30*'Coincidence Factors'!$B$10)*(1+'Inputs-System'!$C$18)*(1+'Inputs-System'!$C$41)*('Inputs-Proposals'!$L$23*'Inputs-Proposals'!$L$25*(1-'Inputs-Proposals'!$L$26^(AB$3-'Inputs-System'!$C$7)))*(VLOOKUP(AB$3,Energy!$A$51:$K$83,5,FALSE)), $C64= "3", ('Inputs-System'!$C$30*'Coincidence Factors'!$B$10*(1+'Inputs-System'!$C$18)*(1+'Inputs-System'!$C$41)*('Inputs-Proposals'!$L$29*'Inputs-Proposals'!$L$31*(1-'Inputs-Proposals'!$L$32^(AB$3-'Inputs-System'!$C$7)))*(VLOOKUP(AB$3,Energy!$A$51:$K$83,5,FALSE))), $C64= "0", 0), 0)</f>
        <v>0</v>
      </c>
      <c r="AC64" s="44">
        <f>IFERROR(_xlfn.IFS($C64="1",('Inputs-System'!$C$30*'Coincidence Factors'!$B$10*(1+'Inputs-System'!$C$18)*(1+'Inputs-System'!$C$41))*'Inputs-Proposals'!$L$17*'Inputs-Proposals'!$L$19*(1-'Inputs-Proposals'!$L$20^(AB$3-'Inputs-System'!$C$7))*(VLOOKUP(AB$3,'Embedded Emissions'!$A$47:$B$78,2,FALSE)+VLOOKUP(AB$3,'Embedded Emissions'!$A$129:$B$158,2,FALSE)), $C64 = "2",('Inputs-System'!$C$30*'Coincidence Factors'!$B$10*(1+'Inputs-System'!$C$18)*(1+'Inputs-System'!$C$41))*'Inputs-Proposals'!$L$23*'Inputs-Proposals'!$L$25*(1-'Inputs-Proposals'!$L$20^(AB$3-'Inputs-System'!$C$7))*(VLOOKUP(AB$3,'Embedded Emissions'!$A$47:$B$78,2,FALSE)+VLOOKUP(AB$3,'Embedded Emissions'!$A$129:$B$158,2,FALSE)), $C64 = "3", ('Inputs-System'!$C$30*'Coincidence Factors'!$B$10*(1+'Inputs-System'!$C$18)*(1+'Inputs-System'!$C$41))*'Inputs-Proposals'!$L$29*'Inputs-Proposals'!$L$31*(1-'Inputs-Proposals'!$L$20^(AB$3-'Inputs-System'!$C$7))*(VLOOKUP(AB$3,'Embedded Emissions'!$A$47:$B$78,2,FALSE)+VLOOKUP(AB$3,'Embedded Emissions'!$A$129:$B$158,2,FALSE)), $C64 = "0", 0), 0)</f>
        <v>0</v>
      </c>
      <c r="AD64" s="44">
        <f>IFERROR(_xlfn.IFS($C64="1",( 'Inputs-System'!$C$30*'Coincidence Factors'!$B$10*(1+'Inputs-System'!$C$18)*(1+'Inputs-System'!$C$41))*('Inputs-Proposals'!$L$17*'Inputs-Proposals'!$L$19*(1-'Inputs-Proposals'!$L$20)^(AB$3-'Inputs-System'!$C$7))*(VLOOKUP(AB$3,DRIPE!$A$54:$I$82,5,FALSE)+VLOOKUP(AB$3,DRIPE!$A$54:$I$82,9,FALSE))+ ('Inputs-System'!$C$26*'Coincidence Factors'!$B$6*(1+'Inputs-System'!$C$18)*(1+'Inputs-System'!$C$42))*'Inputs-Proposals'!$L$16*VLOOKUP(AB$3,DRIPE!$A$54:$I$82,8,FALSE), $C64 = "2",( 'Inputs-System'!$C$30*'Coincidence Factors'!$B$10*(1+'Inputs-System'!$C$18)*(1+'Inputs-System'!$C$41))*('Inputs-Proposals'!$L$23*'Inputs-Proposals'!$L$25*(1-'Inputs-Proposals'!$L$26)^(AB$3-'Inputs-System'!$C$7))*(VLOOKUP(AB$3,DRIPE!$A$54:$I$82,5,FALSE)+VLOOKUP(AB$3,DRIPE!$A$54:$I$82,9,FALSE))+ ('Inputs-System'!$C$26*'Coincidence Factors'!$B$6*(1+'Inputs-System'!$C$18)*(1+'Inputs-System'!$C$42))*'Inputs-Proposals'!$L$22*VLOOKUP(AB$3,DRIPE!$A$54:$I$82,8,FALSE), $C64= "3", ( 'Inputs-System'!$C$30*'Coincidence Factors'!$B$10*(1+'Inputs-System'!$C$18)*(1+'Inputs-System'!$C$41))*('Inputs-Proposals'!$L$29*'Inputs-Proposals'!$L$31*(1-'Inputs-Proposals'!$L$32)^(AB$3-'Inputs-System'!$C$7))*(VLOOKUP(AB$3,DRIPE!$A$54:$I$82,5,FALSE)+VLOOKUP(AB$3,DRIPE!$A$54:$I$82,9,FALSE))+ ('Inputs-System'!$C$26*'Coincidence Factors'!$B$6*(1+'Inputs-System'!$C$18)*(1+'Inputs-System'!$C$42))*'Inputs-Proposals'!$L$28*VLOOKUP(AB$3,DRIPE!$A$54:$I$82,8,FALSE), $C64 = "0", 0), 0)</f>
        <v>0</v>
      </c>
      <c r="AE64" s="45">
        <f>IFERROR(_xlfn.IFS($C64="1",('Inputs-System'!$C$26*'Coincidence Factors'!$B$10*(1+'Inputs-System'!$C$18)*(1+'Inputs-System'!$C$42))*'Inputs-Proposals'!$D$16*(VLOOKUP(AB$3,Capacity!$A$53:$E$85,4,FALSE)*(1+'Inputs-System'!$C$42)+VLOOKUP(AB$3,Capacity!$A$53:$E$85,5,FALSE)*(1+'Inputs-System'!$C$43)*'Inputs-System'!$C$29), $C64 = "2", ('Inputs-System'!$C$26*'Coincidence Factors'!$B$10*(1+'Inputs-System'!$C$18))*'Inputs-Proposals'!$D$22*(VLOOKUP(AB$3,Capacity!$A$53:$E$85,4,FALSE)*(1+'Inputs-System'!$C$42)+VLOOKUP(AB$3,Capacity!$A$53:$E$85,5,FALSE)*'Inputs-System'!$C$29*(1+'Inputs-System'!$C$43)), $C64 = "3", ('Inputs-System'!$C$26*'Coincidence Factors'!$B$10*(1+'Inputs-System'!$C$18))*'Inputs-Proposals'!$D$28*(VLOOKUP(AB$3,Capacity!$A$53:$E$85,4,FALSE)*(1+'Inputs-System'!$C$42)+VLOOKUP(AB$3,Capacity!$A$53:$E$85,5,FALSE)*'Inputs-System'!$C$29*(1+'Inputs-System'!$C$43)), $C64 = "0", 0), 0)</f>
        <v>0</v>
      </c>
      <c r="AF64" s="44">
        <v>0</v>
      </c>
      <c r="AG64" s="342">
        <f>IFERROR(_xlfn.IFS($C64="1", 'Inputs-System'!$C$30*'Coincidence Factors'!$B$10*'Inputs-Proposals'!$L$17*'Inputs-Proposals'!$L$19*(VLOOKUP(AB$3,'Non-Embedded Emissions'!$A$56:$D$90,2,FALSE)-VLOOKUP(AB$3,'Non-Embedded Emissions'!$F$57:$H$88,3,FALSE)+VLOOKUP(AB$3,'Non-Embedded Emissions'!$A$143:$D$174,2,FALSE)-VLOOKUP(AB$3,'Non-Embedded Emissions'!$F$143:$H$174,3,FALSE)+VLOOKUP(AB$3,'Non-Embedded Emissions'!$A$230:$D$259,2,FALSE)), $C64 = "2", 'Inputs-System'!$C$30*'Coincidence Factors'!$B$10*'Inputs-Proposals'!$L$23*'Inputs-Proposals'!$L$25*(VLOOKUP(AB$3,'Non-Embedded Emissions'!$A$56:$D$90,2,FALSE)-VLOOKUP(AB$3,'Non-Embedded Emissions'!$F$57:$H$88,3,FALSE)+VLOOKUP(AB$3,'Non-Embedded Emissions'!$A$143:$D$174,2,FALSE)-VLOOKUP(AB$3,'Non-Embedded Emissions'!$F$143:$H$174,3,FALSE)+VLOOKUP(AB$3,'Non-Embedded Emissions'!$A$230:$D$259,2,FALSE)), $C64 = "3", 'Inputs-System'!$C$30*'Coincidence Factors'!$B$10*'Inputs-Proposals'!$L$29*'Inputs-Proposals'!$L$31*(VLOOKUP(AB$3,'Non-Embedded Emissions'!$A$56:$D$90,2,FALSE)-VLOOKUP(AB$3,'Non-Embedded Emissions'!$F$57:$H$88,3,FALSE)+VLOOKUP(AB$3,'Non-Embedded Emissions'!$A$143:$D$174,2,FALSE)-VLOOKUP(AB$3,'Non-Embedded Emissions'!$F$143:$H$174,3,FALSE)+VLOOKUP(AB$3,'Non-Embedded Emissions'!$A$230:$D$259,2,FALSE)), $C64 = "0", 0), 0)</f>
        <v>0</v>
      </c>
      <c r="AH64" s="45">
        <f>IFERROR(_xlfn.IFS($C64="1",('Inputs-System'!$C$30*'Coincidence Factors'!$B$10*(1+'Inputs-System'!$C$18)*(1+'Inputs-System'!$C$41)*('Inputs-Proposals'!$L$17*'Inputs-Proposals'!$L$19*(1-'Inputs-Proposals'!$L$20^(AH$3-'Inputs-System'!$C$7)))*(VLOOKUP(AH$3,Energy!$A$51:$K$83,5,FALSE))), $C64 = "2",('Inputs-System'!$C$30*'Coincidence Factors'!$B$10)*(1+'Inputs-System'!$C$18)*(1+'Inputs-System'!$C$41)*('Inputs-Proposals'!$L$23*'Inputs-Proposals'!$L$25*(1-'Inputs-Proposals'!$L$26^(AH$3-'Inputs-System'!$C$7)))*(VLOOKUP(AH$3,Energy!$A$51:$K$83,5,FALSE)), $C64= "3", ('Inputs-System'!$C$30*'Coincidence Factors'!$B$10*(1+'Inputs-System'!$C$18)*(1+'Inputs-System'!$C$41)*('Inputs-Proposals'!$L$29*'Inputs-Proposals'!$L$31*(1-'Inputs-Proposals'!$L$32^(AH$3-'Inputs-System'!$C$7)))*(VLOOKUP(AH$3,Energy!$A$51:$K$83,5,FALSE))), $C64= "0", 0), 0)</f>
        <v>0</v>
      </c>
      <c r="AI64" s="44">
        <f>IFERROR(_xlfn.IFS($C64="1",('Inputs-System'!$C$30*'Coincidence Factors'!$B$10*(1+'Inputs-System'!$C$18)*(1+'Inputs-System'!$C$41))*'Inputs-Proposals'!$L$17*'Inputs-Proposals'!$L$19*(1-'Inputs-Proposals'!$L$20^(AH$3-'Inputs-System'!$C$7))*(VLOOKUP(AH$3,'Embedded Emissions'!$A$47:$B$78,2,FALSE)+VLOOKUP(AH$3,'Embedded Emissions'!$A$129:$B$158,2,FALSE)), $C64 = "2",('Inputs-System'!$C$30*'Coincidence Factors'!$B$10*(1+'Inputs-System'!$C$18)*(1+'Inputs-System'!$C$41))*'Inputs-Proposals'!$L$23*'Inputs-Proposals'!$L$25*(1-'Inputs-Proposals'!$L$20^(AH$3-'Inputs-System'!$C$7))*(VLOOKUP(AH$3,'Embedded Emissions'!$A$47:$B$78,2,FALSE)+VLOOKUP(AH$3,'Embedded Emissions'!$A$129:$B$158,2,FALSE)), $C64 = "3", ('Inputs-System'!$C$30*'Coincidence Factors'!$B$10*(1+'Inputs-System'!$C$18)*(1+'Inputs-System'!$C$41))*'Inputs-Proposals'!$L$29*'Inputs-Proposals'!$L$31*(1-'Inputs-Proposals'!$L$20^(AH$3-'Inputs-System'!$C$7))*(VLOOKUP(AH$3,'Embedded Emissions'!$A$47:$B$78,2,FALSE)+VLOOKUP(AH$3,'Embedded Emissions'!$A$129:$B$158,2,FALSE)), $C64 = "0", 0), 0)</f>
        <v>0</v>
      </c>
      <c r="AJ64" s="44">
        <f>IFERROR(_xlfn.IFS($C64="1",( 'Inputs-System'!$C$30*'Coincidence Factors'!$B$10*(1+'Inputs-System'!$C$18)*(1+'Inputs-System'!$C$41))*('Inputs-Proposals'!$L$17*'Inputs-Proposals'!$L$19*(1-'Inputs-Proposals'!$L$20)^(AH$3-'Inputs-System'!$C$7))*(VLOOKUP(AH$3,DRIPE!$A$54:$I$82,5,FALSE)+VLOOKUP(AH$3,DRIPE!$A$54:$I$82,9,FALSE))+ ('Inputs-System'!$C$26*'Coincidence Factors'!$B$6*(1+'Inputs-System'!$C$18)*(1+'Inputs-System'!$C$42))*'Inputs-Proposals'!$L$16*VLOOKUP(AH$3,DRIPE!$A$54:$I$82,8,FALSE), $C64 = "2",( 'Inputs-System'!$C$30*'Coincidence Factors'!$B$10*(1+'Inputs-System'!$C$18)*(1+'Inputs-System'!$C$41))*('Inputs-Proposals'!$L$23*'Inputs-Proposals'!$L$25*(1-'Inputs-Proposals'!$L$26)^(AH$3-'Inputs-System'!$C$7))*(VLOOKUP(AH$3,DRIPE!$A$54:$I$82,5,FALSE)+VLOOKUP(AH$3,DRIPE!$A$54:$I$82,9,FALSE))+ ('Inputs-System'!$C$26*'Coincidence Factors'!$B$6*(1+'Inputs-System'!$C$18)*(1+'Inputs-System'!$C$42))*'Inputs-Proposals'!$L$22*VLOOKUP(AH$3,DRIPE!$A$54:$I$82,8,FALSE), $C64= "3", ( 'Inputs-System'!$C$30*'Coincidence Factors'!$B$10*(1+'Inputs-System'!$C$18)*(1+'Inputs-System'!$C$41))*('Inputs-Proposals'!$L$29*'Inputs-Proposals'!$L$31*(1-'Inputs-Proposals'!$L$32)^(AH$3-'Inputs-System'!$C$7))*(VLOOKUP(AH$3,DRIPE!$A$54:$I$82,5,FALSE)+VLOOKUP(AH$3,DRIPE!$A$54:$I$82,9,FALSE))+ ('Inputs-System'!$C$26*'Coincidence Factors'!$B$6*(1+'Inputs-System'!$C$18)*(1+'Inputs-System'!$C$42))*'Inputs-Proposals'!$L$28*VLOOKUP(AH$3,DRIPE!$A$54:$I$82,8,FALSE), $C64 = "0", 0), 0)</f>
        <v>0</v>
      </c>
      <c r="AK64" s="45">
        <f>IFERROR(_xlfn.IFS($C64="1",('Inputs-System'!$C$26*'Coincidence Factors'!$B$10*(1+'Inputs-System'!$C$18)*(1+'Inputs-System'!$C$42))*'Inputs-Proposals'!$D$16*(VLOOKUP(AH$3,Capacity!$A$53:$E$85,4,FALSE)*(1+'Inputs-System'!$C$42)+VLOOKUP(AH$3,Capacity!$A$53:$E$85,5,FALSE)*(1+'Inputs-System'!$C$43)*'Inputs-System'!$C$29), $C64 = "2", ('Inputs-System'!$C$26*'Coincidence Factors'!$B$10*(1+'Inputs-System'!$C$18))*'Inputs-Proposals'!$D$22*(VLOOKUP(AH$3,Capacity!$A$53:$E$85,4,FALSE)*(1+'Inputs-System'!$C$42)+VLOOKUP(AH$3,Capacity!$A$53:$E$85,5,FALSE)*'Inputs-System'!$C$29*(1+'Inputs-System'!$C$43)), $C64 = "3", ('Inputs-System'!$C$26*'Coincidence Factors'!$B$10*(1+'Inputs-System'!$C$18))*'Inputs-Proposals'!$D$28*(VLOOKUP(AH$3,Capacity!$A$53:$E$85,4,FALSE)*(1+'Inputs-System'!$C$42)+VLOOKUP(AH$3,Capacity!$A$53:$E$85,5,FALSE)*'Inputs-System'!$C$29*(1+'Inputs-System'!$C$43)), $C64 = "0", 0), 0)</f>
        <v>0</v>
      </c>
      <c r="AL64" s="44">
        <v>0</v>
      </c>
      <c r="AM64" s="342">
        <f>IFERROR(_xlfn.IFS($C64="1", 'Inputs-System'!$C$30*'Coincidence Factors'!$B$10*'Inputs-Proposals'!$L$17*'Inputs-Proposals'!$L$19*(VLOOKUP(AH$3,'Non-Embedded Emissions'!$A$56:$D$90,2,FALSE)-VLOOKUP(AH$3,'Non-Embedded Emissions'!$F$57:$H$88,3,FALSE)+VLOOKUP(AH$3,'Non-Embedded Emissions'!$A$143:$D$174,2,FALSE)-VLOOKUP(AH$3,'Non-Embedded Emissions'!$F$143:$H$174,3,FALSE)+VLOOKUP(AH$3,'Non-Embedded Emissions'!$A$230:$D$259,2,FALSE)), $C64 = "2", 'Inputs-System'!$C$30*'Coincidence Factors'!$B$10*'Inputs-Proposals'!$L$23*'Inputs-Proposals'!$L$25*(VLOOKUP(AH$3,'Non-Embedded Emissions'!$A$56:$D$90,2,FALSE)-VLOOKUP(AH$3,'Non-Embedded Emissions'!$F$57:$H$88,3,FALSE)+VLOOKUP(AH$3,'Non-Embedded Emissions'!$A$143:$D$174,2,FALSE)-VLOOKUP(AH$3,'Non-Embedded Emissions'!$F$143:$H$174,3,FALSE)+VLOOKUP(AH$3,'Non-Embedded Emissions'!$A$230:$D$259,2,FALSE)), $C64 = "3", 'Inputs-System'!$C$30*'Coincidence Factors'!$B$10*'Inputs-Proposals'!$L$29*'Inputs-Proposals'!$L$31*(VLOOKUP(AH$3,'Non-Embedded Emissions'!$A$56:$D$90,2,FALSE)-VLOOKUP(AH$3,'Non-Embedded Emissions'!$F$57:$H$88,3,FALSE)+VLOOKUP(AH$3,'Non-Embedded Emissions'!$A$143:$D$174,2,FALSE)-VLOOKUP(AH$3,'Non-Embedded Emissions'!$F$143:$H$174,3,FALSE)+VLOOKUP(AH$3,'Non-Embedded Emissions'!$A$230:$D$259,2,FALSE)), $C64 = "0", 0), 0)</f>
        <v>0</v>
      </c>
      <c r="AN64" s="45">
        <f>IFERROR(_xlfn.IFS($C64="1",('Inputs-System'!$C$30*'Coincidence Factors'!$B$10*(1+'Inputs-System'!$C$18)*(1+'Inputs-System'!$C$41)*('Inputs-Proposals'!$L$17*'Inputs-Proposals'!$L$19*(1-'Inputs-Proposals'!$L$20^(AN$3-'Inputs-System'!$C$7)))*(VLOOKUP(AN$3,Energy!$A$51:$K$83,5,FALSE))), $C64 = "2",('Inputs-System'!$C$30*'Coincidence Factors'!$B$10)*(1+'Inputs-System'!$C$18)*(1+'Inputs-System'!$C$41)*('Inputs-Proposals'!$L$23*'Inputs-Proposals'!$L$25*(1-'Inputs-Proposals'!$L$26^(AN$3-'Inputs-System'!$C$7)))*(VLOOKUP(AN$3,Energy!$A$51:$K$83,5,FALSE)), $C64= "3", ('Inputs-System'!$C$30*'Coincidence Factors'!$B$10*(1+'Inputs-System'!$C$18)*(1+'Inputs-System'!$C$41)*('Inputs-Proposals'!$L$29*'Inputs-Proposals'!$L$31*(1-'Inputs-Proposals'!$L$32^(AN$3-'Inputs-System'!$C$7)))*(VLOOKUP(AN$3,Energy!$A$51:$K$83,5,FALSE))), $C64= "0", 0), 0)</f>
        <v>0</v>
      </c>
      <c r="AO64" s="44">
        <f>IFERROR(_xlfn.IFS($C64="1",('Inputs-System'!$C$30*'Coincidence Factors'!$B$10*(1+'Inputs-System'!$C$18)*(1+'Inputs-System'!$C$41))*'Inputs-Proposals'!$L$17*'Inputs-Proposals'!$L$19*(1-'Inputs-Proposals'!$L$20^(AN$3-'Inputs-System'!$C$7))*(VLOOKUP(AN$3,'Embedded Emissions'!$A$47:$B$78,2,FALSE)+VLOOKUP(AN$3,'Embedded Emissions'!$A$129:$B$158,2,FALSE)), $C64 = "2",('Inputs-System'!$C$30*'Coincidence Factors'!$B$10*(1+'Inputs-System'!$C$18)*(1+'Inputs-System'!$C$41))*'Inputs-Proposals'!$L$23*'Inputs-Proposals'!$L$25*(1-'Inputs-Proposals'!$L$20^(AN$3-'Inputs-System'!$C$7))*(VLOOKUP(AN$3,'Embedded Emissions'!$A$47:$B$78,2,FALSE)+VLOOKUP(AN$3,'Embedded Emissions'!$A$129:$B$158,2,FALSE)), $C64 = "3", ('Inputs-System'!$C$30*'Coincidence Factors'!$B$10*(1+'Inputs-System'!$C$18)*(1+'Inputs-System'!$C$41))*'Inputs-Proposals'!$L$29*'Inputs-Proposals'!$L$31*(1-'Inputs-Proposals'!$L$20^(AN$3-'Inputs-System'!$C$7))*(VLOOKUP(AN$3,'Embedded Emissions'!$A$47:$B$78,2,FALSE)+VLOOKUP(AN$3,'Embedded Emissions'!$A$129:$B$158,2,FALSE)), $C64 = "0", 0), 0)</f>
        <v>0</v>
      </c>
      <c r="AP64" s="44">
        <f>IFERROR(_xlfn.IFS($C64="1",( 'Inputs-System'!$C$30*'Coincidence Factors'!$B$10*(1+'Inputs-System'!$C$18)*(1+'Inputs-System'!$C$41))*('Inputs-Proposals'!$L$17*'Inputs-Proposals'!$L$19*(1-'Inputs-Proposals'!$L$20)^(AN$3-'Inputs-System'!$C$7))*(VLOOKUP(AN$3,DRIPE!$A$54:$I$82,5,FALSE)+VLOOKUP(AN$3,DRIPE!$A$54:$I$82,9,FALSE))+ ('Inputs-System'!$C$26*'Coincidence Factors'!$B$6*(1+'Inputs-System'!$C$18)*(1+'Inputs-System'!$C$42))*'Inputs-Proposals'!$L$16*VLOOKUP(AN$3,DRIPE!$A$54:$I$82,8,FALSE), $C64 = "2",( 'Inputs-System'!$C$30*'Coincidence Factors'!$B$10*(1+'Inputs-System'!$C$18)*(1+'Inputs-System'!$C$41))*('Inputs-Proposals'!$L$23*'Inputs-Proposals'!$L$25*(1-'Inputs-Proposals'!$L$26)^(AN$3-'Inputs-System'!$C$7))*(VLOOKUP(AN$3,DRIPE!$A$54:$I$82,5,FALSE)+VLOOKUP(AN$3,DRIPE!$A$54:$I$82,9,FALSE))+ ('Inputs-System'!$C$26*'Coincidence Factors'!$B$6*(1+'Inputs-System'!$C$18)*(1+'Inputs-System'!$C$42))*'Inputs-Proposals'!$L$22*VLOOKUP(AN$3,DRIPE!$A$54:$I$82,8,FALSE), $C64= "3", ( 'Inputs-System'!$C$30*'Coincidence Factors'!$B$10*(1+'Inputs-System'!$C$18)*(1+'Inputs-System'!$C$41))*('Inputs-Proposals'!$L$29*'Inputs-Proposals'!$L$31*(1-'Inputs-Proposals'!$L$32)^(AN$3-'Inputs-System'!$C$7))*(VLOOKUP(AN$3,DRIPE!$A$54:$I$82,5,FALSE)+VLOOKUP(AN$3,DRIPE!$A$54:$I$82,9,FALSE))+ ('Inputs-System'!$C$26*'Coincidence Factors'!$B$6*(1+'Inputs-System'!$C$18)*(1+'Inputs-System'!$C$42))*'Inputs-Proposals'!$L$28*VLOOKUP(AN$3,DRIPE!$A$54:$I$82,8,FALSE), $C64 = "0", 0), 0)</f>
        <v>0</v>
      </c>
      <c r="AQ64" s="45">
        <f>IFERROR(_xlfn.IFS($C64="1",('Inputs-System'!$C$26*'Coincidence Factors'!$B$10*(1+'Inputs-System'!$C$18)*(1+'Inputs-System'!$C$42))*'Inputs-Proposals'!$D$16*(VLOOKUP(AN$3,Capacity!$A$53:$E$85,4,FALSE)*(1+'Inputs-System'!$C$42)+VLOOKUP(AN$3,Capacity!$A$53:$E$85,5,FALSE)*(1+'Inputs-System'!$C$43)*'Inputs-System'!$C$29), $C64 = "2", ('Inputs-System'!$C$26*'Coincidence Factors'!$B$10*(1+'Inputs-System'!$C$18))*'Inputs-Proposals'!$D$22*(VLOOKUP(AN$3,Capacity!$A$53:$E$85,4,FALSE)*(1+'Inputs-System'!$C$42)+VLOOKUP(AN$3,Capacity!$A$53:$E$85,5,FALSE)*'Inputs-System'!$C$29*(1+'Inputs-System'!$C$43)), $C64 = "3", ('Inputs-System'!$C$26*'Coincidence Factors'!$B$10*(1+'Inputs-System'!$C$18))*'Inputs-Proposals'!$D$28*(VLOOKUP(AN$3,Capacity!$A$53:$E$85,4,FALSE)*(1+'Inputs-System'!$C$42)+VLOOKUP(AN$3,Capacity!$A$53:$E$85,5,FALSE)*'Inputs-System'!$C$29*(1+'Inputs-System'!$C$43)), $C64 = "0", 0), 0)</f>
        <v>0</v>
      </c>
      <c r="AR64" s="44">
        <v>0</v>
      </c>
      <c r="AS64" s="342">
        <f>IFERROR(_xlfn.IFS($C64="1", 'Inputs-System'!$C$30*'Coincidence Factors'!$B$10*'Inputs-Proposals'!$L$17*'Inputs-Proposals'!$L$19*(VLOOKUP(AN$3,'Non-Embedded Emissions'!$A$56:$D$90,2,FALSE)-VLOOKUP(AN$3,'Non-Embedded Emissions'!$F$57:$H$88,3,FALSE)+VLOOKUP(AN$3,'Non-Embedded Emissions'!$A$143:$D$174,2,FALSE)-VLOOKUP(AN$3,'Non-Embedded Emissions'!$F$143:$H$174,3,FALSE)+VLOOKUP(AN$3,'Non-Embedded Emissions'!$A$230:$D$259,2,FALSE)), $C64 = "2", 'Inputs-System'!$C$30*'Coincidence Factors'!$B$10*'Inputs-Proposals'!$L$23*'Inputs-Proposals'!$L$25*(VLOOKUP(AN$3,'Non-Embedded Emissions'!$A$56:$D$90,2,FALSE)-VLOOKUP(AN$3,'Non-Embedded Emissions'!$F$57:$H$88,3,FALSE)+VLOOKUP(AN$3,'Non-Embedded Emissions'!$A$143:$D$174,2,FALSE)-VLOOKUP(AN$3,'Non-Embedded Emissions'!$F$143:$H$174,3,FALSE)+VLOOKUP(AN$3,'Non-Embedded Emissions'!$A$230:$D$259,2,FALSE)), $C64 = "3", 'Inputs-System'!$C$30*'Coincidence Factors'!$B$10*'Inputs-Proposals'!$L$29*'Inputs-Proposals'!$L$31*(VLOOKUP(AN$3,'Non-Embedded Emissions'!$A$56:$D$90,2,FALSE)-VLOOKUP(AN$3,'Non-Embedded Emissions'!$F$57:$H$88,3,FALSE)+VLOOKUP(AN$3,'Non-Embedded Emissions'!$A$143:$D$174,2,FALSE)-VLOOKUP(AN$3,'Non-Embedded Emissions'!$F$143:$H$174,3,FALSE)+VLOOKUP(AN$3,'Non-Embedded Emissions'!$A$230:$D$259,2,FALSE)), $C64 = "0", 0), 0)</f>
        <v>0</v>
      </c>
      <c r="AT64" s="45">
        <f>IFERROR(_xlfn.IFS($C64="1",('Inputs-System'!$C$30*'Coincidence Factors'!$B$10*(1+'Inputs-System'!$C$18)*(1+'Inputs-System'!$C$41)*('Inputs-Proposals'!$L$17*'Inputs-Proposals'!$L$19*(1-'Inputs-Proposals'!$L$20^(AT$3-'Inputs-System'!$C$7)))*(VLOOKUP(AT$3,Energy!$A$51:$K$83,5,FALSE))), $C64 = "2",('Inputs-System'!$C$30*'Coincidence Factors'!$B$10)*(1+'Inputs-System'!$C$18)*(1+'Inputs-System'!$C$41)*('Inputs-Proposals'!$L$23*'Inputs-Proposals'!$L$25*(1-'Inputs-Proposals'!$L$26^(AT$3-'Inputs-System'!$C$7)))*(VLOOKUP(AT$3,Energy!$A$51:$K$83,5,FALSE)), $C64= "3", ('Inputs-System'!$C$30*'Coincidence Factors'!$B$10*(1+'Inputs-System'!$C$18)*(1+'Inputs-System'!$C$41)*('Inputs-Proposals'!$L$29*'Inputs-Proposals'!$L$31*(1-'Inputs-Proposals'!$L$32^(AT$3-'Inputs-System'!$C$7)))*(VLOOKUP(AT$3,Energy!$A$51:$K$83,5,FALSE))), $C64= "0", 0), 0)</f>
        <v>0</v>
      </c>
      <c r="AU64" s="44">
        <f>IFERROR(_xlfn.IFS($C64="1",('Inputs-System'!$C$30*'Coincidence Factors'!$B$10*(1+'Inputs-System'!$C$18)*(1+'Inputs-System'!$C$41))*'Inputs-Proposals'!$L$17*'Inputs-Proposals'!$L$19*(1-'Inputs-Proposals'!$L$20^(AT$3-'Inputs-System'!$C$7))*(VLOOKUP(AT$3,'Embedded Emissions'!$A$47:$B$78,2,FALSE)+VLOOKUP(AT$3,'Embedded Emissions'!$A$129:$B$158,2,FALSE)), $C64 = "2",('Inputs-System'!$C$30*'Coincidence Factors'!$B$10*(1+'Inputs-System'!$C$18)*(1+'Inputs-System'!$C$41))*'Inputs-Proposals'!$L$23*'Inputs-Proposals'!$L$25*(1-'Inputs-Proposals'!$L$20^(AT$3-'Inputs-System'!$C$7))*(VLOOKUP(AT$3,'Embedded Emissions'!$A$47:$B$78,2,FALSE)+VLOOKUP(AT$3,'Embedded Emissions'!$A$129:$B$158,2,FALSE)), $C64 = "3", ('Inputs-System'!$C$30*'Coincidence Factors'!$B$10*(1+'Inputs-System'!$C$18)*(1+'Inputs-System'!$C$41))*'Inputs-Proposals'!$L$29*'Inputs-Proposals'!$L$31*(1-'Inputs-Proposals'!$L$20^(AT$3-'Inputs-System'!$C$7))*(VLOOKUP(AT$3,'Embedded Emissions'!$A$47:$B$78,2,FALSE)+VLOOKUP(AT$3,'Embedded Emissions'!$A$129:$B$158,2,FALSE)), $C64 = "0", 0), 0)</f>
        <v>0</v>
      </c>
      <c r="AV64" s="44">
        <f>IFERROR(_xlfn.IFS($C64="1",( 'Inputs-System'!$C$30*'Coincidence Factors'!$B$10*(1+'Inputs-System'!$C$18)*(1+'Inputs-System'!$C$41))*('Inputs-Proposals'!$L$17*'Inputs-Proposals'!$L$19*(1-'Inputs-Proposals'!$L$20)^(AT$3-'Inputs-System'!$C$7))*(VLOOKUP(AT$3,DRIPE!$A$54:$I$82,5,FALSE)+VLOOKUP(AT$3,DRIPE!$A$54:$I$82,9,FALSE))+ ('Inputs-System'!$C$26*'Coincidence Factors'!$B$6*(1+'Inputs-System'!$C$18)*(1+'Inputs-System'!$C$42))*'Inputs-Proposals'!$L$16*VLOOKUP(AT$3,DRIPE!$A$54:$I$82,8,FALSE), $C64 = "2",( 'Inputs-System'!$C$30*'Coincidence Factors'!$B$10*(1+'Inputs-System'!$C$18)*(1+'Inputs-System'!$C$41))*('Inputs-Proposals'!$L$23*'Inputs-Proposals'!$L$25*(1-'Inputs-Proposals'!$L$26)^(AT$3-'Inputs-System'!$C$7))*(VLOOKUP(AT$3,DRIPE!$A$54:$I$82,5,FALSE)+VLOOKUP(AT$3,DRIPE!$A$54:$I$82,9,FALSE))+ ('Inputs-System'!$C$26*'Coincidence Factors'!$B$6*(1+'Inputs-System'!$C$18)*(1+'Inputs-System'!$C$42))*'Inputs-Proposals'!$L$22*VLOOKUP(AT$3,DRIPE!$A$54:$I$82,8,FALSE), $C64= "3", ( 'Inputs-System'!$C$30*'Coincidence Factors'!$B$10*(1+'Inputs-System'!$C$18)*(1+'Inputs-System'!$C$41))*('Inputs-Proposals'!$L$29*'Inputs-Proposals'!$L$31*(1-'Inputs-Proposals'!$L$32)^(AT$3-'Inputs-System'!$C$7))*(VLOOKUP(AT$3,DRIPE!$A$54:$I$82,5,FALSE)+VLOOKUP(AT$3,DRIPE!$A$54:$I$82,9,FALSE))+ ('Inputs-System'!$C$26*'Coincidence Factors'!$B$6*(1+'Inputs-System'!$C$18)*(1+'Inputs-System'!$C$42))*'Inputs-Proposals'!$L$28*VLOOKUP(AT$3,DRIPE!$A$54:$I$82,8,FALSE), $C64 = "0", 0), 0)</f>
        <v>0</v>
      </c>
      <c r="AW64" s="45">
        <f>IFERROR(_xlfn.IFS($C64="1",('Inputs-System'!$C$26*'Coincidence Factors'!$B$10*(1+'Inputs-System'!$C$18)*(1+'Inputs-System'!$C$42))*'Inputs-Proposals'!$D$16*(VLOOKUP(AT$3,Capacity!$A$53:$E$85,4,FALSE)*(1+'Inputs-System'!$C$42)+VLOOKUP(AT$3,Capacity!$A$53:$E$85,5,FALSE)*(1+'Inputs-System'!$C$43)*'Inputs-System'!$C$29), $C64 = "2", ('Inputs-System'!$C$26*'Coincidence Factors'!$B$10*(1+'Inputs-System'!$C$18))*'Inputs-Proposals'!$D$22*(VLOOKUP(AT$3,Capacity!$A$53:$E$85,4,FALSE)*(1+'Inputs-System'!$C$42)+VLOOKUP(AT$3,Capacity!$A$53:$E$85,5,FALSE)*'Inputs-System'!$C$29*(1+'Inputs-System'!$C$43)), $C64 = "3", ('Inputs-System'!$C$26*'Coincidence Factors'!$B$10*(1+'Inputs-System'!$C$18))*'Inputs-Proposals'!$D$28*(VLOOKUP(AT$3,Capacity!$A$53:$E$85,4,FALSE)*(1+'Inputs-System'!$C$42)+VLOOKUP(AT$3,Capacity!$A$53:$E$85,5,FALSE)*'Inputs-System'!$C$29*(1+'Inputs-System'!$C$43)), $C64 = "0", 0), 0)</f>
        <v>0</v>
      </c>
      <c r="AX64" s="44">
        <v>0</v>
      </c>
      <c r="AY64" s="342">
        <f>IFERROR(_xlfn.IFS($C64="1", 'Inputs-System'!$C$30*'Coincidence Factors'!$B$10*'Inputs-Proposals'!$L$17*'Inputs-Proposals'!$L$19*(VLOOKUP(AT$3,'Non-Embedded Emissions'!$A$56:$D$90,2,FALSE)-VLOOKUP(AT$3,'Non-Embedded Emissions'!$F$57:$H$88,3,FALSE)+VLOOKUP(AT$3,'Non-Embedded Emissions'!$A$143:$D$174,2,FALSE)-VLOOKUP(AT$3,'Non-Embedded Emissions'!$F$143:$H$174,3,FALSE)+VLOOKUP(AT$3,'Non-Embedded Emissions'!$A$230:$D$259,2,FALSE)), $C64 = "2", 'Inputs-System'!$C$30*'Coincidence Factors'!$B$10*'Inputs-Proposals'!$L$23*'Inputs-Proposals'!$L$25*(VLOOKUP(AT$3,'Non-Embedded Emissions'!$A$56:$D$90,2,FALSE)-VLOOKUP(AT$3,'Non-Embedded Emissions'!$F$57:$H$88,3,FALSE)+VLOOKUP(AT$3,'Non-Embedded Emissions'!$A$143:$D$174,2,FALSE)-VLOOKUP(AT$3,'Non-Embedded Emissions'!$F$143:$H$174,3,FALSE)+VLOOKUP(AT$3,'Non-Embedded Emissions'!$A$230:$D$259,2,FALSE)), $C64 = "3", 'Inputs-System'!$C$30*'Coincidence Factors'!$B$10*'Inputs-Proposals'!$L$29*'Inputs-Proposals'!$L$31*(VLOOKUP(AT$3,'Non-Embedded Emissions'!$A$56:$D$90,2,FALSE)-VLOOKUP(AT$3,'Non-Embedded Emissions'!$F$57:$H$88,3,FALSE)+VLOOKUP(AT$3,'Non-Embedded Emissions'!$A$143:$D$174,2,FALSE)-VLOOKUP(AT$3,'Non-Embedded Emissions'!$F$143:$H$174,3,FALSE)+VLOOKUP(AT$3,'Non-Embedded Emissions'!$A$230:$D$259,2,FALSE)), $C64 = "0", 0), 0)</f>
        <v>0</v>
      </c>
      <c r="AZ64" s="45">
        <f>IFERROR(_xlfn.IFS($C64="1",('Inputs-System'!$C$30*'Coincidence Factors'!$B$10*(1+'Inputs-System'!$C$18)*(1+'Inputs-System'!$C$41)*('Inputs-Proposals'!$L$17*'Inputs-Proposals'!$L$19*(1-'Inputs-Proposals'!$L$20^(AZ$3-'Inputs-System'!$C$7)))*(VLOOKUP(AZ$3,Energy!$A$51:$K$83,5,FALSE))), $C64 = "2",('Inputs-System'!$C$30*'Coincidence Factors'!$B$10)*(1+'Inputs-System'!$C$18)*(1+'Inputs-System'!$C$41)*('Inputs-Proposals'!$L$23*'Inputs-Proposals'!$L$25*(1-'Inputs-Proposals'!$L$26^(AZ$3-'Inputs-System'!$C$7)))*(VLOOKUP(AZ$3,Energy!$A$51:$K$83,5,FALSE)), $C64= "3", ('Inputs-System'!$C$30*'Coincidence Factors'!$B$10*(1+'Inputs-System'!$C$18)*(1+'Inputs-System'!$C$41)*('Inputs-Proposals'!$L$29*'Inputs-Proposals'!$L$31*(1-'Inputs-Proposals'!$L$32^(AZ$3-'Inputs-System'!$C$7)))*(VLOOKUP(AZ$3,Energy!$A$51:$K$83,5,FALSE))), $C64= "0", 0), 0)</f>
        <v>0</v>
      </c>
      <c r="BA64" s="44">
        <f>IFERROR(_xlfn.IFS($C64="1",('Inputs-System'!$C$30*'Coincidence Factors'!$B$10*(1+'Inputs-System'!$C$18)*(1+'Inputs-System'!$C$41))*'Inputs-Proposals'!$L$17*'Inputs-Proposals'!$L$19*(1-'Inputs-Proposals'!$L$20^(AZ$3-'Inputs-System'!$C$7))*(VLOOKUP(AZ$3,'Embedded Emissions'!$A$47:$B$78,2,FALSE)+VLOOKUP(AZ$3,'Embedded Emissions'!$A$129:$B$158,2,FALSE)), $C64 = "2",('Inputs-System'!$C$30*'Coincidence Factors'!$B$10*(1+'Inputs-System'!$C$18)*(1+'Inputs-System'!$C$41))*'Inputs-Proposals'!$L$23*'Inputs-Proposals'!$L$25*(1-'Inputs-Proposals'!$L$20^(AZ$3-'Inputs-System'!$C$7))*(VLOOKUP(AZ$3,'Embedded Emissions'!$A$47:$B$78,2,FALSE)+VLOOKUP(AZ$3,'Embedded Emissions'!$A$129:$B$158,2,FALSE)), $C64 = "3", ('Inputs-System'!$C$30*'Coincidence Factors'!$B$10*(1+'Inputs-System'!$C$18)*(1+'Inputs-System'!$C$41))*'Inputs-Proposals'!$L$29*'Inputs-Proposals'!$L$31*(1-'Inputs-Proposals'!$L$20^(AZ$3-'Inputs-System'!$C$7))*(VLOOKUP(AZ$3,'Embedded Emissions'!$A$47:$B$78,2,FALSE)+VLOOKUP(AZ$3,'Embedded Emissions'!$A$129:$B$158,2,FALSE)), $C64 = "0", 0), 0)</f>
        <v>0</v>
      </c>
      <c r="BB64" s="44">
        <f>IFERROR(_xlfn.IFS($C64="1",( 'Inputs-System'!$C$30*'Coincidence Factors'!$B$10*(1+'Inputs-System'!$C$18)*(1+'Inputs-System'!$C$41))*('Inputs-Proposals'!$L$17*'Inputs-Proposals'!$L$19*(1-'Inputs-Proposals'!$L$20)^(AZ$3-'Inputs-System'!$C$7))*(VLOOKUP(AZ$3,DRIPE!$A$54:$I$82,5,FALSE)+VLOOKUP(AZ$3,DRIPE!$A$54:$I$82,9,FALSE))+ ('Inputs-System'!$C$26*'Coincidence Factors'!$B$6*(1+'Inputs-System'!$C$18)*(1+'Inputs-System'!$C$42))*'Inputs-Proposals'!$L$16*VLOOKUP(AZ$3,DRIPE!$A$54:$I$82,8,FALSE), $C64 = "2",( 'Inputs-System'!$C$30*'Coincidence Factors'!$B$10*(1+'Inputs-System'!$C$18)*(1+'Inputs-System'!$C$41))*('Inputs-Proposals'!$L$23*'Inputs-Proposals'!$L$25*(1-'Inputs-Proposals'!$L$26)^(AZ$3-'Inputs-System'!$C$7))*(VLOOKUP(AZ$3,DRIPE!$A$54:$I$82,5,FALSE)+VLOOKUP(AZ$3,DRIPE!$A$54:$I$82,9,FALSE))+ ('Inputs-System'!$C$26*'Coincidence Factors'!$B$6*(1+'Inputs-System'!$C$18)*(1+'Inputs-System'!$C$42))*'Inputs-Proposals'!$L$22*VLOOKUP(AZ$3,DRIPE!$A$54:$I$82,8,FALSE), $C64= "3", ( 'Inputs-System'!$C$30*'Coincidence Factors'!$B$10*(1+'Inputs-System'!$C$18)*(1+'Inputs-System'!$C$41))*('Inputs-Proposals'!$L$29*'Inputs-Proposals'!$L$31*(1-'Inputs-Proposals'!$L$32)^(AZ$3-'Inputs-System'!$C$7))*(VLOOKUP(AZ$3,DRIPE!$A$54:$I$82,5,FALSE)+VLOOKUP(AZ$3,DRIPE!$A$54:$I$82,9,FALSE))+ ('Inputs-System'!$C$26*'Coincidence Factors'!$B$6*(1+'Inputs-System'!$C$18)*(1+'Inputs-System'!$C$42))*'Inputs-Proposals'!$L$28*VLOOKUP(AZ$3,DRIPE!$A$54:$I$82,8,FALSE), $C64 = "0", 0), 0)</f>
        <v>0</v>
      </c>
      <c r="BC64" s="45">
        <f>IFERROR(_xlfn.IFS($C64="1",('Inputs-System'!$C$26*'Coincidence Factors'!$B$10*(1+'Inputs-System'!$C$18)*(1+'Inputs-System'!$C$42))*'Inputs-Proposals'!$D$16*(VLOOKUP(AZ$3,Capacity!$A$53:$E$85,4,FALSE)*(1+'Inputs-System'!$C$42)+VLOOKUP(AZ$3,Capacity!$A$53:$E$85,5,FALSE)*(1+'Inputs-System'!$C$43)*'Inputs-System'!$C$29), $C64 = "2", ('Inputs-System'!$C$26*'Coincidence Factors'!$B$10*(1+'Inputs-System'!$C$18))*'Inputs-Proposals'!$D$22*(VLOOKUP(AZ$3,Capacity!$A$53:$E$85,4,FALSE)*(1+'Inputs-System'!$C$42)+VLOOKUP(AZ$3,Capacity!$A$53:$E$85,5,FALSE)*'Inputs-System'!$C$29*(1+'Inputs-System'!$C$43)), $C64 = "3", ('Inputs-System'!$C$26*'Coincidence Factors'!$B$10*(1+'Inputs-System'!$C$18))*'Inputs-Proposals'!$D$28*(VLOOKUP(AZ$3,Capacity!$A$53:$E$85,4,FALSE)*(1+'Inputs-System'!$C$42)+VLOOKUP(AZ$3,Capacity!$A$53:$E$85,5,FALSE)*'Inputs-System'!$C$29*(1+'Inputs-System'!$C$43)), $C64 = "0", 0), 0)</f>
        <v>0</v>
      </c>
      <c r="BD64" s="44">
        <v>0</v>
      </c>
      <c r="BE64" s="342">
        <f>IFERROR(_xlfn.IFS($C64="1", 'Inputs-System'!$C$30*'Coincidence Factors'!$B$10*'Inputs-Proposals'!$L$17*'Inputs-Proposals'!$L$19*(VLOOKUP(AZ$3,'Non-Embedded Emissions'!$A$56:$D$90,2,FALSE)-VLOOKUP(AZ$3,'Non-Embedded Emissions'!$F$57:$H$88,3,FALSE)+VLOOKUP(AZ$3,'Non-Embedded Emissions'!$A$143:$D$174,2,FALSE)-VLOOKUP(AZ$3,'Non-Embedded Emissions'!$F$143:$H$174,3,FALSE)+VLOOKUP(AZ$3,'Non-Embedded Emissions'!$A$230:$D$259,2,FALSE)), $C64 = "2", 'Inputs-System'!$C$30*'Coincidence Factors'!$B$10*'Inputs-Proposals'!$L$23*'Inputs-Proposals'!$L$25*(VLOOKUP(AZ$3,'Non-Embedded Emissions'!$A$56:$D$90,2,FALSE)-VLOOKUP(AZ$3,'Non-Embedded Emissions'!$F$57:$H$88,3,FALSE)+VLOOKUP(AZ$3,'Non-Embedded Emissions'!$A$143:$D$174,2,FALSE)-VLOOKUP(AZ$3,'Non-Embedded Emissions'!$F$143:$H$174,3,FALSE)+VLOOKUP(AZ$3,'Non-Embedded Emissions'!$A$230:$D$259,2,FALSE)), $C64 = "3", 'Inputs-System'!$C$30*'Coincidence Factors'!$B$10*'Inputs-Proposals'!$L$29*'Inputs-Proposals'!$L$31*(VLOOKUP(AZ$3,'Non-Embedded Emissions'!$A$56:$D$90,2,FALSE)-VLOOKUP(AZ$3,'Non-Embedded Emissions'!$F$57:$H$88,3,FALSE)+VLOOKUP(AZ$3,'Non-Embedded Emissions'!$A$143:$D$174,2,FALSE)-VLOOKUP(AZ$3,'Non-Embedded Emissions'!$F$143:$H$174,3,FALSE)+VLOOKUP(AZ$3,'Non-Embedded Emissions'!$A$230:$D$259,2,FALSE)), $C64 = "0", 0), 0)</f>
        <v>0</v>
      </c>
      <c r="BF64" s="45">
        <f>IFERROR(_xlfn.IFS($C64="1",('Inputs-System'!$C$30*'Coincidence Factors'!$B$10*(1+'Inputs-System'!$C$18)*(1+'Inputs-System'!$C$41)*('Inputs-Proposals'!$L$17*'Inputs-Proposals'!$L$19*(1-'Inputs-Proposals'!$L$20^(BF$3-'Inputs-System'!$C$7)))*(VLOOKUP(BF$3,Energy!$A$51:$K$83,5,FALSE))), $C64 = "2",('Inputs-System'!$C$30*'Coincidence Factors'!$B$10)*(1+'Inputs-System'!$C$18)*(1+'Inputs-System'!$C$41)*('Inputs-Proposals'!$L$23*'Inputs-Proposals'!$L$25*(1-'Inputs-Proposals'!$L$26^(BF$3-'Inputs-System'!$C$7)))*(VLOOKUP(BF$3,Energy!$A$51:$K$83,5,FALSE)), $C64= "3", ('Inputs-System'!$C$30*'Coincidence Factors'!$B$10*(1+'Inputs-System'!$C$18)*(1+'Inputs-System'!$C$41)*('Inputs-Proposals'!$L$29*'Inputs-Proposals'!$L$31*(1-'Inputs-Proposals'!$L$32^(BF$3-'Inputs-System'!$C$7)))*(VLOOKUP(BF$3,Energy!$A$51:$K$83,5,FALSE))), $C64= "0", 0), 0)</f>
        <v>0</v>
      </c>
      <c r="BG64" s="44">
        <f>IFERROR(_xlfn.IFS($C64="1",('Inputs-System'!$C$30*'Coincidence Factors'!$B$10*(1+'Inputs-System'!$C$18)*(1+'Inputs-System'!$C$41))*'Inputs-Proposals'!$L$17*'Inputs-Proposals'!$L$19*(1-'Inputs-Proposals'!$L$20^(BF$3-'Inputs-System'!$C$7))*(VLOOKUP(BF$3,'Embedded Emissions'!$A$47:$B$78,2,FALSE)+VLOOKUP(BF$3,'Embedded Emissions'!$A$129:$B$158,2,FALSE)), $C64 = "2",('Inputs-System'!$C$30*'Coincidence Factors'!$B$10*(1+'Inputs-System'!$C$18)*(1+'Inputs-System'!$C$41))*'Inputs-Proposals'!$L$23*'Inputs-Proposals'!$L$25*(1-'Inputs-Proposals'!$L$20^(BF$3-'Inputs-System'!$C$7))*(VLOOKUP(BF$3,'Embedded Emissions'!$A$47:$B$78,2,FALSE)+VLOOKUP(BF$3,'Embedded Emissions'!$A$129:$B$158,2,FALSE)), $C64 = "3", ('Inputs-System'!$C$30*'Coincidence Factors'!$B$10*(1+'Inputs-System'!$C$18)*(1+'Inputs-System'!$C$41))*'Inputs-Proposals'!$L$29*'Inputs-Proposals'!$L$31*(1-'Inputs-Proposals'!$L$20^(BF$3-'Inputs-System'!$C$7))*(VLOOKUP(BF$3,'Embedded Emissions'!$A$47:$B$78,2,FALSE)+VLOOKUP(BF$3,'Embedded Emissions'!$A$129:$B$158,2,FALSE)), $C64 = "0", 0), 0)</f>
        <v>0</v>
      </c>
      <c r="BH64" s="44">
        <f>IFERROR(_xlfn.IFS($C64="1",( 'Inputs-System'!$C$30*'Coincidence Factors'!$B$10*(1+'Inputs-System'!$C$18)*(1+'Inputs-System'!$C$41))*('Inputs-Proposals'!$L$17*'Inputs-Proposals'!$L$19*(1-'Inputs-Proposals'!$L$20)^(BF$3-'Inputs-System'!$C$7))*(VLOOKUP(BF$3,DRIPE!$A$54:$I$82,5,FALSE)+VLOOKUP(BF$3,DRIPE!$A$54:$I$82,9,FALSE))+ ('Inputs-System'!$C$26*'Coincidence Factors'!$B$6*(1+'Inputs-System'!$C$18)*(1+'Inputs-System'!$C$42))*'Inputs-Proposals'!$L$16*VLOOKUP(BF$3,DRIPE!$A$54:$I$82,8,FALSE), $C64 = "2",( 'Inputs-System'!$C$30*'Coincidence Factors'!$B$10*(1+'Inputs-System'!$C$18)*(1+'Inputs-System'!$C$41))*('Inputs-Proposals'!$L$23*'Inputs-Proposals'!$L$25*(1-'Inputs-Proposals'!$L$26)^(BF$3-'Inputs-System'!$C$7))*(VLOOKUP(BF$3,DRIPE!$A$54:$I$82,5,FALSE)+VLOOKUP(BF$3,DRIPE!$A$54:$I$82,9,FALSE))+ ('Inputs-System'!$C$26*'Coincidence Factors'!$B$6*(1+'Inputs-System'!$C$18)*(1+'Inputs-System'!$C$42))*'Inputs-Proposals'!$L$22*VLOOKUP(BF$3,DRIPE!$A$54:$I$82,8,FALSE), $C64= "3", ( 'Inputs-System'!$C$30*'Coincidence Factors'!$B$10*(1+'Inputs-System'!$C$18)*(1+'Inputs-System'!$C$41))*('Inputs-Proposals'!$L$29*'Inputs-Proposals'!$L$31*(1-'Inputs-Proposals'!$L$32)^(BF$3-'Inputs-System'!$C$7))*(VLOOKUP(BF$3,DRIPE!$A$54:$I$82,5,FALSE)+VLOOKUP(BF$3,DRIPE!$A$54:$I$82,9,FALSE))+ ('Inputs-System'!$C$26*'Coincidence Factors'!$B$6*(1+'Inputs-System'!$C$18)*(1+'Inputs-System'!$C$42))*'Inputs-Proposals'!$L$28*VLOOKUP(BF$3,DRIPE!$A$54:$I$82,8,FALSE), $C64 = "0", 0), 0)</f>
        <v>0</v>
      </c>
      <c r="BI64" s="45">
        <f>IFERROR(_xlfn.IFS($C64="1",('Inputs-System'!$C$26*'Coincidence Factors'!$B$10*(1+'Inputs-System'!$C$18)*(1+'Inputs-System'!$C$42))*'Inputs-Proposals'!$D$16*(VLOOKUP(BF$3,Capacity!$A$53:$E$85,4,FALSE)*(1+'Inputs-System'!$C$42)+VLOOKUP(BF$3,Capacity!$A$53:$E$85,5,FALSE)*(1+'Inputs-System'!$C$43)*'Inputs-System'!$C$29), $C64 = "2", ('Inputs-System'!$C$26*'Coincidence Factors'!$B$10*(1+'Inputs-System'!$C$18))*'Inputs-Proposals'!$D$22*(VLOOKUP(BF$3,Capacity!$A$53:$E$85,4,FALSE)*(1+'Inputs-System'!$C$42)+VLOOKUP(BF$3,Capacity!$A$53:$E$85,5,FALSE)*'Inputs-System'!$C$29*(1+'Inputs-System'!$C$43)), $C64 = "3", ('Inputs-System'!$C$26*'Coincidence Factors'!$B$10*(1+'Inputs-System'!$C$18))*'Inputs-Proposals'!$D$28*(VLOOKUP(BF$3,Capacity!$A$53:$E$85,4,FALSE)*(1+'Inputs-System'!$C$42)+VLOOKUP(BF$3,Capacity!$A$53:$E$85,5,FALSE)*'Inputs-System'!$C$29*(1+'Inputs-System'!$C$43)), $C64 = "0", 0), 0)</f>
        <v>0</v>
      </c>
      <c r="BJ64" s="44">
        <v>0</v>
      </c>
      <c r="BK64" s="342">
        <f>IFERROR(_xlfn.IFS($C64="1", 'Inputs-System'!$C$30*'Coincidence Factors'!$B$10*'Inputs-Proposals'!$L$17*'Inputs-Proposals'!$L$19*(VLOOKUP(BF$3,'Non-Embedded Emissions'!$A$56:$D$90,2,FALSE)-VLOOKUP(BF$3,'Non-Embedded Emissions'!$F$57:$H$88,3,FALSE)+VLOOKUP(BF$3,'Non-Embedded Emissions'!$A$143:$D$174,2,FALSE)-VLOOKUP(BF$3,'Non-Embedded Emissions'!$F$143:$H$174,3,FALSE)+VLOOKUP(BF$3,'Non-Embedded Emissions'!$A$230:$D$259,2,FALSE)), $C64 = "2", 'Inputs-System'!$C$30*'Coincidence Factors'!$B$10*'Inputs-Proposals'!$L$23*'Inputs-Proposals'!$L$25*(VLOOKUP(BF$3,'Non-Embedded Emissions'!$A$56:$D$90,2,FALSE)-VLOOKUP(BF$3,'Non-Embedded Emissions'!$F$57:$H$88,3,FALSE)+VLOOKUP(BF$3,'Non-Embedded Emissions'!$A$143:$D$174,2,FALSE)-VLOOKUP(BF$3,'Non-Embedded Emissions'!$F$143:$H$174,3,FALSE)+VLOOKUP(BF$3,'Non-Embedded Emissions'!$A$230:$D$259,2,FALSE)), $C64 = "3", 'Inputs-System'!$C$30*'Coincidence Factors'!$B$10*'Inputs-Proposals'!$L$29*'Inputs-Proposals'!$L$31*(VLOOKUP(BF$3,'Non-Embedded Emissions'!$A$56:$D$90,2,FALSE)-VLOOKUP(BF$3,'Non-Embedded Emissions'!$F$57:$H$88,3,FALSE)+VLOOKUP(BF$3,'Non-Embedded Emissions'!$A$143:$D$174,2,FALSE)-VLOOKUP(BF$3,'Non-Embedded Emissions'!$F$143:$H$174,3,FALSE)+VLOOKUP(BF$3,'Non-Embedded Emissions'!$A$230:$D$259,2,FALSE)), $C64 = "0", 0), 0)</f>
        <v>0</v>
      </c>
      <c r="BL64" s="45">
        <f>IFERROR(_xlfn.IFS($C64="1",('Inputs-System'!$C$30*'Coincidence Factors'!$B$10*(1+'Inputs-System'!$C$18)*(1+'Inputs-System'!$C$41)*('Inputs-Proposals'!$L$17*'Inputs-Proposals'!$L$19*(1-'Inputs-Proposals'!$L$20^(BL$3-'Inputs-System'!$C$7)))*(VLOOKUP(BL$3,Energy!$A$51:$K$83,5,FALSE))), $C64 = "2",('Inputs-System'!$C$30*'Coincidence Factors'!$B$10)*(1+'Inputs-System'!$C$18)*(1+'Inputs-System'!$C$41)*('Inputs-Proposals'!$L$23*'Inputs-Proposals'!$L$25*(1-'Inputs-Proposals'!$L$26^(BL$3-'Inputs-System'!$C$7)))*(VLOOKUP(BL$3,Energy!$A$51:$K$83,5,FALSE)), $C64= "3", ('Inputs-System'!$C$30*'Coincidence Factors'!$B$10*(1+'Inputs-System'!$C$18)*(1+'Inputs-System'!$C$41)*('Inputs-Proposals'!$L$29*'Inputs-Proposals'!$L$31*(1-'Inputs-Proposals'!$L$32^(BL$3-'Inputs-System'!$C$7)))*(VLOOKUP(BL$3,Energy!$A$51:$K$83,5,FALSE))), $C64= "0", 0), 0)</f>
        <v>0</v>
      </c>
      <c r="BM64" s="44">
        <f>IFERROR(_xlfn.IFS($C64="1",('Inputs-System'!$C$30*'Coincidence Factors'!$B$10*(1+'Inputs-System'!$C$18)*(1+'Inputs-System'!$C$41))*'Inputs-Proposals'!$L$17*'Inputs-Proposals'!$L$19*(1-'Inputs-Proposals'!$L$20^(BL$3-'Inputs-System'!$C$7))*(VLOOKUP(BL$3,'Embedded Emissions'!$A$47:$B$78,2,FALSE)+VLOOKUP(BL$3,'Embedded Emissions'!$A$129:$B$158,2,FALSE)), $C64 = "2",('Inputs-System'!$C$30*'Coincidence Factors'!$B$10*(1+'Inputs-System'!$C$18)*(1+'Inputs-System'!$C$41))*'Inputs-Proposals'!$L$23*'Inputs-Proposals'!$L$25*(1-'Inputs-Proposals'!$L$20^(BL$3-'Inputs-System'!$C$7))*(VLOOKUP(BL$3,'Embedded Emissions'!$A$47:$B$78,2,FALSE)+VLOOKUP(BL$3,'Embedded Emissions'!$A$129:$B$158,2,FALSE)), $C64 = "3", ('Inputs-System'!$C$30*'Coincidence Factors'!$B$10*(1+'Inputs-System'!$C$18)*(1+'Inputs-System'!$C$41))*'Inputs-Proposals'!$L$29*'Inputs-Proposals'!$L$31*(1-'Inputs-Proposals'!$L$20^(BL$3-'Inputs-System'!$C$7))*(VLOOKUP(BL$3,'Embedded Emissions'!$A$47:$B$78,2,FALSE)+VLOOKUP(BL$3,'Embedded Emissions'!$A$129:$B$158,2,FALSE)), $C64 = "0", 0), 0)</f>
        <v>0</v>
      </c>
      <c r="BN64" s="44">
        <f>IFERROR(_xlfn.IFS($C64="1",( 'Inputs-System'!$C$30*'Coincidence Factors'!$B$10*(1+'Inputs-System'!$C$18)*(1+'Inputs-System'!$C$41))*('Inputs-Proposals'!$L$17*'Inputs-Proposals'!$L$19*(1-'Inputs-Proposals'!$L$20)^(BL$3-'Inputs-System'!$C$7))*(VLOOKUP(BL$3,DRIPE!$A$54:$I$82,5,FALSE)+VLOOKUP(BL$3,DRIPE!$A$54:$I$82,9,FALSE))+ ('Inputs-System'!$C$26*'Coincidence Factors'!$B$6*(1+'Inputs-System'!$C$18)*(1+'Inputs-System'!$C$42))*'Inputs-Proposals'!$L$16*VLOOKUP(BL$3,DRIPE!$A$54:$I$82,8,FALSE), $C64 = "2",( 'Inputs-System'!$C$30*'Coincidence Factors'!$B$10*(1+'Inputs-System'!$C$18)*(1+'Inputs-System'!$C$41))*('Inputs-Proposals'!$L$23*'Inputs-Proposals'!$L$25*(1-'Inputs-Proposals'!$L$26)^(BL$3-'Inputs-System'!$C$7))*(VLOOKUP(BL$3,DRIPE!$A$54:$I$82,5,FALSE)+VLOOKUP(BL$3,DRIPE!$A$54:$I$82,9,FALSE))+ ('Inputs-System'!$C$26*'Coincidence Factors'!$B$6*(1+'Inputs-System'!$C$18)*(1+'Inputs-System'!$C$42))*'Inputs-Proposals'!$L$22*VLOOKUP(BL$3,DRIPE!$A$54:$I$82,8,FALSE), $C64= "3", ( 'Inputs-System'!$C$30*'Coincidence Factors'!$B$10*(1+'Inputs-System'!$C$18)*(1+'Inputs-System'!$C$41))*('Inputs-Proposals'!$L$29*'Inputs-Proposals'!$L$31*(1-'Inputs-Proposals'!$L$32)^(BL$3-'Inputs-System'!$C$7))*(VLOOKUP(BL$3,DRIPE!$A$54:$I$82,5,FALSE)+VLOOKUP(BL$3,DRIPE!$A$54:$I$82,9,FALSE))+ ('Inputs-System'!$C$26*'Coincidence Factors'!$B$6*(1+'Inputs-System'!$C$18)*(1+'Inputs-System'!$C$42))*'Inputs-Proposals'!$L$28*VLOOKUP(BL$3,DRIPE!$A$54:$I$82,8,FALSE), $C64 = "0", 0), 0)</f>
        <v>0</v>
      </c>
      <c r="BO64" s="45">
        <f>IFERROR(_xlfn.IFS($C64="1",('Inputs-System'!$C$26*'Coincidence Factors'!$B$10*(1+'Inputs-System'!$C$18)*(1+'Inputs-System'!$C$42))*'Inputs-Proposals'!$D$16*(VLOOKUP(BL$3,Capacity!$A$53:$E$85,4,FALSE)*(1+'Inputs-System'!$C$42)+VLOOKUP(BL$3,Capacity!$A$53:$E$85,5,FALSE)*(1+'Inputs-System'!$C$43)*'Inputs-System'!$C$29), $C64 = "2", ('Inputs-System'!$C$26*'Coincidence Factors'!$B$10*(1+'Inputs-System'!$C$18))*'Inputs-Proposals'!$D$22*(VLOOKUP(BL$3,Capacity!$A$53:$E$85,4,FALSE)*(1+'Inputs-System'!$C$42)+VLOOKUP(BL$3,Capacity!$A$53:$E$85,5,FALSE)*'Inputs-System'!$C$29*(1+'Inputs-System'!$C$43)), $C64 = "3", ('Inputs-System'!$C$26*'Coincidence Factors'!$B$10*(1+'Inputs-System'!$C$18))*'Inputs-Proposals'!$D$28*(VLOOKUP(BL$3,Capacity!$A$53:$E$85,4,FALSE)*(1+'Inputs-System'!$C$42)+VLOOKUP(BL$3,Capacity!$A$53:$E$85,5,FALSE)*'Inputs-System'!$C$29*(1+'Inputs-System'!$C$43)), $C64 = "0", 0), 0)</f>
        <v>0</v>
      </c>
      <c r="BP64" s="44">
        <v>0</v>
      </c>
      <c r="BQ64" s="342">
        <f>IFERROR(_xlfn.IFS($C64="1", 'Inputs-System'!$C$30*'Coincidence Factors'!$B$10*'Inputs-Proposals'!$L$17*'Inputs-Proposals'!$L$19*(VLOOKUP(BL$3,'Non-Embedded Emissions'!$A$56:$D$90,2,FALSE)-VLOOKUP(BL$3,'Non-Embedded Emissions'!$F$57:$H$88,3,FALSE)+VLOOKUP(BL$3,'Non-Embedded Emissions'!$A$143:$D$174,2,FALSE)-VLOOKUP(BL$3,'Non-Embedded Emissions'!$F$143:$H$174,3,FALSE)+VLOOKUP(BL$3,'Non-Embedded Emissions'!$A$230:$D$259,2,FALSE)), $C64 = "2", 'Inputs-System'!$C$30*'Coincidence Factors'!$B$10*'Inputs-Proposals'!$L$23*'Inputs-Proposals'!$L$25*(VLOOKUP(BL$3,'Non-Embedded Emissions'!$A$56:$D$90,2,FALSE)-VLOOKUP(BL$3,'Non-Embedded Emissions'!$F$57:$H$88,3,FALSE)+VLOOKUP(BL$3,'Non-Embedded Emissions'!$A$143:$D$174,2,FALSE)-VLOOKUP(BL$3,'Non-Embedded Emissions'!$F$143:$H$174,3,FALSE)+VLOOKUP(BL$3,'Non-Embedded Emissions'!$A$230:$D$259,2,FALSE)), $C64 = "3", 'Inputs-System'!$C$30*'Coincidence Factors'!$B$10*'Inputs-Proposals'!$L$29*'Inputs-Proposals'!$L$31*(VLOOKUP(BL$3,'Non-Embedded Emissions'!$A$56:$D$90,2,FALSE)-VLOOKUP(BL$3,'Non-Embedded Emissions'!$F$57:$H$88,3,FALSE)+VLOOKUP(BL$3,'Non-Embedded Emissions'!$A$143:$D$174,2,FALSE)-VLOOKUP(BL$3,'Non-Embedded Emissions'!$F$143:$H$174,3,FALSE)+VLOOKUP(BL$3,'Non-Embedded Emissions'!$A$230:$D$259,2,FALSE)), $C64 = "0", 0), 0)</f>
        <v>0</v>
      </c>
      <c r="BR64" s="45">
        <f>IFERROR(_xlfn.IFS($C64="1",('Inputs-System'!$C$30*'Coincidence Factors'!$B$10*(1+'Inputs-System'!$C$18)*(1+'Inputs-System'!$C$41)*('Inputs-Proposals'!$L$17*'Inputs-Proposals'!$L$19*(1-'Inputs-Proposals'!$L$20^(BR$3-'Inputs-System'!$C$7)))*(VLOOKUP(BR$3,Energy!$A$51:$K$83,5,FALSE))), $C64 = "2",('Inputs-System'!$C$30*'Coincidence Factors'!$B$10)*(1+'Inputs-System'!$C$18)*(1+'Inputs-System'!$C$41)*('Inputs-Proposals'!$L$23*'Inputs-Proposals'!$L$25*(1-'Inputs-Proposals'!$L$26^(BR$3-'Inputs-System'!$C$7)))*(VLOOKUP(BR$3,Energy!$A$51:$K$83,5,FALSE)), $C64= "3", ('Inputs-System'!$C$30*'Coincidence Factors'!$B$10*(1+'Inputs-System'!$C$18)*(1+'Inputs-System'!$C$41)*('Inputs-Proposals'!$L$29*'Inputs-Proposals'!$L$31*(1-'Inputs-Proposals'!$L$32^(BR$3-'Inputs-System'!$C$7)))*(VLOOKUP(BR$3,Energy!$A$51:$K$83,5,FALSE))), $C64= "0", 0), 0)</f>
        <v>0</v>
      </c>
      <c r="BS64" s="44">
        <f>IFERROR(_xlfn.IFS($C64="1",('Inputs-System'!$C$30*'Coincidence Factors'!$B$10*(1+'Inputs-System'!$C$18)*(1+'Inputs-System'!$C$41))*'Inputs-Proposals'!$L$17*'Inputs-Proposals'!$L$19*(1-'Inputs-Proposals'!$L$20^(BR$3-'Inputs-System'!$C$7))*(VLOOKUP(BR$3,'Embedded Emissions'!$A$47:$B$78,2,FALSE)+VLOOKUP(BR$3,'Embedded Emissions'!$A$129:$B$158,2,FALSE)), $C64 = "2",('Inputs-System'!$C$30*'Coincidence Factors'!$B$10*(1+'Inputs-System'!$C$18)*(1+'Inputs-System'!$C$41))*'Inputs-Proposals'!$L$23*'Inputs-Proposals'!$L$25*(1-'Inputs-Proposals'!$L$20^(BR$3-'Inputs-System'!$C$7))*(VLOOKUP(BR$3,'Embedded Emissions'!$A$47:$B$78,2,FALSE)+VLOOKUP(BR$3,'Embedded Emissions'!$A$129:$B$158,2,FALSE)), $C64 = "3", ('Inputs-System'!$C$30*'Coincidence Factors'!$B$10*(1+'Inputs-System'!$C$18)*(1+'Inputs-System'!$C$41))*'Inputs-Proposals'!$L$29*'Inputs-Proposals'!$L$31*(1-'Inputs-Proposals'!$L$20^(BR$3-'Inputs-System'!$C$7))*(VLOOKUP(BR$3,'Embedded Emissions'!$A$47:$B$78,2,FALSE)+VLOOKUP(BR$3,'Embedded Emissions'!$A$129:$B$158,2,FALSE)), $C64 = "0", 0), 0)</f>
        <v>0</v>
      </c>
      <c r="BT64" s="44">
        <f>IFERROR(_xlfn.IFS($C64="1",( 'Inputs-System'!$C$30*'Coincidence Factors'!$B$10*(1+'Inputs-System'!$C$18)*(1+'Inputs-System'!$C$41))*('Inputs-Proposals'!$L$17*'Inputs-Proposals'!$L$19*(1-'Inputs-Proposals'!$L$20)^(BR$3-'Inputs-System'!$C$7))*(VLOOKUP(BR$3,DRIPE!$A$54:$I$82,5,FALSE)+VLOOKUP(BR$3,DRIPE!$A$54:$I$82,9,FALSE))+ ('Inputs-System'!$C$26*'Coincidence Factors'!$B$6*(1+'Inputs-System'!$C$18)*(1+'Inputs-System'!$C$42))*'Inputs-Proposals'!$L$16*VLOOKUP(BR$3,DRIPE!$A$54:$I$82,8,FALSE), $C64 = "2",( 'Inputs-System'!$C$30*'Coincidence Factors'!$B$10*(1+'Inputs-System'!$C$18)*(1+'Inputs-System'!$C$41))*('Inputs-Proposals'!$L$23*'Inputs-Proposals'!$L$25*(1-'Inputs-Proposals'!$L$26)^(BR$3-'Inputs-System'!$C$7))*(VLOOKUP(BR$3,DRIPE!$A$54:$I$82,5,FALSE)+VLOOKUP(BR$3,DRIPE!$A$54:$I$82,9,FALSE))+ ('Inputs-System'!$C$26*'Coincidence Factors'!$B$6*(1+'Inputs-System'!$C$18)*(1+'Inputs-System'!$C$42))*'Inputs-Proposals'!$L$22*VLOOKUP(BR$3,DRIPE!$A$54:$I$82,8,FALSE), $C64= "3", ( 'Inputs-System'!$C$30*'Coincidence Factors'!$B$10*(1+'Inputs-System'!$C$18)*(1+'Inputs-System'!$C$41))*('Inputs-Proposals'!$L$29*'Inputs-Proposals'!$L$31*(1-'Inputs-Proposals'!$L$32)^(BR$3-'Inputs-System'!$C$7))*(VLOOKUP(BR$3,DRIPE!$A$54:$I$82,5,FALSE)+VLOOKUP(BR$3,DRIPE!$A$54:$I$82,9,FALSE))+ ('Inputs-System'!$C$26*'Coincidence Factors'!$B$6*(1+'Inputs-System'!$C$18)*(1+'Inputs-System'!$C$42))*'Inputs-Proposals'!$L$28*VLOOKUP(BR$3,DRIPE!$A$54:$I$82,8,FALSE), $C64 = "0", 0), 0)</f>
        <v>0</v>
      </c>
      <c r="BU64" s="45">
        <f>IFERROR(_xlfn.IFS($C64="1",('Inputs-System'!$C$26*'Coincidence Factors'!$B$10*(1+'Inputs-System'!$C$18)*(1+'Inputs-System'!$C$42))*'Inputs-Proposals'!$D$16*(VLOOKUP(BR$3,Capacity!$A$53:$E$85,4,FALSE)*(1+'Inputs-System'!$C$42)+VLOOKUP(BR$3,Capacity!$A$53:$E$85,5,FALSE)*(1+'Inputs-System'!$C$43)*'Inputs-System'!$C$29), $C64 = "2", ('Inputs-System'!$C$26*'Coincidence Factors'!$B$10*(1+'Inputs-System'!$C$18))*'Inputs-Proposals'!$D$22*(VLOOKUP(BR$3,Capacity!$A$53:$E$85,4,FALSE)*(1+'Inputs-System'!$C$42)+VLOOKUP(BR$3,Capacity!$A$53:$E$85,5,FALSE)*'Inputs-System'!$C$29*(1+'Inputs-System'!$C$43)), $C64 = "3", ('Inputs-System'!$C$26*'Coincidence Factors'!$B$10*(1+'Inputs-System'!$C$18))*'Inputs-Proposals'!$D$28*(VLOOKUP(BR$3,Capacity!$A$53:$E$85,4,FALSE)*(1+'Inputs-System'!$C$42)+VLOOKUP(BR$3,Capacity!$A$53:$E$85,5,FALSE)*'Inputs-System'!$C$29*(1+'Inputs-System'!$C$43)), $C64 = "0", 0), 0)</f>
        <v>0</v>
      </c>
      <c r="BV64" s="44">
        <v>0</v>
      </c>
      <c r="BW64" s="342">
        <f>IFERROR(_xlfn.IFS($C64="1", 'Inputs-System'!$C$30*'Coincidence Factors'!$B$10*'Inputs-Proposals'!$L$17*'Inputs-Proposals'!$L$19*(VLOOKUP(BR$3,'Non-Embedded Emissions'!$A$56:$D$90,2,FALSE)-VLOOKUP(BR$3,'Non-Embedded Emissions'!$F$57:$H$88,3,FALSE)+VLOOKUP(BR$3,'Non-Embedded Emissions'!$A$143:$D$174,2,FALSE)-VLOOKUP(BR$3,'Non-Embedded Emissions'!$F$143:$H$174,3,FALSE)+VLOOKUP(BR$3,'Non-Embedded Emissions'!$A$230:$D$259,2,FALSE)), $C64 = "2", 'Inputs-System'!$C$30*'Coincidence Factors'!$B$10*'Inputs-Proposals'!$L$23*'Inputs-Proposals'!$L$25*(VLOOKUP(BR$3,'Non-Embedded Emissions'!$A$56:$D$90,2,FALSE)-VLOOKUP(BR$3,'Non-Embedded Emissions'!$F$57:$H$88,3,FALSE)+VLOOKUP(BR$3,'Non-Embedded Emissions'!$A$143:$D$174,2,FALSE)-VLOOKUP(BR$3,'Non-Embedded Emissions'!$F$143:$H$174,3,FALSE)+VLOOKUP(BR$3,'Non-Embedded Emissions'!$A$230:$D$259,2,FALSE)), $C64 = "3", 'Inputs-System'!$C$30*'Coincidence Factors'!$B$10*'Inputs-Proposals'!$L$29*'Inputs-Proposals'!$L$31*(VLOOKUP(BR$3,'Non-Embedded Emissions'!$A$56:$D$90,2,FALSE)-VLOOKUP(BR$3,'Non-Embedded Emissions'!$F$57:$H$88,3,FALSE)+VLOOKUP(BR$3,'Non-Embedded Emissions'!$A$143:$D$174,2,FALSE)-VLOOKUP(BR$3,'Non-Embedded Emissions'!$F$143:$H$174,3,FALSE)+VLOOKUP(BR$3,'Non-Embedded Emissions'!$A$230:$D$259,2,FALSE)), $C64 = "0", 0), 0)</f>
        <v>0</v>
      </c>
      <c r="BX64" s="45">
        <f>IFERROR(_xlfn.IFS($C64="1",('Inputs-System'!$C$30*'Coincidence Factors'!$B$10*(1+'Inputs-System'!$C$18)*(1+'Inputs-System'!$C$41)*('Inputs-Proposals'!$L$17*'Inputs-Proposals'!$L$19*(1-'Inputs-Proposals'!$L$20^(BX$3-'Inputs-System'!$C$7)))*(VLOOKUP(BX$3,Energy!$A$51:$K$83,5,FALSE))), $C64 = "2",('Inputs-System'!$C$30*'Coincidence Factors'!$B$10)*(1+'Inputs-System'!$C$18)*(1+'Inputs-System'!$C$41)*('Inputs-Proposals'!$L$23*'Inputs-Proposals'!$L$25*(1-'Inputs-Proposals'!$L$26^(BX$3-'Inputs-System'!$C$7)))*(VLOOKUP(BX$3,Energy!$A$51:$K$83,5,FALSE)), $C64= "3", ('Inputs-System'!$C$30*'Coincidence Factors'!$B$10*(1+'Inputs-System'!$C$18)*(1+'Inputs-System'!$C$41)*('Inputs-Proposals'!$L$29*'Inputs-Proposals'!$L$31*(1-'Inputs-Proposals'!$L$32^(BX$3-'Inputs-System'!$C$7)))*(VLOOKUP(BX$3,Energy!$A$51:$K$83,5,FALSE))), $C64= "0", 0), 0)</f>
        <v>0</v>
      </c>
      <c r="BY64" s="44">
        <f>IFERROR(_xlfn.IFS($C64="1",('Inputs-System'!$C$30*'Coincidence Factors'!$B$10*(1+'Inputs-System'!$C$18)*(1+'Inputs-System'!$C$41))*'Inputs-Proposals'!$L$17*'Inputs-Proposals'!$L$19*(1-'Inputs-Proposals'!$L$20^(BX$3-'Inputs-System'!$C$7))*(VLOOKUP(BX$3,'Embedded Emissions'!$A$47:$B$78,2,FALSE)+VLOOKUP(BX$3,'Embedded Emissions'!$A$129:$B$158,2,FALSE)), $C64 = "2",('Inputs-System'!$C$30*'Coincidence Factors'!$B$10*(1+'Inputs-System'!$C$18)*(1+'Inputs-System'!$C$41))*'Inputs-Proposals'!$L$23*'Inputs-Proposals'!$L$25*(1-'Inputs-Proposals'!$L$20^(BX$3-'Inputs-System'!$C$7))*(VLOOKUP(BX$3,'Embedded Emissions'!$A$47:$B$78,2,FALSE)+VLOOKUP(BX$3,'Embedded Emissions'!$A$129:$B$158,2,FALSE)), $C64 = "3", ('Inputs-System'!$C$30*'Coincidence Factors'!$B$10*(1+'Inputs-System'!$C$18)*(1+'Inputs-System'!$C$41))*'Inputs-Proposals'!$L$29*'Inputs-Proposals'!$L$31*(1-'Inputs-Proposals'!$L$20^(BX$3-'Inputs-System'!$C$7))*(VLOOKUP(BX$3,'Embedded Emissions'!$A$47:$B$78,2,FALSE)+VLOOKUP(BX$3,'Embedded Emissions'!$A$129:$B$158,2,FALSE)), $C64 = "0", 0), 0)</f>
        <v>0</v>
      </c>
      <c r="BZ64" s="44">
        <f>IFERROR(_xlfn.IFS($C64="1",( 'Inputs-System'!$C$30*'Coincidence Factors'!$B$10*(1+'Inputs-System'!$C$18)*(1+'Inputs-System'!$C$41))*('Inputs-Proposals'!$L$17*'Inputs-Proposals'!$L$19*(1-'Inputs-Proposals'!$L$20)^(BX$3-'Inputs-System'!$C$7))*(VLOOKUP(BX$3,DRIPE!$A$54:$I$82,5,FALSE)+VLOOKUP(BX$3,DRIPE!$A$54:$I$82,9,FALSE))+ ('Inputs-System'!$C$26*'Coincidence Factors'!$B$6*(1+'Inputs-System'!$C$18)*(1+'Inputs-System'!$C$42))*'Inputs-Proposals'!$L$16*VLOOKUP(BX$3,DRIPE!$A$54:$I$82,8,FALSE), $C64 = "2",( 'Inputs-System'!$C$30*'Coincidence Factors'!$B$10*(1+'Inputs-System'!$C$18)*(1+'Inputs-System'!$C$41))*('Inputs-Proposals'!$L$23*'Inputs-Proposals'!$L$25*(1-'Inputs-Proposals'!$L$26)^(BX$3-'Inputs-System'!$C$7))*(VLOOKUP(BX$3,DRIPE!$A$54:$I$82,5,FALSE)+VLOOKUP(BX$3,DRIPE!$A$54:$I$82,9,FALSE))+ ('Inputs-System'!$C$26*'Coincidence Factors'!$B$6*(1+'Inputs-System'!$C$18)*(1+'Inputs-System'!$C$42))*'Inputs-Proposals'!$L$22*VLOOKUP(BX$3,DRIPE!$A$54:$I$82,8,FALSE), $C64= "3", ( 'Inputs-System'!$C$30*'Coincidence Factors'!$B$10*(1+'Inputs-System'!$C$18)*(1+'Inputs-System'!$C$41))*('Inputs-Proposals'!$L$29*'Inputs-Proposals'!$L$31*(1-'Inputs-Proposals'!$L$32)^(BX$3-'Inputs-System'!$C$7))*(VLOOKUP(BX$3,DRIPE!$A$54:$I$82,5,FALSE)+VLOOKUP(BX$3,DRIPE!$A$54:$I$82,9,FALSE))+ ('Inputs-System'!$C$26*'Coincidence Factors'!$B$6*(1+'Inputs-System'!$C$18)*(1+'Inputs-System'!$C$42))*'Inputs-Proposals'!$L$28*VLOOKUP(BX$3,DRIPE!$A$54:$I$82,8,FALSE), $C64 = "0", 0), 0)</f>
        <v>0</v>
      </c>
      <c r="CA64" s="45">
        <f>IFERROR(_xlfn.IFS($C64="1",('Inputs-System'!$C$26*'Coincidence Factors'!$B$10*(1+'Inputs-System'!$C$18)*(1+'Inputs-System'!$C$42))*'Inputs-Proposals'!$D$16*(VLOOKUP(BX$3,Capacity!$A$53:$E$85,4,FALSE)*(1+'Inputs-System'!$C$42)+VLOOKUP(BX$3,Capacity!$A$53:$E$85,5,FALSE)*(1+'Inputs-System'!$C$43)*'Inputs-System'!$C$29), $C64 = "2", ('Inputs-System'!$C$26*'Coincidence Factors'!$B$10*(1+'Inputs-System'!$C$18))*'Inputs-Proposals'!$D$22*(VLOOKUP(BX$3,Capacity!$A$53:$E$85,4,FALSE)*(1+'Inputs-System'!$C$42)+VLOOKUP(BX$3,Capacity!$A$53:$E$85,5,FALSE)*'Inputs-System'!$C$29*(1+'Inputs-System'!$C$43)), $C64 = "3", ('Inputs-System'!$C$26*'Coincidence Factors'!$B$10*(1+'Inputs-System'!$C$18))*'Inputs-Proposals'!$D$28*(VLOOKUP(BX$3,Capacity!$A$53:$E$85,4,FALSE)*(1+'Inputs-System'!$C$42)+VLOOKUP(BX$3,Capacity!$A$53:$E$85,5,FALSE)*'Inputs-System'!$C$29*(1+'Inputs-System'!$C$43)), $C64 = "0", 0), 0)</f>
        <v>0</v>
      </c>
      <c r="CB64" s="44">
        <v>0</v>
      </c>
      <c r="CC64" s="342">
        <f>IFERROR(_xlfn.IFS($C64="1", 'Inputs-System'!$C$30*'Coincidence Factors'!$B$10*'Inputs-Proposals'!$L$17*'Inputs-Proposals'!$L$19*(VLOOKUP(BX$3,'Non-Embedded Emissions'!$A$56:$D$90,2,FALSE)-VLOOKUP(BX$3,'Non-Embedded Emissions'!$F$57:$H$88,3,FALSE)+VLOOKUP(BX$3,'Non-Embedded Emissions'!$A$143:$D$174,2,FALSE)-VLOOKUP(BX$3,'Non-Embedded Emissions'!$F$143:$H$174,3,FALSE)+VLOOKUP(BX$3,'Non-Embedded Emissions'!$A$230:$D$259,2,FALSE)), $C64 = "2", 'Inputs-System'!$C$30*'Coincidence Factors'!$B$10*'Inputs-Proposals'!$L$23*'Inputs-Proposals'!$L$25*(VLOOKUP(BX$3,'Non-Embedded Emissions'!$A$56:$D$90,2,FALSE)-VLOOKUP(BX$3,'Non-Embedded Emissions'!$F$57:$H$88,3,FALSE)+VLOOKUP(BX$3,'Non-Embedded Emissions'!$A$143:$D$174,2,FALSE)-VLOOKUP(BX$3,'Non-Embedded Emissions'!$F$143:$H$174,3,FALSE)+VLOOKUP(BX$3,'Non-Embedded Emissions'!$A$230:$D$259,2,FALSE)), $C64 = "3", 'Inputs-System'!$C$30*'Coincidence Factors'!$B$10*'Inputs-Proposals'!$L$29*'Inputs-Proposals'!$L$31*(VLOOKUP(BX$3,'Non-Embedded Emissions'!$A$56:$D$90,2,FALSE)-VLOOKUP(BX$3,'Non-Embedded Emissions'!$F$57:$H$88,3,FALSE)+VLOOKUP(BX$3,'Non-Embedded Emissions'!$A$143:$D$174,2,FALSE)-VLOOKUP(BX$3,'Non-Embedded Emissions'!$F$143:$H$174,3,FALSE)+VLOOKUP(BX$3,'Non-Embedded Emissions'!$A$230:$D$259,2,FALSE)), $C64 = "0", 0), 0)</f>
        <v>0</v>
      </c>
      <c r="CD64" s="45">
        <f>IFERROR(_xlfn.IFS($C64="1",('Inputs-System'!$C$30*'Coincidence Factors'!$B$10*(1+'Inputs-System'!$C$18)*(1+'Inputs-System'!$C$41)*('Inputs-Proposals'!$L$17*'Inputs-Proposals'!$L$19*(1-'Inputs-Proposals'!$L$20^(CD$3-'Inputs-System'!$C$7)))*(VLOOKUP(CD$3,Energy!$A$51:$K$83,5,FALSE))), $C64 = "2",('Inputs-System'!$C$30*'Coincidence Factors'!$B$10)*(1+'Inputs-System'!$C$18)*(1+'Inputs-System'!$C$41)*('Inputs-Proposals'!$L$23*'Inputs-Proposals'!$L$25*(1-'Inputs-Proposals'!$L$26^(CD$3-'Inputs-System'!$C$7)))*(VLOOKUP(CD$3,Energy!$A$51:$K$83,5,FALSE)), $C64= "3", ('Inputs-System'!$C$30*'Coincidence Factors'!$B$10*(1+'Inputs-System'!$C$18)*(1+'Inputs-System'!$C$41)*('Inputs-Proposals'!$L$29*'Inputs-Proposals'!$L$31*(1-'Inputs-Proposals'!$L$32^(CD$3-'Inputs-System'!$C$7)))*(VLOOKUP(CD$3,Energy!$A$51:$K$83,5,FALSE))), $C64= "0", 0), 0)</f>
        <v>0</v>
      </c>
      <c r="CE64" s="44">
        <f>IFERROR(_xlfn.IFS($C64="1",('Inputs-System'!$C$30*'Coincidence Factors'!$B$10*(1+'Inputs-System'!$C$18)*(1+'Inputs-System'!$C$41))*'Inputs-Proposals'!$L$17*'Inputs-Proposals'!$L$19*(1-'Inputs-Proposals'!$L$20^(CD$3-'Inputs-System'!$C$7))*(VLOOKUP(CD$3,'Embedded Emissions'!$A$47:$B$78,2,FALSE)+VLOOKUP(CD$3,'Embedded Emissions'!$A$129:$B$158,2,FALSE)), $C64 = "2",('Inputs-System'!$C$30*'Coincidence Factors'!$B$10*(1+'Inputs-System'!$C$18)*(1+'Inputs-System'!$C$41))*'Inputs-Proposals'!$L$23*'Inputs-Proposals'!$L$25*(1-'Inputs-Proposals'!$L$20^(CD$3-'Inputs-System'!$C$7))*(VLOOKUP(CD$3,'Embedded Emissions'!$A$47:$B$78,2,FALSE)+VLOOKUP(CD$3,'Embedded Emissions'!$A$129:$B$158,2,FALSE)), $C64 = "3", ('Inputs-System'!$C$30*'Coincidence Factors'!$B$10*(1+'Inputs-System'!$C$18)*(1+'Inputs-System'!$C$41))*'Inputs-Proposals'!$L$29*'Inputs-Proposals'!$L$31*(1-'Inputs-Proposals'!$L$20^(CD$3-'Inputs-System'!$C$7))*(VLOOKUP(CD$3,'Embedded Emissions'!$A$47:$B$78,2,FALSE)+VLOOKUP(CD$3,'Embedded Emissions'!$A$129:$B$158,2,FALSE)), $C64 = "0", 0), 0)</f>
        <v>0</v>
      </c>
      <c r="CF64" s="44">
        <f>IFERROR(_xlfn.IFS($C64="1",( 'Inputs-System'!$C$30*'Coincidence Factors'!$B$10*(1+'Inputs-System'!$C$18)*(1+'Inputs-System'!$C$41))*('Inputs-Proposals'!$L$17*'Inputs-Proposals'!$L$19*(1-'Inputs-Proposals'!$L$20)^(CD$3-'Inputs-System'!$C$7))*(VLOOKUP(CD$3,DRIPE!$A$54:$I$82,5,FALSE)+VLOOKUP(CD$3,DRIPE!$A$54:$I$82,9,FALSE))+ ('Inputs-System'!$C$26*'Coincidence Factors'!$B$6*(1+'Inputs-System'!$C$18)*(1+'Inputs-System'!$C$42))*'Inputs-Proposals'!$L$16*VLOOKUP(CD$3,DRIPE!$A$54:$I$82,8,FALSE), $C64 = "2",( 'Inputs-System'!$C$30*'Coincidence Factors'!$B$10*(1+'Inputs-System'!$C$18)*(1+'Inputs-System'!$C$41))*('Inputs-Proposals'!$L$23*'Inputs-Proposals'!$L$25*(1-'Inputs-Proposals'!$L$26)^(CD$3-'Inputs-System'!$C$7))*(VLOOKUP(CD$3,DRIPE!$A$54:$I$82,5,FALSE)+VLOOKUP(CD$3,DRIPE!$A$54:$I$82,9,FALSE))+ ('Inputs-System'!$C$26*'Coincidence Factors'!$B$6*(1+'Inputs-System'!$C$18)*(1+'Inputs-System'!$C$42))*'Inputs-Proposals'!$L$22*VLOOKUP(CD$3,DRIPE!$A$54:$I$82,8,FALSE), $C64= "3", ( 'Inputs-System'!$C$30*'Coincidence Factors'!$B$10*(1+'Inputs-System'!$C$18)*(1+'Inputs-System'!$C$41))*('Inputs-Proposals'!$L$29*'Inputs-Proposals'!$L$31*(1-'Inputs-Proposals'!$L$32)^(CD$3-'Inputs-System'!$C$7))*(VLOOKUP(CD$3,DRIPE!$A$54:$I$82,5,FALSE)+VLOOKUP(CD$3,DRIPE!$A$54:$I$82,9,FALSE))+ ('Inputs-System'!$C$26*'Coincidence Factors'!$B$6*(1+'Inputs-System'!$C$18)*(1+'Inputs-System'!$C$42))*'Inputs-Proposals'!$L$28*VLOOKUP(CD$3,DRIPE!$A$54:$I$82,8,FALSE), $C64 = "0", 0), 0)</f>
        <v>0</v>
      </c>
      <c r="CG64" s="45">
        <f>IFERROR(_xlfn.IFS($C64="1",('Inputs-System'!$C$26*'Coincidence Factors'!$B$10*(1+'Inputs-System'!$C$18)*(1+'Inputs-System'!$C$42))*'Inputs-Proposals'!$D$16*(VLOOKUP(CD$3,Capacity!$A$53:$E$85,4,FALSE)*(1+'Inputs-System'!$C$42)+VLOOKUP(CD$3,Capacity!$A$53:$E$85,5,FALSE)*(1+'Inputs-System'!$C$43)*'Inputs-System'!$C$29), $C64 = "2", ('Inputs-System'!$C$26*'Coincidence Factors'!$B$10*(1+'Inputs-System'!$C$18))*'Inputs-Proposals'!$D$22*(VLOOKUP(CD$3,Capacity!$A$53:$E$85,4,FALSE)*(1+'Inputs-System'!$C$42)+VLOOKUP(CD$3,Capacity!$A$53:$E$85,5,FALSE)*'Inputs-System'!$C$29*(1+'Inputs-System'!$C$43)), $C64 = "3", ('Inputs-System'!$C$26*'Coincidence Factors'!$B$10*(1+'Inputs-System'!$C$18))*'Inputs-Proposals'!$D$28*(VLOOKUP(CD$3,Capacity!$A$53:$E$85,4,FALSE)*(1+'Inputs-System'!$C$42)+VLOOKUP(CD$3,Capacity!$A$53:$E$85,5,FALSE)*'Inputs-System'!$C$29*(1+'Inputs-System'!$C$43)), $C64 = "0", 0), 0)</f>
        <v>0</v>
      </c>
      <c r="CH64" s="44">
        <v>0</v>
      </c>
      <c r="CI64" s="342">
        <f>IFERROR(_xlfn.IFS($C64="1", 'Inputs-System'!$C$30*'Coincidence Factors'!$B$10*'Inputs-Proposals'!$L$17*'Inputs-Proposals'!$L$19*(VLOOKUP(CD$3,'Non-Embedded Emissions'!$A$56:$D$90,2,FALSE)-VLOOKUP(CD$3,'Non-Embedded Emissions'!$F$57:$H$88,3,FALSE)+VLOOKUP(CD$3,'Non-Embedded Emissions'!$A$143:$D$174,2,FALSE)-VLOOKUP(CD$3,'Non-Embedded Emissions'!$F$143:$H$174,3,FALSE)+VLOOKUP(CD$3,'Non-Embedded Emissions'!$A$230:$D$259,2,FALSE)), $C64 = "2", 'Inputs-System'!$C$30*'Coincidence Factors'!$B$10*'Inputs-Proposals'!$L$23*'Inputs-Proposals'!$L$25*(VLOOKUP(CD$3,'Non-Embedded Emissions'!$A$56:$D$90,2,FALSE)-VLOOKUP(CD$3,'Non-Embedded Emissions'!$F$57:$H$88,3,FALSE)+VLOOKUP(CD$3,'Non-Embedded Emissions'!$A$143:$D$174,2,FALSE)-VLOOKUP(CD$3,'Non-Embedded Emissions'!$F$143:$H$174,3,FALSE)+VLOOKUP(CD$3,'Non-Embedded Emissions'!$A$230:$D$259,2,FALSE)), $C64 = "3", 'Inputs-System'!$C$30*'Coincidence Factors'!$B$10*'Inputs-Proposals'!$L$29*'Inputs-Proposals'!$L$31*(VLOOKUP(CD$3,'Non-Embedded Emissions'!$A$56:$D$90,2,FALSE)-VLOOKUP(CD$3,'Non-Embedded Emissions'!$F$57:$H$88,3,FALSE)+VLOOKUP(CD$3,'Non-Embedded Emissions'!$A$143:$D$174,2,FALSE)-VLOOKUP(CD$3,'Non-Embedded Emissions'!$F$143:$H$174,3,FALSE)+VLOOKUP(CD$3,'Non-Embedded Emissions'!$A$230:$D$259,2,FALSE)), $C64 = "0", 0), 0)</f>
        <v>0</v>
      </c>
      <c r="CJ64" s="45">
        <f>IFERROR(_xlfn.IFS($C64="1",('Inputs-System'!$C$30*'Coincidence Factors'!$B$10*(1+'Inputs-System'!$C$18)*(1+'Inputs-System'!$C$41)*('Inputs-Proposals'!$L$17*'Inputs-Proposals'!$L$19*(1-'Inputs-Proposals'!$L$20^(CJ$3-'Inputs-System'!$C$7)))*(VLOOKUP(CJ$3,Energy!$A$51:$K$83,5,FALSE))), $C64 = "2",('Inputs-System'!$C$30*'Coincidence Factors'!$B$10)*(1+'Inputs-System'!$C$18)*(1+'Inputs-System'!$C$41)*('Inputs-Proposals'!$L$23*'Inputs-Proposals'!$L$25*(1-'Inputs-Proposals'!$L$26^(CJ$3-'Inputs-System'!$C$7)))*(VLOOKUP(CJ$3,Energy!$A$51:$K$83,5,FALSE)), $C64= "3", ('Inputs-System'!$C$30*'Coincidence Factors'!$B$10*(1+'Inputs-System'!$C$18)*(1+'Inputs-System'!$C$41)*('Inputs-Proposals'!$L$29*'Inputs-Proposals'!$L$31*(1-'Inputs-Proposals'!$L$32^(CJ$3-'Inputs-System'!$C$7)))*(VLOOKUP(CJ$3,Energy!$A$51:$K$83,5,FALSE))), $C64= "0", 0), 0)</f>
        <v>0</v>
      </c>
      <c r="CK64" s="44">
        <f>IFERROR(_xlfn.IFS($C64="1",('Inputs-System'!$C$30*'Coincidence Factors'!$B$10*(1+'Inputs-System'!$C$18)*(1+'Inputs-System'!$C$41))*'Inputs-Proposals'!$L$17*'Inputs-Proposals'!$L$19*(1-'Inputs-Proposals'!$L$20^(CJ$3-'Inputs-System'!$C$7))*(VLOOKUP(CJ$3,'Embedded Emissions'!$A$47:$B$78,2,FALSE)+VLOOKUP(CJ$3,'Embedded Emissions'!$A$129:$B$158,2,FALSE)), $C64 = "2",('Inputs-System'!$C$30*'Coincidence Factors'!$B$10*(1+'Inputs-System'!$C$18)*(1+'Inputs-System'!$C$41))*'Inputs-Proposals'!$L$23*'Inputs-Proposals'!$L$25*(1-'Inputs-Proposals'!$L$20^(CJ$3-'Inputs-System'!$C$7))*(VLOOKUP(CJ$3,'Embedded Emissions'!$A$47:$B$78,2,FALSE)+VLOOKUP(CJ$3,'Embedded Emissions'!$A$129:$B$158,2,FALSE)), $C64 = "3", ('Inputs-System'!$C$30*'Coincidence Factors'!$B$10*(1+'Inputs-System'!$C$18)*(1+'Inputs-System'!$C$41))*'Inputs-Proposals'!$L$29*'Inputs-Proposals'!$L$31*(1-'Inputs-Proposals'!$L$20^(CJ$3-'Inputs-System'!$C$7))*(VLOOKUP(CJ$3,'Embedded Emissions'!$A$47:$B$78,2,FALSE)+VLOOKUP(CJ$3,'Embedded Emissions'!$A$129:$B$158,2,FALSE)), $C64 = "0", 0), 0)</f>
        <v>0</v>
      </c>
      <c r="CL64" s="44">
        <f>IFERROR(_xlfn.IFS($C64="1",( 'Inputs-System'!$C$30*'Coincidence Factors'!$B$10*(1+'Inputs-System'!$C$18)*(1+'Inputs-System'!$C$41))*('Inputs-Proposals'!$L$17*'Inputs-Proposals'!$L$19*(1-'Inputs-Proposals'!$L$20)^(CJ$3-'Inputs-System'!$C$7))*(VLOOKUP(CJ$3,DRIPE!$A$54:$I$82,5,FALSE)+VLOOKUP(CJ$3,DRIPE!$A$54:$I$82,9,FALSE))+ ('Inputs-System'!$C$26*'Coincidence Factors'!$B$6*(1+'Inputs-System'!$C$18)*(1+'Inputs-System'!$C$42))*'Inputs-Proposals'!$L$16*VLOOKUP(CJ$3,DRIPE!$A$54:$I$82,8,FALSE), $C64 = "2",( 'Inputs-System'!$C$30*'Coincidence Factors'!$B$10*(1+'Inputs-System'!$C$18)*(1+'Inputs-System'!$C$41))*('Inputs-Proposals'!$L$23*'Inputs-Proposals'!$L$25*(1-'Inputs-Proposals'!$L$26)^(CJ$3-'Inputs-System'!$C$7))*(VLOOKUP(CJ$3,DRIPE!$A$54:$I$82,5,FALSE)+VLOOKUP(CJ$3,DRIPE!$A$54:$I$82,9,FALSE))+ ('Inputs-System'!$C$26*'Coincidence Factors'!$B$6*(1+'Inputs-System'!$C$18)*(1+'Inputs-System'!$C$42))*'Inputs-Proposals'!$L$22*VLOOKUP(CJ$3,DRIPE!$A$54:$I$82,8,FALSE), $C64= "3", ( 'Inputs-System'!$C$30*'Coincidence Factors'!$B$10*(1+'Inputs-System'!$C$18)*(1+'Inputs-System'!$C$41))*('Inputs-Proposals'!$L$29*'Inputs-Proposals'!$L$31*(1-'Inputs-Proposals'!$L$32)^(CJ$3-'Inputs-System'!$C$7))*(VLOOKUP(CJ$3,DRIPE!$A$54:$I$82,5,FALSE)+VLOOKUP(CJ$3,DRIPE!$A$54:$I$82,9,FALSE))+ ('Inputs-System'!$C$26*'Coincidence Factors'!$B$6*(1+'Inputs-System'!$C$18)*(1+'Inputs-System'!$C$42))*'Inputs-Proposals'!$L$28*VLOOKUP(CJ$3,DRIPE!$A$54:$I$82,8,FALSE), $C64 = "0", 0), 0)</f>
        <v>0</v>
      </c>
      <c r="CM64" s="45">
        <f>IFERROR(_xlfn.IFS($C64="1",('Inputs-System'!$C$26*'Coincidence Factors'!$B$10*(1+'Inputs-System'!$C$18)*(1+'Inputs-System'!$C$42))*'Inputs-Proposals'!$D$16*(VLOOKUP(CJ$3,Capacity!$A$53:$E$85,4,FALSE)*(1+'Inputs-System'!$C$42)+VLOOKUP(CJ$3,Capacity!$A$53:$E$85,5,FALSE)*(1+'Inputs-System'!$C$43)*'Inputs-System'!$C$29), $C64 = "2", ('Inputs-System'!$C$26*'Coincidence Factors'!$B$10*(1+'Inputs-System'!$C$18))*'Inputs-Proposals'!$D$22*(VLOOKUP(CJ$3,Capacity!$A$53:$E$85,4,FALSE)*(1+'Inputs-System'!$C$42)+VLOOKUP(CJ$3,Capacity!$A$53:$E$85,5,FALSE)*'Inputs-System'!$C$29*(1+'Inputs-System'!$C$43)), $C64 = "3", ('Inputs-System'!$C$26*'Coincidence Factors'!$B$10*(1+'Inputs-System'!$C$18))*'Inputs-Proposals'!$D$28*(VLOOKUP(CJ$3,Capacity!$A$53:$E$85,4,FALSE)*(1+'Inputs-System'!$C$42)+VLOOKUP(CJ$3,Capacity!$A$53:$E$85,5,FALSE)*'Inputs-System'!$C$29*(1+'Inputs-System'!$C$43)), $C64 = "0", 0), 0)</f>
        <v>0</v>
      </c>
      <c r="CN64" s="44">
        <v>0</v>
      </c>
      <c r="CO64" s="342">
        <f>IFERROR(_xlfn.IFS($C64="1", 'Inputs-System'!$C$30*'Coincidence Factors'!$B$10*'Inputs-Proposals'!$L$17*'Inputs-Proposals'!$L$19*(VLOOKUP(CJ$3,'Non-Embedded Emissions'!$A$56:$D$90,2,FALSE)-VLOOKUP(CJ$3,'Non-Embedded Emissions'!$F$57:$H$88,3,FALSE)+VLOOKUP(CJ$3,'Non-Embedded Emissions'!$A$143:$D$174,2,FALSE)-VLOOKUP(CJ$3,'Non-Embedded Emissions'!$F$143:$H$174,3,FALSE)+VLOOKUP(CJ$3,'Non-Embedded Emissions'!$A$230:$D$259,2,FALSE)), $C64 = "2", 'Inputs-System'!$C$30*'Coincidence Factors'!$B$10*'Inputs-Proposals'!$L$23*'Inputs-Proposals'!$L$25*(VLOOKUP(CJ$3,'Non-Embedded Emissions'!$A$56:$D$90,2,FALSE)-VLOOKUP(CJ$3,'Non-Embedded Emissions'!$F$57:$H$88,3,FALSE)+VLOOKUP(CJ$3,'Non-Embedded Emissions'!$A$143:$D$174,2,FALSE)-VLOOKUP(CJ$3,'Non-Embedded Emissions'!$F$143:$H$174,3,FALSE)+VLOOKUP(CJ$3,'Non-Embedded Emissions'!$A$230:$D$259,2,FALSE)), $C64 = "3", 'Inputs-System'!$C$30*'Coincidence Factors'!$B$10*'Inputs-Proposals'!$L$29*'Inputs-Proposals'!$L$31*(VLOOKUP(CJ$3,'Non-Embedded Emissions'!$A$56:$D$90,2,FALSE)-VLOOKUP(CJ$3,'Non-Embedded Emissions'!$F$57:$H$88,3,FALSE)+VLOOKUP(CJ$3,'Non-Embedded Emissions'!$A$143:$D$174,2,FALSE)-VLOOKUP(CJ$3,'Non-Embedded Emissions'!$F$143:$H$174,3,FALSE)+VLOOKUP(CJ$3,'Non-Embedded Emissions'!$A$230:$D$259,2,FALSE)), $C64 = "0", 0), 0)</f>
        <v>0</v>
      </c>
      <c r="CP64" s="45">
        <f>IFERROR(_xlfn.IFS($C64="1",('Inputs-System'!$C$30*'Coincidence Factors'!$B$10*(1+'Inputs-System'!$C$18)*(1+'Inputs-System'!$C$41)*('Inputs-Proposals'!$L$17*'Inputs-Proposals'!$L$19*(1-'Inputs-Proposals'!$L$20^(CP$3-'Inputs-System'!$C$7)))*(VLOOKUP(CP$3,Energy!$A$51:$K$83,5,FALSE))), $C64 = "2",('Inputs-System'!$C$30*'Coincidence Factors'!$B$10)*(1+'Inputs-System'!$C$18)*(1+'Inputs-System'!$C$41)*('Inputs-Proposals'!$L$23*'Inputs-Proposals'!$L$25*(1-'Inputs-Proposals'!$L$26^(CP$3-'Inputs-System'!$C$7)))*(VLOOKUP(CP$3,Energy!$A$51:$K$83,5,FALSE)), $C64= "3", ('Inputs-System'!$C$30*'Coincidence Factors'!$B$10*(1+'Inputs-System'!$C$18)*(1+'Inputs-System'!$C$41)*('Inputs-Proposals'!$L$29*'Inputs-Proposals'!$L$31*(1-'Inputs-Proposals'!$L$32^(CP$3-'Inputs-System'!$C$7)))*(VLOOKUP(CP$3,Energy!$A$51:$K$83,5,FALSE))), $C64= "0", 0), 0)</f>
        <v>0</v>
      </c>
      <c r="CQ64" s="44">
        <f>IFERROR(_xlfn.IFS($C64="1",('Inputs-System'!$C$30*'Coincidence Factors'!$B$10*(1+'Inputs-System'!$C$18)*(1+'Inputs-System'!$C$41))*'Inputs-Proposals'!$L$17*'Inputs-Proposals'!$L$19*(1-'Inputs-Proposals'!$L$20^(CP$3-'Inputs-System'!$C$7))*(VLOOKUP(CP$3,'Embedded Emissions'!$A$47:$B$78,2,FALSE)+VLOOKUP(CP$3,'Embedded Emissions'!$A$129:$B$158,2,FALSE)), $C64 = "2",('Inputs-System'!$C$30*'Coincidence Factors'!$B$10*(1+'Inputs-System'!$C$18)*(1+'Inputs-System'!$C$41))*'Inputs-Proposals'!$L$23*'Inputs-Proposals'!$L$25*(1-'Inputs-Proposals'!$L$20^(CP$3-'Inputs-System'!$C$7))*(VLOOKUP(CP$3,'Embedded Emissions'!$A$47:$B$78,2,FALSE)+VLOOKUP(CP$3,'Embedded Emissions'!$A$129:$B$158,2,FALSE)), $C64 = "3", ('Inputs-System'!$C$30*'Coincidence Factors'!$B$10*(1+'Inputs-System'!$C$18)*(1+'Inputs-System'!$C$41))*'Inputs-Proposals'!$L$29*'Inputs-Proposals'!$L$31*(1-'Inputs-Proposals'!$L$20^(CP$3-'Inputs-System'!$C$7))*(VLOOKUP(CP$3,'Embedded Emissions'!$A$47:$B$78,2,FALSE)+VLOOKUP(CP$3,'Embedded Emissions'!$A$129:$B$158,2,FALSE)), $C64 = "0", 0), 0)</f>
        <v>0</v>
      </c>
      <c r="CR64" s="44">
        <f>IFERROR(_xlfn.IFS($C64="1",( 'Inputs-System'!$C$30*'Coincidence Factors'!$B$10*(1+'Inputs-System'!$C$18)*(1+'Inputs-System'!$C$41))*('Inputs-Proposals'!$L$17*'Inputs-Proposals'!$L$19*(1-'Inputs-Proposals'!$L$20)^(CP$3-'Inputs-System'!$C$7))*(VLOOKUP(CP$3,DRIPE!$A$54:$I$82,5,FALSE)+VLOOKUP(CP$3,DRIPE!$A$54:$I$82,9,FALSE))+ ('Inputs-System'!$C$26*'Coincidence Factors'!$B$6*(1+'Inputs-System'!$C$18)*(1+'Inputs-System'!$C$42))*'Inputs-Proposals'!$L$16*VLOOKUP(CP$3,DRIPE!$A$54:$I$82,8,FALSE), $C64 = "2",( 'Inputs-System'!$C$30*'Coincidence Factors'!$B$10*(1+'Inputs-System'!$C$18)*(1+'Inputs-System'!$C$41))*('Inputs-Proposals'!$L$23*'Inputs-Proposals'!$L$25*(1-'Inputs-Proposals'!$L$26)^(CP$3-'Inputs-System'!$C$7))*(VLOOKUP(CP$3,DRIPE!$A$54:$I$82,5,FALSE)+VLOOKUP(CP$3,DRIPE!$A$54:$I$82,9,FALSE))+ ('Inputs-System'!$C$26*'Coincidence Factors'!$B$6*(1+'Inputs-System'!$C$18)*(1+'Inputs-System'!$C$42))*'Inputs-Proposals'!$L$22*VLOOKUP(CP$3,DRIPE!$A$54:$I$82,8,FALSE), $C64= "3", ( 'Inputs-System'!$C$30*'Coincidence Factors'!$B$10*(1+'Inputs-System'!$C$18)*(1+'Inputs-System'!$C$41))*('Inputs-Proposals'!$L$29*'Inputs-Proposals'!$L$31*(1-'Inputs-Proposals'!$L$32)^(CP$3-'Inputs-System'!$C$7))*(VLOOKUP(CP$3,DRIPE!$A$54:$I$82,5,FALSE)+VLOOKUP(CP$3,DRIPE!$A$54:$I$82,9,FALSE))+ ('Inputs-System'!$C$26*'Coincidence Factors'!$B$6*(1+'Inputs-System'!$C$18)*(1+'Inputs-System'!$C$42))*'Inputs-Proposals'!$L$28*VLOOKUP(CP$3,DRIPE!$A$54:$I$82,8,FALSE), $C64 = "0", 0), 0)</f>
        <v>0</v>
      </c>
      <c r="CS64" s="45">
        <f>IFERROR(_xlfn.IFS($C64="1",('Inputs-System'!$C$26*'Coincidence Factors'!$B$10*(1+'Inputs-System'!$C$18)*(1+'Inputs-System'!$C$42))*'Inputs-Proposals'!$D$16*(VLOOKUP(CP$3,Capacity!$A$53:$E$85,4,FALSE)*(1+'Inputs-System'!$C$42)+VLOOKUP(CP$3,Capacity!$A$53:$E$85,5,FALSE)*(1+'Inputs-System'!$C$43)*'Inputs-System'!$C$29), $C64 = "2", ('Inputs-System'!$C$26*'Coincidence Factors'!$B$10*(1+'Inputs-System'!$C$18))*'Inputs-Proposals'!$D$22*(VLOOKUP(CP$3,Capacity!$A$53:$E$85,4,FALSE)*(1+'Inputs-System'!$C$42)+VLOOKUP(CP$3,Capacity!$A$53:$E$85,5,FALSE)*'Inputs-System'!$C$29*(1+'Inputs-System'!$C$43)), $C64 = "3", ('Inputs-System'!$C$26*'Coincidence Factors'!$B$10*(1+'Inputs-System'!$C$18))*'Inputs-Proposals'!$D$28*(VLOOKUP(CP$3,Capacity!$A$53:$E$85,4,FALSE)*(1+'Inputs-System'!$C$42)+VLOOKUP(CP$3,Capacity!$A$53:$E$85,5,FALSE)*'Inputs-System'!$C$29*(1+'Inputs-System'!$C$43)), $C64 = "0", 0), 0)</f>
        <v>0</v>
      </c>
      <c r="CT64" s="44">
        <v>0</v>
      </c>
      <c r="CU64" s="342">
        <f>IFERROR(_xlfn.IFS($C64="1", 'Inputs-System'!$C$30*'Coincidence Factors'!$B$10*'Inputs-Proposals'!$L$17*'Inputs-Proposals'!$L$19*(VLOOKUP(CP$3,'Non-Embedded Emissions'!$A$56:$D$90,2,FALSE)-VLOOKUP(CP$3,'Non-Embedded Emissions'!$F$57:$H$88,3,FALSE)+VLOOKUP(CP$3,'Non-Embedded Emissions'!$A$143:$D$174,2,FALSE)-VLOOKUP(CP$3,'Non-Embedded Emissions'!$F$143:$H$174,3,FALSE)+VLOOKUP(CP$3,'Non-Embedded Emissions'!$A$230:$D$259,2,FALSE)), $C64 = "2", 'Inputs-System'!$C$30*'Coincidence Factors'!$B$10*'Inputs-Proposals'!$L$23*'Inputs-Proposals'!$L$25*(VLOOKUP(CP$3,'Non-Embedded Emissions'!$A$56:$D$90,2,FALSE)-VLOOKUP(CP$3,'Non-Embedded Emissions'!$F$57:$H$88,3,FALSE)+VLOOKUP(CP$3,'Non-Embedded Emissions'!$A$143:$D$174,2,FALSE)-VLOOKUP(CP$3,'Non-Embedded Emissions'!$F$143:$H$174,3,FALSE)+VLOOKUP(CP$3,'Non-Embedded Emissions'!$A$230:$D$259,2,FALSE)), $C64 = "3", 'Inputs-System'!$C$30*'Coincidence Factors'!$B$10*'Inputs-Proposals'!$L$29*'Inputs-Proposals'!$L$31*(VLOOKUP(CP$3,'Non-Embedded Emissions'!$A$56:$D$90,2,FALSE)-VLOOKUP(CP$3,'Non-Embedded Emissions'!$F$57:$H$88,3,FALSE)+VLOOKUP(CP$3,'Non-Embedded Emissions'!$A$143:$D$174,2,FALSE)-VLOOKUP(CP$3,'Non-Embedded Emissions'!$F$143:$H$174,3,FALSE)+VLOOKUP(CP$3,'Non-Embedded Emissions'!$A$230:$D$259,2,FALSE)), $C64 = "0", 0), 0)</f>
        <v>0</v>
      </c>
      <c r="CV64" s="45">
        <f>IFERROR(_xlfn.IFS($C64="1",('Inputs-System'!$C$30*'Coincidence Factors'!$B$10*(1+'Inputs-System'!$C$18)*(1+'Inputs-System'!$C$41)*('Inputs-Proposals'!$L$17*'Inputs-Proposals'!$L$19*(1-'Inputs-Proposals'!$L$20^(CV$3-'Inputs-System'!$C$7)))*(VLOOKUP(CV$3,Energy!$A$51:$K$83,5,FALSE))), $C64 = "2",('Inputs-System'!$C$30*'Coincidence Factors'!$B$10)*(1+'Inputs-System'!$C$18)*(1+'Inputs-System'!$C$41)*('Inputs-Proposals'!$L$23*'Inputs-Proposals'!$L$25*(1-'Inputs-Proposals'!$L$26^(CV$3-'Inputs-System'!$C$7)))*(VLOOKUP(CV$3,Energy!$A$51:$K$83,5,FALSE)), $C64= "3", ('Inputs-System'!$C$30*'Coincidence Factors'!$B$10*(1+'Inputs-System'!$C$18)*(1+'Inputs-System'!$C$41)*('Inputs-Proposals'!$L$29*'Inputs-Proposals'!$L$31*(1-'Inputs-Proposals'!$L$32^(CV$3-'Inputs-System'!$C$7)))*(VLOOKUP(CV$3,Energy!$A$51:$K$83,5,FALSE))), $C64= "0", 0), 0)</f>
        <v>0</v>
      </c>
      <c r="CW64" s="44">
        <f>IFERROR(_xlfn.IFS($C64="1",('Inputs-System'!$C$30*'Coincidence Factors'!$B$10*(1+'Inputs-System'!$C$18)*(1+'Inputs-System'!$C$41))*'Inputs-Proposals'!$L$17*'Inputs-Proposals'!$L$19*(1-'Inputs-Proposals'!$L$20^(CV$3-'Inputs-System'!$C$7))*(VLOOKUP(CV$3,'Embedded Emissions'!$A$47:$B$78,2,FALSE)+VLOOKUP(CV$3,'Embedded Emissions'!$A$129:$B$158,2,FALSE)), $C64 = "2",('Inputs-System'!$C$30*'Coincidence Factors'!$B$10*(1+'Inputs-System'!$C$18)*(1+'Inputs-System'!$C$41))*'Inputs-Proposals'!$L$23*'Inputs-Proposals'!$L$25*(1-'Inputs-Proposals'!$L$20^(CV$3-'Inputs-System'!$C$7))*(VLOOKUP(CV$3,'Embedded Emissions'!$A$47:$B$78,2,FALSE)+VLOOKUP(CV$3,'Embedded Emissions'!$A$129:$B$158,2,FALSE)), $C64 = "3", ('Inputs-System'!$C$30*'Coincidence Factors'!$B$10*(1+'Inputs-System'!$C$18)*(1+'Inputs-System'!$C$41))*'Inputs-Proposals'!$L$29*'Inputs-Proposals'!$L$31*(1-'Inputs-Proposals'!$L$20^(CV$3-'Inputs-System'!$C$7))*(VLOOKUP(CV$3,'Embedded Emissions'!$A$47:$B$78,2,FALSE)+VLOOKUP(CV$3,'Embedded Emissions'!$A$129:$B$158,2,FALSE)), $C64 = "0", 0), 0)</f>
        <v>0</v>
      </c>
      <c r="CX64" s="44">
        <f>IFERROR(_xlfn.IFS($C64="1",( 'Inputs-System'!$C$30*'Coincidence Factors'!$B$10*(1+'Inputs-System'!$C$18)*(1+'Inputs-System'!$C$41))*('Inputs-Proposals'!$L$17*'Inputs-Proposals'!$L$19*(1-'Inputs-Proposals'!$L$20)^(CV$3-'Inputs-System'!$C$7))*(VLOOKUP(CV$3,DRIPE!$A$54:$I$82,5,FALSE)+VLOOKUP(CV$3,DRIPE!$A$54:$I$82,9,FALSE))+ ('Inputs-System'!$C$26*'Coincidence Factors'!$B$6*(1+'Inputs-System'!$C$18)*(1+'Inputs-System'!$C$42))*'Inputs-Proposals'!$L$16*VLOOKUP(CV$3,DRIPE!$A$54:$I$82,8,FALSE), $C64 = "2",( 'Inputs-System'!$C$30*'Coincidence Factors'!$B$10*(1+'Inputs-System'!$C$18)*(1+'Inputs-System'!$C$41))*('Inputs-Proposals'!$L$23*'Inputs-Proposals'!$L$25*(1-'Inputs-Proposals'!$L$26)^(CV$3-'Inputs-System'!$C$7))*(VLOOKUP(CV$3,DRIPE!$A$54:$I$82,5,FALSE)+VLOOKUP(CV$3,DRIPE!$A$54:$I$82,9,FALSE))+ ('Inputs-System'!$C$26*'Coincidence Factors'!$B$6*(1+'Inputs-System'!$C$18)*(1+'Inputs-System'!$C$42))*'Inputs-Proposals'!$L$22*VLOOKUP(CV$3,DRIPE!$A$54:$I$82,8,FALSE), $C64= "3", ( 'Inputs-System'!$C$30*'Coincidence Factors'!$B$10*(1+'Inputs-System'!$C$18)*(1+'Inputs-System'!$C$41))*('Inputs-Proposals'!$L$29*'Inputs-Proposals'!$L$31*(1-'Inputs-Proposals'!$L$32)^(CV$3-'Inputs-System'!$C$7))*(VLOOKUP(CV$3,DRIPE!$A$54:$I$82,5,FALSE)+VLOOKUP(CV$3,DRIPE!$A$54:$I$82,9,FALSE))+ ('Inputs-System'!$C$26*'Coincidence Factors'!$B$6*(1+'Inputs-System'!$C$18)*(1+'Inputs-System'!$C$42))*'Inputs-Proposals'!$L$28*VLOOKUP(CV$3,DRIPE!$A$54:$I$82,8,FALSE), $C64 = "0", 0), 0)</f>
        <v>0</v>
      </c>
      <c r="CY64" s="45">
        <f>IFERROR(_xlfn.IFS($C64="1",('Inputs-System'!$C$26*'Coincidence Factors'!$B$10*(1+'Inputs-System'!$C$18)*(1+'Inputs-System'!$C$42))*'Inputs-Proposals'!$D$16*(VLOOKUP(CV$3,Capacity!$A$53:$E$85,4,FALSE)*(1+'Inputs-System'!$C$42)+VLOOKUP(CV$3,Capacity!$A$53:$E$85,5,FALSE)*(1+'Inputs-System'!$C$43)*'Inputs-System'!$C$29), $C64 = "2", ('Inputs-System'!$C$26*'Coincidence Factors'!$B$10*(1+'Inputs-System'!$C$18))*'Inputs-Proposals'!$D$22*(VLOOKUP(CV$3,Capacity!$A$53:$E$85,4,FALSE)*(1+'Inputs-System'!$C$42)+VLOOKUP(CV$3,Capacity!$A$53:$E$85,5,FALSE)*'Inputs-System'!$C$29*(1+'Inputs-System'!$C$43)), $C64 = "3", ('Inputs-System'!$C$26*'Coincidence Factors'!$B$10*(1+'Inputs-System'!$C$18))*'Inputs-Proposals'!$D$28*(VLOOKUP(CV$3,Capacity!$A$53:$E$85,4,FALSE)*(1+'Inputs-System'!$C$42)+VLOOKUP(CV$3,Capacity!$A$53:$E$85,5,FALSE)*'Inputs-System'!$C$29*(1+'Inputs-System'!$C$43)), $C64 = "0", 0), 0)</f>
        <v>0</v>
      </c>
      <c r="CZ64" s="44">
        <v>0</v>
      </c>
      <c r="DA64" s="342">
        <f>IFERROR(_xlfn.IFS($C64="1", 'Inputs-System'!$C$30*'Coincidence Factors'!$B$10*'Inputs-Proposals'!$L$17*'Inputs-Proposals'!$L$19*(VLOOKUP(CV$3,'Non-Embedded Emissions'!$A$56:$D$90,2,FALSE)-VLOOKUP(CV$3,'Non-Embedded Emissions'!$F$57:$H$88,3,FALSE)+VLOOKUP(CV$3,'Non-Embedded Emissions'!$A$143:$D$174,2,FALSE)-VLOOKUP(CV$3,'Non-Embedded Emissions'!$F$143:$H$174,3,FALSE)+VLOOKUP(CV$3,'Non-Embedded Emissions'!$A$230:$D$259,2,FALSE)), $C64 = "2", 'Inputs-System'!$C$30*'Coincidence Factors'!$B$10*'Inputs-Proposals'!$L$23*'Inputs-Proposals'!$L$25*(VLOOKUP(CV$3,'Non-Embedded Emissions'!$A$56:$D$90,2,FALSE)-VLOOKUP(CV$3,'Non-Embedded Emissions'!$F$57:$H$88,3,FALSE)+VLOOKUP(CV$3,'Non-Embedded Emissions'!$A$143:$D$174,2,FALSE)-VLOOKUP(CV$3,'Non-Embedded Emissions'!$F$143:$H$174,3,FALSE)+VLOOKUP(CV$3,'Non-Embedded Emissions'!$A$230:$D$259,2,FALSE)), $C64 = "3", 'Inputs-System'!$C$30*'Coincidence Factors'!$B$10*'Inputs-Proposals'!$L$29*'Inputs-Proposals'!$L$31*(VLOOKUP(CV$3,'Non-Embedded Emissions'!$A$56:$D$90,2,FALSE)-VLOOKUP(CV$3,'Non-Embedded Emissions'!$F$57:$H$88,3,FALSE)+VLOOKUP(CV$3,'Non-Embedded Emissions'!$A$143:$D$174,2,FALSE)-VLOOKUP(CV$3,'Non-Embedded Emissions'!$F$143:$H$174,3,FALSE)+VLOOKUP(CV$3,'Non-Embedded Emissions'!$A$230:$D$259,2,FALSE)), $C64 = "0", 0), 0)</f>
        <v>0</v>
      </c>
      <c r="DB64" s="45">
        <f>IFERROR(_xlfn.IFS($C64="1",('Inputs-System'!$C$30*'Coincidence Factors'!$B$10*(1+'Inputs-System'!$C$18)*(1+'Inputs-System'!$C$41)*('Inputs-Proposals'!$L$17*'Inputs-Proposals'!$L$19*(1-'Inputs-Proposals'!$L$20^(DB$3-'Inputs-System'!$C$7)))*(VLOOKUP(DB$3,Energy!$A$51:$K$83,5,FALSE))), $C64 = "2",('Inputs-System'!$C$30*'Coincidence Factors'!$B$10)*(1+'Inputs-System'!$C$18)*(1+'Inputs-System'!$C$41)*('Inputs-Proposals'!$L$23*'Inputs-Proposals'!$L$25*(1-'Inputs-Proposals'!$L$26^(DB$3-'Inputs-System'!$C$7)))*(VLOOKUP(DB$3,Energy!$A$51:$K$83,5,FALSE)), $C64= "3", ('Inputs-System'!$C$30*'Coincidence Factors'!$B$10*(1+'Inputs-System'!$C$18)*(1+'Inputs-System'!$C$41)*('Inputs-Proposals'!$L$29*'Inputs-Proposals'!$L$31*(1-'Inputs-Proposals'!$L$32^(DB$3-'Inputs-System'!$C$7)))*(VLOOKUP(DB$3,Energy!$A$51:$K$83,5,FALSE))), $C64= "0", 0), 0)</f>
        <v>0</v>
      </c>
      <c r="DC64" s="44">
        <f>IFERROR(_xlfn.IFS($C64="1",('Inputs-System'!$C$30*'Coincidence Factors'!$B$10*(1+'Inputs-System'!$C$18)*(1+'Inputs-System'!$C$41))*'Inputs-Proposals'!$L$17*'Inputs-Proposals'!$L$19*(1-'Inputs-Proposals'!$L$20^(DB$3-'Inputs-System'!$C$7))*(VLOOKUP(DB$3,'Embedded Emissions'!$A$47:$B$78,2,FALSE)+VLOOKUP(DB$3,'Embedded Emissions'!$A$129:$B$158,2,FALSE)), $C64 = "2",('Inputs-System'!$C$30*'Coincidence Factors'!$B$10*(1+'Inputs-System'!$C$18)*(1+'Inputs-System'!$C$41))*'Inputs-Proposals'!$L$23*'Inputs-Proposals'!$L$25*(1-'Inputs-Proposals'!$L$20^(DB$3-'Inputs-System'!$C$7))*(VLOOKUP(DB$3,'Embedded Emissions'!$A$47:$B$78,2,FALSE)+VLOOKUP(DB$3,'Embedded Emissions'!$A$129:$B$158,2,FALSE)), $C64 = "3", ('Inputs-System'!$C$30*'Coincidence Factors'!$B$10*(1+'Inputs-System'!$C$18)*(1+'Inputs-System'!$C$41))*'Inputs-Proposals'!$L$29*'Inputs-Proposals'!$L$31*(1-'Inputs-Proposals'!$L$20^(DB$3-'Inputs-System'!$C$7))*(VLOOKUP(DB$3,'Embedded Emissions'!$A$47:$B$78,2,FALSE)+VLOOKUP(DB$3,'Embedded Emissions'!$A$129:$B$158,2,FALSE)), $C64 = "0", 0), 0)</f>
        <v>0</v>
      </c>
      <c r="DD64" s="44">
        <f>IFERROR(_xlfn.IFS($C64="1",( 'Inputs-System'!$C$30*'Coincidence Factors'!$B$10*(1+'Inputs-System'!$C$18)*(1+'Inputs-System'!$C$41))*('Inputs-Proposals'!$L$17*'Inputs-Proposals'!$L$19*(1-'Inputs-Proposals'!$L$20)^(DB$3-'Inputs-System'!$C$7))*(VLOOKUP(DB$3,DRIPE!$A$54:$I$82,5,FALSE)+VLOOKUP(DB$3,DRIPE!$A$54:$I$82,9,FALSE))+ ('Inputs-System'!$C$26*'Coincidence Factors'!$B$6*(1+'Inputs-System'!$C$18)*(1+'Inputs-System'!$C$42))*'Inputs-Proposals'!$L$16*VLOOKUP(DB$3,DRIPE!$A$54:$I$82,8,FALSE), $C64 = "2",( 'Inputs-System'!$C$30*'Coincidence Factors'!$B$10*(1+'Inputs-System'!$C$18)*(1+'Inputs-System'!$C$41))*('Inputs-Proposals'!$L$23*'Inputs-Proposals'!$L$25*(1-'Inputs-Proposals'!$L$26)^(DB$3-'Inputs-System'!$C$7))*(VLOOKUP(DB$3,DRIPE!$A$54:$I$82,5,FALSE)+VLOOKUP(DB$3,DRIPE!$A$54:$I$82,9,FALSE))+ ('Inputs-System'!$C$26*'Coincidence Factors'!$B$6*(1+'Inputs-System'!$C$18)*(1+'Inputs-System'!$C$42))*'Inputs-Proposals'!$L$22*VLOOKUP(DB$3,DRIPE!$A$54:$I$82,8,FALSE), $C64= "3", ( 'Inputs-System'!$C$30*'Coincidence Factors'!$B$10*(1+'Inputs-System'!$C$18)*(1+'Inputs-System'!$C$41))*('Inputs-Proposals'!$L$29*'Inputs-Proposals'!$L$31*(1-'Inputs-Proposals'!$L$32)^(DB$3-'Inputs-System'!$C$7))*(VLOOKUP(DB$3,DRIPE!$A$54:$I$82,5,FALSE)+VLOOKUP(DB$3,DRIPE!$A$54:$I$82,9,FALSE))+ ('Inputs-System'!$C$26*'Coincidence Factors'!$B$6*(1+'Inputs-System'!$C$18)*(1+'Inputs-System'!$C$42))*'Inputs-Proposals'!$L$28*VLOOKUP(DB$3,DRIPE!$A$54:$I$82,8,FALSE), $C64 = "0", 0), 0)</f>
        <v>0</v>
      </c>
      <c r="DE64" s="45">
        <f>IFERROR(_xlfn.IFS($C64="1",('Inputs-System'!$C$26*'Coincidence Factors'!$B$10*(1+'Inputs-System'!$C$18)*(1+'Inputs-System'!$C$42))*'Inputs-Proposals'!$D$16*(VLOOKUP(DB$3,Capacity!$A$53:$E$85,4,FALSE)*(1+'Inputs-System'!$C$42)+VLOOKUP(DB$3,Capacity!$A$53:$E$85,5,FALSE)*(1+'Inputs-System'!$C$43)*'Inputs-System'!$C$29), $C64 = "2", ('Inputs-System'!$C$26*'Coincidence Factors'!$B$10*(1+'Inputs-System'!$C$18))*'Inputs-Proposals'!$D$22*(VLOOKUP(DB$3,Capacity!$A$53:$E$85,4,FALSE)*(1+'Inputs-System'!$C$42)+VLOOKUP(DB$3,Capacity!$A$53:$E$85,5,FALSE)*'Inputs-System'!$C$29*(1+'Inputs-System'!$C$43)), $C64 = "3", ('Inputs-System'!$C$26*'Coincidence Factors'!$B$10*(1+'Inputs-System'!$C$18))*'Inputs-Proposals'!$D$28*(VLOOKUP(DB$3,Capacity!$A$53:$E$85,4,FALSE)*(1+'Inputs-System'!$C$42)+VLOOKUP(DB$3,Capacity!$A$53:$E$85,5,FALSE)*'Inputs-System'!$C$29*(1+'Inputs-System'!$C$43)), $C64 = "0", 0), 0)</f>
        <v>0</v>
      </c>
      <c r="DF64" s="44">
        <v>0</v>
      </c>
      <c r="DG64" s="342">
        <f>IFERROR(_xlfn.IFS($C64="1", 'Inputs-System'!$C$30*'Coincidence Factors'!$B$10*'Inputs-Proposals'!$L$17*'Inputs-Proposals'!$L$19*(VLOOKUP(DB$3,'Non-Embedded Emissions'!$A$56:$D$90,2,FALSE)-VLOOKUP(DB$3,'Non-Embedded Emissions'!$F$57:$H$88,3,FALSE)+VLOOKUP(DB$3,'Non-Embedded Emissions'!$A$143:$D$174,2,FALSE)-VLOOKUP(DB$3,'Non-Embedded Emissions'!$F$143:$H$174,3,FALSE)+VLOOKUP(DB$3,'Non-Embedded Emissions'!$A$230:$D$259,2,FALSE)), $C64 = "2", 'Inputs-System'!$C$30*'Coincidence Factors'!$B$10*'Inputs-Proposals'!$L$23*'Inputs-Proposals'!$L$25*(VLOOKUP(DB$3,'Non-Embedded Emissions'!$A$56:$D$90,2,FALSE)-VLOOKUP(DB$3,'Non-Embedded Emissions'!$F$57:$H$88,3,FALSE)+VLOOKUP(DB$3,'Non-Embedded Emissions'!$A$143:$D$174,2,FALSE)-VLOOKUP(DB$3,'Non-Embedded Emissions'!$F$143:$H$174,3,FALSE)+VLOOKUP(DB$3,'Non-Embedded Emissions'!$A$230:$D$259,2,FALSE)), $C64 = "3", 'Inputs-System'!$C$30*'Coincidence Factors'!$B$10*'Inputs-Proposals'!$L$29*'Inputs-Proposals'!$L$31*(VLOOKUP(DB$3,'Non-Embedded Emissions'!$A$56:$D$90,2,FALSE)-VLOOKUP(DB$3,'Non-Embedded Emissions'!$F$57:$H$88,3,FALSE)+VLOOKUP(DB$3,'Non-Embedded Emissions'!$A$143:$D$174,2,FALSE)-VLOOKUP(DB$3,'Non-Embedded Emissions'!$F$143:$H$174,3,FALSE)+VLOOKUP(DB$3,'Non-Embedded Emissions'!$A$230:$D$259,2,FALSE)), $C64 = "0", 0), 0)</f>
        <v>0</v>
      </c>
      <c r="DH64" s="45">
        <f>IFERROR(_xlfn.IFS($C64="1",('Inputs-System'!$C$30*'Coincidence Factors'!$B$10*(1+'Inputs-System'!$C$18)*(1+'Inputs-System'!$C$41)*('Inputs-Proposals'!$L$17*'Inputs-Proposals'!$L$19*(1-'Inputs-Proposals'!$L$20^(DH$3-'Inputs-System'!$C$7)))*(VLOOKUP(DH$3,Energy!$A$51:$K$83,5,FALSE))), $C64 = "2",('Inputs-System'!$C$30*'Coincidence Factors'!$B$10)*(1+'Inputs-System'!$C$18)*(1+'Inputs-System'!$C$41)*('Inputs-Proposals'!$L$23*'Inputs-Proposals'!$L$25*(1-'Inputs-Proposals'!$L$26^(DH$3-'Inputs-System'!$C$7)))*(VLOOKUP(DH$3,Energy!$A$51:$K$83,5,FALSE)), $C64= "3", ('Inputs-System'!$C$30*'Coincidence Factors'!$B$10*(1+'Inputs-System'!$C$18)*(1+'Inputs-System'!$C$41)*('Inputs-Proposals'!$L$29*'Inputs-Proposals'!$L$31*(1-'Inputs-Proposals'!$L$32^(DH$3-'Inputs-System'!$C$7)))*(VLOOKUP(DH$3,Energy!$A$51:$K$83,5,FALSE))), $C64= "0", 0), 0)</f>
        <v>0</v>
      </c>
      <c r="DI64" s="44">
        <f>IFERROR(_xlfn.IFS($C64="1",('Inputs-System'!$C$30*'Coincidence Factors'!$B$10*(1+'Inputs-System'!$C$18)*(1+'Inputs-System'!$C$41))*'Inputs-Proposals'!$L$17*'Inputs-Proposals'!$L$19*(1-'Inputs-Proposals'!$L$20^(DH$3-'Inputs-System'!$C$7))*(VLOOKUP(DH$3,'Embedded Emissions'!$A$47:$B$78,2,FALSE)+VLOOKUP(DH$3,'Embedded Emissions'!$A$129:$B$158,2,FALSE)), $C64 = "2",('Inputs-System'!$C$30*'Coincidence Factors'!$B$10*(1+'Inputs-System'!$C$18)*(1+'Inputs-System'!$C$41))*'Inputs-Proposals'!$L$23*'Inputs-Proposals'!$L$25*(1-'Inputs-Proposals'!$L$20^(DH$3-'Inputs-System'!$C$7))*(VLOOKUP(DH$3,'Embedded Emissions'!$A$47:$B$78,2,FALSE)+VLOOKUP(DH$3,'Embedded Emissions'!$A$129:$B$158,2,FALSE)), $C64 = "3", ('Inputs-System'!$C$30*'Coincidence Factors'!$B$10*(1+'Inputs-System'!$C$18)*(1+'Inputs-System'!$C$41))*'Inputs-Proposals'!$L$29*'Inputs-Proposals'!$L$31*(1-'Inputs-Proposals'!$L$20^(DH$3-'Inputs-System'!$C$7))*(VLOOKUP(DH$3,'Embedded Emissions'!$A$47:$B$78,2,FALSE)+VLOOKUP(DH$3,'Embedded Emissions'!$A$129:$B$158,2,FALSE)), $C64 = "0", 0), 0)</f>
        <v>0</v>
      </c>
      <c r="DJ64" s="44">
        <f>IFERROR(_xlfn.IFS($C64="1",( 'Inputs-System'!$C$30*'Coincidence Factors'!$B$10*(1+'Inputs-System'!$C$18)*(1+'Inputs-System'!$C$41))*('Inputs-Proposals'!$L$17*'Inputs-Proposals'!$L$19*(1-'Inputs-Proposals'!$L$20)^(DH$3-'Inputs-System'!$C$7))*(VLOOKUP(DH$3,DRIPE!$A$54:$I$82,5,FALSE)+VLOOKUP(DH$3,DRIPE!$A$54:$I$82,9,FALSE))+ ('Inputs-System'!$C$26*'Coincidence Factors'!$B$6*(1+'Inputs-System'!$C$18)*(1+'Inputs-System'!$C$42))*'Inputs-Proposals'!$L$16*VLOOKUP(DH$3,DRIPE!$A$54:$I$82,8,FALSE), $C64 = "2",( 'Inputs-System'!$C$30*'Coincidence Factors'!$B$10*(1+'Inputs-System'!$C$18)*(1+'Inputs-System'!$C$41))*('Inputs-Proposals'!$L$23*'Inputs-Proposals'!$L$25*(1-'Inputs-Proposals'!$L$26)^(DH$3-'Inputs-System'!$C$7))*(VLOOKUP(DH$3,DRIPE!$A$54:$I$82,5,FALSE)+VLOOKUP(DH$3,DRIPE!$A$54:$I$82,9,FALSE))+ ('Inputs-System'!$C$26*'Coincidence Factors'!$B$6*(1+'Inputs-System'!$C$18)*(1+'Inputs-System'!$C$42))*'Inputs-Proposals'!$L$22*VLOOKUP(DH$3,DRIPE!$A$54:$I$82,8,FALSE), $C64= "3", ( 'Inputs-System'!$C$30*'Coincidence Factors'!$B$10*(1+'Inputs-System'!$C$18)*(1+'Inputs-System'!$C$41))*('Inputs-Proposals'!$L$29*'Inputs-Proposals'!$L$31*(1-'Inputs-Proposals'!$L$32)^(DH$3-'Inputs-System'!$C$7))*(VLOOKUP(DH$3,DRIPE!$A$54:$I$82,5,FALSE)+VLOOKUP(DH$3,DRIPE!$A$54:$I$82,9,FALSE))+ ('Inputs-System'!$C$26*'Coincidence Factors'!$B$6*(1+'Inputs-System'!$C$18)*(1+'Inputs-System'!$C$42))*'Inputs-Proposals'!$L$28*VLOOKUP(DH$3,DRIPE!$A$54:$I$82,8,FALSE), $C64 = "0", 0), 0)</f>
        <v>0</v>
      </c>
      <c r="DK64" s="45">
        <f>IFERROR(_xlfn.IFS($C64="1",('Inputs-System'!$C$26*'Coincidence Factors'!$B$10*(1+'Inputs-System'!$C$18)*(1+'Inputs-System'!$C$42))*'Inputs-Proposals'!$D$16*(VLOOKUP(DH$3,Capacity!$A$53:$E$85,4,FALSE)*(1+'Inputs-System'!$C$42)+VLOOKUP(DH$3,Capacity!$A$53:$E$85,5,FALSE)*(1+'Inputs-System'!$C$43)*'Inputs-System'!$C$29), $C64 = "2", ('Inputs-System'!$C$26*'Coincidence Factors'!$B$10*(1+'Inputs-System'!$C$18))*'Inputs-Proposals'!$D$22*(VLOOKUP(DH$3,Capacity!$A$53:$E$85,4,FALSE)*(1+'Inputs-System'!$C$42)+VLOOKUP(DH$3,Capacity!$A$53:$E$85,5,FALSE)*'Inputs-System'!$C$29*(1+'Inputs-System'!$C$43)), $C64 = "3", ('Inputs-System'!$C$26*'Coincidence Factors'!$B$10*(1+'Inputs-System'!$C$18))*'Inputs-Proposals'!$D$28*(VLOOKUP(DH$3,Capacity!$A$53:$E$85,4,FALSE)*(1+'Inputs-System'!$C$42)+VLOOKUP(DH$3,Capacity!$A$53:$E$85,5,FALSE)*'Inputs-System'!$C$29*(1+'Inputs-System'!$C$43)), $C64 = "0", 0), 0)</f>
        <v>0</v>
      </c>
      <c r="DL64" s="44">
        <v>0</v>
      </c>
      <c r="DM64" s="342">
        <f>IFERROR(_xlfn.IFS($C64="1", 'Inputs-System'!$C$30*'Coincidence Factors'!$B$10*'Inputs-Proposals'!$L$17*'Inputs-Proposals'!$L$19*(VLOOKUP(DH$3,'Non-Embedded Emissions'!$A$56:$D$90,2,FALSE)-VLOOKUP(DH$3,'Non-Embedded Emissions'!$F$57:$H$88,3,FALSE)+VLOOKUP(DH$3,'Non-Embedded Emissions'!$A$143:$D$174,2,FALSE)-VLOOKUP(DH$3,'Non-Embedded Emissions'!$F$143:$H$174,3,FALSE)+VLOOKUP(DH$3,'Non-Embedded Emissions'!$A$230:$D$259,2,FALSE)), $C64 = "2", 'Inputs-System'!$C$30*'Coincidence Factors'!$B$10*'Inputs-Proposals'!$L$23*'Inputs-Proposals'!$L$25*(VLOOKUP(DH$3,'Non-Embedded Emissions'!$A$56:$D$90,2,FALSE)-VLOOKUP(DH$3,'Non-Embedded Emissions'!$F$57:$H$88,3,FALSE)+VLOOKUP(DH$3,'Non-Embedded Emissions'!$A$143:$D$174,2,FALSE)-VLOOKUP(DH$3,'Non-Embedded Emissions'!$F$143:$H$174,3,FALSE)+VLOOKUP(DH$3,'Non-Embedded Emissions'!$A$230:$D$259,2,FALSE)), $C64 = "3", 'Inputs-System'!$C$30*'Coincidence Factors'!$B$10*'Inputs-Proposals'!$L$29*'Inputs-Proposals'!$L$31*(VLOOKUP(DH$3,'Non-Embedded Emissions'!$A$56:$D$90,2,FALSE)-VLOOKUP(DH$3,'Non-Embedded Emissions'!$F$57:$H$88,3,FALSE)+VLOOKUP(DH$3,'Non-Embedded Emissions'!$A$143:$D$174,2,FALSE)-VLOOKUP(DH$3,'Non-Embedded Emissions'!$F$143:$H$174,3,FALSE)+VLOOKUP(DH$3,'Non-Embedded Emissions'!$A$230:$D$259,2,FALSE)), $C64 = "0", 0), 0)</f>
        <v>0</v>
      </c>
      <c r="DN64" s="45">
        <f>IFERROR(_xlfn.IFS($C64="1",('Inputs-System'!$C$30*'Coincidence Factors'!$B$10*(1+'Inputs-System'!$C$18)*(1+'Inputs-System'!$C$41)*('Inputs-Proposals'!$L$17*'Inputs-Proposals'!$L$19*(1-'Inputs-Proposals'!$L$20^(DN$3-'Inputs-System'!$C$7)))*(VLOOKUP(DN$3,Energy!$A$51:$K$83,5,FALSE))), $C64 = "2",('Inputs-System'!$C$30*'Coincidence Factors'!$B$10)*(1+'Inputs-System'!$C$18)*(1+'Inputs-System'!$C$41)*('Inputs-Proposals'!$L$23*'Inputs-Proposals'!$L$25*(1-'Inputs-Proposals'!$L$26^(DN$3-'Inputs-System'!$C$7)))*(VLOOKUP(DN$3,Energy!$A$51:$K$83,5,FALSE)), $C64= "3", ('Inputs-System'!$C$30*'Coincidence Factors'!$B$10*(1+'Inputs-System'!$C$18)*(1+'Inputs-System'!$C$41)*('Inputs-Proposals'!$L$29*'Inputs-Proposals'!$L$31*(1-'Inputs-Proposals'!$L$32^(DN$3-'Inputs-System'!$C$7)))*(VLOOKUP(DN$3,Energy!$A$51:$K$83,5,FALSE))), $C64= "0", 0), 0)</f>
        <v>0</v>
      </c>
      <c r="DO64" s="44">
        <f>IFERROR(_xlfn.IFS($C64="1",('Inputs-System'!$C$30*'Coincidence Factors'!$B$10*(1+'Inputs-System'!$C$18)*(1+'Inputs-System'!$C$41))*'Inputs-Proposals'!$L$17*'Inputs-Proposals'!$L$19*(1-'Inputs-Proposals'!$L$20^(DN$3-'Inputs-System'!$C$7))*(VLOOKUP(DN$3,'Embedded Emissions'!$A$47:$B$78,2,FALSE)+VLOOKUP(DN$3,'Embedded Emissions'!$A$129:$B$158,2,FALSE)), $C64 = "2",('Inputs-System'!$C$30*'Coincidence Factors'!$B$10*(1+'Inputs-System'!$C$18)*(1+'Inputs-System'!$C$41))*'Inputs-Proposals'!$L$23*'Inputs-Proposals'!$L$25*(1-'Inputs-Proposals'!$L$20^(DN$3-'Inputs-System'!$C$7))*(VLOOKUP(DN$3,'Embedded Emissions'!$A$47:$B$78,2,FALSE)+VLOOKUP(DN$3,'Embedded Emissions'!$A$129:$B$158,2,FALSE)), $C64 = "3", ('Inputs-System'!$C$30*'Coincidence Factors'!$B$10*(1+'Inputs-System'!$C$18)*(1+'Inputs-System'!$C$41))*'Inputs-Proposals'!$L$29*'Inputs-Proposals'!$L$31*(1-'Inputs-Proposals'!$L$20^(DN$3-'Inputs-System'!$C$7))*(VLOOKUP(DN$3,'Embedded Emissions'!$A$47:$B$78,2,FALSE)+VLOOKUP(DN$3,'Embedded Emissions'!$A$129:$B$158,2,FALSE)), $C64 = "0", 0), 0)</f>
        <v>0</v>
      </c>
      <c r="DP64" s="44">
        <f>IFERROR(_xlfn.IFS($C64="1",( 'Inputs-System'!$C$30*'Coincidence Factors'!$B$10*(1+'Inputs-System'!$C$18)*(1+'Inputs-System'!$C$41))*('Inputs-Proposals'!$L$17*'Inputs-Proposals'!$L$19*(1-'Inputs-Proposals'!$L$20)^(DN$3-'Inputs-System'!$C$7))*(VLOOKUP(DN$3,DRIPE!$A$54:$I$82,5,FALSE)+VLOOKUP(DN$3,DRIPE!$A$54:$I$82,9,FALSE))+ ('Inputs-System'!$C$26*'Coincidence Factors'!$B$6*(1+'Inputs-System'!$C$18)*(1+'Inputs-System'!$C$42))*'Inputs-Proposals'!$L$16*VLOOKUP(DN$3,DRIPE!$A$54:$I$82,8,FALSE), $C64 = "2",( 'Inputs-System'!$C$30*'Coincidence Factors'!$B$10*(1+'Inputs-System'!$C$18)*(1+'Inputs-System'!$C$41))*('Inputs-Proposals'!$L$23*'Inputs-Proposals'!$L$25*(1-'Inputs-Proposals'!$L$26)^(DN$3-'Inputs-System'!$C$7))*(VLOOKUP(DN$3,DRIPE!$A$54:$I$82,5,FALSE)+VLOOKUP(DN$3,DRIPE!$A$54:$I$82,9,FALSE))+ ('Inputs-System'!$C$26*'Coincidence Factors'!$B$6*(1+'Inputs-System'!$C$18)*(1+'Inputs-System'!$C$42))*'Inputs-Proposals'!$L$22*VLOOKUP(DN$3,DRIPE!$A$54:$I$82,8,FALSE), $C64= "3", ( 'Inputs-System'!$C$30*'Coincidence Factors'!$B$10*(1+'Inputs-System'!$C$18)*(1+'Inputs-System'!$C$41))*('Inputs-Proposals'!$L$29*'Inputs-Proposals'!$L$31*(1-'Inputs-Proposals'!$L$32)^(DN$3-'Inputs-System'!$C$7))*(VLOOKUP(DN$3,DRIPE!$A$54:$I$82,5,FALSE)+VLOOKUP(DN$3,DRIPE!$A$54:$I$82,9,FALSE))+ ('Inputs-System'!$C$26*'Coincidence Factors'!$B$6*(1+'Inputs-System'!$C$18)*(1+'Inputs-System'!$C$42))*'Inputs-Proposals'!$L$28*VLOOKUP(DN$3,DRIPE!$A$54:$I$82,8,FALSE), $C64 = "0", 0), 0)</f>
        <v>0</v>
      </c>
      <c r="DQ64" s="45">
        <f>IFERROR(_xlfn.IFS($C64="1",('Inputs-System'!$C$26*'Coincidence Factors'!$B$10*(1+'Inputs-System'!$C$18)*(1+'Inputs-System'!$C$42))*'Inputs-Proposals'!$D$16*(VLOOKUP(DN$3,Capacity!$A$53:$E$85,4,FALSE)*(1+'Inputs-System'!$C$42)+VLOOKUP(DN$3,Capacity!$A$53:$E$85,5,FALSE)*(1+'Inputs-System'!$C$43)*'Inputs-System'!$C$29), $C64 = "2", ('Inputs-System'!$C$26*'Coincidence Factors'!$B$10*(1+'Inputs-System'!$C$18))*'Inputs-Proposals'!$D$22*(VLOOKUP(DN$3,Capacity!$A$53:$E$85,4,FALSE)*(1+'Inputs-System'!$C$42)+VLOOKUP(DN$3,Capacity!$A$53:$E$85,5,FALSE)*'Inputs-System'!$C$29*(1+'Inputs-System'!$C$43)), $C64 = "3", ('Inputs-System'!$C$26*'Coincidence Factors'!$B$10*(1+'Inputs-System'!$C$18))*'Inputs-Proposals'!$D$28*(VLOOKUP(DN$3,Capacity!$A$53:$E$85,4,FALSE)*(1+'Inputs-System'!$C$42)+VLOOKUP(DN$3,Capacity!$A$53:$E$85,5,FALSE)*'Inputs-System'!$C$29*(1+'Inputs-System'!$C$43)), $C64 = "0", 0), 0)</f>
        <v>0</v>
      </c>
      <c r="DR64" s="44">
        <v>0</v>
      </c>
      <c r="DS64" s="342">
        <f>IFERROR(_xlfn.IFS($C64="1", 'Inputs-System'!$C$30*'Coincidence Factors'!$B$10*'Inputs-Proposals'!$L$17*'Inputs-Proposals'!$L$19*(VLOOKUP(DN$3,'Non-Embedded Emissions'!$A$56:$D$90,2,FALSE)-VLOOKUP(DN$3,'Non-Embedded Emissions'!$F$57:$H$88,3,FALSE)+VLOOKUP(DN$3,'Non-Embedded Emissions'!$A$143:$D$174,2,FALSE)-VLOOKUP(DN$3,'Non-Embedded Emissions'!$F$143:$H$174,3,FALSE)+VLOOKUP(DN$3,'Non-Embedded Emissions'!$A$230:$D$259,2,FALSE)), $C64 = "2", 'Inputs-System'!$C$30*'Coincidence Factors'!$B$10*'Inputs-Proposals'!$L$23*'Inputs-Proposals'!$L$25*(VLOOKUP(DN$3,'Non-Embedded Emissions'!$A$56:$D$90,2,FALSE)-VLOOKUP(DN$3,'Non-Embedded Emissions'!$F$57:$H$88,3,FALSE)+VLOOKUP(DN$3,'Non-Embedded Emissions'!$A$143:$D$174,2,FALSE)-VLOOKUP(DN$3,'Non-Embedded Emissions'!$F$143:$H$174,3,FALSE)+VLOOKUP(DN$3,'Non-Embedded Emissions'!$A$230:$D$259,2,FALSE)), $C64 = "3", 'Inputs-System'!$C$30*'Coincidence Factors'!$B$10*'Inputs-Proposals'!$L$29*'Inputs-Proposals'!$L$31*(VLOOKUP(DN$3,'Non-Embedded Emissions'!$A$56:$D$90,2,FALSE)-VLOOKUP(DN$3,'Non-Embedded Emissions'!$F$57:$H$88,3,FALSE)+VLOOKUP(DN$3,'Non-Embedded Emissions'!$A$143:$D$174,2,FALSE)-VLOOKUP(DN$3,'Non-Embedded Emissions'!$F$143:$H$174,3,FALSE)+VLOOKUP(DN$3,'Non-Embedded Emissions'!$A$230:$D$259,2,FALSE)), $C64 = "0", 0), 0)</f>
        <v>0</v>
      </c>
      <c r="DT64" s="45">
        <f>IFERROR(_xlfn.IFS($C64="1",('Inputs-System'!$C$30*'Coincidence Factors'!$B$10*(1+'Inputs-System'!$C$18)*(1+'Inputs-System'!$C$41)*('Inputs-Proposals'!$L$17*'Inputs-Proposals'!$L$19*(1-'Inputs-Proposals'!$L$20^(DT$3-'Inputs-System'!$C$7)))*(VLOOKUP(DT$3,Energy!$A$51:$K$83,5,FALSE))), $C64 = "2",('Inputs-System'!$C$30*'Coincidence Factors'!$B$10)*(1+'Inputs-System'!$C$18)*(1+'Inputs-System'!$C$41)*('Inputs-Proposals'!$L$23*'Inputs-Proposals'!$L$25*(1-'Inputs-Proposals'!$L$26^(DT$3-'Inputs-System'!$C$7)))*(VLOOKUP(DT$3,Energy!$A$51:$K$83,5,FALSE)), $C64= "3", ('Inputs-System'!$C$30*'Coincidence Factors'!$B$10*(1+'Inputs-System'!$C$18)*(1+'Inputs-System'!$C$41)*('Inputs-Proposals'!$L$29*'Inputs-Proposals'!$L$31*(1-'Inputs-Proposals'!$L$32^(DT$3-'Inputs-System'!$C$7)))*(VLOOKUP(DT$3,Energy!$A$51:$K$83,5,FALSE))), $C64= "0", 0), 0)</f>
        <v>0</v>
      </c>
      <c r="DU64" s="44">
        <f>IFERROR(_xlfn.IFS($C64="1",('Inputs-System'!$C$30*'Coincidence Factors'!$B$10*(1+'Inputs-System'!$C$18)*(1+'Inputs-System'!$C$41))*'Inputs-Proposals'!$L$17*'Inputs-Proposals'!$L$19*(1-'Inputs-Proposals'!$L$20^(DT$3-'Inputs-System'!$C$7))*(VLOOKUP(DT$3,'Embedded Emissions'!$A$47:$B$78,2,FALSE)+VLOOKUP(DT$3,'Embedded Emissions'!$A$129:$B$158,2,FALSE)), $C64 = "2",('Inputs-System'!$C$30*'Coincidence Factors'!$B$10*(1+'Inputs-System'!$C$18)*(1+'Inputs-System'!$C$41))*'Inputs-Proposals'!$L$23*'Inputs-Proposals'!$L$25*(1-'Inputs-Proposals'!$L$20^(DT$3-'Inputs-System'!$C$7))*(VLOOKUP(DT$3,'Embedded Emissions'!$A$47:$B$78,2,FALSE)+VLOOKUP(DT$3,'Embedded Emissions'!$A$129:$B$158,2,FALSE)), $C64 = "3", ('Inputs-System'!$C$30*'Coincidence Factors'!$B$10*(1+'Inputs-System'!$C$18)*(1+'Inputs-System'!$C$41))*'Inputs-Proposals'!$L$29*'Inputs-Proposals'!$L$31*(1-'Inputs-Proposals'!$L$20^(DT$3-'Inputs-System'!$C$7))*(VLOOKUP(DT$3,'Embedded Emissions'!$A$47:$B$78,2,FALSE)+VLOOKUP(DT$3,'Embedded Emissions'!$A$129:$B$158,2,FALSE)), $C64 = "0", 0), 0)</f>
        <v>0</v>
      </c>
      <c r="DV64" s="44">
        <f>IFERROR(_xlfn.IFS($C64="1",( 'Inputs-System'!$C$30*'Coincidence Factors'!$B$10*(1+'Inputs-System'!$C$18)*(1+'Inputs-System'!$C$41))*('Inputs-Proposals'!$L$17*'Inputs-Proposals'!$L$19*(1-'Inputs-Proposals'!$L$20)^(DT$3-'Inputs-System'!$C$7))*(VLOOKUP(DT$3,DRIPE!$A$54:$I$82,5,FALSE)+VLOOKUP(DT$3,DRIPE!$A$54:$I$82,9,FALSE))+ ('Inputs-System'!$C$26*'Coincidence Factors'!$B$6*(1+'Inputs-System'!$C$18)*(1+'Inputs-System'!$C$42))*'Inputs-Proposals'!$L$16*VLOOKUP(DT$3,DRIPE!$A$54:$I$82,8,FALSE), $C64 = "2",( 'Inputs-System'!$C$30*'Coincidence Factors'!$B$10*(1+'Inputs-System'!$C$18)*(1+'Inputs-System'!$C$41))*('Inputs-Proposals'!$L$23*'Inputs-Proposals'!$L$25*(1-'Inputs-Proposals'!$L$26)^(DT$3-'Inputs-System'!$C$7))*(VLOOKUP(DT$3,DRIPE!$A$54:$I$82,5,FALSE)+VLOOKUP(DT$3,DRIPE!$A$54:$I$82,9,FALSE))+ ('Inputs-System'!$C$26*'Coincidence Factors'!$B$6*(1+'Inputs-System'!$C$18)*(1+'Inputs-System'!$C$42))*'Inputs-Proposals'!$L$22*VLOOKUP(DT$3,DRIPE!$A$54:$I$82,8,FALSE), $C64= "3", ( 'Inputs-System'!$C$30*'Coincidence Factors'!$B$10*(1+'Inputs-System'!$C$18)*(1+'Inputs-System'!$C$41))*('Inputs-Proposals'!$L$29*'Inputs-Proposals'!$L$31*(1-'Inputs-Proposals'!$L$32)^(DT$3-'Inputs-System'!$C$7))*(VLOOKUP(DT$3,DRIPE!$A$54:$I$82,5,FALSE)+VLOOKUP(DT$3,DRIPE!$A$54:$I$82,9,FALSE))+ ('Inputs-System'!$C$26*'Coincidence Factors'!$B$6*(1+'Inputs-System'!$C$18)*(1+'Inputs-System'!$C$42))*'Inputs-Proposals'!$L$28*VLOOKUP(DT$3,DRIPE!$A$54:$I$82,8,FALSE), $C64 = "0", 0), 0)</f>
        <v>0</v>
      </c>
      <c r="DW64" s="45">
        <f>IFERROR(_xlfn.IFS($C64="1",('Inputs-System'!$C$26*'Coincidence Factors'!$B$10*(1+'Inputs-System'!$C$18)*(1+'Inputs-System'!$C$42))*'Inputs-Proposals'!$D$16*(VLOOKUP(DT$3,Capacity!$A$53:$E$85,4,FALSE)*(1+'Inputs-System'!$C$42)+VLOOKUP(DT$3,Capacity!$A$53:$E$85,5,FALSE)*(1+'Inputs-System'!$C$43)*'Inputs-System'!$C$29), $C64 = "2", ('Inputs-System'!$C$26*'Coincidence Factors'!$B$10*(1+'Inputs-System'!$C$18))*'Inputs-Proposals'!$D$22*(VLOOKUP(DT$3,Capacity!$A$53:$E$85,4,FALSE)*(1+'Inputs-System'!$C$42)+VLOOKUP(DT$3,Capacity!$A$53:$E$85,5,FALSE)*'Inputs-System'!$C$29*(1+'Inputs-System'!$C$43)), $C64 = "3", ('Inputs-System'!$C$26*'Coincidence Factors'!$B$10*(1+'Inputs-System'!$C$18))*'Inputs-Proposals'!$D$28*(VLOOKUP(DT$3,Capacity!$A$53:$E$85,4,FALSE)*(1+'Inputs-System'!$C$42)+VLOOKUP(DT$3,Capacity!$A$53:$E$85,5,FALSE)*'Inputs-System'!$C$29*(1+'Inputs-System'!$C$43)), $C64 = "0", 0), 0)</f>
        <v>0</v>
      </c>
      <c r="DX64" s="44">
        <v>0</v>
      </c>
      <c r="DY64" s="342">
        <f>IFERROR(_xlfn.IFS($C64="1", 'Inputs-System'!$C$30*'Coincidence Factors'!$B$10*'Inputs-Proposals'!$L$17*'Inputs-Proposals'!$L$19*(VLOOKUP(DT$3,'Non-Embedded Emissions'!$A$56:$D$90,2,FALSE)-VLOOKUP(DT$3,'Non-Embedded Emissions'!$F$57:$H$88,3,FALSE)+VLOOKUP(DT$3,'Non-Embedded Emissions'!$A$143:$D$174,2,FALSE)-VLOOKUP(DT$3,'Non-Embedded Emissions'!$F$143:$H$174,3,FALSE)+VLOOKUP(DT$3,'Non-Embedded Emissions'!$A$230:$D$259,2,FALSE)), $C64 = "2", 'Inputs-System'!$C$30*'Coincidence Factors'!$B$10*'Inputs-Proposals'!$L$23*'Inputs-Proposals'!$L$25*(VLOOKUP(DT$3,'Non-Embedded Emissions'!$A$56:$D$90,2,FALSE)-VLOOKUP(DT$3,'Non-Embedded Emissions'!$F$57:$H$88,3,FALSE)+VLOOKUP(DT$3,'Non-Embedded Emissions'!$A$143:$D$174,2,FALSE)-VLOOKUP(DT$3,'Non-Embedded Emissions'!$F$143:$H$174,3,FALSE)+VLOOKUP(DT$3,'Non-Embedded Emissions'!$A$230:$D$259,2,FALSE)), $C64 = "3", 'Inputs-System'!$C$30*'Coincidence Factors'!$B$10*'Inputs-Proposals'!$L$29*'Inputs-Proposals'!$L$31*(VLOOKUP(DT$3,'Non-Embedded Emissions'!$A$56:$D$90,2,FALSE)-VLOOKUP(DT$3,'Non-Embedded Emissions'!$F$57:$H$88,3,FALSE)+VLOOKUP(DT$3,'Non-Embedded Emissions'!$A$143:$D$174,2,FALSE)-VLOOKUP(DT$3,'Non-Embedded Emissions'!$F$143:$H$174,3,FALSE)+VLOOKUP(DT$3,'Non-Embedded Emissions'!$A$230:$D$259,2,FALSE)), $C64 = "0", 0), 0)</f>
        <v>0</v>
      </c>
      <c r="DZ64" s="45">
        <f>IFERROR(_xlfn.IFS($C64="1",('Inputs-System'!$C$30*'Coincidence Factors'!$B$10*(1+'Inputs-System'!$C$18)*(1+'Inputs-System'!$C$41)*('Inputs-Proposals'!$L$17*'Inputs-Proposals'!$L$19*(1-'Inputs-Proposals'!$L$20^(DZ$3-'Inputs-System'!$C$7)))*(VLOOKUP(DZ$3,Energy!$A$51:$K$83,5,FALSE))), $C64 = "2",('Inputs-System'!$C$30*'Coincidence Factors'!$B$10)*(1+'Inputs-System'!$C$18)*(1+'Inputs-System'!$C$41)*('Inputs-Proposals'!$L$23*'Inputs-Proposals'!$L$25*(1-'Inputs-Proposals'!$L$26^(DZ$3-'Inputs-System'!$C$7)))*(VLOOKUP(DZ$3,Energy!$A$51:$K$83,5,FALSE)), $C64= "3", ('Inputs-System'!$C$30*'Coincidence Factors'!$B$10*(1+'Inputs-System'!$C$18)*(1+'Inputs-System'!$C$41)*('Inputs-Proposals'!$L$29*'Inputs-Proposals'!$L$31*(1-'Inputs-Proposals'!$L$32^(DZ$3-'Inputs-System'!$C$7)))*(VLOOKUP(DZ$3,Energy!$A$51:$K$83,5,FALSE))), $C64= "0", 0), 0)</f>
        <v>0</v>
      </c>
      <c r="EA64" s="44">
        <f>IFERROR(_xlfn.IFS($C64="1",('Inputs-System'!$C$30*'Coincidence Factors'!$B$10*(1+'Inputs-System'!$C$18)*(1+'Inputs-System'!$C$41))*'Inputs-Proposals'!$L$17*'Inputs-Proposals'!$L$19*(1-'Inputs-Proposals'!$L$20^(DZ$3-'Inputs-System'!$C$7))*(VLOOKUP(DZ$3,'Embedded Emissions'!$A$47:$B$78,2,FALSE)+VLOOKUP(DZ$3,'Embedded Emissions'!$A$129:$B$158,2,FALSE)), $C64 = "2",('Inputs-System'!$C$30*'Coincidence Factors'!$B$10*(1+'Inputs-System'!$C$18)*(1+'Inputs-System'!$C$41))*'Inputs-Proposals'!$L$23*'Inputs-Proposals'!$L$25*(1-'Inputs-Proposals'!$L$20^(DZ$3-'Inputs-System'!$C$7))*(VLOOKUP(DZ$3,'Embedded Emissions'!$A$47:$B$78,2,FALSE)+VLOOKUP(DZ$3,'Embedded Emissions'!$A$129:$B$158,2,FALSE)), $C64 = "3", ('Inputs-System'!$C$30*'Coincidence Factors'!$B$10*(1+'Inputs-System'!$C$18)*(1+'Inputs-System'!$C$41))*'Inputs-Proposals'!$L$29*'Inputs-Proposals'!$L$31*(1-'Inputs-Proposals'!$L$20^(DZ$3-'Inputs-System'!$C$7))*(VLOOKUP(DZ$3,'Embedded Emissions'!$A$47:$B$78,2,FALSE)+VLOOKUP(DZ$3,'Embedded Emissions'!$A$129:$B$158,2,FALSE)), $C64 = "0", 0), 0)</f>
        <v>0</v>
      </c>
      <c r="EB64" s="44">
        <f>IFERROR(_xlfn.IFS($C64="1",( 'Inputs-System'!$C$30*'Coincidence Factors'!$B$10*(1+'Inputs-System'!$C$18)*(1+'Inputs-System'!$C$41))*('Inputs-Proposals'!$L$17*'Inputs-Proposals'!$L$19*(1-'Inputs-Proposals'!$L$20)^(DZ$3-'Inputs-System'!$C$7))*(VLOOKUP(DZ$3,DRIPE!$A$54:$I$82,5,FALSE)+VLOOKUP(DZ$3,DRIPE!$A$54:$I$82,9,FALSE))+ ('Inputs-System'!$C$26*'Coincidence Factors'!$B$6*(1+'Inputs-System'!$C$18)*(1+'Inputs-System'!$C$42))*'Inputs-Proposals'!$L$16*VLOOKUP(DZ$3,DRIPE!$A$54:$I$82,8,FALSE), $C64 = "2",( 'Inputs-System'!$C$30*'Coincidence Factors'!$B$10*(1+'Inputs-System'!$C$18)*(1+'Inputs-System'!$C$41))*('Inputs-Proposals'!$L$23*'Inputs-Proposals'!$L$25*(1-'Inputs-Proposals'!$L$26)^(DZ$3-'Inputs-System'!$C$7))*(VLOOKUP(DZ$3,DRIPE!$A$54:$I$82,5,FALSE)+VLOOKUP(DZ$3,DRIPE!$A$54:$I$82,9,FALSE))+ ('Inputs-System'!$C$26*'Coincidence Factors'!$B$6*(1+'Inputs-System'!$C$18)*(1+'Inputs-System'!$C$42))*'Inputs-Proposals'!$L$22*VLOOKUP(DZ$3,DRIPE!$A$54:$I$82,8,FALSE), $C64= "3", ( 'Inputs-System'!$C$30*'Coincidence Factors'!$B$10*(1+'Inputs-System'!$C$18)*(1+'Inputs-System'!$C$41))*('Inputs-Proposals'!$L$29*'Inputs-Proposals'!$L$31*(1-'Inputs-Proposals'!$L$32)^(DZ$3-'Inputs-System'!$C$7))*(VLOOKUP(DZ$3,DRIPE!$A$54:$I$82,5,FALSE)+VLOOKUP(DZ$3,DRIPE!$A$54:$I$82,9,FALSE))+ ('Inputs-System'!$C$26*'Coincidence Factors'!$B$6*(1+'Inputs-System'!$C$18)*(1+'Inputs-System'!$C$42))*'Inputs-Proposals'!$L$28*VLOOKUP(DZ$3,DRIPE!$A$54:$I$82,8,FALSE), $C64 = "0", 0), 0)</f>
        <v>0</v>
      </c>
      <c r="EC64" s="45">
        <f>IFERROR(_xlfn.IFS($C64="1",('Inputs-System'!$C$26*'Coincidence Factors'!$B$10*(1+'Inputs-System'!$C$18)*(1+'Inputs-System'!$C$42))*'Inputs-Proposals'!$D$16*(VLOOKUP(DZ$3,Capacity!$A$53:$E$85,4,FALSE)*(1+'Inputs-System'!$C$42)+VLOOKUP(DZ$3,Capacity!$A$53:$E$85,5,FALSE)*(1+'Inputs-System'!$C$43)*'Inputs-System'!$C$29), $C64 = "2", ('Inputs-System'!$C$26*'Coincidence Factors'!$B$10*(1+'Inputs-System'!$C$18))*'Inputs-Proposals'!$D$22*(VLOOKUP(DZ$3,Capacity!$A$53:$E$85,4,FALSE)*(1+'Inputs-System'!$C$42)+VLOOKUP(DZ$3,Capacity!$A$53:$E$85,5,FALSE)*'Inputs-System'!$C$29*(1+'Inputs-System'!$C$43)), $C64 = "3", ('Inputs-System'!$C$26*'Coincidence Factors'!$B$10*(1+'Inputs-System'!$C$18))*'Inputs-Proposals'!$D$28*(VLOOKUP(DZ$3,Capacity!$A$53:$E$85,4,FALSE)*(1+'Inputs-System'!$C$42)+VLOOKUP(DZ$3,Capacity!$A$53:$E$85,5,FALSE)*'Inputs-System'!$C$29*(1+'Inputs-System'!$C$43)), $C64 = "0", 0), 0)</f>
        <v>0</v>
      </c>
      <c r="ED64" s="44">
        <v>0</v>
      </c>
      <c r="EE64" s="342">
        <f>IFERROR(_xlfn.IFS($C64="1", 'Inputs-System'!$C$30*'Coincidence Factors'!$B$10*'Inputs-Proposals'!$L$17*'Inputs-Proposals'!$L$19*(VLOOKUP(DZ$3,'Non-Embedded Emissions'!$A$56:$D$90,2,FALSE)-VLOOKUP(DZ$3,'Non-Embedded Emissions'!$F$57:$H$88,3,FALSE)+VLOOKUP(DZ$3,'Non-Embedded Emissions'!$A$143:$D$174,2,FALSE)-VLOOKUP(DZ$3,'Non-Embedded Emissions'!$F$143:$H$174,3,FALSE)+VLOOKUP(DZ$3,'Non-Embedded Emissions'!$A$230:$D$259,2,FALSE)), $C64 = "2", 'Inputs-System'!$C$30*'Coincidence Factors'!$B$10*'Inputs-Proposals'!$L$23*'Inputs-Proposals'!$L$25*(VLOOKUP(DZ$3,'Non-Embedded Emissions'!$A$56:$D$90,2,FALSE)-VLOOKUP(DZ$3,'Non-Embedded Emissions'!$F$57:$H$88,3,FALSE)+VLOOKUP(DZ$3,'Non-Embedded Emissions'!$A$143:$D$174,2,FALSE)-VLOOKUP(DZ$3,'Non-Embedded Emissions'!$F$143:$H$174,3,FALSE)+VLOOKUP(DZ$3,'Non-Embedded Emissions'!$A$230:$D$259,2,FALSE)), $C64 = "3", 'Inputs-System'!$C$30*'Coincidence Factors'!$B$10*'Inputs-Proposals'!$L$29*'Inputs-Proposals'!$L$31*(VLOOKUP(DZ$3,'Non-Embedded Emissions'!$A$56:$D$90,2,FALSE)-VLOOKUP(DZ$3,'Non-Embedded Emissions'!$F$57:$H$88,3,FALSE)+VLOOKUP(DZ$3,'Non-Embedded Emissions'!$A$143:$D$174,2,FALSE)-VLOOKUP(DZ$3,'Non-Embedded Emissions'!$F$143:$H$174,3,FALSE)+VLOOKUP(DZ$3,'Non-Embedded Emissions'!$A$230:$D$259,2,FALSE)), $C64 = "0", 0), 0)</f>
        <v>0</v>
      </c>
    </row>
    <row r="65" spans="1:135" x14ac:dyDescent="0.35">
      <c r="A65" s="707">
        <f>'Inputs-Proposals'!M2</f>
        <v>0</v>
      </c>
      <c r="B65" s="52" t="s">
        <v>90</v>
      </c>
      <c r="C65" s="52" t="str">
        <f>IFERROR(_xlfn.IFS('Benefits Calc'!B65='Inputs-Proposals'!$M$15, "1", 'Benefits Calc'!B65='Inputs-Proposals'!$M$21, "2", 'Benefits Calc'!B65='Inputs-Proposals'!$M$27, "3"), "0")</f>
        <v>0</v>
      </c>
      <c r="D65" s="323">
        <f t="shared" si="0"/>
        <v>0</v>
      </c>
      <c r="E65" s="44">
        <f t="shared" si="1"/>
        <v>0</v>
      </c>
      <c r="F65" s="44">
        <f t="shared" si="2"/>
        <v>0</v>
      </c>
      <c r="G65" s="44">
        <f t="shared" si="3"/>
        <v>0</v>
      </c>
      <c r="H65" s="44">
        <f t="shared" si="4"/>
        <v>0</v>
      </c>
      <c r="I65" s="44">
        <f t="shared" si="5"/>
        <v>0</v>
      </c>
      <c r="J65" s="322">
        <f>NPV('Inputs-System'!$C$20,P65+V65+AB65+AH65+AN65+AT65+AZ65+BF65+BL65+BR65+BX65+CD65+CJ65+CP65+CV65+DB65+DH65+DN65+DT65+DZ65)</f>
        <v>0</v>
      </c>
      <c r="K65" s="318">
        <f>NPV('Inputs-System'!$C$20,Q65+W65+AC65+AI65+AO65+AU65+BA65+BG65+BM65+BS65+BY65+CE65+CK65+CQ65+CW65+DC65+DI65+DO65+DU65+EA65)</f>
        <v>0</v>
      </c>
      <c r="L65" s="318">
        <f>NPV('Inputs-System'!$C$20,R65+X65+AD65+AJ65+AP65+AV65+BB65+BH65+BN65+BT65+BZ65+CF65+CL65+CR65+CX65+DD65+DJ65+DP65+DV65+EB65)</f>
        <v>0</v>
      </c>
      <c r="M65" s="318">
        <f>NPV('Inputs-System'!$C$20,S65+Y65+AE65+AK65+AQ65+AW65+BC65+BI65+BO65+BU65+CA65+CG65+CM65+CS65+CY65+DE65+DK65+DQ65+DW65+EC65)</f>
        <v>0</v>
      </c>
      <c r="N65" s="318">
        <f>NPV('Inputs-System'!$C$20,T65+Z65+AF65+AL65+AR65+AX65+BD65+BJ65+BP65+BV65+CB65+CH65+CN65+CT65+CZ65+DF65+DL65+DR65+DX65+ED65)</f>
        <v>0</v>
      </c>
      <c r="O65" s="319">
        <f>NPV('Inputs-System'!$C$20,U65+AA65+AG65+AM65+AS65+AY65+BE65+BK65+BQ65+BW65+CC65+CI65+CO65+CU65+DA65+DG65+DM65+DS65+DY65+EE65)</f>
        <v>0</v>
      </c>
      <c r="P65" s="326">
        <f>IFERROR(_xlfn.IFS($C65="1",('Inputs-System'!$C$30*'Coincidence Factors'!$B$5*(1+'Inputs-System'!$C$18)*(1+'Inputs-System'!$C$41)*('Inputs-Proposals'!$M$17*'Inputs-Proposals'!$M$19*(1-'Inputs-Proposals'!$M$20))*(VLOOKUP(P$3,Energy!$A$51:$K$83,5,FALSE)-VLOOKUP(P$3,Energy!$A$51:$K$83,6,FALSE))), $C65 = "2",('Inputs-System'!$C$30*'Coincidence Factors'!$B$5)*(1+'Inputs-System'!$C$18)*(1+'Inputs-System'!$C$41)*('Inputs-Proposals'!$M$23*'Inputs-Proposals'!$M$25*(1-'Inputs-Proposals'!$M$26))*(VLOOKUP(P$3,Energy!$A$51:$K$83,5,FALSE)-VLOOKUP(P$3,Energy!$A$51:$K$83,6,FALSE)), $C65= "3", ('Inputs-System'!$C$30*'Coincidence Factors'!$B$5*(1+'Inputs-System'!$C$18)*(1+'Inputs-System'!$C$41)*('Inputs-Proposals'!$M$29*'Inputs-Proposals'!$M$31*(1-'Inputs-Proposals'!$M$32))*(VLOOKUP(P$3,Energy!$A$51:$K$83,5,FALSE)-VLOOKUP(P$3,Energy!$A$51:$K$83,6,FALSE))), $C65= "0", 0), 0)</f>
        <v>0</v>
      </c>
      <c r="Q65" s="318">
        <f>IFERROR(_xlfn.IFS($C65="1", 'Inputs-System'!$C$30*'Coincidence Factors'!$B$5*(1+'Inputs-System'!$C$18)*(1+'Inputs-System'!$C$41)*'Inputs-Proposals'!$M$17*'Inputs-Proposals'!$M$19*(1-'Inputs-Proposals'!$M$20)*(VLOOKUP(P$3,'Embedded Emissions'!$A$47:$B$78,2,FALSE)+VLOOKUP(P$3,'Embedded Emissions'!$A$129:$B$158,2,FALSE)), $C65 = "2",'Inputs-System'!$C$30*'Coincidence Factors'!$B$5*(1+'Inputs-System'!$C$18)*(1+'Inputs-System'!$C$41)*'Inputs-Proposals'!$M$23*'Inputs-Proposals'!$M$25*(1-'Inputs-Proposals'!$M$20)*(VLOOKUP(P$3,'Embedded Emissions'!$A$47:$B$78,2,FALSE)+VLOOKUP(P$3,'Embedded Emissions'!$A$129:$B$158,2,FALSE)), $C65 = "3", 'Inputs-System'!$C$30*'Coincidence Factors'!$B$5*(1+'Inputs-System'!$C$18)*(1+'Inputs-System'!$C$41)*'Inputs-Proposals'!$M$29*'Inputs-Proposals'!$M$31*(1-'Inputs-Proposals'!$M$20)*(VLOOKUP(P$3,'Embedded Emissions'!$A$47:$B$78,2,FALSE)+VLOOKUP(P$3,'Embedded Emissions'!$A$129:$B$158,2,FALSE)), $C65 = "0", 0), 0)</f>
        <v>0</v>
      </c>
      <c r="R65" s="318">
        <f>IFERROR(_xlfn.IFS($C65="1",( 'Inputs-System'!$C$30*'Coincidence Factors'!$B$5*(1+'Inputs-System'!$C$18)*(1+'Inputs-System'!$C$41))*('Inputs-Proposals'!$M$17*'Inputs-Proposals'!$M$19*(1-'Inputs-Proposals'!$M$20))*(VLOOKUP(P$3,DRIPE!$A$54:$I$82,5,FALSE)-VLOOKUP(P$3,DRIPE!$A$54:$I$82,6,FALSE)+VLOOKUP(P$3,DRIPE!$A$54:$I$82,9,FALSE))+ ('Inputs-System'!$C$26*'Coincidence Factors'!$B$5*(1+'Inputs-System'!$C$18)*(1+'Inputs-System'!$C$42))*'Inputs-Proposals'!$M$16*VLOOKUP(P$3,DRIPE!$A$54:$I$80,8,FALSE), $C65 = "2",( 'Inputs-System'!$C$30*'Coincidence Factors'!$B$5*(1+'Inputs-System'!$C$18)*(1+'Inputs-System'!$C$41))*('Inputs-Proposals'!$M$23*'Inputs-Proposals'!$M$25*(1-'Inputs-Proposals'!$M$26))*(VLOOKUP(P$3,DRIPE!$A$54:$I$82,5,FALSE)-VLOOKUP(P$3,DRIPE!$A$54:$I$82,6,FALSE)+VLOOKUP(P$3,DRIPE!$A$54:$I$82,9,FALSE))+ ('Inputs-System'!$C$26*'Coincidence Factors'!$B$5*(1+'Inputs-System'!$C$18)*(1+'Inputs-System'!$C$41))+ ('Inputs-System'!$C$26*'Coincidence Factors'!$B$5)*'Inputs-Proposals'!$M$22*VLOOKUP(P$3,DRIPE!$A$54:$I$80,8,FALSE), $C65= "3", ('Inputs-System'!$C$30*'Coincidence Factors'!$B$5)*('Inputs-Proposals'!$M$29*'Inputs-Proposals'!$M$31*(1-'Inputs-Proposals'!$M$32))*(VLOOKUP(P$3,DRIPE!$A$54:$I$80,5,FALSE)-VLOOKUP(P$3,DRIPE!$A$54:$I$80,6,FALSE)+VLOOKUP(P$3,DRIPE!$A$54:$I$80,9,FALSE))+ ('Inputs-System'!$C$26*'Coincidence Factors'!$B$5*(1+'Inputs-System'!$C$18)*(1+'Inputs-System'!$C$42))*'Inputs-Proposals'!$M$28*VLOOKUP(P$3,DRIPE!$A$54:$I$80,8,FALSE), $C65 = "0", 0), 0)</f>
        <v>0</v>
      </c>
      <c r="S65" s="326">
        <f>IFERROR(_xlfn.IFS($C65="1",('Inputs-System'!$C$26*'Coincidence Factors'!$B$5*(1+'Inputs-System'!$C$18)*(1+'Inputs-System'!$C$42))*'Inputs-Proposals'!$M$16*(VLOOKUP(P$3,Capacity!$A$53:$E$85,4,FALSE)*(1+'Inputs-System'!$C$42)+VLOOKUP(P$3,Capacity!$A$53:$E$85,5,FALSE)*(1+'Inputs-System'!$C$43)*'Inputs-System'!$C$29), $C65 = "2", ('Inputs-System'!$C$26*'Coincidence Factors'!$B$5*(1+'Inputs-System'!$C$18))*'Inputs-Proposals'!$M$22*(VLOOKUP(P$3,Capacity!$A$53:$E$85,4,FALSE)*(1+'Inputs-System'!$C$42)+VLOOKUP(P$3,Capacity!$A$53:$E$85,5,FALSE)*'Inputs-System'!$C$29*(1+'Inputs-System'!$C$43)), $C65 = "3", ('Inputs-System'!$C$26*'Coincidence Factors'!$B$5*(1+'Inputs-System'!$C$18))*'Inputs-Proposals'!$M$28*(VLOOKUP(P$3,Capacity!$A$53:$E$85,4,FALSE)*(1+'Inputs-System'!$C$42)+VLOOKUP(P$3,Capacity!$A$53:$E$85,5,FALSE)*'Inputs-System'!$C$29*(1+'Inputs-System'!$C$43)), $C65 = "0", 0), 0)</f>
        <v>0</v>
      </c>
      <c r="T65" s="318">
        <v>0</v>
      </c>
      <c r="U65" s="318">
        <f>IFERROR(_xlfn.IFS($C65="1", 'Inputs-System'!$C$30*'Coincidence Factors'!$B$5*'Inputs-Proposals'!$M$17*'Inputs-Proposals'!$M$19*(VLOOKUP(P$3,'Non-Embedded Emissions'!$A$56:$D$90,2,FALSE)+VLOOKUP(P$3,'Non-Embedded Emissions'!$A$143:$D$174,2,FALSE)+VLOOKUP(P$3,'Non-Embedded Emissions'!$A$230:$D$259,2,FALSE)-VLOOKUP(P$3,'Non-Embedded Emissions'!$A$56:$D$90,3,FALSE)-VLOOKUP(P$3,'Non-Embedded Emissions'!$A$143:$D$174,3,FALSE)-VLOOKUP(P$3,'Non-Embedded Emissions'!$A$230:$D$259,3,FALSE)), $C65 = "2", 'Inputs-System'!$C$30*'Coincidence Factors'!$B$5*'Inputs-Proposals'!$M$23*'Inputs-Proposals'!$M$25*(VLOOKUP(P$3,'Non-Embedded Emissions'!$A$56:$D$90,2,FALSE)+VLOOKUP(P$3,'Non-Embedded Emissions'!$A$143:$D$174,2,FALSE)+VLOOKUP(P$3,'Non-Embedded Emissions'!$A$230:$D$259,2,FALSE)-VLOOKUP(P$3,'Non-Embedded Emissions'!$A$56:$D$90,3,FALSE)-VLOOKUP(P$3,'Non-Embedded Emissions'!$A$143:$D$174,3,FALSE)-VLOOKUP(P$3,'Non-Embedded Emissions'!$A$230:$D$259,3,FALSE)), $C65 = "3", 'Inputs-System'!$C$30*'Coincidence Factors'!$B$5*'Inputs-Proposals'!$M$29*'Inputs-Proposals'!$M$31*(VLOOKUP(P$3,'Non-Embedded Emissions'!$A$56:$D$90,2,FALSE)+VLOOKUP(P$3,'Non-Embedded Emissions'!$A$143:$D$174,2,FALSE)+VLOOKUP(P$3,'Non-Embedded Emissions'!$A$230:$D$259,2,FALSE)-VLOOKUP(P$3,'Non-Embedded Emissions'!$A$56:$D$90,3,FALSE)-VLOOKUP(P$3,'Non-Embedded Emissions'!$A$143:$D$174,3,FALSE)-VLOOKUP(P$3,'Non-Embedded Emissions'!$A$230:$D$259,3,FALSE)), $C65 = "0", 0), 0)</f>
        <v>0</v>
      </c>
      <c r="V65" s="344">
        <f>IFERROR(_xlfn.IFS($C65="1",('Inputs-System'!$C$30*'Coincidence Factors'!$B$5*(1+'Inputs-System'!$C$18)*(1+'Inputs-System'!$C$41)*('Inputs-Proposals'!$M$17*'Inputs-Proposals'!$M$19*(1-'Inputs-Proposals'!$M$20))*(VLOOKUP(V$3,Energy!$A$51:$K$83,5,FALSE)-VLOOKUP(V$3,Energy!$A$51:$K$83,6,FALSE))), $C65 = "2",('Inputs-System'!$C$30*'Coincidence Factors'!$B$5)*(1+'Inputs-System'!$C$18)*(1+'Inputs-System'!$C$41)*('Inputs-Proposals'!$M$23*'Inputs-Proposals'!$M$25*(1-'Inputs-Proposals'!$M$26))*(VLOOKUP(V$3,Energy!$A$51:$K$83,5,FALSE)-VLOOKUP(V$3,Energy!$A$51:$K$83,6,FALSE)), $C65= "3", ('Inputs-System'!$C$30*'Coincidence Factors'!$B$5*(1+'Inputs-System'!$C$18)*(1+'Inputs-System'!$C$41)*('Inputs-Proposals'!$M$29*'Inputs-Proposals'!$M$31*(1-'Inputs-Proposals'!$M$32))*(VLOOKUP(V$3,Energy!$A$51:$K$83,5,FALSE)-VLOOKUP(V$3,Energy!$A$51:$K$83,6,FALSE))), $C65= "0", 0), 0)</f>
        <v>0</v>
      </c>
      <c r="W65" s="100">
        <f>IFERROR(_xlfn.IFS($C65="1", 'Inputs-System'!$C$30*'Coincidence Factors'!$B$5*(1+'Inputs-System'!$C$18)*(1+'Inputs-System'!$C$41)*'Inputs-Proposals'!$M$17*'Inputs-Proposals'!$M$19*(1-'Inputs-Proposals'!$M$20)*(VLOOKUP(V$3,'Embedded Emissions'!$A$47:$B$78,2,FALSE)+VLOOKUP(V$3,'Embedded Emissions'!$A$129:$B$158,2,FALSE)), $C65 = "2",'Inputs-System'!$C$30*'Coincidence Factors'!$B$5*(1+'Inputs-System'!$C$18)*(1+'Inputs-System'!$C$41)*'Inputs-Proposals'!$M$23*'Inputs-Proposals'!$M$25*(1-'Inputs-Proposals'!$M$20)*(VLOOKUP(V$3,'Embedded Emissions'!$A$47:$B$78,2,FALSE)+VLOOKUP(V$3,'Embedded Emissions'!$A$129:$B$158,2,FALSE)), $C65 = "3", 'Inputs-System'!$C$30*'Coincidence Factors'!$B$5*(1+'Inputs-System'!$C$18)*(1+'Inputs-System'!$C$41)*'Inputs-Proposals'!$M$29*'Inputs-Proposals'!$M$31*(1-'Inputs-Proposals'!$M$20)*(VLOOKUP(V$3,'Embedded Emissions'!$A$47:$B$78,2,FALSE)+VLOOKUP(V$3,'Embedded Emissions'!$A$129:$B$158,2,FALSE)), $C65 = "0", 0), 0)</f>
        <v>0</v>
      </c>
      <c r="X65" s="318">
        <f>IFERROR(_xlfn.IFS($C65="1",( 'Inputs-System'!$C$30*'Coincidence Factors'!$B$5*(1+'Inputs-System'!$C$18)*(1+'Inputs-System'!$C$41))*('Inputs-Proposals'!$M$17*'Inputs-Proposals'!$M$19*(1-'Inputs-Proposals'!$M$20))*(VLOOKUP(V$3,DRIPE!$A$54:$I$82,5,FALSE)-VLOOKUP(V$3,DRIPE!$A$54:$I$82,6,FALSE)+VLOOKUP(V$3,DRIPE!$A$54:$I$82,9,FALSE))+ ('Inputs-System'!$C$26*'Coincidence Factors'!$B$5*(1+'Inputs-System'!$C$18)*(1+'Inputs-System'!$C$42))*'Inputs-Proposals'!$M$16*VLOOKUP(V$3,DRIPE!$A$54:$I$80,8,FALSE), $C65 = "2",( 'Inputs-System'!$C$30*'Coincidence Factors'!$B$5*(1+'Inputs-System'!$C$18)*(1+'Inputs-System'!$C$41))*('Inputs-Proposals'!$M$23*'Inputs-Proposals'!$M$25*(1-'Inputs-Proposals'!$M$26))*(VLOOKUP(V$3,DRIPE!$A$54:$I$82,5,FALSE)-VLOOKUP(V$3,DRIPE!$A$54:$I$82,6,FALSE)+VLOOKUP(V$3,DRIPE!$A$54:$I$82,9,FALSE))+ ('Inputs-System'!$C$26*'Coincidence Factors'!$B$5*(1+'Inputs-System'!$C$18)*(1+'Inputs-System'!$C$41))+ ('Inputs-System'!$C$26*'Coincidence Factors'!$B$5)*'Inputs-Proposals'!$M$22*VLOOKUP(V$3,DRIPE!$A$54:$I$80,8,FALSE), $C65= "3", ('Inputs-System'!$C$30*'Coincidence Factors'!$B$5)*('Inputs-Proposals'!$M$29*'Inputs-Proposals'!$M$31*(1-'Inputs-Proposals'!$M$32))*(VLOOKUP(V$3,DRIPE!$A$54:$I$80,5,FALSE)-VLOOKUP(V$3,DRIPE!$A$54:$I$80,6,FALSE)+VLOOKUP(V$3,DRIPE!$A$54:$I$80,9,FALSE))+ ('Inputs-System'!$C$26*'Coincidence Factors'!$B$5*(1+'Inputs-System'!$C$18)*(1+'Inputs-System'!$C$42))*'Inputs-Proposals'!$M$28*VLOOKUP(V$3,DRIPE!$A$54:$I$80,8,FALSE), $C65 = "0", 0), 0)</f>
        <v>0</v>
      </c>
      <c r="Y65" s="326">
        <f>IFERROR(_xlfn.IFS($C65="1",('Inputs-System'!$C$26*'Coincidence Factors'!$B$5*(1+'Inputs-System'!$C$18)*(1+'Inputs-System'!$C$42))*'Inputs-Proposals'!$M$16*(VLOOKUP(V$3,Capacity!$A$53:$E$85,4,FALSE)*(1+'Inputs-System'!$C$42)+VLOOKUP(V$3,Capacity!$A$53:$E$85,5,FALSE)*(1+'Inputs-System'!$C$43)*'Inputs-System'!$C$29), $C65 = "2", ('Inputs-System'!$C$26*'Coincidence Factors'!$B$5*(1+'Inputs-System'!$C$18))*'Inputs-Proposals'!$M$22*(VLOOKUP(V$3,Capacity!$A$53:$E$85,4,FALSE)*(1+'Inputs-System'!$C$42)+VLOOKUP(V$3,Capacity!$A$53:$E$85,5,FALSE)*'Inputs-System'!$C$29*(1+'Inputs-System'!$C$43)), $C65 = "3", ('Inputs-System'!$C$26*'Coincidence Factors'!$B$5*(1+'Inputs-System'!$C$18))*'Inputs-Proposals'!$M$28*(VLOOKUP(V$3,Capacity!$A$53:$E$85,4,FALSE)*(1+'Inputs-System'!$C$42)+VLOOKUP(V$3,Capacity!$A$53:$E$85,5,FALSE)*'Inputs-System'!$C$29*(1+'Inputs-System'!$C$43)), $C65 = "0", 0), 0)</f>
        <v>0</v>
      </c>
      <c r="Z65" s="100">
        <v>0</v>
      </c>
      <c r="AA65" s="346">
        <f>IFERROR(_xlfn.IFS($C65="1", 'Inputs-System'!$C$30*'Coincidence Factors'!$B$5*'Inputs-Proposals'!$M$17*'Inputs-Proposals'!$M$19*(VLOOKUP(V$3,'Non-Embedded Emissions'!$A$56:$D$90,2,FALSE)+VLOOKUP(V$3,'Non-Embedded Emissions'!$A$143:$D$174,2,FALSE)+VLOOKUP(V$3,'Non-Embedded Emissions'!$A$230:$D$259,2,FALSE)-VLOOKUP(V$3,'Non-Embedded Emissions'!$A$56:$D$90,3,FALSE)-VLOOKUP(V$3,'Non-Embedded Emissions'!$A$143:$D$174,3,FALSE)-VLOOKUP(V$3,'Non-Embedded Emissions'!$A$230:$D$259,3,FALSE)), $C65 = "2", 'Inputs-System'!$C$30*'Coincidence Factors'!$B$5*'Inputs-Proposals'!$M$23*'Inputs-Proposals'!$M$25*(VLOOKUP(V$3,'Non-Embedded Emissions'!$A$56:$D$90,2,FALSE)+VLOOKUP(V$3,'Non-Embedded Emissions'!$A$143:$D$174,2,FALSE)+VLOOKUP(V$3,'Non-Embedded Emissions'!$A$230:$D$259,2,FALSE)-VLOOKUP(V$3,'Non-Embedded Emissions'!$A$56:$D$90,3,FALSE)-VLOOKUP(V$3,'Non-Embedded Emissions'!$A$143:$D$174,3,FALSE)-VLOOKUP(V$3,'Non-Embedded Emissions'!$A$230:$D$259,3,FALSE)), $C65 = "3", 'Inputs-System'!$C$30*'Coincidence Factors'!$B$5*'Inputs-Proposals'!$M$29*'Inputs-Proposals'!$M$31*(VLOOKUP(V$3,'Non-Embedded Emissions'!$A$56:$D$90,2,FALSE)+VLOOKUP(V$3,'Non-Embedded Emissions'!$A$143:$D$174,2,FALSE)+VLOOKUP(V$3,'Non-Embedded Emissions'!$A$230:$D$259,2,FALSE)-VLOOKUP(V$3,'Non-Embedded Emissions'!$A$56:$D$90,3,FALSE)-VLOOKUP(V$3,'Non-Embedded Emissions'!$A$143:$D$174,3,FALSE)-VLOOKUP(V$3,'Non-Embedded Emissions'!$A$230:$D$259,3,FALSE)), $C65 = "0", 0), 0)</f>
        <v>0</v>
      </c>
      <c r="AB65" s="344">
        <f>IFERROR(_xlfn.IFS($C65="1",('Inputs-System'!$C$30*'Coincidence Factors'!$B$5*(1+'Inputs-System'!$C$18)*(1+'Inputs-System'!$C$41)*('Inputs-Proposals'!$M$17*'Inputs-Proposals'!$M$19*(1-'Inputs-Proposals'!$M$20))*(VLOOKUP(AB$3,Energy!$A$51:$K$83,5,FALSE)-VLOOKUP(AB$3,Energy!$A$51:$K$83,6,FALSE))), $C65 = "2",('Inputs-System'!$C$30*'Coincidence Factors'!$B$5)*(1+'Inputs-System'!$C$18)*(1+'Inputs-System'!$C$41)*('Inputs-Proposals'!$M$23*'Inputs-Proposals'!$M$25*(1-'Inputs-Proposals'!$M$26))*(VLOOKUP(AB$3,Energy!$A$51:$K$83,5,FALSE)-VLOOKUP(AB$3,Energy!$A$51:$K$83,6,FALSE)), $C65= "3", ('Inputs-System'!$C$30*'Coincidence Factors'!$B$5*(1+'Inputs-System'!$C$18)*(1+'Inputs-System'!$C$41)*('Inputs-Proposals'!$M$29*'Inputs-Proposals'!$M$31*(1-'Inputs-Proposals'!$M$32))*(VLOOKUP(AB$3,Energy!$A$51:$K$83,5,FALSE)-VLOOKUP(AB$3,Energy!$A$51:$K$83,6,FALSE))), $C65= "0", 0), 0)</f>
        <v>0</v>
      </c>
      <c r="AC65" s="100">
        <f>IFERROR(_xlfn.IFS($C65="1", 'Inputs-System'!$C$30*'Coincidence Factors'!$B$5*(1+'Inputs-System'!$C$18)*(1+'Inputs-System'!$C$41)*'Inputs-Proposals'!$M$17*'Inputs-Proposals'!$M$19*(1-'Inputs-Proposals'!$M$20)*(VLOOKUP(AB$3,'Embedded Emissions'!$A$47:$B$78,2,FALSE)+VLOOKUP(AB$3,'Embedded Emissions'!$A$129:$B$158,2,FALSE)), $C65 = "2",'Inputs-System'!$C$30*'Coincidence Factors'!$B$5*(1+'Inputs-System'!$C$18)*(1+'Inputs-System'!$C$41)*'Inputs-Proposals'!$M$23*'Inputs-Proposals'!$M$25*(1-'Inputs-Proposals'!$M$20)*(VLOOKUP(AB$3,'Embedded Emissions'!$A$47:$B$78,2,FALSE)+VLOOKUP(AB$3,'Embedded Emissions'!$A$129:$B$158,2,FALSE)), $C65 = "3", 'Inputs-System'!$C$30*'Coincidence Factors'!$B$5*(1+'Inputs-System'!$C$18)*(1+'Inputs-System'!$C$41)*'Inputs-Proposals'!$M$29*'Inputs-Proposals'!$M$31*(1-'Inputs-Proposals'!$M$20)*(VLOOKUP(AB$3,'Embedded Emissions'!$A$47:$B$78,2,FALSE)+VLOOKUP(AB$3,'Embedded Emissions'!$A$129:$B$158,2,FALSE)), $C65 = "0", 0), 0)</f>
        <v>0</v>
      </c>
      <c r="AD65" s="318">
        <f>IFERROR(_xlfn.IFS($C65="1",( 'Inputs-System'!$C$30*'Coincidence Factors'!$B$5*(1+'Inputs-System'!$C$18)*(1+'Inputs-System'!$C$41))*('Inputs-Proposals'!$M$17*'Inputs-Proposals'!$M$19*(1-'Inputs-Proposals'!$M$20))*(VLOOKUP(AB$3,DRIPE!$A$54:$I$82,5,FALSE)-VLOOKUP(AB$3,DRIPE!$A$54:$I$82,6,FALSE)+VLOOKUP(AB$3,DRIPE!$A$54:$I$82,9,FALSE))+ ('Inputs-System'!$C$26*'Coincidence Factors'!$B$5*(1+'Inputs-System'!$C$18)*(1+'Inputs-System'!$C$42))*'Inputs-Proposals'!$M$16*VLOOKUP(AB$3,DRIPE!$A$54:$I$80,8,FALSE), $C65 = "2",( 'Inputs-System'!$C$30*'Coincidence Factors'!$B$5*(1+'Inputs-System'!$C$18)*(1+'Inputs-System'!$C$41))*('Inputs-Proposals'!$M$23*'Inputs-Proposals'!$M$25*(1-'Inputs-Proposals'!$M$26))*(VLOOKUP(AB$3,DRIPE!$A$54:$I$82,5,FALSE)-VLOOKUP(AB$3,DRIPE!$A$54:$I$82,6,FALSE)+VLOOKUP(AB$3,DRIPE!$A$54:$I$82,9,FALSE))+ ('Inputs-System'!$C$26*'Coincidence Factors'!$B$5*(1+'Inputs-System'!$C$18)*(1+'Inputs-System'!$C$41))+ ('Inputs-System'!$C$26*'Coincidence Factors'!$B$5)*'Inputs-Proposals'!$M$22*VLOOKUP(AB$3,DRIPE!$A$54:$I$80,8,FALSE), $C65= "3", ('Inputs-System'!$C$30*'Coincidence Factors'!$B$5)*('Inputs-Proposals'!$M$29*'Inputs-Proposals'!$M$31*(1-'Inputs-Proposals'!$M$32))*(VLOOKUP(AB$3,DRIPE!$A$54:$I$80,5,FALSE)-VLOOKUP(AB$3,DRIPE!$A$54:$I$80,6,FALSE)+VLOOKUP(AB$3,DRIPE!$A$54:$I$80,9,FALSE))+ ('Inputs-System'!$C$26*'Coincidence Factors'!$B$5*(1+'Inputs-System'!$C$18)*(1+'Inputs-System'!$C$42))*'Inputs-Proposals'!$M$28*VLOOKUP(AB$3,DRIPE!$A$54:$I$80,8,FALSE), $C65 = "0", 0), 0)</f>
        <v>0</v>
      </c>
      <c r="AE65" s="326">
        <f>IFERROR(_xlfn.IFS($C65="1",('Inputs-System'!$C$26*'Coincidence Factors'!$B$5*(1+'Inputs-System'!$C$18)*(1+'Inputs-System'!$C$42))*'Inputs-Proposals'!$M$16*(VLOOKUP(AB$3,Capacity!$A$53:$E$85,4,FALSE)*(1+'Inputs-System'!$C$42)+VLOOKUP(AB$3,Capacity!$A$53:$E$85,5,FALSE)*(1+'Inputs-System'!$C$43)*'Inputs-System'!$C$29), $C65 = "2", ('Inputs-System'!$C$26*'Coincidence Factors'!$B$5*(1+'Inputs-System'!$C$18))*'Inputs-Proposals'!$M$22*(VLOOKUP(AB$3,Capacity!$A$53:$E$85,4,FALSE)*(1+'Inputs-System'!$C$42)+VLOOKUP(AB$3,Capacity!$A$53:$E$85,5,FALSE)*'Inputs-System'!$C$29*(1+'Inputs-System'!$C$43)), $C65 = "3", ('Inputs-System'!$C$26*'Coincidence Factors'!$B$5*(1+'Inputs-System'!$C$18))*'Inputs-Proposals'!$M$28*(VLOOKUP(AB$3,Capacity!$A$53:$E$85,4,FALSE)*(1+'Inputs-System'!$C$42)+VLOOKUP(AB$3,Capacity!$A$53:$E$85,5,FALSE)*'Inputs-System'!$C$29*(1+'Inputs-System'!$C$43)), $C65 = "0", 0), 0)</f>
        <v>0</v>
      </c>
      <c r="AF65" s="100">
        <v>0</v>
      </c>
      <c r="AG65" s="346">
        <f>IFERROR(_xlfn.IFS($C65="1", 'Inputs-System'!$C$30*'Coincidence Factors'!$B$5*'Inputs-Proposals'!$M$17*'Inputs-Proposals'!$M$19*(VLOOKUP(AB$3,'Non-Embedded Emissions'!$A$56:$D$90,2,FALSE)+VLOOKUP(AB$3,'Non-Embedded Emissions'!$A$143:$D$174,2,FALSE)+VLOOKUP(AB$3,'Non-Embedded Emissions'!$A$230:$D$259,2,FALSE)-VLOOKUP(AB$3,'Non-Embedded Emissions'!$A$56:$D$90,3,FALSE)-VLOOKUP(AB$3,'Non-Embedded Emissions'!$A$143:$D$174,3,FALSE)-VLOOKUP(AB$3,'Non-Embedded Emissions'!$A$230:$D$259,3,FALSE)), $C65 = "2", 'Inputs-System'!$C$30*'Coincidence Factors'!$B$5*'Inputs-Proposals'!$M$23*'Inputs-Proposals'!$M$25*(VLOOKUP(AB$3,'Non-Embedded Emissions'!$A$56:$D$90,2,FALSE)+VLOOKUP(AB$3,'Non-Embedded Emissions'!$A$143:$D$174,2,FALSE)+VLOOKUP(AB$3,'Non-Embedded Emissions'!$A$230:$D$259,2,FALSE)-VLOOKUP(AB$3,'Non-Embedded Emissions'!$A$56:$D$90,3,FALSE)-VLOOKUP(AB$3,'Non-Embedded Emissions'!$A$143:$D$174,3,FALSE)-VLOOKUP(AB$3,'Non-Embedded Emissions'!$A$230:$D$259,3,FALSE)), $C65 = "3", 'Inputs-System'!$C$30*'Coincidence Factors'!$B$5*'Inputs-Proposals'!$M$29*'Inputs-Proposals'!$M$31*(VLOOKUP(AB$3,'Non-Embedded Emissions'!$A$56:$D$90,2,FALSE)+VLOOKUP(AB$3,'Non-Embedded Emissions'!$A$143:$D$174,2,FALSE)+VLOOKUP(AB$3,'Non-Embedded Emissions'!$A$230:$D$259,2,FALSE)-VLOOKUP(AB$3,'Non-Embedded Emissions'!$A$56:$D$90,3,FALSE)-VLOOKUP(AB$3,'Non-Embedded Emissions'!$A$143:$D$174,3,FALSE)-VLOOKUP(AB$3,'Non-Embedded Emissions'!$A$230:$D$259,3,FALSE)), $C65 = "0", 0), 0)</f>
        <v>0</v>
      </c>
      <c r="AH65" s="344">
        <f>IFERROR(_xlfn.IFS($C65="1",('Inputs-System'!$C$30*'Coincidence Factors'!$B$5*(1+'Inputs-System'!$C$18)*(1+'Inputs-System'!$C$41)*('Inputs-Proposals'!$M$17*'Inputs-Proposals'!$M$19*(1-'Inputs-Proposals'!$M$20))*(VLOOKUP(AH$3,Energy!$A$51:$K$83,5,FALSE)-VLOOKUP(AH$3,Energy!$A$51:$K$83,6,FALSE))), $C65 = "2",('Inputs-System'!$C$30*'Coincidence Factors'!$B$5)*(1+'Inputs-System'!$C$18)*(1+'Inputs-System'!$C$41)*('Inputs-Proposals'!$M$23*'Inputs-Proposals'!$M$25*(1-'Inputs-Proposals'!$M$26))*(VLOOKUP(AH$3,Energy!$A$51:$K$83,5,FALSE)-VLOOKUP(AH$3,Energy!$A$51:$K$83,6,FALSE)), $C65= "3", ('Inputs-System'!$C$30*'Coincidence Factors'!$B$5*(1+'Inputs-System'!$C$18)*(1+'Inputs-System'!$C$41)*('Inputs-Proposals'!$M$29*'Inputs-Proposals'!$M$31*(1-'Inputs-Proposals'!$M$32))*(VLOOKUP(AH$3,Energy!$A$51:$K$83,5,FALSE)-VLOOKUP(AH$3,Energy!$A$51:$K$83,6,FALSE))), $C65= "0", 0), 0)</f>
        <v>0</v>
      </c>
      <c r="AI65" s="100">
        <f>IFERROR(_xlfn.IFS($C65="1", 'Inputs-System'!$C$30*'Coincidence Factors'!$B$5*(1+'Inputs-System'!$C$18)*(1+'Inputs-System'!$C$41)*'Inputs-Proposals'!$M$17*'Inputs-Proposals'!$M$19*(1-'Inputs-Proposals'!$M$20)*(VLOOKUP(AH$3,'Embedded Emissions'!$A$47:$B$78,2,FALSE)+VLOOKUP(AH$3,'Embedded Emissions'!$A$129:$B$158,2,FALSE)), $C65 = "2",'Inputs-System'!$C$30*'Coincidence Factors'!$B$5*(1+'Inputs-System'!$C$18)*(1+'Inputs-System'!$C$41)*'Inputs-Proposals'!$M$23*'Inputs-Proposals'!$M$25*(1-'Inputs-Proposals'!$M$20)*(VLOOKUP(AH$3,'Embedded Emissions'!$A$47:$B$78,2,FALSE)+VLOOKUP(AH$3,'Embedded Emissions'!$A$129:$B$158,2,FALSE)), $C65 = "3", 'Inputs-System'!$C$30*'Coincidence Factors'!$B$5*(1+'Inputs-System'!$C$18)*(1+'Inputs-System'!$C$41)*'Inputs-Proposals'!$M$29*'Inputs-Proposals'!$M$31*(1-'Inputs-Proposals'!$M$20)*(VLOOKUP(AH$3,'Embedded Emissions'!$A$47:$B$78,2,FALSE)+VLOOKUP(AH$3,'Embedded Emissions'!$A$129:$B$158,2,FALSE)), $C65 = "0", 0), 0)</f>
        <v>0</v>
      </c>
      <c r="AJ65" s="318">
        <f>IFERROR(_xlfn.IFS($C65="1",( 'Inputs-System'!$C$30*'Coincidence Factors'!$B$5*(1+'Inputs-System'!$C$18)*(1+'Inputs-System'!$C$41))*('Inputs-Proposals'!$M$17*'Inputs-Proposals'!$M$19*(1-'Inputs-Proposals'!$M$20))*(VLOOKUP(AH$3,DRIPE!$A$54:$I$82,5,FALSE)-VLOOKUP(AH$3,DRIPE!$A$54:$I$82,6,FALSE)+VLOOKUP(AH$3,DRIPE!$A$54:$I$82,9,FALSE))+ ('Inputs-System'!$C$26*'Coincidence Factors'!$B$5*(1+'Inputs-System'!$C$18)*(1+'Inputs-System'!$C$42))*'Inputs-Proposals'!$M$16*VLOOKUP(AH$3,DRIPE!$A$54:$I$80,8,FALSE), $C65 = "2",( 'Inputs-System'!$C$30*'Coincidence Factors'!$B$5*(1+'Inputs-System'!$C$18)*(1+'Inputs-System'!$C$41))*('Inputs-Proposals'!$M$23*'Inputs-Proposals'!$M$25*(1-'Inputs-Proposals'!$M$26))*(VLOOKUP(AH$3,DRIPE!$A$54:$I$82,5,FALSE)-VLOOKUP(AH$3,DRIPE!$A$54:$I$82,6,FALSE)+VLOOKUP(AH$3,DRIPE!$A$54:$I$82,9,FALSE))+ ('Inputs-System'!$C$26*'Coincidence Factors'!$B$5*(1+'Inputs-System'!$C$18)*(1+'Inputs-System'!$C$41))+ ('Inputs-System'!$C$26*'Coincidence Factors'!$B$5)*'Inputs-Proposals'!$M$22*VLOOKUP(AH$3,DRIPE!$A$54:$I$80,8,FALSE), $C65= "3", ('Inputs-System'!$C$30*'Coincidence Factors'!$B$5)*('Inputs-Proposals'!$M$29*'Inputs-Proposals'!$M$31*(1-'Inputs-Proposals'!$M$32))*(VLOOKUP(AH$3,DRIPE!$A$54:$I$80,5,FALSE)-VLOOKUP(AH$3,DRIPE!$A$54:$I$80,6,FALSE)+VLOOKUP(AH$3,DRIPE!$A$54:$I$80,9,FALSE))+ ('Inputs-System'!$C$26*'Coincidence Factors'!$B$5*(1+'Inputs-System'!$C$18)*(1+'Inputs-System'!$C$42))*'Inputs-Proposals'!$M$28*VLOOKUP(AH$3,DRIPE!$A$54:$I$80,8,FALSE), $C65 = "0", 0), 0)</f>
        <v>0</v>
      </c>
      <c r="AK65" s="326">
        <f>IFERROR(_xlfn.IFS($C65="1",('Inputs-System'!$C$26*'Coincidence Factors'!$B$5*(1+'Inputs-System'!$C$18)*(1+'Inputs-System'!$C$42))*'Inputs-Proposals'!$M$16*(VLOOKUP(AH$3,Capacity!$A$53:$E$85,4,FALSE)*(1+'Inputs-System'!$C$42)+VLOOKUP(AH$3,Capacity!$A$53:$E$85,5,FALSE)*(1+'Inputs-System'!$C$43)*'Inputs-System'!$C$29), $C65 = "2", ('Inputs-System'!$C$26*'Coincidence Factors'!$B$5*(1+'Inputs-System'!$C$18))*'Inputs-Proposals'!$M$22*(VLOOKUP(AH$3,Capacity!$A$53:$E$85,4,FALSE)*(1+'Inputs-System'!$C$42)+VLOOKUP(AH$3,Capacity!$A$53:$E$85,5,FALSE)*'Inputs-System'!$C$29*(1+'Inputs-System'!$C$43)), $C65 = "3", ('Inputs-System'!$C$26*'Coincidence Factors'!$B$5*(1+'Inputs-System'!$C$18))*'Inputs-Proposals'!$M$28*(VLOOKUP(AH$3,Capacity!$A$53:$E$85,4,FALSE)*(1+'Inputs-System'!$C$42)+VLOOKUP(AH$3,Capacity!$A$53:$E$85,5,FALSE)*'Inputs-System'!$C$29*(1+'Inputs-System'!$C$43)), $C65 = "0", 0), 0)</f>
        <v>0</v>
      </c>
      <c r="AL65" s="100">
        <v>0</v>
      </c>
      <c r="AM65" s="346">
        <f>IFERROR(_xlfn.IFS($C65="1", 'Inputs-System'!$C$30*'Coincidence Factors'!$B$5*'Inputs-Proposals'!$M$17*'Inputs-Proposals'!$M$19*(VLOOKUP(AH$3,'Non-Embedded Emissions'!$A$56:$D$90,2,FALSE)+VLOOKUP(AH$3,'Non-Embedded Emissions'!$A$143:$D$174,2,FALSE)+VLOOKUP(AH$3,'Non-Embedded Emissions'!$A$230:$D$259,2,FALSE)-VLOOKUP(AH$3,'Non-Embedded Emissions'!$A$56:$D$90,3,FALSE)-VLOOKUP(AH$3,'Non-Embedded Emissions'!$A$143:$D$174,3,FALSE)-VLOOKUP(AH$3,'Non-Embedded Emissions'!$A$230:$D$259,3,FALSE)), $C65 = "2", 'Inputs-System'!$C$30*'Coincidence Factors'!$B$5*'Inputs-Proposals'!$M$23*'Inputs-Proposals'!$M$25*(VLOOKUP(AH$3,'Non-Embedded Emissions'!$A$56:$D$90,2,FALSE)+VLOOKUP(AH$3,'Non-Embedded Emissions'!$A$143:$D$174,2,FALSE)+VLOOKUP(AH$3,'Non-Embedded Emissions'!$A$230:$D$259,2,FALSE)-VLOOKUP(AH$3,'Non-Embedded Emissions'!$A$56:$D$90,3,FALSE)-VLOOKUP(AH$3,'Non-Embedded Emissions'!$A$143:$D$174,3,FALSE)-VLOOKUP(AH$3,'Non-Embedded Emissions'!$A$230:$D$259,3,FALSE)), $C65 = "3", 'Inputs-System'!$C$30*'Coincidence Factors'!$B$5*'Inputs-Proposals'!$M$29*'Inputs-Proposals'!$M$31*(VLOOKUP(AH$3,'Non-Embedded Emissions'!$A$56:$D$90,2,FALSE)+VLOOKUP(AH$3,'Non-Embedded Emissions'!$A$143:$D$174,2,FALSE)+VLOOKUP(AH$3,'Non-Embedded Emissions'!$A$230:$D$259,2,FALSE)-VLOOKUP(AH$3,'Non-Embedded Emissions'!$A$56:$D$90,3,FALSE)-VLOOKUP(AH$3,'Non-Embedded Emissions'!$A$143:$D$174,3,FALSE)-VLOOKUP(AH$3,'Non-Embedded Emissions'!$A$230:$D$259,3,FALSE)), $C65 = "0", 0), 0)</f>
        <v>0</v>
      </c>
      <c r="AN65" s="344">
        <f>IFERROR(_xlfn.IFS($C65="1",('Inputs-System'!$C$30*'Coincidence Factors'!$B$5*(1+'Inputs-System'!$C$18)*(1+'Inputs-System'!$C$41)*('Inputs-Proposals'!$M$17*'Inputs-Proposals'!$M$19*(1-'Inputs-Proposals'!$M$20))*(VLOOKUP(AN$3,Energy!$A$51:$K$83,5,FALSE)-VLOOKUP(AN$3,Energy!$A$51:$K$83,6,FALSE))), $C65 = "2",('Inputs-System'!$C$30*'Coincidence Factors'!$B$5)*(1+'Inputs-System'!$C$18)*(1+'Inputs-System'!$C$41)*('Inputs-Proposals'!$M$23*'Inputs-Proposals'!$M$25*(1-'Inputs-Proposals'!$M$26))*(VLOOKUP(AN$3,Energy!$A$51:$K$83,5,FALSE)-VLOOKUP(AN$3,Energy!$A$51:$K$83,6,FALSE)), $C65= "3", ('Inputs-System'!$C$30*'Coincidence Factors'!$B$5*(1+'Inputs-System'!$C$18)*(1+'Inputs-System'!$C$41)*('Inputs-Proposals'!$M$29*'Inputs-Proposals'!$M$31*(1-'Inputs-Proposals'!$M$32))*(VLOOKUP(AN$3,Energy!$A$51:$K$83,5,FALSE)-VLOOKUP(AN$3,Energy!$A$51:$K$83,6,FALSE))), $C65= "0", 0), 0)</f>
        <v>0</v>
      </c>
      <c r="AO65" s="100">
        <f>IFERROR(_xlfn.IFS($C65="1", 'Inputs-System'!$C$30*'Coincidence Factors'!$B$5*(1+'Inputs-System'!$C$18)*(1+'Inputs-System'!$C$41)*'Inputs-Proposals'!$M$17*'Inputs-Proposals'!$M$19*(1-'Inputs-Proposals'!$M$20)*(VLOOKUP(AN$3,'Embedded Emissions'!$A$47:$B$78,2,FALSE)+VLOOKUP(AN$3,'Embedded Emissions'!$A$129:$B$158,2,FALSE)), $C65 = "2",'Inputs-System'!$C$30*'Coincidence Factors'!$B$5*(1+'Inputs-System'!$C$18)*(1+'Inputs-System'!$C$41)*'Inputs-Proposals'!$M$23*'Inputs-Proposals'!$M$25*(1-'Inputs-Proposals'!$M$20)*(VLOOKUP(AN$3,'Embedded Emissions'!$A$47:$B$78,2,FALSE)+VLOOKUP(AN$3,'Embedded Emissions'!$A$129:$B$158,2,FALSE)), $C65 = "3", 'Inputs-System'!$C$30*'Coincidence Factors'!$B$5*(1+'Inputs-System'!$C$18)*(1+'Inputs-System'!$C$41)*'Inputs-Proposals'!$M$29*'Inputs-Proposals'!$M$31*(1-'Inputs-Proposals'!$M$20)*(VLOOKUP(AN$3,'Embedded Emissions'!$A$47:$B$78,2,FALSE)+VLOOKUP(AN$3,'Embedded Emissions'!$A$129:$B$158,2,FALSE)), $C65 = "0", 0), 0)</f>
        <v>0</v>
      </c>
      <c r="AP65" s="318">
        <f>IFERROR(_xlfn.IFS($C65="1",( 'Inputs-System'!$C$30*'Coincidence Factors'!$B$5*(1+'Inputs-System'!$C$18)*(1+'Inputs-System'!$C$41))*('Inputs-Proposals'!$M$17*'Inputs-Proposals'!$M$19*(1-'Inputs-Proposals'!$M$20))*(VLOOKUP(AN$3,DRIPE!$A$54:$I$82,5,FALSE)-VLOOKUP(AN$3,DRIPE!$A$54:$I$82,6,FALSE)+VLOOKUP(AN$3,DRIPE!$A$54:$I$82,9,FALSE))+ ('Inputs-System'!$C$26*'Coincidence Factors'!$B$5*(1+'Inputs-System'!$C$18)*(1+'Inputs-System'!$C$42))*'Inputs-Proposals'!$M$16*VLOOKUP(AN$3,DRIPE!$A$54:$I$80,8,FALSE), $C65 = "2",( 'Inputs-System'!$C$30*'Coincidence Factors'!$B$5*(1+'Inputs-System'!$C$18)*(1+'Inputs-System'!$C$41))*('Inputs-Proposals'!$M$23*'Inputs-Proposals'!$M$25*(1-'Inputs-Proposals'!$M$26))*(VLOOKUP(AN$3,DRIPE!$A$54:$I$82,5,FALSE)-VLOOKUP(AN$3,DRIPE!$A$54:$I$82,6,FALSE)+VLOOKUP(AN$3,DRIPE!$A$54:$I$82,9,FALSE))+ ('Inputs-System'!$C$26*'Coincidence Factors'!$B$5*(1+'Inputs-System'!$C$18)*(1+'Inputs-System'!$C$41))+ ('Inputs-System'!$C$26*'Coincidence Factors'!$B$5)*'Inputs-Proposals'!$M$22*VLOOKUP(AN$3,DRIPE!$A$54:$I$80,8,FALSE), $C65= "3", ('Inputs-System'!$C$30*'Coincidence Factors'!$B$5)*('Inputs-Proposals'!$M$29*'Inputs-Proposals'!$M$31*(1-'Inputs-Proposals'!$M$32))*(VLOOKUP(AN$3,DRIPE!$A$54:$I$80,5,FALSE)-VLOOKUP(AN$3,DRIPE!$A$54:$I$80,6,FALSE)+VLOOKUP(AN$3,DRIPE!$A$54:$I$80,9,FALSE))+ ('Inputs-System'!$C$26*'Coincidence Factors'!$B$5*(1+'Inputs-System'!$C$18)*(1+'Inputs-System'!$C$42))*'Inputs-Proposals'!$M$28*VLOOKUP(AN$3,DRIPE!$A$54:$I$80,8,FALSE), $C65 = "0", 0), 0)</f>
        <v>0</v>
      </c>
      <c r="AQ65" s="326">
        <f>IFERROR(_xlfn.IFS($C65="1",('Inputs-System'!$C$26*'Coincidence Factors'!$B$5*(1+'Inputs-System'!$C$18)*(1+'Inputs-System'!$C$42))*'Inputs-Proposals'!$M$16*(VLOOKUP(AN$3,Capacity!$A$53:$E$85,4,FALSE)*(1+'Inputs-System'!$C$42)+VLOOKUP(AN$3,Capacity!$A$53:$E$85,5,FALSE)*(1+'Inputs-System'!$C$43)*'Inputs-System'!$C$29), $C65 = "2", ('Inputs-System'!$C$26*'Coincidence Factors'!$B$5*(1+'Inputs-System'!$C$18))*'Inputs-Proposals'!$M$22*(VLOOKUP(AN$3,Capacity!$A$53:$E$85,4,FALSE)*(1+'Inputs-System'!$C$42)+VLOOKUP(AN$3,Capacity!$A$53:$E$85,5,FALSE)*'Inputs-System'!$C$29*(1+'Inputs-System'!$C$43)), $C65 = "3", ('Inputs-System'!$C$26*'Coincidence Factors'!$B$5*(1+'Inputs-System'!$C$18))*'Inputs-Proposals'!$M$28*(VLOOKUP(AN$3,Capacity!$A$53:$E$85,4,FALSE)*(1+'Inputs-System'!$C$42)+VLOOKUP(AN$3,Capacity!$A$53:$E$85,5,FALSE)*'Inputs-System'!$C$29*(1+'Inputs-System'!$C$43)), $C65 = "0", 0), 0)</f>
        <v>0</v>
      </c>
      <c r="AR65" s="100">
        <v>0</v>
      </c>
      <c r="AS65" s="346">
        <f>IFERROR(_xlfn.IFS($C65="1", 'Inputs-System'!$C$30*'Coincidence Factors'!$B$5*'Inputs-Proposals'!$M$17*'Inputs-Proposals'!$M$19*(VLOOKUP(AN$3,'Non-Embedded Emissions'!$A$56:$D$90,2,FALSE)+VLOOKUP(AN$3,'Non-Embedded Emissions'!$A$143:$D$174,2,FALSE)+VLOOKUP(AN$3,'Non-Embedded Emissions'!$A$230:$D$259,2,FALSE)-VLOOKUP(AN$3,'Non-Embedded Emissions'!$A$56:$D$90,3,FALSE)-VLOOKUP(AN$3,'Non-Embedded Emissions'!$A$143:$D$174,3,FALSE)-VLOOKUP(AN$3,'Non-Embedded Emissions'!$A$230:$D$259,3,FALSE)), $C65 = "2", 'Inputs-System'!$C$30*'Coincidence Factors'!$B$5*'Inputs-Proposals'!$M$23*'Inputs-Proposals'!$M$25*(VLOOKUP(AN$3,'Non-Embedded Emissions'!$A$56:$D$90,2,FALSE)+VLOOKUP(AN$3,'Non-Embedded Emissions'!$A$143:$D$174,2,FALSE)+VLOOKUP(AN$3,'Non-Embedded Emissions'!$A$230:$D$259,2,FALSE)-VLOOKUP(AN$3,'Non-Embedded Emissions'!$A$56:$D$90,3,FALSE)-VLOOKUP(AN$3,'Non-Embedded Emissions'!$A$143:$D$174,3,FALSE)-VLOOKUP(AN$3,'Non-Embedded Emissions'!$A$230:$D$259,3,FALSE)), $C65 = "3", 'Inputs-System'!$C$30*'Coincidence Factors'!$B$5*'Inputs-Proposals'!$M$29*'Inputs-Proposals'!$M$31*(VLOOKUP(AN$3,'Non-Embedded Emissions'!$A$56:$D$90,2,FALSE)+VLOOKUP(AN$3,'Non-Embedded Emissions'!$A$143:$D$174,2,FALSE)+VLOOKUP(AN$3,'Non-Embedded Emissions'!$A$230:$D$259,2,FALSE)-VLOOKUP(AN$3,'Non-Embedded Emissions'!$A$56:$D$90,3,FALSE)-VLOOKUP(AN$3,'Non-Embedded Emissions'!$A$143:$D$174,3,FALSE)-VLOOKUP(AN$3,'Non-Embedded Emissions'!$A$230:$D$259,3,FALSE)), $C65 = "0", 0), 0)</f>
        <v>0</v>
      </c>
      <c r="AT65" s="344">
        <f>IFERROR(_xlfn.IFS($C65="1",('Inputs-System'!$C$30*'Coincidence Factors'!$B$5*(1+'Inputs-System'!$C$18)*(1+'Inputs-System'!$C$41)*('Inputs-Proposals'!$M$17*'Inputs-Proposals'!$M$19*(1-'Inputs-Proposals'!$M$20))*(VLOOKUP(AT$3,Energy!$A$51:$K$83,5,FALSE)-VLOOKUP(AT$3,Energy!$A$51:$K$83,6,FALSE))), $C65 = "2",('Inputs-System'!$C$30*'Coincidence Factors'!$B$5)*(1+'Inputs-System'!$C$18)*(1+'Inputs-System'!$C$41)*('Inputs-Proposals'!$M$23*'Inputs-Proposals'!$M$25*(1-'Inputs-Proposals'!$M$26))*(VLOOKUP(AT$3,Energy!$A$51:$K$83,5,FALSE)-VLOOKUP(AT$3,Energy!$A$51:$K$83,6,FALSE)), $C65= "3", ('Inputs-System'!$C$30*'Coincidence Factors'!$B$5*(1+'Inputs-System'!$C$18)*(1+'Inputs-System'!$C$41)*('Inputs-Proposals'!$M$29*'Inputs-Proposals'!$M$31*(1-'Inputs-Proposals'!$M$32))*(VLOOKUP(AT$3,Energy!$A$51:$K$83,5,FALSE)-VLOOKUP(AT$3,Energy!$A$51:$K$83,6,FALSE))), $C65= "0", 0), 0)</f>
        <v>0</v>
      </c>
      <c r="AU65" s="100">
        <f>IFERROR(_xlfn.IFS($C65="1", 'Inputs-System'!$C$30*'Coincidence Factors'!$B$5*(1+'Inputs-System'!$C$18)*(1+'Inputs-System'!$C$41)*'Inputs-Proposals'!$M$17*'Inputs-Proposals'!$M$19*(1-'Inputs-Proposals'!$M$20)*(VLOOKUP(AT$3,'Embedded Emissions'!$A$47:$B$78,2,FALSE)+VLOOKUP(AT$3,'Embedded Emissions'!$A$129:$B$158,2,FALSE)), $C65 = "2",'Inputs-System'!$C$30*'Coincidence Factors'!$B$5*(1+'Inputs-System'!$C$18)*(1+'Inputs-System'!$C$41)*'Inputs-Proposals'!$M$23*'Inputs-Proposals'!$M$25*(1-'Inputs-Proposals'!$M$20)*(VLOOKUP(AT$3,'Embedded Emissions'!$A$47:$B$78,2,FALSE)+VLOOKUP(AT$3,'Embedded Emissions'!$A$129:$B$158,2,FALSE)), $C65 = "3", 'Inputs-System'!$C$30*'Coincidence Factors'!$B$5*(1+'Inputs-System'!$C$18)*(1+'Inputs-System'!$C$41)*'Inputs-Proposals'!$M$29*'Inputs-Proposals'!$M$31*(1-'Inputs-Proposals'!$M$20)*(VLOOKUP(AT$3,'Embedded Emissions'!$A$47:$B$78,2,FALSE)+VLOOKUP(AT$3,'Embedded Emissions'!$A$129:$B$158,2,FALSE)), $C65 = "0", 0), 0)</f>
        <v>0</v>
      </c>
      <c r="AV65" s="318">
        <f>IFERROR(_xlfn.IFS($C65="1",( 'Inputs-System'!$C$30*'Coincidence Factors'!$B$5*(1+'Inputs-System'!$C$18)*(1+'Inputs-System'!$C$41))*('Inputs-Proposals'!$M$17*'Inputs-Proposals'!$M$19*(1-'Inputs-Proposals'!$M$20))*(VLOOKUP(AT$3,DRIPE!$A$54:$I$82,5,FALSE)-VLOOKUP(AT$3,DRIPE!$A$54:$I$82,6,FALSE)+VLOOKUP(AT$3,DRIPE!$A$54:$I$82,9,FALSE))+ ('Inputs-System'!$C$26*'Coincidence Factors'!$B$5*(1+'Inputs-System'!$C$18)*(1+'Inputs-System'!$C$42))*'Inputs-Proposals'!$M$16*VLOOKUP(AT$3,DRIPE!$A$54:$I$80,8,FALSE), $C65 = "2",( 'Inputs-System'!$C$30*'Coincidence Factors'!$B$5*(1+'Inputs-System'!$C$18)*(1+'Inputs-System'!$C$41))*('Inputs-Proposals'!$M$23*'Inputs-Proposals'!$M$25*(1-'Inputs-Proposals'!$M$26))*(VLOOKUP(AT$3,DRIPE!$A$54:$I$82,5,FALSE)-VLOOKUP(AT$3,DRIPE!$A$54:$I$82,6,FALSE)+VLOOKUP(AT$3,DRIPE!$A$54:$I$82,9,FALSE))+ ('Inputs-System'!$C$26*'Coincidence Factors'!$B$5*(1+'Inputs-System'!$C$18)*(1+'Inputs-System'!$C$41))+ ('Inputs-System'!$C$26*'Coincidence Factors'!$B$5)*'Inputs-Proposals'!$M$22*VLOOKUP(AT$3,DRIPE!$A$54:$I$80,8,FALSE), $C65= "3", ('Inputs-System'!$C$30*'Coincidence Factors'!$B$5)*('Inputs-Proposals'!$M$29*'Inputs-Proposals'!$M$31*(1-'Inputs-Proposals'!$M$32))*(VLOOKUP(AT$3,DRIPE!$A$54:$I$80,5,FALSE)-VLOOKUP(AT$3,DRIPE!$A$54:$I$80,6,FALSE)+VLOOKUP(AT$3,DRIPE!$A$54:$I$80,9,FALSE))+ ('Inputs-System'!$C$26*'Coincidence Factors'!$B$5*(1+'Inputs-System'!$C$18)*(1+'Inputs-System'!$C$42))*'Inputs-Proposals'!$M$28*VLOOKUP(AT$3,DRIPE!$A$54:$I$80,8,FALSE), $C65 = "0", 0), 0)</f>
        <v>0</v>
      </c>
      <c r="AW65" s="326">
        <f>IFERROR(_xlfn.IFS($C65="1",('Inputs-System'!$C$26*'Coincidence Factors'!$B$5*(1+'Inputs-System'!$C$18)*(1+'Inputs-System'!$C$42))*'Inputs-Proposals'!$M$16*(VLOOKUP(AT$3,Capacity!$A$53:$E$85,4,FALSE)*(1+'Inputs-System'!$C$42)+VLOOKUP(AT$3,Capacity!$A$53:$E$85,5,FALSE)*(1+'Inputs-System'!$C$43)*'Inputs-System'!$C$29), $C65 = "2", ('Inputs-System'!$C$26*'Coincidence Factors'!$B$5*(1+'Inputs-System'!$C$18))*'Inputs-Proposals'!$M$22*(VLOOKUP(AT$3,Capacity!$A$53:$E$85,4,FALSE)*(1+'Inputs-System'!$C$42)+VLOOKUP(AT$3,Capacity!$A$53:$E$85,5,FALSE)*'Inputs-System'!$C$29*(1+'Inputs-System'!$C$43)), $C65 = "3", ('Inputs-System'!$C$26*'Coincidence Factors'!$B$5*(1+'Inputs-System'!$C$18))*'Inputs-Proposals'!$M$28*(VLOOKUP(AT$3,Capacity!$A$53:$E$85,4,FALSE)*(1+'Inputs-System'!$C$42)+VLOOKUP(AT$3,Capacity!$A$53:$E$85,5,FALSE)*'Inputs-System'!$C$29*(1+'Inputs-System'!$C$43)), $C65 = "0", 0), 0)</f>
        <v>0</v>
      </c>
      <c r="AX65" s="100">
        <v>0</v>
      </c>
      <c r="AY65" s="346">
        <f>IFERROR(_xlfn.IFS($C65="1", 'Inputs-System'!$C$30*'Coincidence Factors'!$B$5*'Inputs-Proposals'!$M$17*'Inputs-Proposals'!$M$19*(VLOOKUP(AT$3,'Non-Embedded Emissions'!$A$56:$D$90,2,FALSE)+VLOOKUP(AT$3,'Non-Embedded Emissions'!$A$143:$D$174,2,FALSE)+VLOOKUP(AT$3,'Non-Embedded Emissions'!$A$230:$D$259,2,FALSE)-VLOOKUP(AT$3,'Non-Embedded Emissions'!$A$56:$D$90,3,FALSE)-VLOOKUP(AT$3,'Non-Embedded Emissions'!$A$143:$D$174,3,FALSE)-VLOOKUP(AT$3,'Non-Embedded Emissions'!$A$230:$D$259,3,FALSE)), $C65 = "2", 'Inputs-System'!$C$30*'Coincidence Factors'!$B$5*'Inputs-Proposals'!$M$23*'Inputs-Proposals'!$M$25*(VLOOKUP(AT$3,'Non-Embedded Emissions'!$A$56:$D$90,2,FALSE)+VLOOKUP(AT$3,'Non-Embedded Emissions'!$A$143:$D$174,2,FALSE)+VLOOKUP(AT$3,'Non-Embedded Emissions'!$A$230:$D$259,2,FALSE)-VLOOKUP(AT$3,'Non-Embedded Emissions'!$A$56:$D$90,3,FALSE)-VLOOKUP(AT$3,'Non-Embedded Emissions'!$A$143:$D$174,3,FALSE)-VLOOKUP(AT$3,'Non-Embedded Emissions'!$A$230:$D$259,3,FALSE)), $C65 = "3", 'Inputs-System'!$C$30*'Coincidence Factors'!$B$5*'Inputs-Proposals'!$M$29*'Inputs-Proposals'!$M$31*(VLOOKUP(AT$3,'Non-Embedded Emissions'!$A$56:$D$90,2,FALSE)+VLOOKUP(AT$3,'Non-Embedded Emissions'!$A$143:$D$174,2,FALSE)+VLOOKUP(AT$3,'Non-Embedded Emissions'!$A$230:$D$259,2,FALSE)-VLOOKUP(AT$3,'Non-Embedded Emissions'!$A$56:$D$90,3,FALSE)-VLOOKUP(AT$3,'Non-Embedded Emissions'!$A$143:$D$174,3,FALSE)-VLOOKUP(AT$3,'Non-Embedded Emissions'!$A$230:$D$259,3,FALSE)), $C65 = "0", 0), 0)</f>
        <v>0</v>
      </c>
      <c r="AZ65" s="344">
        <f>IFERROR(_xlfn.IFS($C65="1",('Inputs-System'!$C$30*'Coincidence Factors'!$B$5*(1+'Inputs-System'!$C$18)*(1+'Inputs-System'!$C$41)*('Inputs-Proposals'!$M$17*'Inputs-Proposals'!$M$19*(1-'Inputs-Proposals'!$M$20))*(VLOOKUP(AZ$3,Energy!$A$51:$K$83,5,FALSE)-VLOOKUP(AZ$3,Energy!$A$51:$K$83,6,FALSE))), $C65 = "2",('Inputs-System'!$C$30*'Coincidence Factors'!$B$5)*(1+'Inputs-System'!$C$18)*(1+'Inputs-System'!$C$41)*('Inputs-Proposals'!$M$23*'Inputs-Proposals'!$M$25*(1-'Inputs-Proposals'!$M$26))*(VLOOKUP(AZ$3,Energy!$A$51:$K$83,5,FALSE)-VLOOKUP(AZ$3,Energy!$A$51:$K$83,6,FALSE)), $C65= "3", ('Inputs-System'!$C$30*'Coincidence Factors'!$B$5*(1+'Inputs-System'!$C$18)*(1+'Inputs-System'!$C$41)*('Inputs-Proposals'!$M$29*'Inputs-Proposals'!$M$31*(1-'Inputs-Proposals'!$M$32))*(VLOOKUP(AZ$3,Energy!$A$51:$K$83,5,FALSE)-VLOOKUP(AZ$3,Energy!$A$51:$K$83,6,FALSE))), $C65= "0", 0), 0)</f>
        <v>0</v>
      </c>
      <c r="BA65" s="100">
        <f>IFERROR(_xlfn.IFS($C65="1", 'Inputs-System'!$C$30*'Coincidence Factors'!$B$5*(1+'Inputs-System'!$C$18)*(1+'Inputs-System'!$C$41)*'Inputs-Proposals'!$M$17*'Inputs-Proposals'!$M$19*(1-'Inputs-Proposals'!$M$20)*(VLOOKUP(AZ$3,'Embedded Emissions'!$A$47:$B$78,2,FALSE)+VLOOKUP(AZ$3,'Embedded Emissions'!$A$129:$B$158,2,FALSE)), $C65 = "2",'Inputs-System'!$C$30*'Coincidence Factors'!$B$5*(1+'Inputs-System'!$C$18)*(1+'Inputs-System'!$C$41)*'Inputs-Proposals'!$M$23*'Inputs-Proposals'!$M$25*(1-'Inputs-Proposals'!$M$20)*(VLOOKUP(AZ$3,'Embedded Emissions'!$A$47:$B$78,2,FALSE)+VLOOKUP(AZ$3,'Embedded Emissions'!$A$129:$B$158,2,FALSE)), $C65 = "3", 'Inputs-System'!$C$30*'Coincidence Factors'!$B$5*(1+'Inputs-System'!$C$18)*(1+'Inputs-System'!$C$41)*'Inputs-Proposals'!$M$29*'Inputs-Proposals'!$M$31*(1-'Inputs-Proposals'!$M$20)*(VLOOKUP(AZ$3,'Embedded Emissions'!$A$47:$B$78,2,FALSE)+VLOOKUP(AZ$3,'Embedded Emissions'!$A$129:$B$158,2,FALSE)), $C65 = "0", 0), 0)</f>
        <v>0</v>
      </c>
      <c r="BB65" s="318">
        <f>IFERROR(_xlfn.IFS($C65="1",( 'Inputs-System'!$C$30*'Coincidence Factors'!$B$5*(1+'Inputs-System'!$C$18)*(1+'Inputs-System'!$C$41))*('Inputs-Proposals'!$M$17*'Inputs-Proposals'!$M$19*(1-'Inputs-Proposals'!$M$20))*(VLOOKUP(AZ$3,DRIPE!$A$54:$I$82,5,FALSE)-VLOOKUP(AZ$3,DRIPE!$A$54:$I$82,6,FALSE)+VLOOKUP(AZ$3,DRIPE!$A$54:$I$82,9,FALSE))+ ('Inputs-System'!$C$26*'Coincidence Factors'!$B$5*(1+'Inputs-System'!$C$18)*(1+'Inputs-System'!$C$42))*'Inputs-Proposals'!$M$16*VLOOKUP(AZ$3,DRIPE!$A$54:$I$80,8,FALSE), $C65 = "2",( 'Inputs-System'!$C$30*'Coincidence Factors'!$B$5*(1+'Inputs-System'!$C$18)*(1+'Inputs-System'!$C$41))*('Inputs-Proposals'!$M$23*'Inputs-Proposals'!$M$25*(1-'Inputs-Proposals'!$M$26))*(VLOOKUP(AZ$3,DRIPE!$A$54:$I$82,5,FALSE)-VLOOKUP(AZ$3,DRIPE!$A$54:$I$82,6,FALSE)+VLOOKUP(AZ$3,DRIPE!$A$54:$I$82,9,FALSE))+ ('Inputs-System'!$C$26*'Coincidence Factors'!$B$5*(1+'Inputs-System'!$C$18)*(1+'Inputs-System'!$C$41))+ ('Inputs-System'!$C$26*'Coincidence Factors'!$B$5)*'Inputs-Proposals'!$M$22*VLOOKUP(AZ$3,DRIPE!$A$54:$I$80,8,FALSE), $C65= "3", ('Inputs-System'!$C$30*'Coincidence Factors'!$B$5)*('Inputs-Proposals'!$M$29*'Inputs-Proposals'!$M$31*(1-'Inputs-Proposals'!$M$32))*(VLOOKUP(AZ$3,DRIPE!$A$54:$I$80,5,FALSE)-VLOOKUP(AZ$3,DRIPE!$A$54:$I$80,6,FALSE)+VLOOKUP(AZ$3,DRIPE!$A$54:$I$80,9,FALSE))+ ('Inputs-System'!$C$26*'Coincidence Factors'!$B$5*(1+'Inputs-System'!$C$18)*(1+'Inputs-System'!$C$42))*'Inputs-Proposals'!$M$28*VLOOKUP(AZ$3,DRIPE!$A$54:$I$80,8,FALSE), $C65 = "0", 0), 0)</f>
        <v>0</v>
      </c>
      <c r="BC65" s="326">
        <f>IFERROR(_xlfn.IFS($C65="1",('Inputs-System'!$C$26*'Coincidence Factors'!$B$5*(1+'Inputs-System'!$C$18)*(1+'Inputs-System'!$C$42))*'Inputs-Proposals'!$M$16*(VLOOKUP(AZ$3,Capacity!$A$53:$E$85,4,FALSE)*(1+'Inputs-System'!$C$42)+VLOOKUP(AZ$3,Capacity!$A$53:$E$85,5,FALSE)*(1+'Inputs-System'!$C$43)*'Inputs-System'!$C$29), $C65 = "2", ('Inputs-System'!$C$26*'Coincidence Factors'!$B$5*(1+'Inputs-System'!$C$18))*'Inputs-Proposals'!$M$22*(VLOOKUP(AZ$3,Capacity!$A$53:$E$85,4,FALSE)*(1+'Inputs-System'!$C$42)+VLOOKUP(AZ$3,Capacity!$A$53:$E$85,5,FALSE)*'Inputs-System'!$C$29*(1+'Inputs-System'!$C$43)), $C65 = "3", ('Inputs-System'!$C$26*'Coincidence Factors'!$B$5*(1+'Inputs-System'!$C$18))*'Inputs-Proposals'!$M$28*(VLOOKUP(AZ$3,Capacity!$A$53:$E$85,4,FALSE)*(1+'Inputs-System'!$C$42)+VLOOKUP(AZ$3,Capacity!$A$53:$E$85,5,FALSE)*'Inputs-System'!$C$29*(1+'Inputs-System'!$C$43)), $C65 = "0", 0), 0)</f>
        <v>0</v>
      </c>
      <c r="BD65" s="100">
        <v>0</v>
      </c>
      <c r="BE65" s="346">
        <f>IFERROR(_xlfn.IFS($C65="1", 'Inputs-System'!$C$30*'Coincidence Factors'!$B$5*'Inputs-Proposals'!$M$17*'Inputs-Proposals'!$M$19*(VLOOKUP(AZ$3,'Non-Embedded Emissions'!$A$56:$D$90,2,FALSE)+VLOOKUP(AZ$3,'Non-Embedded Emissions'!$A$143:$D$174,2,FALSE)+VLOOKUP(AZ$3,'Non-Embedded Emissions'!$A$230:$D$259,2,FALSE)-VLOOKUP(AZ$3,'Non-Embedded Emissions'!$A$56:$D$90,3,FALSE)-VLOOKUP(AZ$3,'Non-Embedded Emissions'!$A$143:$D$174,3,FALSE)-VLOOKUP(AZ$3,'Non-Embedded Emissions'!$A$230:$D$259,3,FALSE)), $C65 = "2", 'Inputs-System'!$C$30*'Coincidence Factors'!$B$5*'Inputs-Proposals'!$M$23*'Inputs-Proposals'!$M$25*(VLOOKUP(AZ$3,'Non-Embedded Emissions'!$A$56:$D$90,2,FALSE)+VLOOKUP(AZ$3,'Non-Embedded Emissions'!$A$143:$D$174,2,FALSE)+VLOOKUP(AZ$3,'Non-Embedded Emissions'!$A$230:$D$259,2,FALSE)-VLOOKUP(AZ$3,'Non-Embedded Emissions'!$A$56:$D$90,3,FALSE)-VLOOKUP(AZ$3,'Non-Embedded Emissions'!$A$143:$D$174,3,FALSE)-VLOOKUP(AZ$3,'Non-Embedded Emissions'!$A$230:$D$259,3,FALSE)), $C65 = "3", 'Inputs-System'!$C$30*'Coincidence Factors'!$B$5*'Inputs-Proposals'!$M$29*'Inputs-Proposals'!$M$31*(VLOOKUP(AZ$3,'Non-Embedded Emissions'!$A$56:$D$90,2,FALSE)+VLOOKUP(AZ$3,'Non-Embedded Emissions'!$A$143:$D$174,2,FALSE)+VLOOKUP(AZ$3,'Non-Embedded Emissions'!$A$230:$D$259,2,FALSE)-VLOOKUP(AZ$3,'Non-Embedded Emissions'!$A$56:$D$90,3,FALSE)-VLOOKUP(AZ$3,'Non-Embedded Emissions'!$A$143:$D$174,3,FALSE)-VLOOKUP(AZ$3,'Non-Embedded Emissions'!$A$230:$D$259,3,FALSE)), $C65 = "0", 0), 0)</f>
        <v>0</v>
      </c>
      <c r="BF65" s="344">
        <f>IFERROR(_xlfn.IFS($C65="1",('Inputs-System'!$C$30*'Coincidence Factors'!$B$5*(1+'Inputs-System'!$C$18)*(1+'Inputs-System'!$C$41)*('Inputs-Proposals'!$M$17*'Inputs-Proposals'!$M$19*(1-'Inputs-Proposals'!$M$20))*(VLOOKUP(BF$3,Energy!$A$51:$K$83,5,FALSE)-VLOOKUP(BF$3,Energy!$A$51:$K$83,6,FALSE))), $C65 = "2",('Inputs-System'!$C$30*'Coincidence Factors'!$B$5)*(1+'Inputs-System'!$C$18)*(1+'Inputs-System'!$C$41)*('Inputs-Proposals'!$M$23*'Inputs-Proposals'!$M$25*(1-'Inputs-Proposals'!$M$26))*(VLOOKUP(BF$3,Energy!$A$51:$K$83,5,FALSE)-VLOOKUP(BF$3,Energy!$A$51:$K$83,6,FALSE)), $C65= "3", ('Inputs-System'!$C$30*'Coincidence Factors'!$B$5*(1+'Inputs-System'!$C$18)*(1+'Inputs-System'!$C$41)*('Inputs-Proposals'!$M$29*'Inputs-Proposals'!$M$31*(1-'Inputs-Proposals'!$M$32))*(VLOOKUP(BF$3,Energy!$A$51:$K$83,5,FALSE)-VLOOKUP(BF$3,Energy!$A$51:$K$83,6,FALSE))), $C65= "0", 0), 0)</f>
        <v>0</v>
      </c>
      <c r="BG65" s="100">
        <f>IFERROR(_xlfn.IFS($C65="1", 'Inputs-System'!$C$30*'Coincidence Factors'!$B$5*(1+'Inputs-System'!$C$18)*(1+'Inputs-System'!$C$41)*'Inputs-Proposals'!$M$17*'Inputs-Proposals'!$M$19*(1-'Inputs-Proposals'!$M$20)*(VLOOKUP(BF$3,'Embedded Emissions'!$A$47:$B$78,2,FALSE)+VLOOKUP(BF$3,'Embedded Emissions'!$A$129:$B$158,2,FALSE)), $C65 = "2",'Inputs-System'!$C$30*'Coincidence Factors'!$B$5*(1+'Inputs-System'!$C$18)*(1+'Inputs-System'!$C$41)*'Inputs-Proposals'!$M$23*'Inputs-Proposals'!$M$25*(1-'Inputs-Proposals'!$M$20)*(VLOOKUP(BF$3,'Embedded Emissions'!$A$47:$B$78,2,FALSE)+VLOOKUP(BF$3,'Embedded Emissions'!$A$129:$B$158,2,FALSE)), $C65 = "3", 'Inputs-System'!$C$30*'Coincidence Factors'!$B$5*(1+'Inputs-System'!$C$18)*(1+'Inputs-System'!$C$41)*'Inputs-Proposals'!$M$29*'Inputs-Proposals'!$M$31*(1-'Inputs-Proposals'!$M$20)*(VLOOKUP(BF$3,'Embedded Emissions'!$A$47:$B$78,2,FALSE)+VLOOKUP(BF$3,'Embedded Emissions'!$A$129:$B$158,2,FALSE)), $C65 = "0", 0), 0)</f>
        <v>0</v>
      </c>
      <c r="BH65" s="318">
        <f>IFERROR(_xlfn.IFS($C65="1",( 'Inputs-System'!$C$30*'Coincidence Factors'!$B$5*(1+'Inputs-System'!$C$18)*(1+'Inputs-System'!$C$41))*('Inputs-Proposals'!$M$17*'Inputs-Proposals'!$M$19*(1-'Inputs-Proposals'!$M$20))*(VLOOKUP(BF$3,DRIPE!$A$54:$I$82,5,FALSE)-VLOOKUP(BF$3,DRIPE!$A$54:$I$82,6,FALSE)+VLOOKUP(BF$3,DRIPE!$A$54:$I$82,9,FALSE))+ ('Inputs-System'!$C$26*'Coincidence Factors'!$B$5*(1+'Inputs-System'!$C$18)*(1+'Inputs-System'!$C$42))*'Inputs-Proposals'!$M$16*VLOOKUP(BF$3,DRIPE!$A$54:$I$80,8,FALSE), $C65 = "2",( 'Inputs-System'!$C$30*'Coincidence Factors'!$B$5*(1+'Inputs-System'!$C$18)*(1+'Inputs-System'!$C$41))*('Inputs-Proposals'!$M$23*'Inputs-Proposals'!$M$25*(1-'Inputs-Proposals'!$M$26))*(VLOOKUP(BF$3,DRIPE!$A$54:$I$82,5,FALSE)-VLOOKUP(BF$3,DRIPE!$A$54:$I$82,6,FALSE)+VLOOKUP(BF$3,DRIPE!$A$54:$I$82,9,FALSE))+ ('Inputs-System'!$C$26*'Coincidence Factors'!$B$5*(1+'Inputs-System'!$C$18)*(1+'Inputs-System'!$C$41))+ ('Inputs-System'!$C$26*'Coincidence Factors'!$B$5)*'Inputs-Proposals'!$M$22*VLOOKUP(BF$3,DRIPE!$A$54:$I$80,8,FALSE), $C65= "3", ('Inputs-System'!$C$30*'Coincidence Factors'!$B$5)*('Inputs-Proposals'!$M$29*'Inputs-Proposals'!$M$31*(1-'Inputs-Proposals'!$M$32))*(VLOOKUP(BF$3,DRIPE!$A$54:$I$80,5,FALSE)-VLOOKUP(BF$3,DRIPE!$A$54:$I$80,6,FALSE)+VLOOKUP(BF$3,DRIPE!$A$54:$I$80,9,FALSE))+ ('Inputs-System'!$C$26*'Coincidence Factors'!$B$5*(1+'Inputs-System'!$C$18)*(1+'Inputs-System'!$C$42))*'Inputs-Proposals'!$M$28*VLOOKUP(BF$3,DRIPE!$A$54:$I$80,8,FALSE), $C65 = "0", 0), 0)</f>
        <v>0</v>
      </c>
      <c r="BI65" s="326">
        <f>IFERROR(_xlfn.IFS($C65="1",('Inputs-System'!$C$26*'Coincidence Factors'!$B$5*(1+'Inputs-System'!$C$18)*(1+'Inputs-System'!$C$42))*'Inputs-Proposals'!$M$16*(VLOOKUP(BF$3,Capacity!$A$53:$E$85,4,FALSE)*(1+'Inputs-System'!$C$42)+VLOOKUP(BF$3,Capacity!$A$53:$E$85,5,FALSE)*(1+'Inputs-System'!$C$43)*'Inputs-System'!$C$29), $C65 = "2", ('Inputs-System'!$C$26*'Coincidence Factors'!$B$5*(1+'Inputs-System'!$C$18))*'Inputs-Proposals'!$M$22*(VLOOKUP(BF$3,Capacity!$A$53:$E$85,4,FALSE)*(1+'Inputs-System'!$C$42)+VLOOKUP(BF$3,Capacity!$A$53:$E$85,5,FALSE)*'Inputs-System'!$C$29*(1+'Inputs-System'!$C$43)), $C65 = "3", ('Inputs-System'!$C$26*'Coincidence Factors'!$B$5*(1+'Inputs-System'!$C$18))*'Inputs-Proposals'!$M$28*(VLOOKUP(BF$3,Capacity!$A$53:$E$85,4,FALSE)*(1+'Inputs-System'!$C$42)+VLOOKUP(BF$3,Capacity!$A$53:$E$85,5,FALSE)*'Inputs-System'!$C$29*(1+'Inputs-System'!$C$43)), $C65 = "0", 0), 0)</f>
        <v>0</v>
      </c>
      <c r="BJ65" s="100">
        <v>0</v>
      </c>
      <c r="BK65" s="346">
        <f>IFERROR(_xlfn.IFS($C65="1", 'Inputs-System'!$C$30*'Coincidence Factors'!$B$5*'Inputs-Proposals'!$M$17*'Inputs-Proposals'!$M$19*(VLOOKUP(BF$3,'Non-Embedded Emissions'!$A$56:$D$90,2,FALSE)+VLOOKUP(BF$3,'Non-Embedded Emissions'!$A$143:$D$174,2,FALSE)+VLOOKUP(BF$3,'Non-Embedded Emissions'!$A$230:$D$259,2,FALSE)-VLOOKUP(BF$3,'Non-Embedded Emissions'!$A$56:$D$90,3,FALSE)-VLOOKUP(BF$3,'Non-Embedded Emissions'!$A$143:$D$174,3,FALSE)-VLOOKUP(BF$3,'Non-Embedded Emissions'!$A$230:$D$259,3,FALSE)), $C65 = "2", 'Inputs-System'!$C$30*'Coincidence Factors'!$B$5*'Inputs-Proposals'!$M$23*'Inputs-Proposals'!$M$25*(VLOOKUP(BF$3,'Non-Embedded Emissions'!$A$56:$D$90,2,FALSE)+VLOOKUP(BF$3,'Non-Embedded Emissions'!$A$143:$D$174,2,FALSE)+VLOOKUP(BF$3,'Non-Embedded Emissions'!$A$230:$D$259,2,FALSE)-VLOOKUP(BF$3,'Non-Embedded Emissions'!$A$56:$D$90,3,FALSE)-VLOOKUP(BF$3,'Non-Embedded Emissions'!$A$143:$D$174,3,FALSE)-VLOOKUP(BF$3,'Non-Embedded Emissions'!$A$230:$D$259,3,FALSE)), $C65 = "3", 'Inputs-System'!$C$30*'Coincidence Factors'!$B$5*'Inputs-Proposals'!$M$29*'Inputs-Proposals'!$M$31*(VLOOKUP(BF$3,'Non-Embedded Emissions'!$A$56:$D$90,2,FALSE)+VLOOKUP(BF$3,'Non-Embedded Emissions'!$A$143:$D$174,2,FALSE)+VLOOKUP(BF$3,'Non-Embedded Emissions'!$A$230:$D$259,2,FALSE)-VLOOKUP(BF$3,'Non-Embedded Emissions'!$A$56:$D$90,3,FALSE)-VLOOKUP(BF$3,'Non-Embedded Emissions'!$A$143:$D$174,3,FALSE)-VLOOKUP(BF$3,'Non-Embedded Emissions'!$A$230:$D$259,3,FALSE)), $C65 = "0", 0), 0)</f>
        <v>0</v>
      </c>
      <c r="BL65" s="344">
        <f>IFERROR(_xlfn.IFS($C65="1",('Inputs-System'!$C$30*'Coincidence Factors'!$B$5*(1+'Inputs-System'!$C$18)*(1+'Inputs-System'!$C$41)*('Inputs-Proposals'!$M$17*'Inputs-Proposals'!$M$19*(1-'Inputs-Proposals'!$M$20))*(VLOOKUP(BL$3,Energy!$A$51:$K$83,5,FALSE)-VLOOKUP(BL$3,Energy!$A$51:$K$83,6,FALSE))), $C65 = "2",('Inputs-System'!$C$30*'Coincidence Factors'!$B$5)*(1+'Inputs-System'!$C$18)*(1+'Inputs-System'!$C$41)*('Inputs-Proposals'!$M$23*'Inputs-Proposals'!$M$25*(1-'Inputs-Proposals'!$M$26))*(VLOOKUP(BL$3,Energy!$A$51:$K$83,5,FALSE)-VLOOKUP(BL$3,Energy!$A$51:$K$83,6,FALSE)), $C65= "3", ('Inputs-System'!$C$30*'Coincidence Factors'!$B$5*(1+'Inputs-System'!$C$18)*(1+'Inputs-System'!$C$41)*('Inputs-Proposals'!$M$29*'Inputs-Proposals'!$M$31*(1-'Inputs-Proposals'!$M$32))*(VLOOKUP(BL$3,Energy!$A$51:$K$83,5,FALSE)-VLOOKUP(BL$3,Energy!$A$51:$K$83,6,FALSE))), $C65= "0", 0), 0)</f>
        <v>0</v>
      </c>
      <c r="BM65" s="100">
        <f>IFERROR(_xlfn.IFS($C65="1", 'Inputs-System'!$C$30*'Coincidence Factors'!$B$5*(1+'Inputs-System'!$C$18)*(1+'Inputs-System'!$C$41)*'Inputs-Proposals'!$M$17*'Inputs-Proposals'!$M$19*(1-'Inputs-Proposals'!$M$20)*(VLOOKUP(BL$3,'Embedded Emissions'!$A$47:$B$78,2,FALSE)+VLOOKUP(BL$3,'Embedded Emissions'!$A$129:$B$158,2,FALSE)), $C65 = "2",'Inputs-System'!$C$30*'Coincidence Factors'!$B$5*(1+'Inputs-System'!$C$18)*(1+'Inputs-System'!$C$41)*'Inputs-Proposals'!$M$23*'Inputs-Proposals'!$M$25*(1-'Inputs-Proposals'!$M$20)*(VLOOKUP(BL$3,'Embedded Emissions'!$A$47:$B$78,2,FALSE)+VLOOKUP(BL$3,'Embedded Emissions'!$A$129:$B$158,2,FALSE)), $C65 = "3", 'Inputs-System'!$C$30*'Coincidence Factors'!$B$5*(1+'Inputs-System'!$C$18)*(1+'Inputs-System'!$C$41)*'Inputs-Proposals'!$M$29*'Inputs-Proposals'!$M$31*(1-'Inputs-Proposals'!$M$20)*(VLOOKUP(BL$3,'Embedded Emissions'!$A$47:$B$78,2,FALSE)+VLOOKUP(BL$3,'Embedded Emissions'!$A$129:$B$158,2,FALSE)), $C65 = "0", 0), 0)</f>
        <v>0</v>
      </c>
      <c r="BN65" s="318">
        <f>IFERROR(_xlfn.IFS($C65="1",( 'Inputs-System'!$C$30*'Coincidence Factors'!$B$5*(1+'Inputs-System'!$C$18)*(1+'Inputs-System'!$C$41))*('Inputs-Proposals'!$M$17*'Inputs-Proposals'!$M$19*(1-'Inputs-Proposals'!$M$20))*(VLOOKUP(BL$3,DRIPE!$A$54:$I$82,5,FALSE)-VLOOKUP(BL$3,DRIPE!$A$54:$I$82,6,FALSE)+VLOOKUP(BL$3,DRIPE!$A$54:$I$82,9,FALSE))+ ('Inputs-System'!$C$26*'Coincidence Factors'!$B$5*(1+'Inputs-System'!$C$18)*(1+'Inputs-System'!$C$42))*'Inputs-Proposals'!$M$16*VLOOKUP(BL$3,DRIPE!$A$54:$I$80,8,FALSE), $C65 = "2",( 'Inputs-System'!$C$30*'Coincidence Factors'!$B$5*(1+'Inputs-System'!$C$18)*(1+'Inputs-System'!$C$41))*('Inputs-Proposals'!$M$23*'Inputs-Proposals'!$M$25*(1-'Inputs-Proposals'!$M$26))*(VLOOKUP(BL$3,DRIPE!$A$54:$I$82,5,FALSE)-VLOOKUP(BL$3,DRIPE!$A$54:$I$82,6,FALSE)+VLOOKUP(BL$3,DRIPE!$A$54:$I$82,9,FALSE))+ ('Inputs-System'!$C$26*'Coincidence Factors'!$B$5*(1+'Inputs-System'!$C$18)*(1+'Inputs-System'!$C$41))+ ('Inputs-System'!$C$26*'Coincidence Factors'!$B$5)*'Inputs-Proposals'!$M$22*VLOOKUP(BL$3,DRIPE!$A$54:$I$80,8,FALSE), $C65= "3", ('Inputs-System'!$C$30*'Coincidence Factors'!$B$5)*('Inputs-Proposals'!$M$29*'Inputs-Proposals'!$M$31*(1-'Inputs-Proposals'!$M$32))*(VLOOKUP(BL$3,DRIPE!$A$54:$I$80,5,FALSE)-VLOOKUP(BL$3,DRIPE!$A$54:$I$80,6,FALSE)+VLOOKUP(BL$3,DRIPE!$A$54:$I$80,9,FALSE))+ ('Inputs-System'!$C$26*'Coincidence Factors'!$B$5*(1+'Inputs-System'!$C$18)*(1+'Inputs-System'!$C$42))*'Inputs-Proposals'!$M$28*VLOOKUP(BL$3,DRIPE!$A$54:$I$80,8,FALSE), $C65 = "0", 0), 0)</f>
        <v>0</v>
      </c>
      <c r="BO65" s="326">
        <f>IFERROR(_xlfn.IFS($C65="1",('Inputs-System'!$C$26*'Coincidence Factors'!$B$5*(1+'Inputs-System'!$C$18)*(1+'Inputs-System'!$C$42))*'Inputs-Proposals'!$M$16*(VLOOKUP(BL$3,Capacity!$A$53:$E$85,4,FALSE)*(1+'Inputs-System'!$C$42)+VLOOKUP(BL$3,Capacity!$A$53:$E$85,5,FALSE)*(1+'Inputs-System'!$C$43)*'Inputs-System'!$C$29), $C65 = "2", ('Inputs-System'!$C$26*'Coincidence Factors'!$B$5*(1+'Inputs-System'!$C$18))*'Inputs-Proposals'!$M$22*(VLOOKUP(BL$3,Capacity!$A$53:$E$85,4,FALSE)*(1+'Inputs-System'!$C$42)+VLOOKUP(BL$3,Capacity!$A$53:$E$85,5,FALSE)*'Inputs-System'!$C$29*(1+'Inputs-System'!$C$43)), $C65 = "3", ('Inputs-System'!$C$26*'Coincidence Factors'!$B$5*(1+'Inputs-System'!$C$18))*'Inputs-Proposals'!$M$28*(VLOOKUP(BL$3,Capacity!$A$53:$E$85,4,FALSE)*(1+'Inputs-System'!$C$42)+VLOOKUP(BL$3,Capacity!$A$53:$E$85,5,FALSE)*'Inputs-System'!$C$29*(1+'Inputs-System'!$C$43)), $C65 = "0", 0), 0)</f>
        <v>0</v>
      </c>
      <c r="BP65" s="100">
        <v>0</v>
      </c>
      <c r="BQ65" s="346">
        <f>IFERROR(_xlfn.IFS($C65="1", 'Inputs-System'!$C$30*'Coincidence Factors'!$B$5*'Inputs-Proposals'!$M$17*'Inputs-Proposals'!$M$19*(VLOOKUP(BL$3,'Non-Embedded Emissions'!$A$56:$D$90,2,FALSE)+VLOOKUP(BL$3,'Non-Embedded Emissions'!$A$143:$D$174,2,FALSE)+VLOOKUP(BL$3,'Non-Embedded Emissions'!$A$230:$D$259,2,FALSE)-VLOOKUP(BL$3,'Non-Embedded Emissions'!$A$56:$D$90,3,FALSE)-VLOOKUP(BL$3,'Non-Embedded Emissions'!$A$143:$D$174,3,FALSE)-VLOOKUP(BL$3,'Non-Embedded Emissions'!$A$230:$D$259,3,FALSE)), $C65 = "2", 'Inputs-System'!$C$30*'Coincidence Factors'!$B$5*'Inputs-Proposals'!$M$23*'Inputs-Proposals'!$M$25*(VLOOKUP(BL$3,'Non-Embedded Emissions'!$A$56:$D$90,2,FALSE)+VLOOKUP(BL$3,'Non-Embedded Emissions'!$A$143:$D$174,2,FALSE)+VLOOKUP(BL$3,'Non-Embedded Emissions'!$A$230:$D$259,2,FALSE)-VLOOKUP(BL$3,'Non-Embedded Emissions'!$A$56:$D$90,3,FALSE)-VLOOKUP(BL$3,'Non-Embedded Emissions'!$A$143:$D$174,3,FALSE)-VLOOKUP(BL$3,'Non-Embedded Emissions'!$A$230:$D$259,3,FALSE)), $C65 = "3", 'Inputs-System'!$C$30*'Coincidence Factors'!$B$5*'Inputs-Proposals'!$M$29*'Inputs-Proposals'!$M$31*(VLOOKUP(BL$3,'Non-Embedded Emissions'!$A$56:$D$90,2,FALSE)+VLOOKUP(BL$3,'Non-Embedded Emissions'!$A$143:$D$174,2,FALSE)+VLOOKUP(BL$3,'Non-Embedded Emissions'!$A$230:$D$259,2,FALSE)-VLOOKUP(BL$3,'Non-Embedded Emissions'!$A$56:$D$90,3,FALSE)-VLOOKUP(BL$3,'Non-Embedded Emissions'!$A$143:$D$174,3,FALSE)-VLOOKUP(BL$3,'Non-Embedded Emissions'!$A$230:$D$259,3,FALSE)), $C65 = "0", 0), 0)</f>
        <v>0</v>
      </c>
      <c r="BR65" s="344">
        <f>IFERROR(_xlfn.IFS($C65="1",('Inputs-System'!$C$30*'Coincidence Factors'!$B$5*(1+'Inputs-System'!$C$18)*(1+'Inputs-System'!$C$41)*('Inputs-Proposals'!$M$17*'Inputs-Proposals'!$M$19*(1-'Inputs-Proposals'!$M$20))*(VLOOKUP(BR$3,Energy!$A$51:$K$83,5,FALSE)-VLOOKUP(BR$3,Energy!$A$51:$K$83,6,FALSE))), $C65 = "2",('Inputs-System'!$C$30*'Coincidence Factors'!$B$5)*(1+'Inputs-System'!$C$18)*(1+'Inputs-System'!$C$41)*('Inputs-Proposals'!$M$23*'Inputs-Proposals'!$M$25*(1-'Inputs-Proposals'!$M$26))*(VLOOKUP(BR$3,Energy!$A$51:$K$83,5,FALSE)-VLOOKUP(BR$3,Energy!$A$51:$K$83,6,FALSE)), $C65= "3", ('Inputs-System'!$C$30*'Coincidence Factors'!$B$5*(1+'Inputs-System'!$C$18)*(1+'Inputs-System'!$C$41)*('Inputs-Proposals'!$M$29*'Inputs-Proposals'!$M$31*(1-'Inputs-Proposals'!$M$32))*(VLOOKUP(BR$3,Energy!$A$51:$K$83,5,FALSE)-VLOOKUP(BR$3,Energy!$A$51:$K$83,6,FALSE))), $C65= "0", 0), 0)</f>
        <v>0</v>
      </c>
      <c r="BS65" s="100">
        <f>IFERROR(_xlfn.IFS($C65="1", 'Inputs-System'!$C$30*'Coincidence Factors'!$B$5*(1+'Inputs-System'!$C$18)*(1+'Inputs-System'!$C$41)*'Inputs-Proposals'!$M$17*'Inputs-Proposals'!$M$19*(1-'Inputs-Proposals'!$M$20)*(VLOOKUP(BR$3,'Embedded Emissions'!$A$47:$B$78,2,FALSE)+VLOOKUP(BR$3,'Embedded Emissions'!$A$129:$B$158,2,FALSE)), $C65 = "2",'Inputs-System'!$C$30*'Coincidence Factors'!$B$5*(1+'Inputs-System'!$C$18)*(1+'Inputs-System'!$C$41)*'Inputs-Proposals'!$M$23*'Inputs-Proposals'!$M$25*(1-'Inputs-Proposals'!$M$20)*(VLOOKUP(BR$3,'Embedded Emissions'!$A$47:$B$78,2,FALSE)+VLOOKUP(BR$3,'Embedded Emissions'!$A$129:$B$158,2,FALSE)), $C65 = "3", 'Inputs-System'!$C$30*'Coincidence Factors'!$B$5*(1+'Inputs-System'!$C$18)*(1+'Inputs-System'!$C$41)*'Inputs-Proposals'!$M$29*'Inputs-Proposals'!$M$31*(1-'Inputs-Proposals'!$M$20)*(VLOOKUP(BR$3,'Embedded Emissions'!$A$47:$B$78,2,FALSE)+VLOOKUP(BR$3,'Embedded Emissions'!$A$129:$B$158,2,FALSE)), $C65 = "0", 0), 0)</f>
        <v>0</v>
      </c>
      <c r="BT65" s="318">
        <f>IFERROR(_xlfn.IFS($C65="1",( 'Inputs-System'!$C$30*'Coincidence Factors'!$B$5*(1+'Inputs-System'!$C$18)*(1+'Inputs-System'!$C$41))*('Inputs-Proposals'!$M$17*'Inputs-Proposals'!$M$19*(1-'Inputs-Proposals'!$M$20))*(VLOOKUP(BR$3,DRIPE!$A$54:$I$82,5,FALSE)-VLOOKUP(BR$3,DRIPE!$A$54:$I$82,6,FALSE)+VLOOKUP(BR$3,DRIPE!$A$54:$I$82,9,FALSE))+ ('Inputs-System'!$C$26*'Coincidence Factors'!$B$5*(1+'Inputs-System'!$C$18)*(1+'Inputs-System'!$C$42))*'Inputs-Proposals'!$M$16*VLOOKUP(BR$3,DRIPE!$A$54:$I$80,8,FALSE), $C65 = "2",( 'Inputs-System'!$C$30*'Coincidence Factors'!$B$5*(1+'Inputs-System'!$C$18)*(1+'Inputs-System'!$C$41))*('Inputs-Proposals'!$M$23*'Inputs-Proposals'!$M$25*(1-'Inputs-Proposals'!$M$26))*(VLOOKUP(BR$3,DRIPE!$A$54:$I$82,5,FALSE)-VLOOKUP(BR$3,DRIPE!$A$54:$I$82,6,FALSE)+VLOOKUP(BR$3,DRIPE!$A$54:$I$82,9,FALSE))+ ('Inputs-System'!$C$26*'Coincidence Factors'!$B$5*(1+'Inputs-System'!$C$18)*(1+'Inputs-System'!$C$41))+ ('Inputs-System'!$C$26*'Coincidence Factors'!$B$5)*'Inputs-Proposals'!$M$22*VLOOKUP(BR$3,DRIPE!$A$54:$I$80,8,FALSE), $C65= "3", ('Inputs-System'!$C$30*'Coincidence Factors'!$B$5)*('Inputs-Proposals'!$M$29*'Inputs-Proposals'!$M$31*(1-'Inputs-Proposals'!$M$32))*(VLOOKUP(BR$3,DRIPE!$A$54:$I$80,5,FALSE)-VLOOKUP(BR$3,DRIPE!$A$54:$I$80,6,FALSE)+VLOOKUP(BR$3,DRIPE!$A$54:$I$80,9,FALSE))+ ('Inputs-System'!$C$26*'Coincidence Factors'!$B$5*(1+'Inputs-System'!$C$18)*(1+'Inputs-System'!$C$42))*'Inputs-Proposals'!$M$28*VLOOKUP(BR$3,DRIPE!$A$54:$I$80,8,FALSE), $C65 = "0", 0), 0)</f>
        <v>0</v>
      </c>
      <c r="BU65" s="326">
        <f>IFERROR(_xlfn.IFS($C65="1",('Inputs-System'!$C$26*'Coincidence Factors'!$B$5*(1+'Inputs-System'!$C$18)*(1+'Inputs-System'!$C$42))*'Inputs-Proposals'!$M$16*(VLOOKUP(BR$3,Capacity!$A$53:$E$85,4,FALSE)*(1+'Inputs-System'!$C$42)+VLOOKUP(BR$3,Capacity!$A$53:$E$85,5,FALSE)*(1+'Inputs-System'!$C$43)*'Inputs-System'!$C$29), $C65 = "2", ('Inputs-System'!$C$26*'Coincidence Factors'!$B$5*(1+'Inputs-System'!$C$18))*'Inputs-Proposals'!$M$22*(VLOOKUP(BR$3,Capacity!$A$53:$E$85,4,FALSE)*(1+'Inputs-System'!$C$42)+VLOOKUP(BR$3,Capacity!$A$53:$E$85,5,FALSE)*'Inputs-System'!$C$29*(1+'Inputs-System'!$C$43)), $C65 = "3", ('Inputs-System'!$C$26*'Coincidence Factors'!$B$5*(1+'Inputs-System'!$C$18))*'Inputs-Proposals'!$M$28*(VLOOKUP(BR$3,Capacity!$A$53:$E$85,4,FALSE)*(1+'Inputs-System'!$C$42)+VLOOKUP(BR$3,Capacity!$A$53:$E$85,5,FALSE)*'Inputs-System'!$C$29*(1+'Inputs-System'!$C$43)), $C65 = "0", 0), 0)</f>
        <v>0</v>
      </c>
      <c r="BV65" s="100">
        <v>0</v>
      </c>
      <c r="BW65" s="346">
        <f>IFERROR(_xlfn.IFS($C65="1", 'Inputs-System'!$C$30*'Coincidence Factors'!$B$5*'Inputs-Proposals'!$M$17*'Inputs-Proposals'!$M$19*(VLOOKUP(BR$3,'Non-Embedded Emissions'!$A$56:$D$90,2,FALSE)+VLOOKUP(BR$3,'Non-Embedded Emissions'!$A$143:$D$174,2,FALSE)+VLOOKUP(BR$3,'Non-Embedded Emissions'!$A$230:$D$259,2,FALSE)-VLOOKUP(BR$3,'Non-Embedded Emissions'!$A$56:$D$90,3,FALSE)-VLOOKUP(BR$3,'Non-Embedded Emissions'!$A$143:$D$174,3,FALSE)-VLOOKUP(BR$3,'Non-Embedded Emissions'!$A$230:$D$259,3,FALSE)), $C65 = "2", 'Inputs-System'!$C$30*'Coincidence Factors'!$B$5*'Inputs-Proposals'!$M$23*'Inputs-Proposals'!$M$25*(VLOOKUP(BR$3,'Non-Embedded Emissions'!$A$56:$D$90,2,FALSE)+VLOOKUP(BR$3,'Non-Embedded Emissions'!$A$143:$D$174,2,FALSE)+VLOOKUP(BR$3,'Non-Embedded Emissions'!$A$230:$D$259,2,FALSE)-VLOOKUP(BR$3,'Non-Embedded Emissions'!$A$56:$D$90,3,FALSE)-VLOOKUP(BR$3,'Non-Embedded Emissions'!$A$143:$D$174,3,FALSE)-VLOOKUP(BR$3,'Non-Embedded Emissions'!$A$230:$D$259,3,FALSE)), $C65 = "3", 'Inputs-System'!$C$30*'Coincidence Factors'!$B$5*'Inputs-Proposals'!$M$29*'Inputs-Proposals'!$M$31*(VLOOKUP(BR$3,'Non-Embedded Emissions'!$A$56:$D$90,2,FALSE)+VLOOKUP(BR$3,'Non-Embedded Emissions'!$A$143:$D$174,2,FALSE)+VLOOKUP(BR$3,'Non-Embedded Emissions'!$A$230:$D$259,2,FALSE)-VLOOKUP(BR$3,'Non-Embedded Emissions'!$A$56:$D$90,3,FALSE)-VLOOKUP(BR$3,'Non-Embedded Emissions'!$A$143:$D$174,3,FALSE)-VLOOKUP(BR$3,'Non-Embedded Emissions'!$A$230:$D$259,3,FALSE)), $C65 = "0", 0), 0)</f>
        <v>0</v>
      </c>
      <c r="BX65" s="344">
        <f>IFERROR(_xlfn.IFS($C65="1",('Inputs-System'!$C$30*'Coincidence Factors'!$B$5*(1+'Inputs-System'!$C$18)*(1+'Inputs-System'!$C$41)*('Inputs-Proposals'!$M$17*'Inputs-Proposals'!$M$19*(1-'Inputs-Proposals'!$M$20))*(VLOOKUP(BX$3,Energy!$A$51:$K$83,5,FALSE)-VLOOKUP(BX$3,Energy!$A$51:$K$83,6,FALSE))), $C65 = "2",('Inputs-System'!$C$30*'Coincidence Factors'!$B$5)*(1+'Inputs-System'!$C$18)*(1+'Inputs-System'!$C$41)*('Inputs-Proposals'!$M$23*'Inputs-Proposals'!$M$25*(1-'Inputs-Proposals'!$M$26))*(VLOOKUP(BX$3,Energy!$A$51:$K$83,5,FALSE)-VLOOKUP(BX$3,Energy!$A$51:$K$83,6,FALSE)), $C65= "3", ('Inputs-System'!$C$30*'Coincidence Factors'!$B$5*(1+'Inputs-System'!$C$18)*(1+'Inputs-System'!$C$41)*('Inputs-Proposals'!$M$29*'Inputs-Proposals'!$M$31*(1-'Inputs-Proposals'!$M$32))*(VLOOKUP(BX$3,Energy!$A$51:$K$83,5,FALSE)-VLOOKUP(BX$3,Energy!$A$51:$K$83,6,FALSE))), $C65= "0", 0), 0)</f>
        <v>0</v>
      </c>
      <c r="BY65" s="100">
        <f>IFERROR(_xlfn.IFS($C65="1", 'Inputs-System'!$C$30*'Coincidence Factors'!$B$5*(1+'Inputs-System'!$C$18)*(1+'Inputs-System'!$C$41)*'Inputs-Proposals'!$M$17*'Inputs-Proposals'!$M$19*(1-'Inputs-Proposals'!$M$20)*(VLOOKUP(BX$3,'Embedded Emissions'!$A$47:$B$78,2,FALSE)+VLOOKUP(BX$3,'Embedded Emissions'!$A$129:$B$158,2,FALSE)), $C65 = "2",'Inputs-System'!$C$30*'Coincidence Factors'!$B$5*(1+'Inputs-System'!$C$18)*(1+'Inputs-System'!$C$41)*'Inputs-Proposals'!$M$23*'Inputs-Proposals'!$M$25*(1-'Inputs-Proposals'!$M$20)*(VLOOKUP(BX$3,'Embedded Emissions'!$A$47:$B$78,2,FALSE)+VLOOKUP(BX$3,'Embedded Emissions'!$A$129:$B$158,2,FALSE)), $C65 = "3", 'Inputs-System'!$C$30*'Coincidence Factors'!$B$5*(1+'Inputs-System'!$C$18)*(1+'Inputs-System'!$C$41)*'Inputs-Proposals'!$M$29*'Inputs-Proposals'!$M$31*(1-'Inputs-Proposals'!$M$20)*(VLOOKUP(BX$3,'Embedded Emissions'!$A$47:$B$78,2,FALSE)+VLOOKUP(BX$3,'Embedded Emissions'!$A$129:$B$158,2,FALSE)), $C65 = "0", 0), 0)</f>
        <v>0</v>
      </c>
      <c r="BZ65" s="318">
        <f>IFERROR(_xlfn.IFS($C65="1",( 'Inputs-System'!$C$30*'Coincidence Factors'!$B$5*(1+'Inputs-System'!$C$18)*(1+'Inputs-System'!$C$41))*('Inputs-Proposals'!$M$17*'Inputs-Proposals'!$M$19*(1-'Inputs-Proposals'!$M$20))*(VLOOKUP(BX$3,DRIPE!$A$54:$I$82,5,FALSE)-VLOOKUP(BX$3,DRIPE!$A$54:$I$82,6,FALSE)+VLOOKUP(BX$3,DRIPE!$A$54:$I$82,9,FALSE))+ ('Inputs-System'!$C$26*'Coincidence Factors'!$B$5*(1+'Inputs-System'!$C$18)*(1+'Inputs-System'!$C$42))*'Inputs-Proposals'!$M$16*VLOOKUP(BX$3,DRIPE!$A$54:$I$80,8,FALSE), $C65 = "2",( 'Inputs-System'!$C$30*'Coincidence Factors'!$B$5*(1+'Inputs-System'!$C$18)*(1+'Inputs-System'!$C$41))*('Inputs-Proposals'!$M$23*'Inputs-Proposals'!$M$25*(1-'Inputs-Proposals'!$M$26))*(VLOOKUP(BX$3,DRIPE!$A$54:$I$82,5,FALSE)-VLOOKUP(BX$3,DRIPE!$A$54:$I$82,6,FALSE)+VLOOKUP(BX$3,DRIPE!$A$54:$I$82,9,FALSE))+ ('Inputs-System'!$C$26*'Coincidence Factors'!$B$5*(1+'Inputs-System'!$C$18)*(1+'Inputs-System'!$C$41))+ ('Inputs-System'!$C$26*'Coincidence Factors'!$B$5)*'Inputs-Proposals'!$M$22*VLOOKUP(BX$3,DRIPE!$A$54:$I$80,8,FALSE), $C65= "3", ('Inputs-System'!$C$30*'Coincidence Factors'!$B$5)*('Inputs-Proposals'!$M$29*'Inputs-Proposals'!$M$31*(1-'Inputs-Proposals'!$M$32))*(VLOOKUP(BX$3,DRIPE!$A$54:$I$80,5,FALSE)-VLOOKUP(BX$3,DRIPE!$A$54:$I$80,6,FALSE)+VLOOKUP(BX$3,DRIPE!$A$54:$I$80,9,FALSE))+ ('Inputs-System'!$C$26*'Coincidence Factors'!$B$5*(1+'Inputs-System'!$C$18)*(1+'Inputs-System'!$C$42))*'Inputs-Proposals'!$M$28*VLOOKUP(BX$3,DRIPE!$A$54:$I$80,8,FALSE), $C65 = "0", 0), 0)</f>
        <v>0</v>
      </c>
      <c r="CA65" s="326">
        <f>IFERROR(_xlfn.IFS($C65="1",('Inputs-System'!$C$26*'Coincidence Factors'!$B$5*(1+'Inputs-System'!$C$18)*(1+'Inputs-System'!$C$42))*'Inputs-Proposals'!$M$16*(VLOOKUP(BX$3,Capacity!$A$53:$E$85,4,FALSE)*(1+'Inputs-System'!$C$42)+VLOOKUP(BX$3,Capacity!$A$53:$E$85,5,FALSE)*(1+'Inputs-System'!$C$43)*'Inputs-System'!$C$29), $C65 = "2", ('Inputs-System'!$C$26*'Coincidence Factors'!$B$5*(1+'Inputs-System'!$C$18))*'Inputs-Proposals'!$M$22*(VLOOKUP(BX$3,Capacity!$A$53:$E$85,4,FALSE)*(1+'Inputs-System'!$C$42)+VLOOKUP(BX$3,Capacity!$A$53:$E$85,5,FALSE)*'Inputs-System'!$C$29*(1+'Inputs-System'!$C$43)), $C65 = "3", ('Inputs-System'!$C$26*'Coincidence Factors'!$B$5*(1+'Inputs-System'!$C$18))*'Inputs-Proposals'!$M$28*(VLOOKUP(BX$3,Capacity!$A$53:$E$85,4,FALSE)*(1+'Inputs-System'!$C$42)+VLOOKUP(BX$3,Capacity!$A$53:$E$85,5,FALSE)*'Inputs-System'!$C$29*(1+'Inputs-System'!$C$43)), $C65 = "0", 0), 0)</f>
        <v>0</v>
      </c>
      <c r="CB65" s="100">
        <v>0</v>
      </c>
      <c r="CC65" s="346">
        <f>IFERROR(_xlfn.IFS($C65="1", 'Inputs-System'!$C$30*'Coincidence Factors'!$B$5*'Inputs-Proposals'!$M$17*'Inputs-Proposals'!$M$19*(VLOOKUP(BX$3,'Non-Embedded Emissions'!$A$56:$D$90,2,FALSE)+VLOOKUP(BX$3,'Non-Embedded Emissions'!$A$143:$D$174,2,FALSE)+VLOOKUP(BX$3,'Non-Embedded Emissions'!$A$230:$D$259,2,FALSE)-VLOOKUP(BX$3,'Non-Embedded Emissions'!$A$56:$D$90,3,FALSE)-VLOOKUP(BX$3,'Non-Embedded Emissions'!$A$143:$D$174,3,FALSE)-VLOOKUP(BX$3,'Non-Embedded Emissions'!$A$230:$D$259,3,FALSE)), $C65 = "2", 'Inputs-System'!$C$30*'Coincidence Factors'!$B$5*'Inputs-Proposals'!$M$23*'Inputs-Proposals'!$M$25*(VLOOKUP(BX$3,'Non-Embedded Emissions'!$A$56:$D$90,2,FALSE)+VLOOKUP(BX$3,'Non-Embedded Emissions'!$A$143:$D$174,2,FALSE)+VLOOKUP(BX$3,'Non-Embedded Emissions'!$A$230:$D$259,2,FALSE)-VLOOKUP(BX$3,'Non-Embedded Emissions'!$A$56:$D$90,3,FALSE)-VLOOKUP(BX$3,'Non-Embedded Emissions'!$A$143:$D$174,3,FALSE)-VLOOKUP(BX$3,'Non-Embedded Emissions'!$A$230:$D$259,3,FALSE)), $C65 = "3", 'Inputs-System'!$C$30*'Coincidence Factors'!$B$5*'Inputs-Proposals'!$M$29*'Inputs-Proposals'!$M$31*(VLOOKUP(BX$3,'Non-Embedded Emissions'!$A$56:$D$90,2,FALSE)+VLOOKUP(BX$3,'Non-Embedded Emissions'!$A$143:$D$174,2,FALSE)+VLOOKUP(BX$3,'Non-Embedded Emissions'!$A$230:$D$259,2,FALSE)-VLOOKUP(BX$3,'Non-Embedded Emissions'!$A$56:$D$90,3,FALSE)-VLOOKUP(BX$3,'Non-Embedded Emissions'!$A$143:$D$174,3,FALSE)-VLOOKUP(BX$3,'Non-Embedded Emissions'!$A$230:$D$259,3,FALSE)), $C65 = "0", 0), 0)</f>
        <v>0</v>
      </c>
      <c r="CD65" s="344">
        <f>IFERROR(_xlfn.IFS($C65="1",('Inputs-System'!$C$30*'Coincidence Factors'!$B$5*(1+'Inputs-System'!$C$18)*(1+'Inputs-System'!$C$41)*('Inputs-Proposals'!$M$17*'Inputs-Proposals'!$M$19*(1-'Inputs-Proposals'!$M$20))*(VLOOKUP(CD$3,Energy!$A$51:$K$83,5,FALSE)-VLOOKUP(CD$3,Energy!$A$51:$K$83,6,FALSE))), $C65 = "2",('Inputs-System'!$C$30*'Coincidence Factors'!$B$5)*(1+'Inputs-System'!$C$18)*(1+'Inputs-System'!$C$41)*('Inputs-Proposals'!$M$23*'Inputs-Proposals'!$M$25*(1-'Inputs-Proposals'!$M$26))*(VLOOKUP(CD$3,Energy!$A$51:$K$83,5,FALSE)-VLOOKUP(CD$3,Energy!$A$51:$K$83,6,FALSE)), $C65= "3", ('Inputs-System'!$C$30*'Coincidence Factors'!$B$5*(1+'Inputs-System'!$C$18)*(1+'Inputs-System'!$C$41)*('Inputs-Proposals'!$M$29*'Inputs-Proposals'!$M$31*(1-'Inputs-Proposals'!$M$32))*(VLOOKUP(CD$3,Energy!$A$51:$K$83,5,FALSE)-VLOOKUP(CD$3,Energy!$A$51:$K$83,6,FALSE))), $C65= "0", 0), 0)</f>
        <v>0</v>
      </c>
      <c r="CE65" s="100">
        <f>IFERROR(_xlfn.IFS($C65="1", 'Inputs-System'!$C$30*'Coincidence Factors'!$B$5*(1+'Inputs-System'!$C$18)*(1+'Inputs-System'!$C$41)*'Inputs-Proposals'!$M$17*'Inputs-Proposals'!$M$19*(1-'Inputs-Proposals'!$M$20)*(VLOOKUP(CD$3,'Embedded Emissions'!$A$47:$B$78,2,FALSE)+VLOOKUP(CD$3,'Embedded Emissions'!$A$129:$B$158,2,FALSE)), $C65 = "2",'Inputs-System'!$C$30*'Coincidence Factors'!$B$5*(1+'Inputs-System'!$C$18)*(1+'Inputs-System'!$C$41)*'Inputs-Proposals'!$M$23*'Inputs-Proposals'!$M$25*(1-'Inputs-Proposals'!$M$20)*(VLOOKUP(CD$3,'Embedded Emissions'!$A$47:$B$78,2,FALSE)+VLOOKUP(CD$3,'Embedded Emissions'!$A$129:$B$158,2,FALSE)), $C65 = "3", 'Inputs-System'!$C$30*'Coincidence Factors'!$B$5*(1+'Inputs-System'!$C$18)*(1+'Inputs-System'!$C$41)*'Inputs-Proposals'!$M$29*'Inputs-Proposals'!$M$31*(1-'Inputs-Proposals'!$M$20)*(VLOOKUP(CD$3,'Embedded Emissions'!$A$47:$B$78,2,FALSE)+VLOOKUP(CD$3,'Embedded Emissions'!$A$129:$B$158,2,FALSE)), $C65 = "0", 0), 0)</f>
        <v>0</v>
      </c>
      <c r="CF65" s="318">
        <f>IFERROR(_xlfn.IFS($C65="1",( 'Inputs-System'!$C$30*'Coincidence Factors'!$B$5*(1+'Inputs-System'!$C$18)*(1+'Inputs-System'!$C$41))*('Inputs-Proposals'!$M$17*'Inputs-Proposals'!$M$19*(1-'Inputs-Proposals'!$M$20))*(VLOOKUP(CD$3,DRIPE!$A$54:$I$82,5,FALSE)-VLOOKUP(CD$3,DRIPE!$A$54:$I$82,6,FALSE)+VLOOKUP(CD$3,DRIPE!$A$54:$I$82,9,FALSE))+ ('Inputs-System'!$C$26*'Coincidence Factors'!$B$5*(1+'Inputs-System'!$C$18)*(1+'Inputs-System'!$C$42))*'Inputs-Proposals'!$M$16*VLOOKUP(CD$3,DRIPE!$A$54:$I$80,8,FALSE), $C65 = "2",( 'Inputs-System'!$C$30*'Coincidence Factors'!$B$5*(1+'Inputs-System'!$C$18)*(1+'Inputs-System'!$C$41))*('Inputs-Proposals'!$M$23*'Inputs-Proposals'!$M$25*(1-'Inputs-Proposals'!$M$26))*(VLOOKUP(CD$3,DRIPE!$A$54:$I$82,5,FALSE)-VLOOKUP(CD$3,DRIPE!$A$54:$I$82,6,FALSE)+VLOOKUP(CD$3,DRIPE!$A$54:$I$82,9,FALSE))+ ('Inputs-System'!$C$26*'Coincidence Factors'!$B$5*(1+'Inputs-System'!$C$18)*(1+'Inputs-System'!$C$41))+ ('Inputs-System'!$C$26*'Coincidence Factors'!$B$5)*'Inputs-Proposals'!$M$22*VLOOKUP(CD$3,DRIPE!$A$54:$I$80,8,FALSE), $C65= "3", ('Inputs-System'!$C$30*'Coincidence Factors'!$B$5)*('Inputs-Proposals'!$M$29*'Inputs-Proposals'!$M$31*(1-'Inputs-Proposals'!$M$32))*(VLOOKUP(CD$3,DRIPE!$A$54:$I$80,5,FALSE)-VLOOKUP(CD$3,DRIPE!$A$54:$I$80,6,FALSE)+VLOOKUP(CD$3,DRIPE!$A$54:$I$80,9,FALSE))+ ('Inputs-System'!$C$26*'Coincidence Factors'!$B$5*(1+'Inputs-System'!$C$18)*(1+'Inputs-System'!$C$42))*'Inputs-Proposals'!$M$28*VLOOKUP(CD$3,DRIPE!$A$54:$I$80,8,FALSE), $C65 = "0", 0), 0)</f>
        <v>0</v>
      </c>
      <c r="CG65" s="326">
        <f>IFERROR(_xlfn.IFS($C65="1",('Inputs-System'!$C$26*'Coincidence Factors'!$B$5*(1+'Inputs-System'!$C$18)*(1+'Inputs-System'!$C$42))*'Inputs-Proposals'!$M$16*(VLOOKUP(CD$3,Capacity!$A$53:$E$85,4,FALSE)*(1+'Inputs-System'!$C$42)+VLOOKUP(CD$3,Capacity!$A$53:$E$85,5,FALSE)*(1+'Inputs-System'!$C$43)*'Inputs-System'!$C$29), $C65 = "2", ('Inputs-System'!$C$26*'Coincidence Factors'!$B$5*(1+'Inputs-System'!$C$18))*'Inputs-Proposals'!$M$22*(VLOOKUP(CD$3,Capacity!$A$53:$E$85,4,FALSE)*(1+'Inputs-System'!$C$42)+VLOOKUP(CD$3,Capacity!$A$53:$E$85,5,FALSE)*'Inputs-System'!$C$29*(1+'Inputs-System'!$C$43)), $C65 = "3", ('Inputs-System'!$C$26*'Coincidence Factors'!$B$5*(1+'Inputs-System'!$C$18))*'Inputs-Proposals'!$M$28*(VLOOKUP(CD$3,Capacity!$A$53:$E$85,4,FALSE)*(1+'Inputs-System'!$C$42)+VLOOKUP(CD$3,Capacity!$A$53:$E$85,5,FALSE)*'Inputs-System'!$C$29*(1+'Inputs-System'!$C$43)), $C65 = "0", 0), 0)</f>
        <v>0</v>
      </c>
      <c r="CH65" s="100">
        <v>0</v>
      </c>
      <c r="CI65" s="346">
        <f>IFERROR(_xlfn.IFS($C65="1", 'Inputs-System'!$C$30*'Coincidence Factors'!$B$5*'Inputs-Proposals'!$M$17*'Inputs-Proposals'!$M$19*(VLOOKUP(CD$3,'Non-Embedded Emissions'!$A$56:$D$90,2,FALSE)+VLOOKUP(CD$3,'Non-Embedded Emissions'!$A$143:$D$174,2,FALSE)+VLOOKUP(CD$3,'Non-Embedded Emissions'!$A$230:$D$259,2,FALSE)-VLOOKUP(CD$3,'Non-Embedded Emissions'!$A$56:$D$90,3,FALSE)-VLOOKUP(CD$3,'Non-Embedded Emissions'!$A$143:$D$174,3,FALSE)-VLOOKUP(CD$3,'Non-Embedded Emissions'!$A$230:$D$259,3,FALSE)), $C65 = "2", 'Inputs-System'!$C$30*'Coincidence Factors'!$B$5*'Inputs-Proposals'!$M$23*'Inputs-Proposals'!$M$25*(VLOOKUP(CD$3,'Non-Embedded Emissions'!$A$56:$D$90,2,FALSE)+VLOOKUP(CD$3,'Non-Embedded Emissions'!$A$143:$D$174,2,FALSE)+VLOOKUP(CD$3,'Non-Embedded Emissions'!$A$230:$D$259,2,FALSE)-VLOOKUP(CD$3,'Non-Embedded Emissions'!$A$56:$D$90,3,FALSE)-VLOOKUP(CD$3,'Non-Embedded Emissions'!$A$143:$D$174,3,FALSE)-VLOOKUP(CD$3,'Non-Embedded Emissions'!$A$230:$D$259,3,FALSE)), $C65 = "3", 'Inputs-System'!$C$30*'Coincidence Factors'!$B$5*'Inputs-Proposals'!$M$29*'Inputs-Proposals'!$M$31*(VLOOKUP(CD$3,'Non-Embedded Emissions'!$A$56:$D$90,2,FALSE)+VLOOKUP(CD$3,'Non-Embedded Emissions'!$A$143:$D$174,2,FALSE)+VLOOKUP(CD$3,'Non-Embedded Emissions'!$A$230:$D$259,2,FALSE)-VLOOKUP(CD$3,'Non-Embedded Emissions'!$A$56:$D$90,3,FALSE)-VLOOKUP(CD$3,'Non-Embedded Emissions'!$A$143:$D$174,3,FALSE)-VLOOKUP(CD$3,'Non-Embedded Emissions'!$A$230:$D$259,3,FALSE)), $C65 = "0", 0), 0)</f>
        <v>0</v>
      </c>
      <c r="CJ65" s="344">
        <f>IFERROR(_xlfn.IFS($C65="1",('Inputs-System'!$C$30*'Coincidence Factors'!$B$5*(1+'Inputs-System'!$C$18)*(1+'Inputs-System'!$C$41)*('Inputs-Proposals'!$M$17*'Inputs-Proposals'!$M$19*(1-'Inputs-Proposals'!$M$20))*(VLOOKUP(CJ$3,Energy!$A$51:$K$83,5,FALSE)-VLOOKUP(CJ$3,Energy!$A$51:$K$83,6,FALSE))), $C65 = "2",('Inputs-System'!$C$30*'Coincidence Factors'!$B$5)*(1+'Inputs-System'!$C$18)*(1+'Inputs-System'!$C$41)*('Inputs-Proposals'!$M$23*'Inputs-Proposals'!$M$25*(1-'Inputs-Proposals'!$M$26))*(VLOOKUP(CJ$3,Energy!$A$51:$K$83,5,FALSE)-VLOOKUP(CJ$3,Energy!$A$51:$K$83,6,FALSE)), $C65= "3", ('Inputs-System'!$C$30*'Coincidence Factors'!$B$5*(1+'Inputs-System'!$C$18)*(1+'Inputs-System'!$C$41)*('Inputs-Proposals'!$M$29*'Inputs-Proposals'!$M$31*(1-'Inputs-Proposals'!$M$32))*(VLOOKUP(CJ$3,Energy!$A$51:$K$83,5,FALSE)-VLOOKUP(CJ$3,Energy!$A$51:$K$83,6,FALSE))), $C65= "0", 0), 0)</f>
        <v>0</v>
      </c>
      <c r="CK65" s="100">
        <f>IFERROR(_xlfn.IFS($C65="1", 'Inputs-System'!$C$30*'Coincidence Factors'!$B$5*(1+'Inputs-System'!$C$18)*(1+'Inputs-System'!$C$41)*'Inputs-Proposals'!$M$17*'Inputs-Proposals'!$M$19*(1-'Inputs-Proposals'!$M$20)*(VLOOKUP(CJ$3,'Embedded Emissions'!$A$47:$B$78,2,FALSE)+VLOOKUP(CJ$3,'Embedded Emissions'!$A$129:$B$158,2,FALSE)), $C65 = "2",'Inputs-System'!$C$30*'Coincidence Factors'!$B$5*(1+'Inputs-System'!$C$18)*(1+'Inputs-System'!$C$41)*'Inputs-Proposals'!$M$23*'Inputs-Proposals'!$M$25*(1-'Inputs-Proposals'!$M$20)*(VLOOKUP(CJ$3,'Embedded Emissions'!$A$47:$B$78,2,FALSE)+VLOOKUP(CJ$3,'Embedded Emissions'!$A$129:$B$158,2,FALSE)), $C65 = "3", 'Inputs-System'!$C$30*'Coincidence Factors'!$B$5*(1+'Inputs-System'!$C$18)*(1+'Inputs-System'!$C$41)*'Inputs-Proposals'!$M$29*'Inputs-Proposals'!$M$31*(1-'Inputs-Proposals'!$M$20)*(VLOOKUP(CJ$3,'Embedded Emissions'!$A$47:$B$78,2,FALSE)+VLOOKUP(CJ$3,'Embedded Emissions'!$A$129:$B$158,2,FALSE)), $C65 = "0", 0), 0)</f>
        <v>0</v>
      </c>
      <c r="CL65" s="318">
        <f>IFERROR(_xlfn.IFS($C65="1",( 'Inputs-System'!$C$30*'Coincidence Factors'!$B$5*(1+'Inputs-System'!$C$18)*(1+'Inputs-System'!$C$41))*('Inputs-Proposals'!$M$17*'Inputs-Proposals'!$M$19*(1-'Inputs-Proposals'!$M$20))*(VLOOKUP(CJ$3,DRIPE!$A$54:$I$82,5,FALSE)-VLOOKUP(CJ$3,DRIPE!$A$54:$I$82,6,FALSE)+VLOOKUP(CJ$3,DRIPE!$A$54:$I$82,9,FALSE))+ ('Inputs-System'!$C$26*'Coincidence Factors'!$B$5*(1+'Inputs-System'!$C$18)*(1+'Inputs-System'!$C$42))*'Inputs-Proposals'!$M$16*VLOOKUP(CJ$3,DRIPE!$A$54:$I$80,8,FALSE), $C65 = "2",( 'Inputs-System'!$C$30*'Coincidence Factors'!$B$5*(1+'Inputs-System'!$C$18)*(1+'Inputs-System'!$C$41))*('Inputs-Proposals'!$M$23*'Inputs-Proposals'!$M$25*(1-'Inputs-Proposals'!$M$26))*(VLOOKUP(CJ$3,DRIPE!$A$54:$I$82,5,FALSE)-VLOOKUP(CJ$3,DRIPE!$A$54:$I$82,6,FALSE)+VLOOKUP(CJ$3,DRIPE!$A$54:$I$82,9,FALSE))+ ('Inputs-System'!$C$26*'Coincidence Factors'!$B$5*(1+'Inputs-System'!$C$18)*(1+'Inputs-System'!$C$41))+ ('Inputs-System'!$C$26*'Coincidence Factors'!$B$5)*'Inputs-Proposals'!$M$22*VLOOKUP(CJ$3,DRIPE!$A$54:$I$80,8,FALSE), $C65= "3", ('Inputs-System'!$C$30*'Coincidence Factors'!$B$5)*('Inputs-Proposals'!$M$29*'Inputs-Proposals'!$M$31*(1-'Inputs-Proposals'!$M$32))*(VLOOKUP(CJ$3,DRIPE!$A$54:$I$80,5,FALSE)-VLOOKUP(CJ$3,DRIPE!$A$54:$I$80,6,FALSE)+VLOOKUP(CJ$3,DRIPE!$A$54:$I$80,9,FALSE))+ ('Inputs-System'!$C$26*'Coincidence Factors'!$B$5*(1+'Inputs-System'!$C$18)*(1+'Inputs-System'!$C$42))*'Inputs-Proposals'!$M$28*VLOOKUP(CJ$3,DRIPE!$A$54:$I$80,8,FALSE), $C65 = "0", 0), 0)</f>
        <v>0</v>
      </c>
      <c r="CM65" s="326">
        <f>IFERROR(_xlfn.IFS($C65="1",('Inputs-System'!$C$26*'Coincidence Factors'!$B$5*(1+'Inputs-System'!$C$18)*(1+'Inputs-System'!$C$42))*'Inputs-Proposals'!$M$16*(VLOOKUP(CJ$3,Capacity!$A$53:$E$85,4,FALSE)*(1+'Inputs-System'!$C$42)+VLOOKUP(CJ$3,Capacity!$A$53:$E$85,5,FALSE)*(1+'Inputs-System'!$C$43)*'Inputs-System'!$C$29), $C65 = "2", ('Inputs-System'!$C$26*'Coincidence Factors'!$B$5*(1+'Inputs-System'!$C$18))*'Inputs-Proposals'!$M$22*(VLOOKUP(CJ$3,Capacity!$A$53:$E$85,4,FALSE)*(1+'Inputs-System'!$C$42)+VLOOKUP(CJ$3,Capacity!$A$53:$E$85,5,FALSE)*'Inputs-System'!$C$29*(1+'Inputs-System'!$C$43)), $C65 = "3", ('Inputs-System'!$C$26*'Coincidence Factors'!$B$5*(1+'Inputs-System'!$C$18))*'Inputs-Proposals'!$M$28*(VLOOKUP(CJ$3,Capacity!$A$53:$E$85,4,FALSE)*(1+'Inputs-System'!$C$42)+VLOOKUP(CJ$3,Capacity!$A$53:$E$85,5,FALSE)*'Inputs-System'!$C$29*(1+'Inputs-System'!$C$43)), $C65 = "0", 0), 0)</f>
        <v>0</v>
      </c>
      <c r="CN65" s="100">
        <v>0</v>
      </c>
      <c r="CO65" s="346">
        <f>IFERROR(_xlfn.IFS($C65="1", 'Inputs-System'!$C$30*'Coincidence Factors'!$B$5*'Inputs-Proposals'!$M$17*'Inputs-Proposals'!$M$19*(VLOOKUP(CJ$3,'Non-Embedded Emissions'!$A$56:$D$90,2,FALSE)+VLOOKUP(CJ$3,'Non-Embedded Emissions'!$A$143:$D$174,2,FALSE)+VLOOKUP(CJ$3,'Non-Embedded Emissions'!$A$230:$D$259,2,FALSE)-VLOOKUP(CJ$3,'Non-Embedded Emissions'!$A$56:$D$90,3,FALSE)-VLOOKUP(CJ$3,'Non-Embedded Emissions'!$A$143:$D$174,3,FALSE)-VLOOKUP(CJ$3,'Non-Embedded Emissions'!$A$230:$D$259,3,FALSE)), $C65 = "2", 'Inputs-System'!$C$30*'Coincidence Factors'!$B$5*'Inputs-Proposals'!$M$23*'Inputs-Proposals'!$M$25*(VLOOKUP(CJ$3,'Non-Embedded Emissions'!$A$56:$D$90,2,FALSE)+VLOOKUP(CJ$3,'Non-Embedded Emissions'!$A$143:$D$174,2,FALSE)+VLOOKUP(CJ$3,'Non-Embedded Emissions'!$A$230:$D$259,2,FALSE)-VLOOKUP(CJ$3,'Non-Embedded Emissions'!$A$56:$D$90,3,FALSE)-VLOOKUP(CJ$3,'Non-Embedded Emissions'!$A$143:$D$174,3,FALSE)-VLOOKUP(CJ$3,'Non-Embedded Emissions'!$A$230:$D$259,3,FALSE)), $C65 = "3", 'Inputs-System'!$C$30*'Coincidence Factors'!$B$5*'Inputs-Proposals'!$M$29*'Inputs-Proposals'!$M$31*(VLOOKUP(CJ$3,'Non-Embedded Emissions'!$A$56:$D$90,2,FALSE)+VLOOKUP(CJ$3,'Non-Embedded Emissions'!$A$143:$D$174,2,FALSE)+VLOOKUP(CJ$3,'Non-Embedded Emissions'!$A$230:$D$259,2,FALSE)-VLOOKUP(CJ$3,'Non-Embedded Emissions'!$A$56:$D$90,3,FALSE)-VLOOKUP(CJ$3,'Non-Embedded Emissions'!$A$143:$D$174,3,FALSE)-VLOOKUP(CJ$3,'Non-Embedded Emissions'!$A$230:$D$259,3,FALSE)), $C65 = "0", 0), 0)</f>
        <v>0</v>
      </c>
      <c r="CP65" s="344">
        <f>IFERROR(_xlfn.IFS($C65="1",('Inputs-System'!$C$30*'Coincidence Factors'!$B$5*(1+'Inputs-System'!$C$18)*(1+'Inputs-System'!$C$41)*('Inputs-Proposals'!$M$17*'Inputs-Proposals'!$M$19*(1-'Inputs-Proposals'!$M$20))*(VLOOKUP(CP$3,Energy!$A$51:$K$83,5,FALSE)-VLOOKUP(CP$3,Energy!$A$51:$K$83,6,FALSE))), $C65 = "2",('Inputs-System'!$C$30*'Coincidence Factors'!$B$5)*(1+'Inputs-System'!$C$18)*(1+'Inputs-System'!$C$41)*('Inputs-Proposals'!$M$23*'Inputs-Proposals'!$M$25*(1-'Inputs-Proposals'!$M$26))*(VLOOKUP(CP$3,Energy!$A$51:$K$83,5,FALSE)-VLOOKUP(CP$3,Energy!$A$51:$K$83,6,FALSE)), $C65= "3", ('Inputs-System'!$C$30*'Coincidence Factors'!$B$5*(1+'Inputs-System'!$C$18)*(1+'Inputs-System'!$C$41)*('Inputs-Proposals'!$M$29*'Inputs-Proposals'!$M$31*(1-'Inputs-Proposals'!$M$32))*(VLOOKUP(CP$3,Energy!$A$51:$K$83,5,FALSE)-VLOOKUP(CP$3,Energy!$A$51:$K$83,6,FALSE))), $C65= "0", 0), 0)</f>
        <v>0</v>
      </c>
      <c r="CQ65" s="100">
        <f>IFERROR(_xlfn.IFS($C65="1", 'Inputs-System'!$C$30*'Coincidence Factors'!$B$5*(1+'Inputs-System'!$C$18)*(1+'Inputs-System'!$C$41)*'Inputs-Proposals'!$M$17*'Inputs-Proposals'!$M$19*(1-'Inputs-Proposals'!$M$20)*(VLOOKUP(CP$3,'Embedded Emissions'!$A$47:$B$78,2,FALSE)+VLOOKUP(CP$3,'Embedded Emissions'!$A$129:$B$158,2,FALSE)), $C65 = "2",'Inputs-System'!$C$30*'Coincidence Factors'!$B$5*(1+'Inputs-System'!$C$18)*(1+'Inputs-System'!$C$41)*'Inputs-Proposals'!$M$23*'Inputs-Proposals'!$M$25*(1-'Inputs-Proposals'!$M$20)*(VLOOKUP(CP$3,'Embedded Emissions'!$A$47:$B$78,2,FALSE)+VLOOKUP(CP$3,'Embedded Emissions'!$A$129:$B$158,2,FALSE)), $C65 = "3", 'Inputs-System'!$C$30*'Coincidence Factors'!$B$5*(1+'Inputs-System'!$C$18)*(1+'Inputs-System'!$C$41)*'Inputs-Proposals'!$M$29*'Inputs-Proposals'!$M$31*(1-'Inputs-Proposals'!$M$20)*(VLOOKUP(CP$3,'Embedded Emissions'!$A$47:$B$78,2,FALSE)+VLOOKUP(CP$3,'Embedded Emissions'!$A$129:$B$158,2,FALSE)), $C65 = "0", 0), 0)</f>
        <v>0</v>
      </c>
      <c r="CR65" s="318">
        <f>IFERROR(_xlfn.IFS($C65="1",( 'Inputs-System'!$C$30*'Coincidence Factors'!$B$5*(1+'Inputs-System'!$C$18)*(1+'Inputs-System'!$C$41))*('Inputs-Proposals'!$M$17*'Inputs-Proposals'!$M$19*(1-'Inputs-Proposals'!$M$20))*(VLOOKUP(CP$3,DRIPE!$A$54:$I$82,5,FALSE)-VLOOKUP(CP$3,DRIPE!$A$54:$I$82,6,FALSE)+VLOOKUP(CP$3,DRIPE!$A$54:$I$82,9,FALSE))+ ('Inputs-System'!$C$26*'Coincidence Factors'!$B$5*(1+'Inputs-System'!$C$18)*(1+'Inputs-System'!$C$42))*'Inputs-Proposals'!$M$16*VLOOKUP(CP$3,DRIPE!$A$54:$I$80,8,FALSE), $C65 = "2",( 'Inputs-System'!$C$30*'Coincidence Factors'!$B$5*(1+'Inputs-System'!$C$18)*(1+'Inputs-System'!$C$41))*('Inputs-Proposals'!$M$23*'Inputs-Proposals'!$M$25*(1-'Inputs-Proposals'!$M$26))*(VLOOKUP(CP$3,DRIPE!$A$54:$I$82,5,FALSE)-VLOOKUP(CP$3,DRIPE!$A$54:$I$82,6,FALSE)+VLOOKUP(CP$3,DRIPE!$A$54:$I$82,9,FALSE))+ ('Inputs-System'!$C$26*'Coincidence Factors'!$B$5*(1+'Inputs-System'!$C$18)*(1+'Inputs-System'!$C$41))+ ('Inputs-System'!$C$26*'Coincidence Factors'!$B$5)*'Inputs-Proposals'!$M$22*VLOOKUP(CP$3,DRIPE!$A$54:$I$80,8,FALSE), $C65= "3", ('Inputs-System'!$C$30*'Coincidence Factors'!$B$5)*('Inputs-Proposals'!$M$29*'Inputs-Proposals'!$M$31*(1-'Inputs-Proposals'!$M$32))*(VLOOKUP(CP$3,DRIPE!$A$54:$I$80,5,FALSE)-VLOOKUP(CP$3,DRIPE!$A$54:$I$80,6,FALSE)+VLOOKUP(CP$3,DRIPE!$A$54:$I$80,9,FALSE))+ ('Inputs-System'!$C$26*'Coincidence Factors'!$B$5*(1+'Inputs-System'!$C$18)*(1+'Inputs-System'!$C$42))*'Inputs-Proposals'!$M$28*VLOOKUP(CP$3,DRIPE!$A$54:$I$80,8,FALSE), $C65 = "0", 0), 0)</f>
        <v>0</v>
      </c>
      <c r="CS65" s="326">
        <f>IFERROR(_xlfn.IFS($C65="1",('Inputs-System'!$C$26*'Coincidence Factors'!$B$5*(1+'Inputs-System'!$C$18)*(1+'Inputs-System'!$C$42))*'Inputs-Proposals'!$M$16*(VLOOKUP(CP$3,Capacity!$A$53:$E$85,4,FALSE)*(1+'Inputs-System'!$C$42)+VLOOKUP(CP$3,Capacity!$A$53:$E$85,5,FALSE)*(1+'Inputs-System'!$C$43)*'Inputs-System'!$C$29), $C65 = "2", ('Inputs-System'!$C$26*'Coincidence Factors'!$B$5*(1+'Inputs-System'!$C$18))*'Inputs-Proposals'!$M$22*(VLOOKUP(CP$3,Capacity!$A$53:$E$85,4,FALSE)*(1+'Inputs-System'!$C$42)+VLOOKUP(CP$3,Capacity!$A$53:$E$85,5,FALSE)*'Inputs-System'!$C$29*(1+'Inputs-System'!$C$43)), $C65 = "3", ('Inputs-System'!$C$26*'Coincidence Factors'!$B$5*(1+'Inputs-System'!$C$18))*'Inputs-Proposals'!$M$28*(VLOOKUP(CP$3,Capacity!$A$53:$E$85,4,FALSE)*(1+'Inputs-System'!$C$42)+VLOOKUP(CP$3,Capacity!$A$53:$E$85,5,FALSE)*'Inputs-System'!$C$29*(1+'Inputs-System'!$C$43)), $C65 = "0", 0), 0)</f>
        <v>0</v>
      </c>
      <c r="CT65" s="100">
        <v>0</v>
      </c>
      <c r="CU65" s="346">
        <f>IFERROR(_xlfn.IFS($C65="1", 'Inputs-System'!$C$30*'Coincidence Factors'!$B$5*'Inputs-Proposals'!$M$17*'Inputs-Proposals'!$M$19*(VLOOKUP(CP$3,'Non-Embedded Emissions'!$A$56:$D$90,2,FALSE)+VLOOKUP(CP$3,'Non-Embedded Emissions'!$A$143:$D$174,2,FALSE)+VLOOKUP(CP$3,'Non-Embedded Emissions'!$A$230:$D$259,2,FALSE)-VLOOKUP(CP$3,'Non-Embedded Emissions'!$A$56:$D$90,3,FALSE)-VLOOKUP(CP$3,'Non-Embedded Emissions'!$A$143:$D$174,3,FALSE)-VLOOKUP(CP$3,'Non-Embedded Emissions'!$A$230:$D$259,3,FALSE)), $C65 = "2", 'Inputs-System'!$C$30*'Coincidence Factors'!$B$5*'Inputs-Proposals'!$M$23*'Inputs-Proposals'!$M$25*(VLOOKUP(CP$3,'Non-Embedded Emissions'!$A$56:$D$90,2,FALSE)+VLOOKUP(CP$3,'Non-Embedded Emissions'!$A$143:$D$174,2,FALSE)+VLOOKUP(CP$3,'Non-Embedded Emissions'!$A$230:$D$259,2,FALSE)-VLOOKUP(CP$3,'Non-Embedded Emissions'!$A$56:$D$90,3,FALSE)-VLOOKUP(CP$3,'Non-Embedded Emissions'!$A$143:$D$174,3,FALSE)-VLOOKUP(CP$3,'Non-Embedded Emissions'!$A$230:$D$259,3,FALSE)), $C65 = "3", 'Inputs-System'!$C$30*'Coincidence Factors'!$B$5*'Inputs-Proposals'!$M$29*'Inputs-Proposals'!$M$31*(VLOOKUP(CP$3,'Non-Embedded Emissions'!$A$56:$D$90,2,FALSE)+VLOOKUP(CP$3,'Non-Embedded Emissions'!$A$143:$D$174,2,FALSE)+VLOOKUP(CP$3,'Non-Embedded Emissions'!$A$230:$D$259,2,FALSE)-VLOOKUP(CP$3,'Non-Embedded Emissions'!$A$56:$D$90,3,FALSE)-VLOOKUP(CP$3,'Non-Embedded Emissions'!$A$143:$D$174,3,FALSE)-VLOOKUP(CP$3,'Non-Embedded Emissions'!$A$230:$D$259,3,FALSE)), $C65 = "0", 0), 0)</f>
        <v>0</v>
      </c>
      <c r="CV65" s="344">
        <f>IFERROR(_xlfn.IFS($C65="1",('Inputs-System'!$C$30*'Coincidence Factors'!$B$5*(1+'Inputs-System'!$C$18)*(1+'Inputs-System'!$C$41)*('Inputs-Proposals'!$M$17*'Inputs-Proposals'!$M$19*(1-'Inputs-Proposals'!$M$20))*(VLOOKUP(CV$3,Energy!$A$51:$K$83,5,FALSE)-VLOOKUP(CV$3,Energy!$A$51:$K$83,6,FALSE))), $C65 = "2",('Inputs-System'!$C$30*'Coincidence Factors'!$B$5)*(1+'Inputs-System'!$C$18)*(1+'Inputs-System'!$C$41)*('Inputs-Proposals'!$M$23*'Inputs-Proposals'!$M$25*(1-'Inputs-Proposals'!$M$26))*(VLOOKUP(CV$3,Energy!$A$51:$K$83,5,FALSE)-VLOOKUP(CV$3,Energy!$A$51:$K$83,6,FALSE)), $C65= "3", ('Inputs-System'!$C$30*'Coincidence Factors'!$B$5*(1+'Inputs-System'!$C$18)*(1+'Inputs-System'!$C$41)*('Inputs-Proposals'!$M$29*'Inputs-Proposals'!$M$31*(1-'Inputs-Proposals'!$M$32))*(VLOOKUP(CV$3,Energy!$A$51:$K$83,5,FALSE)-VLOOKUP(CV$3,Energy!$A$51:$K$83,6,FALSE))), $C65= "0", 0), 0)</f>
        <v>0</v>
      </c>
      <c r="CW65" s="100">
        <f>IFERROR(_xlfn.IFS($C65="1", 'Inputs-System'!$C$30*'Coincidence Factors'!$B$5*(1+'Inputs-System'!$C$18)*(1+'Inputs-System'!$C$41)*'Inputs-Proposals'!$M$17*'Inputs-Proposals'!$M$19*(1-'Inputs-Proposals'!$M$20)*(VLOOKUP(CV$3,'Embedded Emissions'!$A$47:$B$78,2,FALSE)+VLOOKUP(CV$3,'Embedded Emissions'!$A$129:$B$158,2,FALSE)), $C65 = "2",'Inputs-System'!$C$30*'Coincidence Factors'!$B$5*(1+'Inputs-System'!$C$18)*(1+'Inputs-System'!$C$41)*'Inputs-Proposals'!$M$23*'Inputs-Proposals'!$M$25*(1-'Inputs-Proposals'!$M$20)*(VLOOKUP(CV$3,'Embedded Emissions'!$A$47:$B$78,2,FALSE)+VLOOKUP(CV$3,'Embedded Emissions'!$A$129:$B$158,2,FALSE)), $C65 = "3", 'Inputs-System'!$C$30*'Coincidence Factors'!$B$5*(1+'Inputs-System'!$C$18)*(1+'Inputs-System'!$C$41)*'Inputs-Proposals'!$M$29*'Inputs-Proposals'!$M$31*(1-'Inputs-Proposals'!$M$20)*(VLOOKUP(CV$3,'Embedded Emissions'!$A$47:$B$78,2,FALSE)+VLOOKUP(CV$3,'Embedded Emissions'!$A$129:$B$158,2,FALSE)), $C65 = "0", 0), 0)</f>
        <v>0</v>
      </c>
      <c r="CX65" s="318">
        <f>IFERROR(_xlfn.IFS($C65="1",( 'Inputs-System'!$C$30*'Coincidence Factors'!$B$5*(1+'Inputs-System'!$C$18)*(1+'Inputs-System'!$C$41))*('Inputs-Proposals'!$M$17*'Inputs-Proposals'!$M$19*(1-'Inputs-Proposals'!$M$20))*(VLOOKUP(CV$3,DRIPE!$A$54:$I$82,5,FALSE)-VLOOKUP(CV$3,DRIPE!$A$54:$I$82,6,FALSE)+VLOOKUP(CV$3,DRIPE!$A$54:$I$82,9,FALSE))+ ('Inputs-System'!$C$26*'Coincidence Factors'!$B$5*(1+'Inputs-System'!$C$18)*(1+'Inputs-System'!$C$42))*'Inputs-Proposals'!$M$16*VLOOKUP(CV$3,DRIPE!$A$54:$I$80,8,FALSE), $C65 = "2",( 'Inputs-System'!$C$30*'Coincidence Factors'!$B$5*(1+'Inputs-System'!$C$18)*(1+'Inputs-System'!$C$41))*('Inputs-Proposals'!$M$23*'Inputs-Proposals'!$M$25*(1-'Inputs-Proposals'!$M$26))*(VLOOKUP(CV$3,DRIPE!$A$54:$I$82,5,FALSE)-VLOOKUP(CV$3,DRIPE!$A$54:$I$82,6,FALSE)+VLOOKUP(CV$3,DRIPE!$A$54:$I$82,9,FALSE))+ ('Inputs-System'!$C$26*'Coincidence Factors'!$B$5*(1+'Inputs-System'!$C$18)*(1+'Inputs-System'!$C$41))+ ('Inputs-System'!$C$26*'Coincidence Factors'!$B$5)*'Inputs-Proposals'!$M$22*VLOOKUP(CV$3,DRIPE!$A$54:$I$80,8,FALSE), $C65= "3", ('Inputs-System'!$C$30*'Coincidence Factors'!$B$5)*('Inputs-Proposals'!$M$29*'Inputs-Proposals'!$M$31*(1-'Inputs-Proposals'!$M$32))*(VLOOKUP(CV$3,DRIPE!$A$54:$I$80,5,FALSE)-VLOOKUP(CV$3,DRIPE!$A$54:$I$80,6,FALSE)+VLOOKUP(CV$3,DRIPE!$A$54:$I$80,9,FALSE))+ ('Inputs-System'!$C$26*'Coincidence Factors'!$B$5*(1+'Inputs-System'!$C$18)*(1+'Inputs-System'!$C$42))*'Inputs-Proposals'!$M$28*VLOOKUP(CV$3,DRIPE!$A$54:$I$80,8,FALSE), $C65 = "0", 0), 0)</f>
        <v>0</v>
      </c>
      <c r="CY65" s="326">
        <f>IFERROR(_xlfn.IFS($C65="1",('Inputs-System'!$C$26*'Coincidence Factors'!$B$5*(1+'Inputs-System'!$C$18)*(1+'Inputs-System'!$C$42))*'Inputs-Proposals'!$M$16*(VLOOKUP(CV$3,Capacity!$A$53:$E$85,4,FALSE)*(1+'Inputs-System'!$C$42)+VLOOKUP(CV$3,Capacity!$A$53:$E$85,5,FALSE)*(1+'Inputs-System'!$C$43)*'Inputs-System'!$C$29), $C65 = "2", ('Inputs-System'!$C$26*'Coincidence Factors'!$B$5*(1+'Inputs-System'!$C$18))*'Inputs-Proposals'!$M$22*(VLOOKUP(CV$3,Capacity!$A$53:$E$85,4,FALSE)*(1+'Inputs-System'!$C$42)+VLOOKUP(CV$3,Capacity!$A$53:$E$85,5,FALSE)*'Inputs-System'!$C$29*(1+'Inputs-System'!$C$43)), $C65 = "3", ('Inputs-System'!$C$26*'Coincidence Factors'!$B$5*(1+'Inputs-System'!$C$18))*'Inputs-Proposals'!$M$28*(VLOOKUP(CV$3,Capacity!$A$53:$E$85,4,FALSE)*(1+'Inputs-System'!$C$42)+VLOOKUP(CV$3,Capacity!$A$53:$E$85,5,FALSE)*'Inputs-System'!$C$29*(1+'Inputs-System'!$C$43)), $C65 = "0", 0), 0)</f>
        <v>0</v>
      </c>
      <c r="CZ65" s="100">
        <v>0</v>
      </c>
      <c r="DA65" s="346">
        <f>IFERROR(_xlfn.IFS($C65="1", 'Inputs-System'!$C$30*'Coincidence Factors'!$B$5*'Inputs-Proposals'!$M$17*'Inputs-Proposals'!$M$19*(VLOOKUP(CV$3,'Non-Embedded Emissions'!$A$56:$D$90,2,FALSE)+VLOOKUP(CV$3,'Non-Embedded Emissions'!$A$143:$D$174,2,FALSE)+VLOOKUP(CV$3,'Non-Embedded Emissions'!$A$230:$D$259,2,FALSE)-VLOOKUP(CV$3,'Non-Embedded Emissions'!$A$56:$D$90,3,FALSE)-VLOOKUP(CV$3,'Non-Embedded Emissions'!$A$143:$D$174,3,FALSE)-VLOOKUP(CV$3,'Non-Embedded Emissions'!$A$230:$D$259,3,FALSE)), $C65 = "2", 'Inputs-System'!$C$30*'Coincidence Factors'!$B$5*'Inputs-Proposals'!$M$23*'Inputs-Proposals'!$M$25*(VLOOKUP(CV$3,'Non-Embedded Emissions'!$A$56:$D$90,2,FALSE)+VLOOKUP(CV$3,'Non-Embedded Emissions'!$A$143:$D$174,2,FALSE)+VLOOKUP(CV$3,'Non-Embedded Emissions'!$A$230:$D$259,2,FALSE)-VLOOKUP(CV$3,'Non-Embedded Emissions'!$A$56:$D$90,3,FALSE)-VLOOKUP(CV$3,'Non-Embedded Emissions'!$A$143:$D$174,3,FALSE)-VLOOKUP(CV$3,'Non-Embedded Emissions'!$A$230:$D$259,3,FALSE)), $C65 = "3", 'Inputs-System'!$C$30*'Coincidence Factors'!$B$5*'Inputs-Proposals'!$M$29*'Inputs-Proposals'!$M$31*(VLOOKUP(CV$3,'Non-Embedded Emissions'!$A$56:$D$90,2,FALSE)+VLOOKUP(CV$3,'Non-Embedded Emissions'!$A$143:$D$174,2,FALSE)+VLOOKUP(CV$3,'Non-Embedded Emissions'!$A$230:$D$259,2,FALSE)-VLOOKUP(CV$3,'Non-Embedded Emissions'!$A$56:$D$90,3,FALSE)-VLOOKUP(CV$3,'Non-Embedded Emissions'!$A$143:$D$174,3,FALSE)-VLOOKUP(CV$3,'Non-Embedded Emissions'!$A$230:$D$259,3,FALSE)), $C65 = "0", 0), 0)</f>
        <v>0</v>
      </c>
      <c r="DB65" s="344">
        <f>IFERROR(_xlfn.IFS($C65="1",('Inputs-System'!$C$30*'Coincidence Factors'!$B$5*(1+'Inputs-System'!$C$18)*(1+'Inputs-System'!$C$41)*('Inputs-Proposals'!$M$17*'Inputs-Proposals'!$M$19*(1-'Inputs-Proposals'!$M$20))*(VLOOKUP(DB$3,Energy!$A$51:$K$83,5,FALSE)-VLOOKUP(DB$3,Energy!$A$51:$K$83,6,FALSE))), $C65 = "2",('Inputs-System'!$C$30*'Coincidence Factors'!$B$5)*(1+'Inputs-System'!$C$18)*(1+'Inputs-System'!$C$41)*('Inputs-Proposals'!$M$23*'Inputs-Proposals'!$M$25*(1-'Inputs-Proposals'!$M$26))*(VLOOKUP(DB$3,Energy!$A$51:$K$83,5,FALSE)-VLOOKUP(DB$3,Energy!$A$51:$K$83,6,FALSE)), $C65= "3", ('Inputs-System'!$C$30*'Coincidence Factors'!$B$5*(1+'Inputs-System'!$C$18)*(1+'Inputs-System'!$C$41)*('Inputs-Proposals'!$M$29*'Inputs-Proposals'!$M$31*(1-'Inputs-Proposals'!$M$32))*(VLOOKUP(DB$3,Energy!$A$51:$K$83,5,FALSE)-VLOOKUP(DB$3,Energy!$A$51:$K$83,6,FALSE))), $C65= "0", 0), 0)</f>
        <v>0</v>
      </c>
      <c r="DC65" s="100">
        <f>IFERROR(_xlfn.IFS($C65="1", 'Inputs-System'!$C$30*'Coincidence Factors'!$B$5*(1+'Inputs-System'!$C$18)*(1+'Inputs-System'!$C$41)*'Inputs-Proposals'!$M$17*'Inputs-Proposals'!$M$19*(1-'Inputs-Proposals'!$M$20)*(VLOOKUP(DB$3,'Embedded Emissions'!$A$47:$B$78,2,FALSE)+VLOOKUP(DB$3,'Embedded Emissions'!$A$129:$B$158,2,FALSE)), $C65 = "2",'Inputs-System'!$C$30*'Coincidence Factors'!$B$5*(1+'Inputs-System'!$C$18)*(1+'Inputs-System'!$C$41)*'Inputs-Proposals'!$M$23*'Inputs-Proposals'!$M$25*(1-'Inputs-Proposals'!$M$20)*(VLOOKUP(DB$3,'Embedded Emissions'!$A$47:$B$78,2,FALSE)+VLOOKUP(DB$3,'Embedded Emissions'!$A$129:$B$158,2,FALSE)), $C65 = "3", 'Inputs-System'!$C$30*'Coincidence Factors'!$B$5*(1+'Inputs-System'!$C$18)*(1+'Inputs-System'!$C$41)*'Inputs-Proposals'!$M$29*'Inputs-Proposals'!$M$31*(1-'Inputs-Proposals'!$M$20)*(VLOOKUP(DB$3,'Embedded Emissions'!$A$47:$B$78,2,FALSE)+VLOOKUP(DB$3,'Embedded Emissions'!$A$129:$B$158,2,FALSE)), $C65 = "0", 0), 0)</f>
        <v>0</v>
      </c>
      <c r="DD65" s="318">
        <f>IFERROR(_xlfn.IFS($C65="1",( 'Inputs-System'!$C$30*'Coincidence Factors'!$B$5*(1+'Inputs-System'!$C$18)*(1+'Inputs-System'!$C$41))*('Inputs-Proposals'!$M$17*'Inputs-Proposals'!$M$19*(1-'Inputs-Proposals'!$M$20))*(VLOOKUP(DB$3,DRIPE!$A$54:$I$82,5,FALSE)-VLOOKUP(DB$3,DRIPE!$A$54:$I$82,6,FALSE)+VLOOKUP(DB$3,DRIPE!$A$54:$I$82,9,FALSE))+ ('Inputs-System'!$C$26*'Coincidence Factors'!$B$5*(1+'Inputs-System'!$C$18)*(1+'Inputs-System'!$C$42))*'Inputs-Proposals'!$M$16*VLOOKUP(DB$3,DRIPE!$A$54:$I$80,8,FALSE), $C65 = "2",( 'Inputs-System'!$C$30*'Coincidence Factors'!$B$5*(1+'Inputs-System'!$C$18)*(1+'Inputs-System'!$C$41))*('Inputs-Proposals'!$M$23*'Inputs-Proposals'!$M$25*(1-'Inputs-Proposals'!$M$26))*(VLOOKUP(DB$3,DRIPE!$A$54:$I$82,5,FALSE)-VLOOKUP(DB$3,DRIPE!$A$54:$I$82,6,FALSE)+VLOOKUP(DB$3,DRIPE!$A$54:$I$82,9,FALSE))+ ('Inputs-System'!$C$26*'Coincidence Factors'!$B$5*(1+'Inputs-System'!$C$18)*(1+'Inputs-System'!$C$41))+ ('Inputs-System'!$C$26*'Coincidence Factors'!$B$5)*'Inputs-Proposals'!$M$22*VLOOKUP(DB$3,DRIPE!$A$54:$I$80,8,FALSE), $C65= "3", ('Inputs-System'!$C$30*'Coincidence Factors'!$B$5)*('Inputs-Proposals'!$M$29*'Inputs-Proposals'!$M$31*(1-'Inputs-Proposals'!$M$32))*(VLOOKUP(DB$3,DRIPE!$A$54:$I$80,5,FALSE)-VLOOKUP(DB$3,DRIPE!$A$54:$I$80,6,FALSE)+VLOOKUP(DB$3,DRIPE!$A$54:$I$80,9,FALSE))+ ('Inputs-System'!$C$26*'Coincidence Factors'!$B$5*(1+'Inputs-System'!$C$18)*(1+'Inputs-System'!$C$42))*'Inputs-Proposals'!$M$28*VLOOKUP(DB$3,DRIPE!$A$54:$I$80,8,FALSE), $C65 = "0", 0), 0)</f>
        <v>0</v>
      </c>
      <c r="DE65" s="326">
        <f>IFERROR(_xlfn.IFS($C65="1",('Inputs-System'!$C$26*'Coincidence Factors'!$B$5*(1+'Inputs-System'!$C$18)*(1+'Inputs-System'!$C$42))*'Inputs-Proposals'!$M$16*(VLOOKUP(DB$3,Capacity!$A$53:$E$85,4,FALSE)*(1+'Inputs-System'!$C$42)+VLOOKUP(DB$3,Capacity!$A$53:$E$85,5,FALSE)*(1+'Inputs-System'!$C$43)*'Inputs-System'!$C$29), $C65 = "2", ('Inputs-System'!$C$26*'Coincidence Factors'!$B$5*(1+'Inputs-System'!$C$18))*'Inputs-Proposals'!$M$22*(VLOOKUP(DB$3,Capacity!$A$53:$E$85,4,FALSE)*(1+'Inputs-System'!$C$42)+VLOOKUP(DB$3,Capacity!$A$53:$E$85,5,FALSE)*'Inputs-System'!$C$29*(1+'Inputs-System'!$C$43)), $C65 = "3", ('Inputs-System'!$C$26*'Coincidence Factors'!$B$5*(1+'Inputs-System'!$C$18))*'Inputs-Proposals'!$M$28*(VLOOKUP(DB$3,Capacity!$A$53:$E$85,4,FALSE)*(1+'Inputs-System'!$C$42)+VLOOKUP(DB$3,Capacity!$A$53:$E$85,5,FALSE)*'Inputs-System'!$C$29*(1+'Inputs-System'!$C$43)), $C65 = "0", 0), 0)</f>
        <v>0</v>
      </c>
      <c r="DF65" s="100">
        <v>0</v>
      </c>
      <c r="DG65" s="346">
        <f>IFERROR(_xlfn.IFS($C65="1", 'Inputs-System'!$C$30*'Coincidence Factors'!$B$5*'Inputs-Proposals'!$M$17*'Inputs-Proposals'!$M$19*(VLOOKUP(DB$3,'Non-Embedded Emissions'!$A$56:$D$90,2,FALSE)+VLOOKUP(DB$3,'Non-Embedded Emissions'!$A$143:$D$174,2,FALSE)+VLOOKUP(DB$3,'Non-Embedded Emissions'!$A$230:$D$259,2,FALSE)-VLOOKUP(DB$3,'Non-Embedded Emissions'!$A$56:$D$90,3,FALSE)-VLOOKUP(DB$3,'Non-Embedded Emissions'!$A$143:$D$174,3,FALSE)-VLOOKUP(DB$3,'Non-Embedded Emissions'!$A$230:$D$259,3,FALSE)), $C65 = "2", 'Inputs-System'!$C$30*'Coincidence Factors'!$B$5*'Inputs-Proposals'!$M$23*'Inputs-Proposals'!$M$25*(VLOOKUP(DB$3,'Non-Embedded Emissions'!$A$56:$D$90,2,FALSE)+VLOOKUP(DB$3,'Non-Embedded Emissions'!$A$143:$D$174,2,FALSE)+VLOOKUP(DB$3,'Non-Embedded Emissions'!$A$230:$D$259,2,FALSE)-VLOOKUP(DB$3,'Non-Embedded Emissions'!$A$56:$D$90,3,FALSE)-VLOOKUP(DB$3,'Non-Embedded Emissions'!$A$143:$D$174,3,FALSE)-VLOOKUP(DB$3,'Non-Embedded Emissions'!$A$230:$D$259,3,FALSE)), $C65 = "3", 'Inputs-System'!$C$30*'Coincidence Factors'!$B$5*'Inputs-Proposals'!$M$29*'Inputs-Proposals'!$M$31*(VLOOKUP(DB$3,'Non-Embedded Emissions'!$A$56:$D$90,2,FALSE)+VLOOKUP(DB$3,'Non-Embedded Emissions'!$A$143:$D$174,2,FALSE)+VLOOKUP(DB$3,'Non-Embedded Emissions'!$A$230:$D$259,2,FALSE)-VLOOKUP(DB$3,'Non-Embedded Emissions'!$A$56:$D$90,3,FALSE)-VLOOKUP(DB$3,'Non-Embedded Emissions'!$A$143:$D$174,3,FALSE)-VLOOKUP(DB$3,'Non-Embedded Emissions'!$A$230:$D$259,3,FALSE)), $C65 = "0", 0), 0)</f>
        <v>0</v>
      </c>
      <c r="DH65" s="344">
        <f>IFERROR(_xlfn.IFS($C65="1",('Inputs-System'!$C$30*'Coincidence Factors'!$B$5*(1+'Inputs-System'!$C$18)*(1+'Inputs-System'!$C$41)*('Inputs-Proposals'!$M$17*'Inputs-Proposals'!$M$19*(1-'Inputs-Proposals'!$M$20))*(VLOOKUP(DH$3,Energy!$A$51:$K$83,5,FALSE)-VLOOKUP(DH$3,Energy!$A$51:$K$83,6,FALSE))), $C65 = "2",('Inputs-System'!$C$30*'Coincidence Factors'!$B$5)*(1+'Inputs-System'!$C$18)*(1+'Inputs-System'!$C$41)*('Inputs-Proposals'!$M$23*'Inputs-Proposals'!$M$25*(1-'Inputs-Proposals'!$M$26))*(VLOOKUP(DH$3,Energy!$A$51:$K$83,5,FALSE)-VLOOKUP(DH$3,Energy!$A$51:$K$83,6,FALSE)), $C65= "3", ('Inputs-System'!$C$30*'Coincidence Factors'!$B$5*(1+'Inputs-System'!$C$18)*(1+'Inputs-System'!$C$41)*('Inputs-Proposals'!$M$29*'Inputs-Proposals'!$M$31*(1-'Inputs-Proposals'!$M$32))*(VLOOKUP(DH$3,Energy!$A$51:$K$83,5,FALSE)-VLOOKUP(DH$3,Energy!$A$51:$K$83,6,FALSE))), $C65= "0", 0), 0)</f>
        <v>0</v>
      </c>
      <c r="DI65" s="100">
        <f>IFERROR(_xlfn.IFS($C65="1", 'Inputs-System'!$C$30*'Coincidence Factors'!$B$5*(1+'Inputs-System'!$C$18)*(1+'Inputs-System'!$C$41)*'Inputs-Proposals'!$M$17*'Inputs-Proposals'!$M$19*(1-'Inputs-Proposals'!$M$20)*(VLOOKUP(DH$3,'Embedded Emissions'!$A$47:$B$78,2,FALSE)+VLOOKUP(DH$3,'Embedded Emissions'!$A$129:$B$158,2,FALSE)), $C65 = "2",'Inputs-System'!$C$30*'Coincidence Factors'!$B$5*(1+'Inputs-System'!$C$18)*(1+'Inputs-System'!$C$41)*'Inputs-Proposals'!$M$23*'Inputs-Proposals'!$M$25*(1-'Inputs-Proposals'!$M$20)*(VLOOKUP(DH$3,'Embedded Emissions'!$A$47:$B$78,2,FALSE)+VLOOKUP(DH$3,'Embedded Emissions'!$A$129:$B$158,2,FALSE)), $C65 = "3", 'Inputs-System'!$C$30*'Coincidence Factors'!$B$5*(1+'Inputs-System'!$C$18)*(1+'Inputs-System'!$C$41)*'Inputs-Proposals'!$M$29*'Inputs-Proposals'!$M$31*(1-'Inputs-Proposals'!$M$20)*(VLOOKUP(DH$3,'Embedded Emissions'!$A$47:$B$78,2,FALSE)+VLOOKUP(DH$3,'Embedded Emissions'!$A$129:$B$158,2,FALSE)), $C65 = "0", 0), 0)</f>
        <v>0</v>
      </c>
      <c r="DJ65" s="318">
        <f>IFERROR(_xlfn.IFS($C65="1",( 'Inputs-System'!$C$30*'Coincidence Factors'!$B$5*(1+'Inputs-System'!$C$18)*(1+'Inputs-System'!$C$41))*('Inputs-Proposals'!$M$17*'Inputs-Proposals'!$M$19*(1-'Inputs-Proposals'!$M$20))*(VLOOKUP(DH$3,DRIPE!$A$54:$I$82,5,FALSE)-VLOOKUP(DH$3,DRIPE!$A$54:$I$82,6,FALSE)+VLOOKUP(DH$3,DRIPE!$A$54:$I$82,9,FALSE))+ ('Inputs-System'!$C$26*'Coincidence Factors'!$B$5*(1+'Inputs-System'!$C$18)*(1+'Inputs-System'!$C$42))*'Inputs-Proposals'!$M$16*VLOOKUP(DH$3,DRIPE!$A$54:$I$80,8,FALSE), $C65 = "2",( 'Inputs-System'!$C$30*'Coincidence Factors'!$B$5*(1+'Inputs-System'!$C$18)*(1+'Inputs-System'!$C$41))*('Inputs-Proposals'!$M$23*'Inputs-Proposals'!$M$25*(1-'Inputs-Proposals'!$M$26))*(VLOOKUP(DH$3,DRIPE!$A$54:$I$82,5,FALSE)-VLOOKUP(DH$3,DRIPE!$A$54:$I$82,6,FALSE)+VLOOKUP(DH$3,DRIPE!$A$54:$I$82,9,FALSE))+ ('Inputs-System'!$C$26*'Coincidence Factors'!$B$5*(1+'Inputs-System'!$C$18)*(1+'Inputs-System'!$C$41))+ ('Inputs-System'!$C$26*'Coincidence Factors'!$B$5)*'Inputs-Proposals'!$M$22*VLOOKUP(DH$3,DRIPE!$A$54:$I$80,8,FALSE), $C65= "3", ('Inputs-System'!$C$30*'Coincidence Factors'!$B$5)*('Inputs-Proposals'!$M$29*'Inputs-Proposals'!$M$31*(1-'Inputs-Proposals'!$M$32))*(VLOOKUP(DH$3,DRIPE!$A$54:$I$80,5,FALSE)-VLOOKUP(DH$3,DRIPE!$A$54:$I$80,6,FALSE)+VLOOKUP(DH$3,DRIPE!$A$54:$I$80,9,FALSE))+ ('Inputs-System'!$C$26*'Coincidence Factors'!$B$5*(1+'Inputs-System'!$C$18)*(1+'Inputs-System'!$C$42))*'Inputs-Proposals'!$M$28*VLOOKUP(DH$3,DRIPE!$A$54:$I$80,8,FALSE), $C65 = "0", 0), 0)</f>
        <v>0</v>
      </c>
      <c r="DK65" s="326">
        <f>IFERROR(_xlfn.IFS($C65="1",('Inputs-System'!$C$26*'Coincidence Factors'!$B$5*(1+'Inputs-System'!$C$18)*(1+'Inputs-System'!$C$42))*'Inputs-Proposals'!$M$16*(VLOOKUP(DH$3,Capacity!$A$53:$E$85,4,FALSE)*(1+'Inputs-System'!$C$42)+VLOOKUP(DH$3,Capacity!$A$53:$E$85,5,FALSE)*(1+'Inputs-System'!$C$43)*'Inputs-System'!$C$29), $C65 = "2", ('Inputs-System'!$C$26*'Coincidence Factors'!$B$5*(1+'Inputs-System'!$C$18))*'Inputs-Proposals'!$M$22*(VLOOKUP(DH$3,Capacity!$A$53:$E$85,4,FALSE)*(1+'Inputs-System'!$C$42)+VLOOKUP(DH$3,Capacity!$A$53:$E$85,5,FALSE)*'Inputs-System'!$C$29*(1+'Inputs-System'!$C$43)), $C65 = "3", ('Inputs-System'!$C$26*'Coincidence Factors'!$B$5*(1+'Inputs-System'!$C$18))*'Inputs-Proposals'!$M$28*(VLOOKUP(DH$3,Capacity!$A$53:$E$85,4,FALSE)*(1+'Inputs-System'!$C$42)+VLOOKUP(DH$3,Capacity!$A$53:$E$85,5,FALSE)*'Inputs-System'!$C$29*(1+'Inputs-System'!$C$43)), $C65 = "0", 0), 0)</f>
        <v>0</v>
      </c>
      <c r="DL65" s="100">
        <v>0</v>
      </c>
      <c r="DM65" s="346">
        <f>IFERROR(_xlfn.IFS($C65="1", 'Inputs-System'!$C$30*'Coincidence Factors'!$B$5*'Inputs-Proposals'!$M$17*'Inputs-Proposals'!$M$19*(VLOOKUP(DH$3,'Non-Embedded Emissions'!$A$56:$D$90,2,FALSE)+VLOOKUP(DH$3,'Non-Embedded Emissions'!$A$143:$D$174,2,FALSE)+VLOOKUP(DH$3,'Non-Embedded Emissions'!$A$230:$D$259,2,FALSE)-VLOOKUP(DH$3,'Non-Embedded Emissions'!$A$56:$D$90,3,FALSE)-VLOOKUP(DH$3,'Non-Embedded Emissions'!$A$143:$D$174,3,FALSE)-VLOOKUP(DH$3,'Non-Embedded Emissions'!$A$230:$D$259,3,FALSE)), $C65 = "2", 'Inputs-System'!$C$30*'Coincidence Factors'!$B$5*'Inputs-Proposals'!$M$23*'Inputs-Proposals'!$M$25*(VLOOKUP(DH$3,'Non-Embedded Emissions'!$A$56:$D$90,2,FALSE)+VLOOKUP(DH$3,'Non-Embedded Emissions'!$A$143:$D$174,2,FALSE)+VLOOKUP(DH$3,'Non-Embedded Emissions'!$A$230:$D$259,2,FALSE)-VLOOKUP(DH$3,'Non-Embedded Emissions'!$A$56:$D$90,3,FALSE)-VLOOKUP(DH$3,'Non-Embedded Emissions'!$A$143:$D$174,3,FALSE)-VLOOKUP(DH$3,'Non-Embedded Emissions'!$A$230:$D$259,3,FALSE)), $C65 = "3", 'Inputs-System'!$C$30*'Coincidence Factors'!$B$5*'Inputs-Proposals'!$M$29*'Inputs-Proposals'!$M$31*(VLOOKUP(DH$3,'Non-Embedded Emissions'!$A$56:$D$90,2,FALSE)+VLOOKUP(DH$3,'Non-Embedded Emissions'!$A$143:$D$174,2,FALSE)+VLOOKUP(DH$3,'Non-Embedded Emissions'!$A$230:$D$259,2,FALSE)-VLOOKUP(DH$3,'Non-Embedded Emissions'!$A$56:$D$90,3,FALSE)-VLOOKUP(DH$3,'Non-Embedded Emissions'!$A$143:$D$174,3,FALSE)-VLOOKUP(DH$3,'Non-Embedded Emissions'!$A$230:$D$259,3,FALSE)), $C65 = "0", 0), 0)</f>
        <v>0</v>
      </c>
      <c r="DN65" s="344">
        <f>IFERROR(_xlfn.IFS($C65="1",('Inputs-System'!$C$30*'Coincidence Factors'!$B$5*(1+'Inputs-System'!$C$18)*(1+'Inputs-System'!$C$41)*('Inputs-Proposals'!$M$17*'Inputs-Proposals'!$M$19*(1-'Inputs-Proposals'!$M$20))*(VLOOKUP(DN$3,Energy!$A$51:$K$83,5,FALSE)-VLOOKUP(DN$3,Energy!$A$51:$K$83,6,FALSE))), $C65 = "2",('Inputs-System'!$C$30*'Coincidence Factors'!$B$5)*(1+'Inputs-System'!$C$18)*(1+'Inputs-System'!$C$41)*('Inputs-Proposals'!$M$23*'Inputs-Proposals'!$M$25*(1-'Inputs-Proposals'!$M$26))*(VLOOKUP(DN$3,Energy!$A$51:$K$83,5,FALSE)-VLOOKUP(DN$3,Energy!$A$51:$K$83,6,FALSE)), $C65= "3", ('Inputs-System'!$C$30*'Coincidence Factors'!$B$5*(1+'Inputs-System'!$C$18)*(1+'Inputs-System'!$C$41)*('Inputs-Proposals'!$M$29*'Inputs-Proposals'!$M$31*(1-'Inputs-Proposals'!$M$32))*(VLOOKUP(DN$3,Energy!$A$51:$K$83,5,FALSE)-VLOOKUP(DN$3,Energy!$A$51:$K$83,6,FALSE))), $C65= "0", 0), 0)</f>
        <v>0</v>
      </c>
      <c r="DO65" s="100">
        <f>IFERROR(_xlfn.IFS($C65="1", 'Inputs-System'!$C$30*'Coincidence Factors'!$B$5*(1+'Inputs-System'!$C$18)*(1+'Inputs-System'!$C$41)*'Inputs-Proposals'!$M$17*'Inputs-Proposals'!$M$19*(1-'Inputs-Proposals'!$M$20)*(VLOOKUP(DN$3,'Embedded Emissions'!$A$47:$B$78,2,FALSE)+VLOOKUP(DN$3,'Embedded Emissions'!$A$129:$B$158,2,FALSE)), $C65 = "2",'Inputs-System'!$C$30*'Coincidence Factors'!$B$5*(1+'Inputs-System'!$C$18)*(1+'Inputs-System'!$C$41)*'Inputs-Proposals'!$M$23*'Inputs-Proposals'!$M$25*(1-'Inputs-Proposals'!$M$20)*(VLOOKUP(DN$3,'Embedded Emissions'!$A$47:$B$78,2,FALSE)+VLOOKUP(DN$3,'Embedded Emissions'!$A$129:$B$158,2,FALSE)), $C65 = "3", 'Inputs-System'!$C$30*'Coincidence Factors'!$B$5*(1+'Inputs-System'!$C$18)*(1+'Inputs-System'!$C$41)*'Inputs-Proposals'!$M$29*'Inputs-Proposals'!$M$31*(1-'Inputs-Proposals'!$M$20)*(VLOOKUP(DN$3,'Embedded Emissions'!$A$47:$B$78,2,FALSE)+VLOOKUP(DN$3,'Embedded Emissions'!$A$129:$B$158,2,FALSE)), $C65 = "0", 0), 0)</f>
        <v>0</v>
      </c>
      <c r="DP65" s="318">
        <f>IFERROR(_xlfn.IFS($C65="1",( 'Inputs-System'!$C$30*'Coincidence Factors'!$B$5*(1+'Inputs-System'!$C$18)*(1+'Inputs-System'!$C$41))*('Inputs-Proposals'!$M$17*'Inputs-Proposals'!$M$19*(1-'Inputs-Proposals'!$M$20))*(VLOOKUP(DN$3,DRIPE!$A$54:$I$82,5,FALSE)-VLOOKUP(DN$3,DRIPE!$A$54:$I$82,6,FALSE)+VLOOKUP(DN$3,DRIPE!$A$54:$I$82,9,FALSE))+ ('Inputs-System'!$C$26*'Coincidence Factors'!$B$5*(1+'Inputs-System'!$C$18)*(1+'Inputs-System'!$C$42))*'Inputs-Proposals'!$M$16*VLOOKUP(DN$3,DRIPE!$A$54:$I$80,8,FALSE), $C65 = "2",( 'Inputs-System'!$C$30*'Coincidence Factors'!$B$5*(1+'Inputs-System'!$C$18)*(1+'Inputs-System'!$C$41))*('Inputs-Proposals'!$M$23*'Inputs-Proposals'!$M$25*(1-'Inputs-Proposals'!$M$26))*(VLOOKUP(DN$3,DRIPE!$A$54:$I$82,5,FALSE)-VLOOKUP(DN$3,DRIPE!$A$54:$I$82,6,FALSE)+VLOOKUP(DN$3,DRIPE!$A$54:$I$82,9,FALSE))+ ('Inputs-System'!$C$26*'Coincidence Factors'!$B$5*(1+'Inputs-System'!$C$18)*(1+'Inputs-System'!$C$41))+ ('Inputs-System'!$C$26*'Coincidence Factors'!$B$5)*'Inputs-Proposals'!$M$22*VLOOKUP(DN$3,DRIPE!$A$54:$I$80,8,FALSE), $C65= "3", ('Inputs-System'!$C$30*'Coincidence Factors'!$B$5)*('Inputs-Proposals'!$M$29*'Inputs-Proposals'!$M$31*(1-'Inputs-Proposals'!$M$32))*(VLOOKUP(DN$3,DRIPE!$A$54:$I$80,5,FALSE)-VLOOKUP(DN$3,DRIPE!$A$54:$I$80,6,FALSE)+VLOOKUP(DN$3,DRIPE!$A$54:$I$80,9,FALSE))+ ('Inputs-System'!$C$26*'Coincidence Factors'!$B$5*(1+'Inputs-System'!$C$18)*(1+'Inputs-System'!$C$42))*'Inputs-Proposals'!$M$28*VLOOKUP(DN$3,DRIPE!$A$54:$I$80,8,FALSE), $C65 = "0", 0), 0)</f>
        <v>0</v>
      </c>
      <c r="DQ65" s="326">
        <f>IFERROR(_xlfn.IFS($C65="1",('Inputs-System'!$C$26*'Coincidence Factors'!$B$5*(1+'Inputs-System'!$C$18)*(1+'Inputs-System'!$C$42))*'Inputs-Proposals'!$M$16*(VLOOKUP(DN$3,Capacity!$A$53:$E$85,4,FALSE)*(1+'Inputs-System'!$C$42)+VLOOKUP(DN$3,Capacity!$A$53:$E$85,5,FALSE)*(1+'Inputs-System'!$C$43)*'Inputs-System'!$C$29), $C65 = "2", ('Inputs-System'!$C$26*'Coincidence Factors'!$B$5*(1+'Inputs-System'!$C$18))*'Inputs-Proposals'!$M$22*(VLOOKUP(DN$3,Capacity!$A$53:$E$85,4,FALSE)*(1+'Inputs-System'!$C$42)+VLOOKUP(DN$3,Capacity!$A$53:$E$85,5,FALSE)*'Inputs-System'!$C$29*(1+'Inputs-System'!$C$43)), $C65 = "3", ('Inputs-System'!$C$26*'Coincidence Factors'!$B$5*(1+'Inputs-System'!$C$18))*'Inputs-Proposals'!$M$28*(VLOOKUP(DN$3,Capacity!$A$53:$E$85,4,FALSE)*(1+'Inputs-System'!$C$42)+VLOOKUP(DN$3,Capacity!$A$53:$E$85,5,FALSE)*'Inputs-System'!$C$29*(1+'Inputs-System'!$C$43)), $C65 = "0", 0), 0)</f>
        <v>0</v>
      </c>
      <c r="DR65" s="100">
        <v>0</v>
      </c>
      <c r="DS65" s="346">
        <f>IFERROR(_xlfn.IFS($C65="1", 'Inputs-System'!$C$30*'Coincidence Factors'!$B$5*'Inputs-Proposals'!$M$17*'Inputs-Proposals'!$M$19*(VLOOKUP(DN$3,'Non-Embedded Emissions'!$A$56:$D$90,2,FALSE)+VLOOKUP(DN$3,'Non-Embedded Emissions'!$A$143:$D$174,2,FALSE)+VLOOKUP(DN$3,'Non-Embedded Emissions'!$A$230:$D$259,2,FALSE)-VLOOKUP(DN$3,'Non-Embedded Emissions'!$A$56:$D$90,3,FALSE)-VLOOKUP(DN$3,'Non-Embedded Emissions'!$A$143:$D$174,3,FALSE)-VLOOKUP(DN$3,'Non-Embedded Emissions'!$A$230:$D$259,3,FALSE)), $C65 = "2", 'Inputs-System'!$C$30*'Coincidence Factors'!$B$5*'Inputs-Proposals'!$M$23*'Inputs-Proposals'!$M$25*(VLOOKUP(DN$3,'Non-Embedded Emissions'!$A$56:$D$90,2,FALSE)+VLOOKUP(DN$3,'Non-Embedded Emissions'!$A$143:$D$174,2,FALSE)+VLOOKUP(DN$3,'Non-Embedded Emissions'!$A$230:$D$259,2,FALSE)-VLOOKUP(DN$3,'Non-Embedded Emissions'!$A$56:$D$90,3,FALSE)-VLOOKUP(DN$3,'Non-Embedded Emissions'!$A$143:$D$174,3,FALSE)-VLOOKUP(DN$3,'Non-Embedded Emissions'!$A$230:$D$259,3,FALSE)), $C65 = "3", 'Inputs-System'!$C$30*'Coincidence Factors'!$B$5*'Inputs-Proposals'!$M$29*'Inputs-Proposals'!$M$31*(VLOOKUP(DN$3,'Non-Embedded Emissions'!$A$56:$D$90,2,FALSE)+VLOOKUP(DN$3,'Non-Embedded Emissions'!$A$143:$D$174,2,FALSE)+VLOOKUP(DN$3,'Non-Embedded Emissions'!$A$230:$D$259,2,FALSE)-VLOOKUP(DN$3,'Non-Embedded Emissions'!$A$56:$D$90,3,FALSE)-VLOOKUP(DN$3,'Non-Embedded Emissions'!$A$143:$D$174,3,FALSE)-VLOOKUP(DN$3,'Non-Embedded Emissions'!$A$230:$D$259,3,FALSE)), $C65 = "0", 0), 0)</f>
        <v>0</v>
      </c>
      <c r="DT65" s="344">
        <f>IFERROR(_xlfn.IFS($C65="1",('Inputs-System'!$C$30*'Coincidence Factors'!$B$5*(1+'Inputs-System'!$C$18)*(1+'Inputs-System'!$C$41)*('Inputs-Proposals'!$M$17*'Inputs-Proposals'!$M$19*(1-'Inputs-Proposals'!$M$20))*(VLOOKUP(DT$3,Energy!$A$51:$K$83,5,FALSE)-VLOOKUP(DT$3,Energy!$A$51:$K$83,6,FALSE))), $C65 = "2",('Inputs-System'!$C$30*'Coincidence Factors'!$B$5)*(1+'Inputs-System'!$C$18)*(1+'Inputs-System'!$C$41)*('Inputs-Proposals'!$M$23*'Inputs-Proposals'!$M$25*(1-'Inputs-Proposals'!$M$26))*(VLOOKUP(DT$3,Energy!$A$51:$K$83,5,FALSE)-VLOOKUP(DT$3,Energy!$A$51:$K$83,6,FALSE)), $C65= "3", ('Inputs-System'!$C$30*'Coincidence Factors'!$B$5*(1+'Inputs-System'!$C$18)*(1+'Inputs-System'!$C$41)*('Inputs-Proposals'!$M$29*'Inputs-Proposals'!$M$31*(1-'Inputs-Proposals'!$M$32))*(VLOOKUP(DT$3,Energy!$A$51:$K$83,5,FALSE)-VLOOKUP(DT$3,Energy!$A$51:$K$83,6,FALSE))), $C65= "0", 0), 0)</f>
        <v>0</v>
      </c>
      <c r="DU65" s="100">
        <f>IFERROR(_xlfn.IFS($C65="1", 'Inputs-System'!$C$30*'Coincidence Factors'!$B$5*(1+'Inputs-System'!$C$18)*(1+'Inputs-System'!$C$41)*'Inputs-Proposals'!$M$17*'Inputs-Proposals'!$M$19*(1-'Inputs-Proposals'!$M$20)*(VLOOKUP(DT$3,'Embedded Emissions'!$A$47:$B$78,2,FALSE)+VLOOKUP(DT$3,'Embedded Emissions'!$A$129:$B$158,2,FALSE)), $C65 = "2",'Inputs-System'!$C$30*'Coincidence Factors'!$B$5*(1+'Inputs-System'!$C$18)*(1+'Inputs-System'!$C$41)*'Inputs-Proposals'!$M$23*'Inputs-Proposals'!$M$25*(1-'Inputs-Proposals'!$M$20)*(VLOOKUP(DT$3,'Embedded Emissions'!$A$47:$B$78,2,FALSE)+VLOOKUP(DT$3,'Embedded Emissions'!$A$129:$B$158,2,FALSE)), $C65 = "3", 'Inputs-System'!$C$30*'Coincidence Factors'!$B$5*(1+'Inputs-System'!$C$18)*(1+'Inputs-System'!$C$41)*'Inputs-Proposals'!$M$29*'Inputs-Proposals'!$M$31*(1-'Inputs-Proposals'!$M$20)*(VLOOKUP(DT$3,'Embedded Emissions'!$A$47:$B$78,2,FALSE)+VLOOKUP(DT$3,'Embedded Emissions'!$A$129:$B$158,2,FALSE)), $C65 = "0", 0), 0)</f>
        <v>0</v>
      </c>
      <c r="DV65" s="318">
        <f>IFERROR(_xlfn.IFS($C65="1",( 'Inputs-System'!$C$30*'Coincidence Factors'!$B$5*(1+'Inputs-System'!$C$18)*(1+'Inputs-System'!$C$41))*('Inputs-Proposals'!$M$17*'Inputs-Proposals'!$M$19*(1-'Inputs-Proposals'!$M$20))*(VLOOKUP(DT$3,DRIPE!$A$54:$I$82,5,FALSE)-VLOOKUP(DT$3,DRIPE!$A$54:$I$82,6,FALSE)+VLOOKUP(DT$3,DRIPE!$A$54:$I$82,9,FALSE))+ ('Inputs-System'!$C$26*'Coincidence Factors'!$B$5*(1+'Inputs-System'!$C$18)*(1+'Inputs-System'!$C$42))*'Inputs-Proposals'!$M$16*VLOOKUP(DT$3,DRIPE!$A$54:$I$80,8,FALSE), $C65 = "2",( 'Inputs-System'!$C$30*'Coincidence Factors'!$B$5*(1+'Inputs-System'!$C$18)*(1+'Inputs-System'!$C$41))*('Inputs-Proposals'!$M$23*'Inputs-Proposals'!$M$25*(1-'Inputs-Proposals'!$M$26))*(VLOOKUP(DT$3,DRIPE!$A$54:$I$82,5,FALSE)-VLOOKUP(DT$3,DRIPE!$A$54:$I$82,6,FALSE)+VLOOKUP(DT$3,DRIPE!$A$54:$I$82,9,FALSE))+ ('Inputs-System'!$C$26*'Coincidence Factors'!$B$5*(1+'Inputs-System'!$C$18)*(1+'Inputs-System'!$C$41))+ ('Inputs-System'!$C$26*'Coincidence Factors'!$B$5)*'Inputs-Proposals'!$M$22*VLOOKUP(DT$3,DRIPE!$A$54:$I$80,8,FALSE), $C65= "3", ('Inputs-System'!$C$30*'Coincidence Factors'!$B$5)*('Inputs-Proposals'!$M$29*'Inputs-Proposals'!$M$31*(1-'Inputs-Proposals'!$M$32))*(VLOOKUP(DT$3,DRIPE!$A$54:$I$80,5,FALSE)-VLOOKUP(DT$3,DRIPE!$A$54:$I$80,6,FALSE)+VLOOKUP(DT$3,DRIPE!$A$54:$I$80,9,FALSE))+ ('Inputs-System'!$C$26*'Coincidence Factors'!$B$5*(1+'Inputs-System'!$C$18)*(1+'Inputs-System'!$C$42))*'Inputs-Proposals'!$M$28*VLOOKUP(DT$3,DRIPE!$A$54:$I$80,8,FALSE), $C65 = "0", 0), 0)</f>
        <v>0</v>
      </c>
      <c r="DW65" s="326">
        <f>IFERROR(_xlfn.IFS($C65="1",('Inputs-System'!$C$26*'Coincidence Factors'!$B$5*(1+'Inputs-System'!$C$18)*(1+'Inputs-System'!$C$42))*'Inputs-Proposals'!$M$16*(VLOOKUP(DT$3,Capacity!$A$53:$E$85,4,FALSE)*(1+'Inputs-System'!$C$42)+VLOOKUP(DT$3,Capacity!$A$53:$E$85,5,FALSE)*(1+'Inputs-System'!$C$43)*'Inputs-System'!$C$29), $C65 = "2", ('Inputs-System'!$C$26*'Coincidence Factors'!$B$5*(1+'Inputs-System'!$C$18))*'Inputs-Proposals'!$M$22*(VLOOKUP(DT$3,Capacity!$A$53:$E$85,4,FALSE)*(1+'Inputs-System'!$C$42)+VLOOKUP(DT$3,Capacity!$A$53:$E$85,5,FALSE)*'Inputs-System'!$C$29*(1+'Inputs-System'!$C$43)), $C65 = "3", ('Inputs-System'!$C$26*'Coincidence Factors'!$B$5*(1+'Inputs-System'!$C$18))*'Inputs-Proposals'!$M$28*(VLOOKUP(DT$3,Capacity!$A$53:$E$85,4,FALSE)*(1+'Inputs-System'!$C$42)+VLOOKUP(DT$3,Capacity!$A$53:$E$85,5,FALSE)*'Inputs-System'!$C$29*(1+'Inputs-System'!$C$43)), $C65 = "0", 0), 0)</f>
        <v>0</v>
      </c>
      <c r="DX65" s="100">
        <v>0</v>
      </c>
      <c r="DY65" s="346">
        <f>IFERROR(_xlfn.IFS($C65="1", 'Inputs-System'!$C$30*'Coincidence Factors'!$B$5*'Inputs-Proposals'!$M$17*'Inputs-Proposals'!$M$19*(VLOOKUP(DT$3,'Non-Embedded Emissions'!$A$56:$D$90,2,FALSE)+VLOOKUP(DT$3,'Non-Embedded Emissions'!$A$143:$D$174,2,FALSE)+VLOOKUP(DT$3,'Non-Embedded Emissions'!$A$230:$D$259,2,FALSE)-VLOOKUP(DT$3,'Non-Embedded Emissions'!$A$56:$D$90,3,FALSE)-VLOOKUP(DT$3,'Non-Embedded Emissions'!$A$143:$D$174,3,FALSE)-VLOOKUP(DT$3,'Non-Embedded Emissions'!$A$230:$D$259,3,FALSE)), $C65 = "2", 'Inputs-System'!$C$30*'Coincidence Factors'!$B$5*'Inputs-Proposals'!$M$23*'Inputs-Proposals'!$M$25*(VLOOKUP(DT$3,'Non-Embedded Emissions'!$A$56:$D$90,2,FALSE)+VLOOKUP(DT$3,'Non-Embedded Emissions'!$A$143:$D$174,2,FALSE)+VLOOKUP(DT$3,'Non-Embedded Emissions'!$A$230:$D$259,2,FALSE)-VLOOKUP(DT$3,'Non-Embedded Emissions'!$A$56:$D$90,3,FALSE)-VLOOKUP(DT$3,'Non-Embedded Emissions'!$A$143:$D$174,3,FALSE)-VLOOKUP(DT$3,'Non-Embedded Emissions'!$A$230:$D$259,3,FALSE)), $C65 = "3", 'Inputs-System'!$C$30*'Coincidence Factors'!$B$5*'Inputs-Proposals'!$M$29*'Inputs-Proposals'!$M$31*(VLOOKUP(DT$3,'Non-Embedded Emissions'!$A$56:$D$90,2,FALSE)+VLOOKUP(DT$3,'Non-Embedded Emissions'!$A$143:$D$174,2,FALSE)+VLOOKUP(DT$3,'Non-Embedded Emissions'!$A$230:$D$259,2,FALSE)-VLOOKUP(DT$3,'Non-Embedded Emissions'!$A$56:$D$90,3,FALSE)-VLOOKUP(DT$3,'Non-Embedded Emissions'!$A$143:$D$174,3,FALSE)-VLOOKUP(DT$3,'Non-Embedded Emissions'!$A$230:$D$259,3,FALSE)), $C65 = "0", 0), 0)</f>
        <v>0</v>
      </c>
      <c r="DZ65" s="344">
        <f>IFERROR(_xlfn.IFS($C65="1",('Inputs-System'!$C$30*'Coincidence Factors'!$B$5*(1+'Inputs-System'!$C$18)*(1+'Inputs-System'!$C$41)*('Inputs-Proposals'!$M$17*'Inputs-Proposals'!$M$19*(1-'Inputs-Proposals'!$M$20))*(VLOOKUP(DZ$3,Energy!$A$51:$K$83,5,FALSE)-VLOOKUP(DZ$3,Energy!$A$51:$K$83,6,FALSE))), $C65 = "2",('Inputs-System'!$C$30*'Coincidence Factors'!$B$5)*(1+'Inputs-System'!$C$18)*(1+'Inputs-System'!$C$41)*('Inputs-Proposals'!$M$23*'Inputs-Proposals'!$M$25*(1-'Inputs-Proposals'!$M$26))*(VLOOKUP(DZ$3,Energy!$A$51:$K$83,5,FALSE)-VLOOKUP(DZ$3,Energy!$A$51:$K$83,6,FALSE)), $C65= "3", ('Inputs-System'!$C$30*'Coincidence Factors'!$B$5*(1+'Inputs-System'!$C$18)*(1+'Inputs-System'!$C$41)*('Inputs-Proposals'!$M$29*'Inputs-Proposals'!$M$31*(1-'Inputs-Proposals'!$M$32))*(VLOOKUP(DZ$3,Energy!$A$51:$K$83,5,FALSE)-VLOOKUP(DZ$3,Energy!$A$51:$K$83,6,FALSE))), $C65= "0", 0), 0)</f>
        <v>0</v>
      </c>
      <c r="EA65" s="100">
        <f>IFERROR(_xlfn.IFS($C65="1", 'Inputs-System'!$C$30*'Coincidence Factors'!$B$5*(1+'Inputs-System'!$C$18)*(1+'Inputs-System'!$C$41)*'Inputs-Proposals'!$M$17*'Inputs-Proposals'!$M$19*(1-'Inputs-Proposals'!$M$20)*(VLOOKUP(DZ$3,'Embedded Emissions'!$A$47:$B$78,2,FALSE)+VLOOKUP(DZ$3,'Embedded Emissions'!$A$129:$B$158,2,FALSE)), $C65 = "2",'Inputs-System'!$C$30*'Coincidence Factors'!$B$5*(1+'Inputs-System'!$C$18)*(1+'Inputs-System'!$C$41)*'Inputs-Proposals'!$M$23*'Inputs-Proposals'!$M$25*(1-'Inputs-Proposals'!$M$20)*(VLOOKUP(DZ$3,'Embedded Emissions'!$A$47:$B$78,2,FALSE)+VLOOKUP(DZ$3,'Embedded Emissions'!$A$129:$B$158,2,FALSE)), $C65 = "3", 'Inputs-System'!$C$30*'Coincidence Factors'!$B$5*(1+'Inputs-System'!$C$18)*(1+'Inputs-System'!$C$41)*'Inputs-Proposals'!$M$29*'Inputs-Proposals'!$M$31*(1-'Inputs-Proposals'!$M$20)*(VLOOKUP(DZ$3,'Embedded Emissions'!$A$47:$B$78,2,FALSE)+VLOOKUP(DZ$3,'Embedded Emissions'!$A$129:$B$158,2,FALSE)), $C65 = "0", 0), 0)</f>
        <v>0</v>
      </c>
      <c r="EB65" s="318">
        <f>IFERROR(_xlfn.IFS($C65="1",( 'Inputs-System'!$C$30*'Coincidence Factors'!$B$5*(1+'Inputs-System'!$C$18)*(1+'Inputs-System'!$C$41))*('Inputs-Proposals'!$M$17*'Inputs-Proposals'!$M$19*(1-'Inputs-Proposals'!$M$20))*(VLOOKUP(DZ$3,DRIPE!$A$54:$I$82,5,FALSE)-VLOOKUP(DZ$3,DRIPE!$A$54:$I$82,6,FALSE)+VLOOKUP(DZ$3,DRIPE!$A$54:$I$82,9,FALSE))+ ('Inputs-System'!$C$26*'Coincidence Factors'!$B$5*(1+'Inputs-System'!$C$18)*(1+'Inputs-System'!$C$42))*'Inputs-Proposals'!$M$16*VLOOKUP(DZ$3,DRIPE!$A$54:$I$80,8,FALSE), $C65 = "2",( 'Inputs-System'!$C$30*'Coincidence Factors'!$B$5*(1+'Inputs-System'!$C$18)*(1+'Inputs-System'!$C$41))*('Inputs-Proposals'!$M$23*'Inputs-Proposals'!$M$25*(1-'Inputs-Proposals'!$M$26))*(VLOOKUP(DZ$3,DRIPE!$A$54:$I$82,5,FALSE)-VLOOKUP(DZ$3,DRIPE!$A$54:$I$82,6,FALSE)+VLOOKUP(DZ$3,DRIPE!$A$54:$I$82,9,FALSE))+ ('Inputs-System'!$C$26*'Coincidence Factors'!$B$5*(1+'Inputs-System'!$C$18)*(1+'Inputs-System'!$C$41))+ ('Inputs-System'!$C$26*'Coincidence Factors'!$B$5)*'Inputs-Proposals'!$M$22*VLOOKUP(DZ$3,DRIPE!$A$54:$I$80,8,FALSE), $C65= "3", ('Inputs-System'!$C$30*'Coincidence Factors'!$B$5)*('Inputs-Proposals'!$M$29*'Inputs-Proposals'!$M$31*(1-'Inputs-Proposals'!$M$32))*(VLOOKUP(DZ$3,DRIPE!$A$54:$I$80,5,FALSE)-VLOOKUP(DZ$3,DRIPE!$A$54:$I$80,6,FALSE)+VLOOKUP(DZ$3,DRIPE!$A$54:$I$80,9,FALSE))+ ('Inputs-System'!$C$26*'Coincidence Factors'!$B$5*(1+'Inputs-System'!$C$18)*(1+'Inputs-System'!$C$42))*'Inputs-Proposals'!$M$28*VLOOKUP(DZ$3,DRIPE!$A$54:$I$80,8,FALSE), $C65 = "0", 0), 0)</f>
        <v>0</v>
      </c>
      <c r="EC65" s="326">
        <f>IFERROR(_xlfn.IFS($C65="1",('Inputs-System'!$C$26*'Coincidence Factors'!$B$5*(1+'Inputs-System'!$C$18)*(1+'Inputs-System'!$C$42))*'Inputs-Proposals'!$M$16*(VLOOKUP(DZ$3,Capacity!$A$53:$E$85,4,FALSE)*(1+'Inputs-System'!$C$42)+VLOOKUP(DZ$3,Capacity!$A$53:$E$85,5,FALSE)*(1+'Inputs-System'!$C$43)*'Inputs-System'!$C$29), $C65 = "2", ('Inputs-System'!$C$26*'Coincidence Factors'!$B$5*(1+'Inputs-System'!$C$18))*'Inputs-Proposals'!$M$22*(VLOOKUP(DZ$3,Capacity!$A$53:$E$85,4,FALSE)*(1+'Inputs-System'!$C$42)+VLOOKUP(DZ$3,Capacity!$A$53:$E$85,5,FALSE)*'Inputs-System'!$C$29*(1+'Inputs-System'!$C$43)), $C65 = "3", ('Inputs-System'!$C$26*'Coincidence Factors'!$B$5*(1+'Inputs-System'!$C$18))*'Inputs-Proposals'!$M$28*(VLOOKUP(DZ$3,Capacity!$A$53:$E$85,4,FALSE)*(1+'Inputs-System'!$C$42)+VLOOKUP(DZ$3,Capacity!$A$53:$E$85,5,FALSE)*'Inputs-System'!$C$29*(1+'Inputs-System'!$C$43)), $C65 = "0", 0), 0)</f>
        <v>0</v>
      </c>
      <c r="ED65" s="100">
        <v>0</v>
      </c>
      <c r="EE65" s="346">
        <f>IFERROR(_xlfn.IFS($C65="1", 'Inputs-System'!$C$30*'Coincidence Factors'!$B$5*'Inputs-Proposals'!$M$17*'Inputs-Proposals'!$M$19*(VLOOKUP(DZ$3,'Non-Embedded Emissions'!$A$56:$D$90,2,FALSE)+VLOOKUP(DZ$3,'Non-Embedded Emissions'!$A$143:$D$174,2,FALSE)+VLOOKUP(DZ$3,'Non-Embedded Emissions'!$A$230:$D$259,2,FALSE)-VLOOKUP(DZ$3,'Non-Embedded Emissions'!$A$56:$D$90,3,FALSE)-VLOOKUP(DZ$3,'Non-Embedded Emissions'!$A$143:$D$174,3,FALSE)-VLOOKUP(DZ$3,'Non-Embedded Emissions'!$A$230:$D$259,3,FALSE)), $C65 = "2", 'Inputs-System'!$C$30*'Coincidence Factors'!$B$5*'Inputs-Proposals'!$M$23*'Inputs-Proposals'!$M$25*(VLOOKUP(DZ$3,'Non-Embedded Emissions'!$A$56:$D$90,2,FALSE)+VLOOKUP(DZ$3,'Non-Embedded Emissions'!$A$143:$D$174,2,FALSE)+VLOOKUP(DZ$3,'Non-Embedded Emissions'!$A$230:$D$259,2,FALSE)-VLOOKUP(DZ$3,'Non-Embedded Emissions'!$A$56:$D$90,3,FALSE)-VLOOKUP(DZ$3,'Non-Embedded Emissions'!$A$143:$D$174,3,FALSE)-VLOOKUP(DZ$3,'Non-Embedded Emissions'!$A$230:$D$259,3,FALSE)), $C65 = "3", 'Inputs-System'!$C$30*'Coincidence Factors'!$B$5*'Inputs-Proposals'!$M$29*'Inputs-Proposals'!$M$31*(VLOOKUP(DZ$3,'Non-Embedded Emissions'!$A$56:$D$90,2,FALSE)+VLOOKUP(DZ$3,'Non-Embedded Emissions'!$A$143:$D$174,2,FALSE)+VLOOKUP(DZ$3,'Non-Embedded Emissions'!$A$230:$D$259,2,FALSE)-VLOOKUP(DZ$3,'Non-Embedded Emissions'!$A$56:$D$90,3,FALSE)-VLOOKUP(DZ$3,'Non-Embedded Emissions'!$A$143:$D$174,3,FALSE)-VLOOKUP(DZ$3,'Non-Embedded Emissions'!$A$230:$D$259,3,FALSE)), $C65 = "0", 0), 0)</f>
        <v>0</v>
      </c>
    </row>
    <row r="66" spans="1:135" x14ac:dyDescent="0.35">
      <c r="A66" s="708"/>
      <c r="B66" s="3" t="s">
        <v>158</v>
      </c>
      <c r="C66" s="3" t="str">
        <f>IFERROR(_xlfn.IFS('Benefits Calc'!B66='Inputs-Proposals'!$M$15, "1", 'Benefits Calc'!B66='Inputs-Proposals'!$M$21, "2", 'Benefits Calc'!B66='Inputs-Proposals'!$M$27, "3"), "0")</f>
        <v>0</v>
      </c>
      <c r="D66" s="323">
        <f t="shared" si="0"/>
        <v>0</v>
      </c>
      <c r="E66" s="44">
        <f t="shared" si="1"/>
        <v>0</v>
      </c>
      <c r="F66" s="44">
        <f t="shared" si="2"/>
        <v>0</v>
      </c>
      <c r="G66" s="44">
        <f t="shared" si="3"/>
        <v>0</v>
      </c>
      <c r="H66" s="44">
        <f t="shared" si="4"/>
        <v>0</v>
      </c>
      <c r="I66" s="44">
        <f t="shared" si="5"/>
        <v>0</v>
      </c>
      <c r="J66" s="323">
        <f>NPV('Inputs-System'!$C$20,P66+V66+AB66+AH66+AN66+AT66+AZ66+BF66+BL66+BR66+BX66+CD66+CJ66+CP66+CV66+DB66+DH66+DN66+DT66+DZ66)</f>
        <v>0</v>
      </c>
      <c r="K66" s="44">
        <f>NPV('Inputs-System'!$C$20,Q66+W66+AC66+AI66+AO66+AU66+BA66+BG66+BM66+BS66+BY66+CE66+CK66+CQ66+CW66+DC66+DI66+DO66+DU66+EA66)</f>
        <v>0</v>
      </c>
      <c r="L66" s="44">
        <f>NPV('Inputs-System'!$C$20,R66+X66+AD66+AJ66+AP66+AV66+BB66+BH66+BN66+BT66+BZ66+CF66+CL66+CR66+CX66+DD66+DJ66+DP66+DV66+EB66)</f>
        <v>0</v>
      </c>
      <c r="M66" s="44">
        <f>NPV('Inputs-System'!$C$20,S66+Y66+AE66+AK66+AQ66+AW66+BC66+BI66+BO66+BU66+CA66+CG66+CM66+CS66+CY66+DE66+DK66+DQ66+DW66+EC66)</f>
        <v>0</v>
      </c>
      <c r="N66" s="44">
        <f>NPV('Inputs-System'!$C$20,T66+Z66+AF66+AL66+AR66+AX66+BD66+BJ66+BP66+BV66+CB66+CH66+CN66+CT66+CZ66+DF66+DL66+DR66+DX66+ED66)</f>
        <v>0</v>
      </c>
      <c r="O66" s="119">
        <f>NPV('Inputs-System'!$C$20,U66+AA66+AG66+AM66+AS66+AY66+BE66+BK66+BQ66+BW66+CC66+CI66+CO66+CU66+DA66+DG66+DM66+DS66+DY66+EE66)</f>
        <v>0</v>
      </c>
      <c r="P66" s="45">
        <f>IFERROR(_xlfn.IFS($C66="1",('Inputs-System'!$C$30*'Coincidence Factors'!$B$6*(1+'Inputs-System'!$C$18)*(1+'Inputs-System'!$C$41)*('Inputs-Proposals'!$M$17*'Inputs-Proposals'!$M$19*(1-'Inputs-Proposals'!$M$20^(P$3-'Inputs-System'!$C$7+1)))*(VLOOKUP(P$3,Energy!$A$51:$K$83,5,FALSE))), $C66 = "2",('Inputs-System'!$C$30*'Coincidence Factors'!$B$6)*(1+'Inputs-System'!$C$18)*(1+'Inputs-System'!$C$41)*('Inputs-Proposals'!$M$23*'Inputs-Proposals'!$M$25*(1-'Inputs-Proposals'!$M$26^(P$3-'Inputs-System'!$C$7+1)))*(VLOOKUP(P$3,Energy!$A$51:$K$83,5,FALSE)), $C66= "3", ('Inputs-System'!$C$30*'Coincidence Factors'!$B$6*(1+'Inputs-System'!$C$18)*(1+'Inputs-System'!$C$41)*('Inputs-Proposals'!$M$29*'Inputs-Proposals'!$M$31*(1-'Inputs-Proposals'!$M$32^(P$3-'Inputs-System'!$C$7+1)))*(VLOOKUP(P$3,Energy!$A$51:$K$83,5,FALSE))), $C66= "0", 0), 0)</f>
        <v>0</v>
      </c>
      <c r="Q66" s="44">
        <f>IFERROR(_xlfn.IFS($C66="1",('Inputs-System'!$C$30*'Coincidence Factors'!$B$6*(1+'Inputs-System'!$C$18)*(1+'Inputs-System'!$C$41))*'Inputs-Proposals'!$M$17*'Inputs-Proposals'!$M$19*(1-'Inputs-Proposals'!$M$20^(P$3-'Inputs-System'!$C$7+1))*(VLOOKUP(P$3,'Embedded Emissions'!$A$47:$B$78,2,FALSE)+VLOOKUP(P$3,'Embedded Emissions'!$A$129:$B$158,2,FALSE)), $C66 = "2",('Inputs-System'!$C$30*'Coincidence Factors'!$B$6*(1+'Inputs-System'!$C$18)*(1+'Inputs-System'!$C$41))*'Inputs-Proposals'!$M$23*'Inputs-Proposals'!$M$25*(1-'Inputs-Proposals'!$M$20^(P$3-'Inputs-System'!$C$7+1))*(VLOOKUP(P$3,'Embedded Emissions'!$A$47:$B$78,2,FALSE)+VLOOKUP(P$3,'Embedded Emissions'!$A$129:$B$158,2,FALSE)), $C66 = "3", ('Inputs-System'!$C$30*'Coincidence Factors'!$B$6*(1+'Inputs-System'!$C$18)*(1+'Inputs-System'!$C$41))*'Inputs-Proposals'!$M$29*'Inputs-Proposals'!$M$31*(1-'Inputs-Proposals'!$M$20^(P$3-'Inputs-System'!$C$7+1))*(VLOOKUP(P$3,'Embedded Emissions'!$A$47:$B$78,2,FALSE)+VLOOKUP(P$3,'Embedded Emissions'!$A$129:$B$158,2,FALSE)), $C66 = "0", 0), 0)</f>
        <v>0</v>
      </c>
      <c r="R66" s="44">
        <f>IFERROR(_xlfn.IFS($C66="1",( 'Inputs-System'!$C$30*'Coincidence Factors'!$B$6*(1+'Inputs-System'!$C$18)*(1+'Inputs-System'!$C$41))*('Inputs-Proposals'!$M$17*'Inputs-Proposals'!$M$19*(1-'Inputs-Proposals'!$M$20)^(P$3-'Inputs-System'!$C$7))*(VLOOKUP(P$3,DRIPE!$A$54:$I$82,5,FALSE)+VLOOKUP(P$3,DRIPE!$A$54:$I$82,9,FALSE))+ ('Inputs-System'!$C$26*'Coincidence Factors'!$B$6*(1+'Inputs-System'!$C$18)*(1+'Inputs-System'!$C$42))*'Inputs-Proposals'!$M$16*VLOOKUP(P$3,DRIPE!$A$54:$I$82,8,FALSE), $C66 = "2",( 'Inputs-System'!$C$30*'Coincidence Factors'!$B$6*(1+'Inputs-System'!$C$18)*(1+'Inputs-System'!$C$41))*('Inputs-Proposals'!$M$23*'Inputs-Proposals'!$M$25*(1-'Inputs-Proposals'!$M$26)^(P$3-'Inputs-System'!$C$7))*(VLOOKUP(P$3,DRIPE!$A$54:$I$82,5,FALSE)+VLOOKUP(P$3,DRIPE!$A$54:$I$82,9,FALSE))+ ('Inputs-System'!$C$26*'Coincidence Factors'!$B$6*(1+'Inputs-System'!$C$18)*(1+'Inputs-System'!$C$42))*'Inputs-Proposals'!$M$22*VLOOKUP(P$3,DRIPE!$A$54:$I$82,8,FALSE), $C66= "3", ( 'Inputs-System'!$C$30*'Coincidence Factors'!$B$6*(1+'Inputs-System'!$C$18)*(1+'Inputs-System'!$C$41))*('Inputs-Proposals'!$M$29*'Inputs-Proposals'!$M$31*(1-'Inputs-Proposals'!$M$32)^(P$3-'Inputs-System'!$C$7))*(VLOOKUP(P$3,DRIPE!$A$54:$I$82,5,FALSE)+VLOOKUP(P$3,DRIPE!$A$54:$I$82,9,FALSE))+ ('Inputs-System'!$C$26*'Coincidence Factors'!$B$6*(1+'Inputs-System'!$C$18)*(1+'Inputs-System'!$C$42))*'Inputs-Proposals'!$M$28*VLOOKUP(P$3,DRIPE!$A$54:$I$82,8,FALSE), $C66 = "0", 0), 0)</f>
        <v>0</v>
      </c>
      <c r="S66" s="45">
        <f>IFERROR(_xlfn.IFS($C66="1",('Inputs-System'!$C$26*'Coincidence Factors'!$B$6*(1+'Inputs-System'!$C$18))*'Inputs-Proposals'!$M$16*(VLOOKUP(P$3,Capacity!$A$53:$E$85,4,FALSE)*(1+'Inputs-System'!$C$42)+VLOOKUP(P$3,Capacity!$A$53:$E$85,5,FALSE)*'Inputs-System'!$C$29*(1+'Inputs-System'!$C$43)), $C66 = "2", ('Inputs-System'!$C$26*'Coincidence Factors'!$B$6*(1+'Inputs-System'!$C$18))*'Inputs-Proposals'!$M$22*(VLOOKUP(P$3,Capacity!$A$53:$E$85,4,FALSE)*(1+'Inputs-System'!$C$42)+VLOOKUP(P$3,Capacity!$A$53:$E$85,5,FALSE)*'Inputs-System'!$C$29*(1+'Inputs-System'!$C$43)), $C66 = "3",('Inputs-System'!$C$26*'Coincidence Factors'!$B$6*(1+'Inputs-System'!$C$18))*'Inputs-Proposals'!$M$28*(VLOOKUP(P$3,Capacity!$A$53:$E$85,4,FALSE)*(1+'Inputs-System'!$C$42)+VLOOKUP(P$3,Capacity!$A$53:$E$85,5,FALSE)*'Inputs-System'!$C$29*(1+'Inputs-System'!$C$43)), $C66 = "0", 0), 0)</f>
        <v>0</v>
      </c>
      <c r="T66" s="44">
        <v>0</v>
      </c>
      <c r="U66" s="44">
        <f>IFERROR(_xlfn.IFS($C66="1", 'Inputs-System'!$C$30*'Coincidence Factors'!$B$6*'Inputs-Proposals'!$M$17*'Inputs-Proposals'!$M$19*(VLOOKUP(P$3,'Non-Embedded Emissions'!$A$56:$D$90,2,FALSE)+VLOOKUP(P$3,'Non-Embedded Emissions'!$A$143:$D$174,2,FALSE)+VLOOKUP(P$3,'Non-Embedded Emissions'!$A$230:$D$259,2,FALSE)), $C66 = "2", 'Inputs-System'!$C$30*'Coincidence Factors'!$B$6*'Inputs-Proposals'!$M$23*'Inputs-Proposals'!$M$25*(VLOOKUP(P$3,'Non-Embedded Emissions'!$A$56:$D$90,2,FALSE)+VLOOKUP(P$3,'Non-Embedded Emissions'!$A$143:$D$174,2,FALSE)+VLOOKUP(P$3,'Non-Embedded Emissions'!$A$230:$D$259,2,FALSE)), $C66 = "3", 'Inputs-System'!$C$30*'Coincidence Factors'!$B$6*'Inputs-Proposals'!$M$29*'Inputs-Proposals'!$M$31*(VLOOKUP(P$3,'Non-Embedded Emissions'!$A$56:$D$90,2,FALSE)+VLOOKUP(P$3,'Non-Embedded Emissions'!$A$143:$D$174,2,FALSE)+VLOOKUP(P$3,'Non-Embedded Emissions'!$A$230:$D$259,2,FALSE)), $C66 = "0", 0), 0)</f>
        <v>0</v>
      </c>
      <c r="V66" s="347">
        <f>IFERROR(_xlfn.IFS($C66="1",('Inputs-System'!$C$30*'Coincidence Factors'!$B$6*(1+'Inputs-System'!$C$18)*(1+'Inputs-System'!$C$41)*('Inputs-Proposals'!$M$17*'Inputs-Proposals'!$M$19*(1-'Inputs-Proposals'!$M$20^(V$3-'Inputs-System'!$C$7)))*(VLOOKUP(V$3,Energy!$A$51:$K$83,5,FALSE))), $C66 = "2",('Inputs-System'!$C$30*'Coincidence Factors'!$B$6)*(1+'Inputs-System'!$C$18)*(1+'Inputs-System'!$C$41)*('Inputs-Proposals'!$M$23*'Inputs-Proposals'!$M$25*(1-'Inputs-Proposals'!$M$26^(V$3-'Inputs-System'!$C$7)))*(VLOOKUP(V$3,Energy!$A$51:$K$83,5,FALSE)), $C66= "3", ('Inputs-System'!$C$30*'Coincidence Factors'!$B$6*(1+'Inputs-System'!$C$18)*(1+'Inputs-System'!$C$41)*('Inputs-Proposals'!$M$29*'Inputs-Proposals'!$M$31*(1-'Inputs-Proposals'!$M$32^(V$3-'Inputs-System'!$C$7)))*(VLOOKUP(V$3,Energy!$A$51:$K$83,5,FALSE))), $C66= "0", 0), 0)</f>
        <v>0</v>
      </c>
      <c r="W66" s="44">
        <f>IFERROR(_xlfn.IFS($C66="1",('Inputs-System'!$C$30*'Coincidence Factors'!$B$6*(1+'Inputs-System'!$C$18)*(1+'Inputs-System'!$C$41))*'Inputs-Proposals'!$M$17*'Inputs-Proposals'!$M$19*(1-'Inputs-Proposals'!$M$20^(V$3-'Inputs-System'!$C$7))*(VLOOKUP(V$3,'Embedded Emissions'!$A$47:$B$78,2,FALSE)+VLOOKUP(V$3,'Embedded Emissions'!$A$129:$B$158,2,FALSE)), $C66 = "2",('Inputs-System'!$C$30*'Coincidence Factors'!$B$6*(1+'Inputs-System'!$C$18)*(1+'Inputs-System'!$C$41))*'Inputs-Proposals'!$M$23*'Inputs-Proposals'!$M$25*(1-'Inputs-Proposals'!$M$20^(V$3-'Inputs-System'!$C$7))*(VLOOKUP(V$3,'Embedded Emissions'!$A$47:$B$78,2,FALSE)+VLOOKUP(V$3,'Embedded Emissions'!$A$129:$B$158,2,FALSE)), $C66 = "3", ('Inputs-System'!$C$30*'Coincidence Factors'!$B$6*(1+'Inputs-System'!$C$18)*(1+'Inputs-System'!$C$41))*'Inputs-Proposals'!$M$29*'Inputs-Proposals'!$M$31*(1-'Inputs-Proposals'!$M$20^(V$3-'Inputs-System'!$C$7))*(VLOOKUP(V$3,'Embedded Emissions'!$A$47:$B$78,2,FALSE)+VLOOKUP(V$3,'Embedded Emissions'!$A$129:$B$158,2,FALSE)), $C66 = "0", 0), 0)</f>
        <v>0</v>
      </c>
      <c r="X66" s="44">
        <f>IFERROR(_xlfn.IFS($C66="1",( 'Inputs-System'!$C$30*'Coincidence Factors'!$B$6*(1+'Inputs-System'!$C$18)*(1+'Inputs-System'!$C$41))*('Inputs-Proposals'!$M$17*'Inputs-Proposals'!$M$19*(1-'Inputs-Proposals'!$M$20)^(V$3-'Inputs-System'!$C$7))*(VLOOKUP(V$3,DRIPE!$A$54:$I$82,5,FALSE)+VLOOKUP(V$3,DRIPE!$A$54:$I$82,9,FALSE))+ ('Inputs-System'!$C$26*'Coincidence Factors'!$B$6*(1+'Inputs-System'!$C$18)*(1+'Inputs-System'!$C$42))*'Inputs-Proposals'!$M$16*VLOOKUP(V$3,DRIPE!$A$54:$I$82,8,FALSE), $C66 = "2",( 'Inputs-System'!$C$30*'Coincidence Factors'!$B$6*(1+'Inputs-System'!$C$18)*(1+'Inputs-System'!$C$41))*('Inputs-Proposals'!$M$23*'Inputs-Proposals'!$M$25*(1-'Inputs-Proposals'!$M$26)^(V$3-'Inputs-System'!$C$7))*(VLOOKUP(V$3,DRIPE!$A$54:$I$82,5,FALSE)+VLOOKUP(V$3,DRIPE!$A$54:$I$82,9,FALSE))+ ('Inputs-System'!$C$26*'Coincidence Factors'!$B$6*(1+'Inputs-System'!$C$18)*(1+'Inputs-System'!$C$42))*'Inputs-Proposals'!$M$22*VLOOKUP(V$3,DRIPE!$A$54:$I$82,8,FALSE), $C66= "3", ( 'Inputs-System'!$C$30*'Coincidence Factors'!$B$6*(1+'Inputs-System'!$C$18)*(1+'Inputs-System'!$C$41))*('Inputs-Proposals'!$M$29*'Inputs-Proposals'!$M$31*(1-'Inputs-Proposals'!$M$32)^(V$3-'Inputs-System'!$C$7))*(VLOOKUP(V$3,DRIPE!$A$54:$I$82,5,FALSE)+VLOOKUP(V$3,DRIPE!$A$54:$I$82,9,FALSE))+ ('Inputs-System'!$C$26*'Coincidence Factors'!$B$6*(1+'Inputs-System'!$C$18)*(1+'Inputs-System'!$C$42))*'Inputs-Proposals'!$M$28*VLOOKUP(V$3,DRIPE!$A$54:$I$82,8,FALSE), $C66 = "0", 0), 0)</f>
        <v>0</v>
      </c>
      <c r="Y66" s="45">
        <f>IFERROR(_xlfn.IFS($C66="1",('Inputs-System'!$C$26*'Coincidence Factors'!$B$6*(1+'Inputs-System'!$C$18))*'Inputs-Proposals'!$M$16*(VLOOKUP(V$3,Capacity!$A$53:$E$85,4,FALSE)*(1+'Inputs-System'!$C$42)+VLOOKUP(V$3,Capacity!$A$53:$E$85,5,FALSE)*'Inputs-System'!$C$29*(1+'Inputs-System'!$C$43)), $C66 = "2", ('Inputs-System'!$C$26*'Coincidence Factors'!$B$6*(1+'Inputs-System'!$C$18))*'Inputs-Proposals'!$M$22*(VLOOKUP(V$3,Capacity!$A$53:$E$85,4,FALSE)*(1+'Inputs-System'!$C$42)+VLOOKUP(V$3,Capacity!$A$53:$E$85,5,FALSE)*'Inputs-System'!$C$29*(1+'Inputs-System'!$C$43)), $C66 = "3",('Inputs-System'!$C$26*'Coincidence Factors'!$B$6*(1+'Inputs-System'!$C$18))*'Inputs-Proposals'!$M$28*(VLOOKUP(V$3,Capacity!$A$53:$E$85,4,FALSE)*(1+'Inputs-System'!$C$42)+VLOOKUP(V$3,Capacity!$A$53:$E$85,5,FALSE)*'Inputs-System'!$C$29*(1+'Inputs-System'!$C$43)), $C66 = "0", 0), 0)</f>
        <v>0</v>
      </c>
      <c r="Z66" s="44">
        <v>0</v>
      </c>
      <c r="AA66" s="342">
        <f>IFERROR(_xlfn.IFS($C66="1", 'Inputs-System'!$C$30*'Coincidence Factors'!$B$6*'Inputs-Proposals'!$M$17*'Inputs-Proposals'!$M$19*(VLOOKUP(V$3,'Non-Embedded Emissions'!$A$56:$D$90,2,FALSE)+VLOOKUP(V$3,'Non-Embedded Emissions'!$A$143:$D$174,2,FALSE)+VLOOKUP(V$3,'Non-Embedded Emissions'!$A$230:$D$259,2,FALSE)), $C66 = "2", 'Inputs-System'!$C$30*'Coincidence Factors'!$B$6*'Inputs-Proposals'!$M$23*'Inputs-Proposals'!$M$25*(VLOOKUP(V$3,'Non-Embedded Emissions'!$A$56:$D$90,2,FALSE)+VLOOKUP(V$3,'Non-Embedded Emissions'!$A$143:$D$174,2,FALSE)+VLOOKUP(V$3,'Non-Embedded Emissions'!$A$230:$D$259,2,FALSE)), $C66 = "3", 'Inputs-System'!$C$30*'Coincidence Factors'!$B$6*'Inputs-Proposals'!$M$29*'Inputs-Proposals'!$M$31*(VLOOKUP(V$3,'Non-Embedded Emissions'!$A$56:$D$90,2,FALSE)+VLOOKUP(V$3,'Non-Embedded Emissions'!$A$143:$D$174,2,FALSE)+VLOOKUP(V$3,'Non-Embedded Emissions'!$A$230:$D$259,2,FALSE)), $C66 = "0", 0), 0)</f>
        <v>0</v>
      </c>
      <c r="AB66" s="347">
        <f>IFERROR(_xlfn.IFS($C66="1",('Inputs-System'!$C$30*'Coincidence Factors'!$B$6*(1+'Inputs-System'!$C$18)*(1+'Inputs-System'!$C$41)*('Inputs-Proposals'!$M$17*'Inputs-Proposals'!$M$19*(1-'Inputs-Proposals'!$M$20^(AB$3-'Inputs-System'!$C$7)))*(VLOOKUP(AB$3,Energy!$A$51:$K$83,5,FALSE))), $C66 = "2",('Inputs-System'!$C$30*'Coincidence Factors'!$B$6)*(1+'Inputs-System'!$C$18)*(1+'Inputs-System'!$C$41)*('Inputs-Proposals'!$M$23*'Inputs-Proposals'!$M$25*(1-'Inputs-Proposals'!$M$26^(AB$3-'Inputs-System'!$C$7)))*(VLOOKUP(AB$3,Energy!$A$51:$K$83,5,FALSE)), $C66= "3", ('Inputs-System'!$C$30*'Coincidence Factors'!$B$6*(1+'Inputs-System'!$C$18)*(1+'Inputs-System'!$C$41)*('Inputs-Proposals'!$M$29*'Inputs-Proposals'!$M$31*(1-'Inputs-Proposals'!$M$32^(AB$3-'Inputs-System'!$C$7)))*(VLOOKUP(AB$3,Energy!$A$51:$K$83,5,FALSE))), $C66= "0", 0), 0)</f>
        <v>0</v>
      </c>
      <c r="AC66" s="44">
        <f>IFERROR(_xlfn.IFS($C66="1",('Inputs-System'!$C$30*'Coincidence Factors'!$B$6*(1+'Inputs-System'!$C$18)*(1+'Inputs-System'!$C$41))*'Inputs-Proposals'!$M$17*'Inputs-Proposals'!$M$19*(1-'Inputs-Proposals'!$M$20^(AB$3-'Inputs-System'!$C$7))*(VLOOKUP(AB$3,'Embedded Emissions'!$A$47:$B$78,2,FALSE)+VLOOKUP(AB$3,'Embedded Emissions'!$A$129:$B$158,2,FALSE)), $C66 = "2",('Inputs-System'!$C$30*'Coincidence Factors'!$B$6*(1+'Inputs-System'!$C$18)*(1+'Inputs-System'!$C$41))*'Inputs-Proposals'!$M$23*'Inputs-Proposals'!$M$25*(1-'Inputs-Proposals'!$M$20^(AB$3-'Inputs-System'!$C$7))*(VLOOKUP(AB$3,'Embedded Emissions'!$A$47:$B$78,2,FALSE)+VLOOKUP(AB$3,'Embedded Emissions'!$A$129:$B$158,2,FALSE)), $C66 = "3", ('Inputs-System'!$C$30*'Coincidence Factors'!$B$6*(1+'Inputs-System'!$C$18)*(1+'Inputs-System'!$C$41))*'Inputs-Proposals'!$M$29*'Inputs-Proposals'!$M$31*(1-'Inputs-Proposals'!$M$20^(AB$3-'Inputs-System'!$C$7))*(VLOOKUP(AB$3,'Embedded Emissions'!$A$47:$B$78,2,FALSE)+VLOOKUP(AB$3,'Embedded Emissions'!$A$129:$B$158,2,FALSE)), $C66 = "0", 0), 0)</f>
        <v>0</v>
      </c>
      <c r="AD66" s="44">
        <f>IFERROR(_xlfn.IFS($C66="1",( 'Inputs-System'!$C$30*'Coincidence Factors'!$B$6*(1+'Inputs-System'!$C$18)*(1+'Inputs-System'!$C$41))*('Inputs-Proposals'!$M$17*'Inputs-Proposals'!$M$19*(1-'Inputs-Proposals'!$M$20)^(AB$3-'Inputs-System'!$C$7))*(VLOOKUP(AB$3,DRIPE!$A$54:$I$82,5,FALSE)+VLOOKUP(AB$3,DRIPE!$A$54:$I$82,9,FALSE))+ ('Inputs-System'!$C$26*'Coincidence Factors'!$B$6*(1+'Inputs-System'!$C$18)*(1+'Inputs-System'!$C$42))*'Inputs-Proposals'!$M$16*VLOOKUP(AB$3,DRIPE!$A$54:$I$82,8,FALSE), $C66 = "2",( 'Inputs-System'!$C$30*'Coincidence Factors'!$B$6*(1+'Inputs-System'!$C$18)*(1+'Inputs-System'!$C$41))*('Inputs-Proposals'!$M$23*'Inputs-Proposals'!$M$25*(1-'Inputs-Proposals'!$M$26)^(AB$3-'Inputs-System'!$C$7))*(VLOOKUP(AB$3,DRIPE!$A$54:$I$82,5,FALSE)+VLOOKUP(AB$3,DRIPE!$A$54:$I$82,9,FALSE))+ ('Inputs-System'!$C$26*'Coincidence Factors'!$B$6*(1+'Inputs-System'!$C$18)*(1+'Inputs-System'!$C$42))*'Inputs-Proposals'!$M$22*VLOOKUP(AB$3,DRIPE!$A$54:$I$82,8,FALSE), $C66= "3", ( 'Inputs-System'!$C$30*'Coincidence Factors'!$B$6*(1+'Inputs-System'!$C$18)*(1+'Inputs-System'!$C$41))*('Inputs-Proposals'!$M$29*'Inputs-Proposals'!$M$31*(1-'Inputs-Proposals'!$M$32)^(AB$3-'Inputs-System'!$C$7))*(VLOOKUP(AB$3,DRIPE!$A$54:$I$82,5,FALSE)+VLOOKUP(AB$3,DRIPE!$A$54:$I$82,9,FALSE))+ ('Inputs-System'!$C$26*'Coincidence Factors'!$B$6*(1+'Inputs-System'!$C$18)*(1+'Inputs-System'!$C$42))*'Inputs-Proposals'!$M$28*VLOOKUP(AB$3,DRIPE!$A$54:$I$82,8,FALSE), $C66 = "0", 0), 0)</f>
        <v>0</v>
      </c>
      <c r="AE66" s="45">
        <f>IFERROR(_xlfn.IFS($C66="1",('Inputs-System'!$C$26*'Coincidence Factors'!$B$6*(1+'Inputs-System'!$C$18))*'Inputs-Proposals'!$M$16*(VLOOKUP(AB$3,Capacity!$A$53:$E$85,4,FALSE)*(1+'Inputs-System'!$C$42)+VLOOKUP(AB$3,Capacity!$A$53:$E$85,5,FALSE)*'Inputs-System'!$C$29*(1+'Inputs-System'!$C$43)), $C66 = "2", ('Inputs-System'!$C$26*'Coincidence Factors'!$B$6*(1+'Inputs-System'!$C$18))*'Inputs-Proposals'!$M$22*(VLOOKUP(AB$3,Capacity!$A$53:$E$85,4,FALSE)*(1+'Inputs-System'!$C$42)+VLOOKUP(AB$3,Capacity!$A$53:$E$85,5,FALSE)*'Inputs-System'!$C$29*(1+'Inputs-System'!$C$43)), $C66 = "3",('Inputs-System'!$C$26*'Coincidence Factors'!$B$6*(1+'Inputs-System'!$C$18))*'Inputs-Proposals'!$M$28*(VLOOKUP(AB$3,Capacity!$A$53:$E$85,4,FALSE)*(1+'Inputs-System'!$C$42)+VLOOKUP(AB$3,Capacity!$A$53:$E$85,5,FALSE)*'Inputs-System'!$C$29*(1+'Inputs-System'!$C$43)), $C66 = "0", 0), 0)</f>
        <v>0</v>
      </c>
      <c r="AF66" s="44">
        <v>0</v>
      </c>
      <c r="AG66" s="342">
        <f>IFERROR(_xlfn.IFS($C66="1", 'Inputs-System'!$C$30*'Coincidence Factors'!$B$6*'Inputs-Proposals'!$M$17*'Inputs-Proposals'!$M$19*(VLOOKUP(AB$3,'Non-Embedded Emissions'!$A$56:$D$90,2,FALSE)+VLOOKUP(AB$3,'Non-Embedded Emissions'!$A$143:$D$174,2,FALSE)+VLOOKUP(AB$3,'Non-Embedded Emissions'!$A$230:$D$259,2,FALSE)), $C66 = "2", 'Inputs-System'!$C$30*'Coincidence Factors'!$B$6*'Inputs-Proposals'!$M$23*'Inputs-Proposals'!$M$25*(VLOOKUP(AB$3,'Non-Embedded Emissions'!$A$56:$D$90,2,FALSE)+VLOOKUP(AB$3,'Non-Embedded Emissions'!$A$143:$D$174,2,FALSE)+VLOOKUP(AB$3,'Non-Embedded Emissions'!$A$230:$D$259,2,FALSE)), $C66 = "3", 'Inputs-System'!$C$30*'Coincidence Factors'!$B$6*'Inputs-Proposals'!$M$29*'Inputs-Proposals'!$M$31*(VLOOKUP(AB$3,'Non-Embedded Emissions'!$A$56:$D$90,2,FALSE)+VLOOKUP(AB$3,'Non-Embedded Emissions'!$A$143:$D$174,2,FALSE)+VLOOKUP(AB$3,'Non-Embedded Emissions'!$A$230:$D$259,2,FALSE)), $C66 = "0", 0), 0)</f>
        <v>0</v>
      </c>
      <c r="AH66" s="347">
        <f>IFERROR(_xlfn.IFS($C66="1",('Inputs-System'!$C$30*'Coincidence Factors'!$B$6*(1+'Inputs-System'!$C$18)*(1+'Inputs-System'!$C$41)*('Inputs-Proposals'!$M$17*'Inputs-Proposals'!$M$19*(1-'Inputs-Proposals'!$M$20^(AH$3-'Inputs-System'!$C$7)))*(VLOOKUP(AH$3,Energy!$A$51:$K$83,5,FALSE))), $C66 = "2",('Inputs-System'!$C$30*'Coincidence Factors'!$B$6)*(1+'Inputs-System'!$C$18)*(1+'Inputs-System'!$C$41)*('Inputs-Proposals'!$M$23*'Inputs-Proposals'!$M$25*(1-'Inputs-Proposals'!$M$26^(AH$3-'Inputs-System'!$C$7)))*(VLOOKUP(AH$3,Energy!$A$51:$K$83,5,FALSE)), $C66= "3", ('Inputs-System'!$C$30*'Coincidence Factors'!$B$6*(1+'Inputs-System'!$C$18)*(1+'Inputs-System'!$C$41)*('Inputs-Proposals'!$M$29*'Inputs-Proposals'!$M$31*(1-'Inputs-Proposals'!$M$32^(AH$3-'Inputs-System'!$C$7)))*(VLOOKUP(AH$3,Energy!$A$51:$K$83,5,FALSE))), $C66= "0", 0), 0)</f>
        <v>0</v>
      </c>
      <c r="AI66" s="44">
        <f>IFERROR(_xlfn.IFS($C66="1",('Inputs-System'!$C$30*'Coincidence Factors'!$B$6*(1+'Inputs-System'!$C$18)*(1+'Inputs-System'!$C$41))*'Inputs-Proposals'!$M$17*'Inputs-Proposals'!$M$19*(1-'Inputs-Proposals'!$M$20^(AH$3-'Inputs-System'!$C$7))*(VLOOKUP(AH$3,'Embedded Emissions'!$A$47:$B$78,2,FALSE)+VLOOKUP(AH$3,'Embedded Emissions'!$A$129:$B$158,2,FALSE)), $C66 = "2",('Inputs-System'!$C$30*'Coincidence Factors'!$B$6*(1+'Inputs-System'!$C$18)*(1+'Inputs-System'!$C$41))*'Inputs-Proposals'!$M$23*'Inputs-Proposals'!$M$25*(1-'Inputs-Proposals'!$M$20^(AH$3-'Inputs-System'!$C$7))*(VLOOKUP(AH$3,'Embedded Emissions'!$A$47:$B$78,2,FALSE)+VLOOKUP(AH$3,'Embedded Emissions'!$A$129:$B$158,2,FALSE)), $C66 = "3", ('Inputs-System'!$C$30*'Coincidence Factors'!$B$6*(1+'Inputs-System'!$C$18)*(1+'Inputs-System'!$C$41))*'Inputs-Proposals'!$M$29*'Inputs-Proposals'!$M$31*(1-'Inputs-Proposals'!$M$20^(AH$3-'Inputs-System'!$C$7))*(VLOOKUP(AH$3,'Embedded Emissions'!$A$47:$B$78,2,FALSE)+VLOOKUP(AH$3,'Embedded Emissions'!$A$129:$B$158,2,FALSE)), $C66 = "0", 0), 0)</f>
        <v>0</v>
      </c>
      <c r="AJ66" s="44">
        <f>IFERROR(_xlfn.IFS($C66="1",( 'Inputs-System'!$C$30*'Coincidence Factors'!$B$6*(1+'Inputs-System'!$C$18)*(1+'Inputs-System'!$C$41))*('Inputs-Proposals'!$M$17*'Inputs-Proposals'!$M$19*(1-'Inputs-Proposals'!$M$20)^(AH$3-'Inputs-System'!$C$7))*(VLOOKUP(AH$3,DRIPE!$A$54:$I$82,5,FALSE)+VLOOKUP(AH$3,DRIPE!$A$54:$I$82,9,FALSE))+ ('Inputs-System'!$C$26*'Coincidence Factors'!$B$6*(1+'Inputs-System'!$C$18)*(1+'Inputs-System'!$C$42))*'Inputs-Proposals'!$M$16*VLOOKUP(AH$3,DRIPE!$A$54:$I$82,8,FALSE), $C66 = "2",( 'Inputs-System'!$C$30*'Coincidence Factors'!$B$6*(1+'Inputs-System'!$C$18)*(1+'Inputs-System'!$C$41))*('Inputs-Proposals'!$M$23*'Inputs-Proposals'!$M$25*(1-'Inputs-Proposals'!$M$26)^(AH$3-'Inputs-System'!$C$7))*(VLOOKUP(AH$3,DRIPE!$A$54:$I$82,5,FALSE)+VLOOKUP(AH$3,DRIPE!$A$54:$I$82,9,FALSE))+ ('Inputs-System'!$C$26*'Coincidence Factors'!$B$6*(1+'Inputs-System'!$C$18)*(1+'Inputs-System'!$C$42))*'Inputs-Proposals'!$M$22*VLOOKUP(AH$3,DRIPE!$A$54:$I$82,8,FALSE), $C66= "3", ( 'Inputs-System'!$C$30*'Coincidence Factors'!$B$6*(1+'Inputs-System'!$C$18)*(1+'Inputs-System'!$C$41))*('Inputs-Proposals'!$M$29*'Inputs-Proposals'!$M$31*(1-'Inputs-Proposals'!$M$32)^(AH$3-'Inputs-System'!$C$7))*(VLOOKUP(AH$3,DRIPE!$A$54:$I$82,5,FALSE)+VLOOKUP(AH$3,DRIPE!$A$54:$I$82,9,FALSE))+ ('Inputs-System'!$C$26*'Coincidence Factors'!$B$6*(1+'Inputs-System'!$C$18)*(1+'Inputs-System'!$C$42))*'Inputs-Proposals'!$M$28*VLOOKUP(AH$3,DRIPE!$A$54:$I$82,8,FALSE), $C66 = "0", 0), 0)</f>
        <v>0</v>
      </c>
      <c r="AK66" s="45">
        <f>IFERROR(_xlfn.IFS($C66="1",('Inputs-System'!$C$26*'Coincidence Factors'!$B$6*(1+'Inputs-System'!$C$18))*'Inputs-Proposals'!$M$16*(VLOOKUP(AH$3,Capacity!$A$53:$E$85,4,FALSE)*(1+'Inputs-System'!$C$42)+VLOOKUP(AH$3,Capacity!$A$53:$E$85,5,FALSE)*'Inputs-System'!$C$29*(1+'Inputs-System'!$C$43)), $C66 = "2", ('Inputs-System'!$C$26*'Coincidence Factors'!$B$6*(1+'Inputs-System'!$C$18))*'Inputs-Proposals'!$M$22*(VLOOKUP(AH$3,Capacity!$A$53:$E$85,4,FALSE)*(1+'Inputs-System'!$C$42)+VLOOKUP(AH$3,Capacity!$A$53:$E$85,5,FALSE)*'Inputs-System'!$C$29*(1+'Inputs-System'!$C$43)), $C66 = "3",('Inputs-System'!$C$26*'Coincidence Factors'!$B$6*(1+'Inputs-System'!$C$18))*'Inputs-Proposals'!$M$28*(VLOOKUP(AH$3,Capacity!$A$53:$E$85,4,FALSE)*(1+'Inputs-System'!$C$42)+VLOOKUP(AH$3,Capacity!$A$53:$E$85,5,FALSE)*'Inputs-System'!$C$29*(1+'Inputs-System'!$C$43)), $C66 = "0", 0), 0)</f>
        <v>0</v>
      </c>
      <c r="AL66" s="44">
        <v>0</v>
      </c>
      <c r="AM66" s="342">
        <f>IFERROR(_xlfn.IFS($C66="1", 'Inputs-System'!$C$30*'Coincidence Factors'!$B$6*'Inputs-Proposals'!$M$17*'Inputs-Proposals'!$M$19*(VLOOKUP(AH$3,'Non-Embedded Emissions'!$A$56:$D$90,2,FALSE)+VLOOKUP(AH$3,'Non-Embedded Emissions'!$A$143:$D$174,2,FALSE)+VLOOKUP(AH$3,'Non-Embedded Emissions'!$A$230:$D$259,2,FALSE)), $C66 = "2", 'Inputs-System'!$C$30*'Coincidence Factors'!$B$6*'Inputs-Proposals'!$M$23*'Inputs-Proposals'!$M$25*(VLOOKUP(AH$3,'Non-Embedded Emissions'!$A$56:$D$90,2,FALSE)+VLOOKUP(AH$3,'Non-Embedded Emissions'!$A$143:$D$174,2,FALSE)+VLOOKUP(AH$3,'Non-Embedded Emissions'!$A$230:$D$259,2,FALSE)), $C66 = "3", 'Inputs-System'!$C$30*'Coincidence Factors'!$B$6*'Inputs-Proposals'!$M$29*'Inputs-Proposals'!$M$31*(VLOOKUP(AH$3,'Non-Embedded Emissions'!$A$56:$D$90,2,FALSE)+VLOOKUP(AH$3,'Non-Embedded Emissions'!$A$143:$D$174,2,FALSE)+VLOOKUP(AH$3,'Non-Embedded Emissions'!$A$230:$D$259,2,FALSE)), $C66 = "0", 0), 0)</f>
        <v>0</v>
      </c>
      <c r="AN66" s="347">
        <f>IFERROR(_xlfn.IFS($C66="1",('Inputs-System'!$C$30*'Coincidence Factors'!$B$6*(1+'Inputs-System'!$C$18)*(1+'Inputs-System'!$C$41)*('Inputs-Proposals'!$M$17*'Inputs-Proposals'!$M$19*(1-'Inputs-Proposals'!$M$20^(AN$3-'Inputs-System'!$C$7)))*(VLOOKUP(AN$3,Energy!$A$51:$K$83,5,FALSE))), $C66 = "2",('Inputs-System'!$C$30*'Coincidence Factors'!$B$6)*(1+'Inputs-System'!$C$18)*(1+'Inputs-System'!$C$41)*('Inputs-Proposals'!$M$23*'Inputs-Proposals'!$M$25*(1-'Inputs-Proposals'!$M$26^(AN$3-'Inputs-System'!$C$7)))*(VLOOKUP(AN$3,Energy!$A$51:$K$83,5,FALSE)), $C66= "3", ('Inputs-System'!$C$30*'Coincidence Factors'!$B$6*(1+'Inputs-System'!$C$18)*(1+'Inputs-System'!$C$41)*('Inputs-Proposals'!$M$29*'Inputs-Proposals'!$M$31*(1-'Inputs-Proposals'!$M$32^(AN$3-'Inputs-System'!$C$7)))*(VLOOKUP(AN$3,Energy!$A$51:$K$83,5,FALSE))), $C66= "0", 0), 0)</f>
        <v>0</v>
      </c>
      <c r="AO66" s="44">
        <f>IFERROR(_xlfn.IFS($C66="1",('Inputs-System'!$C$30*'Coincidence Factors'!$B$6*(1+'Inputs-System'!$C$18)*(1+'Inputs-System'!$C$41))*'Inputs-Proposals'!$M$17*'Inputs-Proposals'!$M$19*(1-'Inputs-Proposals'!$M$20^(AN$3-'Inputs-System'!$C$7))*(VLOOKUP(AN$3,'Embedded Emissions'!$A$47:$B$78,2,FALSE)+VLOOKUP(AN$3,'Embedded Emissions'!$A$129:$B$158,2,FALSE)), $C66 = "2",('Inputs-System'!$C$30*'Coincidence Factors'!$B$6*(1+'Inputs-System'!$C$18)*(1+'Inputs-System'!$C$41))*'Inputs-Proposals'!$M$23*'Inputs-Proposals'!$M$25*(1-'Inputs-Proposals'!$M$20^(AN$3-'Inputs-System'!$C$7))*(VLOOKUP(AN$3,'Embedded Emissions'!$A$47:$B$78,2,FALSE)+VLOOKUP(AN$3,'Embedded Emissions'!$A$129:$B$158,2,FALSE)), $C66 = "3", ('Inputs-System'!$C$30*'Coincidence Factors'!$B$6*(1+'Inputs-System'!$C$18)*(1+'Inputs-System'!$C$41))*'Inputs-Proposals'!$M$29*'Inputs-Proposals'!$M$31*(1-'Inputs-Proposals'!$M$20^(AN$3-'Inputs-System'!$C$7))*(VLOOKUP(AN$3,'Embedded Emissions'!$A$47:$B$78,2,FALSE)+VLOOKUP(AN$3,'Embedded Emissions'!$A$129:$B$158,2,FALSE)), $C66 = "0", 0), 0)</f>
        <v>0</v>
      </c>
      <c r="AP66" s="44">
        <f>IFERROR(_xlfn.IFS($C66="1",( 'Inputs-System'!$C$30*'Coincidence Factors'!$B$6*(1+'Inputs-System'!$C$18)*(1+'Inputs-System'!$C$41))*('Inputs-Proposals'!$M$17*'Inputs-Proposals'!$M$19*(1-'Inputs-Proposals'!$M$20)^(AN$3-'Inputs-System'!$C$7))*(VLOOKUP(AN$3,DRIPE!$A$54:$I$82,5,FALSE)+VLOOKUP(AN$3,DRIPE!$A$54:$I$82,9,FALSE))+ ('Inputs-System'!$C$26*'Coincidence Factors'!$B$6*(1+'Inputs-System'!$C$18)*(1+'Inputs-System'!$C$42))*'Inputs-Proposals'!$M$16*VLOOKUP(AN$3,DRIPE!$A$54:$I$82,8,FALSE), $C66 = "2",( 'Inputs-System'!$C$30*'Coincidence Factors'!$B$6*(1+'Inputs-System'!$C$18)*(1+'Inputs-System'!$C$41))*('Inputs-Proposals'!$M$23*'Inputs-Proposals'!$M$25*(1-'Inputs-Proposals'!$M$26)^(AN$3-'Inputs-System'!$C$7))*(VLOOKUP(AN$3,DRIPE!$A$54:$I$82,5,FALSE)+VLOOKUP(AN$3,DRIPE!$A$54:$I$82,9,FALSE))+ ('Inputs-System'!$C$26*'Coincidence Factors'!$B$6*(1+'Inputs-System'!$C$18)*(1+'Inputs-System'!$C$42))*'Inputs-Proposals'!$M$22*VLOOKUP(AN$3,DRIPE!$A$54:$I$82,8,FALSE), $C66= "3", ( 'Inputs-System'!$C$30*'Coincidence Factors'!$B$6*(1+'Inputs-System'!$C$18)*(1+'Inputs-System'!$C$41))*('Inputs-Proposals'!$M$29*'Inputs-Proposals'!$M$31*(1-'Inputs-Proposals'!$M$32)^(AN$3-'Inputs-System'!$C$7))*(VLOOKUP(AN$3,DRIPE!$A$54:$I$82,5,FALSE)+VLOOKUP(AN$3,DRIPE!$A$54:$I$82,9,FALSE))+ ('Inputs-System'!$C$26*'Coincidence Factors'!$B$6*(1+'Inputs-System'!$C$18)*(1+'Inputs-System'!$C$42))*'Inputs-Proposals'!$M$28*VLOOKUP(AN$3,DRIPE!$A$54:$I$82,8,FALSE), $C66 = "0", 0), 0)</f>
        <v>0</v>
      </c>
      <c r="AQ66" s="45">
        <f>IFERROR(_xlfn.IFS($C66="1",('Inputs-System'!$C$26*'Coincidence Factors'!$B$6*(1+'Inputs-System'!$C$18))*'Inputs-Proposals'!$M$16*(VLOOKUP(AN$3,Capacity!$A$53:$E$85,4,FALSE)*(1+'Inputs-System'!$C$42)+VLOOKUP(AN$3,Capacity!$A$53:$E$85,5,FALSE)*'Inputs-System'!$C$29*(1+'Inputs-System'!$C$43)), $C66 = "2", ('Inputs-System'!$C$26*'Coincidence Factors'!$B$6*(1+'Inputs-System'!$C$18))*'Inputs-Proposals'!$M$22*(VLOOKUP(AN$3,Capacity!$A$53:$E$85,4,FALSE)*(1+'Inputs-System'!$C$42)+VLOOKUP(AN$3,Capacity!$A$53:$E$85,5,FALSE)*'Inputs-System'!$C$29*(1+'Inputs-System'!$C$43)), $C66 = "3",('Inputs-System'!$C$26*'Coincidence Factors'!$B$6*(1+'Inputs-System'!$C$18))*'Inputs-Proposals'!$M$28*(VLOOKUP(AN$3,Capacity!$A$53:$E$85,4,FALSE)*(1+'Inputs-System'!$C$42)+VLOOKUP(AN$3,Capacity!$A$53:$E$85,5,FALSE)*'Inputs-System'!$C$29*(1+'Inputs-System'!$C$43)), $C66 = "0", 0), 0)</f>
        <v>0</v>
      </c>
      <c r="AR66" s="44">
        <v>0</v>
      </c>
      <c r="AS66" s="342">
        <f>IFERROR(_xlfn.IFS($C66="1", 'Inputs-System'!$C$30*'Coincidence Factors'!$B$6*'Inputs-Proposals'!$M$17*'Inputs-Proposals'!$M$19*(VLOOKUP(AN$3,'Non-Embedded Emissions'!$A$56:$D$90,2,FALSE)+VLOOKUP(AN$3,'Non-Embedded Emissions'!$A$143:$D$174,2,FALSE)+VLOOKUP(AN$3,'Non-Embedded Emissions'!$A$230:$D$259,2,FALSE)), $C66 = "2", 'Inputs-System'!$C$30*'Coincidence Factors'!$B$6*'Inputs-Proposals'!$M$23*'Inputs-Proposals'!$M$25*(VLOOKUP(AN$3,'Non-Embedded Emissions'!$A$56:$D$90,2,FALSE)+VLOOKUP(AN$3,'Non-Embedded Emissions'!$A$143:$D$174,2,FALSE)+VLOOKUP(AN$3,'Non-Embedded Emissions'!$A$230:$D$259,2,FALSE)), $C66 = "3", 'Inputs-System'!$C$30*'Coincidence Factors'!$B$6*'Inputs-Proposals'!$M$29*'Inputs-Proposals'!$M$31*(VLOOKUP(AN$3,'Non-Embedded Emissions'!$A$56:$D$90,2,FALSE)+VLOOKUP(AN$3,'Non-Embedded Emissions'!$A$143:$D$174,2,FALSE)+VLOOKUP(AN$3,'Non-Embedded Emissions'!$A$230:$D$259,2,FALSE)), $C66 = "0", 0), 0)</f>
        <v>0</v>
      </c>
      <c r="AT66" s="347">
        <f>IFERROR(_xlfn.IFS($C66="1",('Inputs-System'!$C$30*'Coincidence Factors'!$B$6*(1+'Inputs-System'!$C$18)*(1+'Inputs-System'!$C$41)*('Inputs-Proposals'!$M$17*'Inputs-Proposals'!$M$19*(1-'Inputs-Proposals'!$M$20^(AT$3-'Inputs-System'!$C$7)))*(VLOOKUP(AT$3,Energy!$A$51:$K$83,5,FALSE))), $C66 = "2",('Inputs-System'!$C$30*'Coincidence Factors'!$B$6)*(1+'Inputs-System'!$C$18)*(1+'Inputs-System'!$C$41)*('Inputs-Proposals'!$M$23*'Inputs-Proposals'!$M$25*(1-'Inputs-Proposals'!$M$26^(AT$3-'Inputs-System'!$C$7)))*(VLOOKUP(AT$3,Energy!$A$51:$K$83,5,FALSE)), $C66= "3", ('Inputs-System'!$C$30*'Coincidence Factors'!$B$6*(1+'Inputs-System'!$C$18)*(1+'Inputs-System'!$C$41)*('Inputs-Proposals'!$M$29*'Inputs-Proposals'!$M$31*(1-'Inputs-Proposals'!$M$32^(AT$3-'Inputs-System'!$C$7)))*(VLOOKUP(AT$3,Energy!$A$51:$K$83,5,FALSE))), $C66= "0", 0), 0)</f>
        <v>0</v>
      </c>
      <c r="AU66" s="44">
        <f>IFERROR(_xlfn.IFS($C66="1",('Inputs-System'!$C$30*'Coincidence Factors'!$B$6*(1+'Inputs-System'!$C$18)*(1+'Inputs-System'!$C$41))*'Inputs-Proposals'!$M$17*'Inputs-Proposals'!$M$19*(1-'Inputs-Proposals'!$M$20^(AT$3-'Inputs-System'!$C$7))*(VLOOKUP(AT$3,'Embedded Emissions'!$A$47:$B$78,2,FALSE)+VLOOKUP(AT$3,'Embedded Emissions'!$A$129:$B$158,2,FALSE)), $C66 = "2",('Inputs-System'!$C$30*'Coincidence Factors'!$B$6*(1+'Inputs-System'!$C$18)*(1+'Inputs-System'!$C$41))*'Inputs-Proposals'!$M$23*'Inputs-Proposals'!$M$25*(1-'Inputs-Proposals'!$M$20^(AT$3-'Inputs-System'!$C$7))*(VLOOKUP(AT$3,'Embedded Emissions'!$A$47:$B$78,2,FALSE)+VLOOKUP(AT$3,'Embedded Emissions'!$A$129:$B$158,2,FALSE)), $C66 = "3", ('Inputs-System'!$C$30*'Coincidence Factors'!$B$6*(1+'Inputs-System'!$C$18)*(1+'Inputs-System'!$C$41))*'Inputs-Proposals'!$M$29*'Inputs-Proposals'!$M$31*(1-'Inputs-Proposals'!$M$20^(AT$3-'Inputs-System'!$C$7))*(VLOOKUP(AT$3,'Embedded Emissions'!$A$47:$B$78,2,FALSE)+VLOOKUP(AT$3,'Embedded Emissions'!$A$129:$B$158,2,FALSE)), $C66 = "0", 0), 0)</f>
        <v>0</v>
      </c>
      <c r="AV66" s="44">
        <f>IFERROR(_xlfn.IFS($C66="1",( 'Inputs-System'!$C$30*'Coincidence Factors'!$B$6*(1+'Inputs-System'!$C$18)*(1+'Inputs-System'!$C$41))*('Inputs-Proposals'!$M$17*'Inputs-Proposals'!$M$19*(1-'Inputs-Proposals'!$M$20)^(AT$3-'Inputs-System'!$C$7))*(VLOOKUP(AT$3,DRIPE!$A$54:$I$82,5,FALSE)+VLOOKUP(AT$3,DRIPE!$A$54:$I$82,9,FALSE))+ ('Inputs-System'!$C$26*'Coincidence Factors'!$B$6*(1+'Inputs-System'!$C$18)*(1+'Inputs-System'!$C$42))*'Inputs-Proposals'!$M$16*VLOOKUP(AT$3,DRIPE!$A$54:$I$82,8,FALSE), $C66 = "2",( 'Inputs-System'!$C$30*'Coincidence Factors'!$B$6*(1+'Inputs-System'!$C$18)*(1+'Inputs-System'!$C$41))*('Inputs-Proposals'!$M$23*'Inputs-Proposals'!$M$25*(1-'Inputs-Proposals'!$M$26)^(AT$3-'Inputs-System'!$C$7))*(VLOOKUP(AT$3,DRIPE!$A$54:$I$82,5,FALSE)+VLOOKUP(AT$3,DRIPE!$A$54:$I$82,9,FALSE))+ ('Inputs-System'!$C$26*'Coincidence Factors'!$B$6*(1+'Inputs-System'!$C$18)*(1+'Inputs-System'!$C$42))*'Inputs-Proposals'!$M$22*VLOOKUP(AT$3,DRIPE!$A$54:$I$82,8,FALSE), $C66= "3", ( 'Inputs-System'!$C$30*'Coincidence Factors'!$B$6*(1+'Inputs-System'!$C$18)*(1+'Inputs-System'!$C$41))*('Inputs-Proposals'!$M$29*'Inputs-Proposals'!$M$31*(1-'Inputs-Proposals'!$M$32)^(AT$3-'Inputs-System'!$C$7))*(VLOOKUP(AT$3,DRIPE!$A$54:$I$82,5,FALSE)+VLOOKUP(AT$3,DRIPE!$A$54:$I$82,9,FALSE))+ ('Inputs-System'!$C$26*'Coincidence Factors'!$B$6*(1+'Inputs-System'!$C$18)*(1+'Inputs-System'!$C$42))*'Inputs-Proposals'!$M$28*VLOOKUP(AT$3,DRIPE!$A$54:$I$82,8,FALSE), $C66 = "0", 0), 0)</f>
        <v>0</v>
      </c>
      <c r="AW66" s="45">
        <f>IFERROR(_xlfn.IFS($C66="1",('Inputs-System'!$C$26*'Coincidence Factors'!$B$6*(1+'Inputs-System'!$C$18))*'Inputs-Proposals'!$M$16*(VLOOKUP(AT$3,Capacity!$A$53:$E$85,4,FALSE)*(1+'Inputs-System'!$C$42)+VLOOKUP(AT$3,Capacity!$A$53:$E$85,5,FALSE)*'Inputs-System'!$C$29*(1+'Inputs-System'!$C$43)), $C66 = "2", ('Inputs-System'!$C$26*'Coincidence Factors'!$B$6*(1+'Inputs-System'!$C$18))*'Inputs-Proposals'!$M$22*(VLOOKUP(AT$3,Capacity!$A$53:$E$85,4,FALSE)*(1+'Inputs-System'!$C$42)+VLOOKUP(AT$3,Capacity!$A$53:$E$85,5,FALSE)*'Inputs-System'!$C$29*(1+'Inputs-System'!$C$43)), $C66 = "3",('Inputs-System'!$C$26*'Coincidence Factors'!$B$6*(1+'Inputs-System'!$C$18))*'Inputs-Proposals'!$M$28*(VLOOKUP(AT$3,Capacity!$A$53:$E$85,4,FALSE)*(1+'Inputs-System'!$C$42)+VLOOKUP(AT$3,Capacity!$A$53:$E$85,5,FALSE)*'Inputs-System'!$C$29*(1+'Inputs-System'!$C$43)), $C66 = "0", 0), 0)</f>
        <v>0</v>
      </c>
      <c r="AX66" s="44">
        <v>0</v>
      </c>
      <c r="AY66" s="342">
        <f>IFERROR(_xlfn.IFS($C66="1", 'Inputs-System'!$C$30*'Coincidence Factors'!$B$6*'Inputs-Proposals'!$M$17*'Inputs-Proposals'!$M$19*(VLOOKUP(AT$3,'Non-Embedded Emissions'!$A$56:$D$90,2,FALSE)+VLOOKUP(AT$3,'Non-Embedded Emissions'!$A$143:$D$174,2,FALSE)+VLOOKUP(AT$3,'Non-Embedded Emissions'!$A$230:$D$259,2,FALSE)), $C66 = "2", 'Inputs-System'!$C$30*'Coincidence Factors'!$B$6*'Inputs-Proposals'!$M$23*'Inputs-Proposals'!$M$25*(VLOOKUP(AT$3,'Non-Embedded Emissions'!$A$56:$D$90,2,FALSE)+VLOOKUP(AT$3,'Non-Embedded Emissions'!$A$143:$D$174,2,FALSE)+VLOOKUP(AT$3,'Non-Embedded Emissions'!$A$230:$D$259,2,FALSE)), $C66 = "3", 'Inputs-System'!$C$30*'Coincidence Factors'!$B$6*'Inputs-Proposals'!$M$29*'Inputs-Proposals'!$M$31*(VLOOKUP(AT$3,'Non-Embedded Emissions'!$A$56:$D$90,2,FALSE)+VLOOKUP(AT$3,'Non-Embedded Emissions'!$A$143:$D$174,2,FALSE)+VLOOKUP(AT$3,'Non-Embedded Emissions'!$A$230:$D$259,2,FALSE)), $C66 = "0", 0), 0)</f>
        <v>0</v>
      </c>
      <c r="AZ66" s="347">
        <f>IFERROR(_xlfn.IFS($C66="1",('Inputs-System'!$C$30*'Coincidence Factors'!$B$6*(1+'Inputs-System'!$C$18)*(1+'Inputs-System'!$C$41)*('Inputs-Proposals'!$M$17*'Inputs-Proposals'!$M$19*(1-'Inputs-Proposals'!$M$20^(AZ$3-'Inputs-System'!$C$7)))*(VLOOKUP(AZ$3,Energy!$A$51:$K$83,5,FALSE))), $C66 = "2",('Inputs-System'!$C$30*'Coincidence Factors'!$B$6)*(1+'Inputs-System'!$C$18)*(1+'Inputs-System'!$C$41)*('Inputs-Proposals'!$M$23*'Inputs-Proposals'!$M$25*(1-'Inputs-Proposals'!$M$26^(AZ$3-'Inputs-System'!$C$7)))*(VLOOKUP(AZ$3,Energy!$A$51:$K$83,5,FALSE)), $C66= "3", ('Inputs-System'!$C$30*'Coincidence Factors'!$B$6*(1+'Inputs-System'!$C$18)*(1+'Inputs-System'!$C$41)*('Inputs-Proposals'!$M$29*'Inputs-Proposals'!$M$31*(1-'Inputs-Proposals'!$M$32^(AZ$3-'Inputs-System'!$C$7)))*(VLOOKUP(AZ$3,Energy!$A$51:$K$83,5,FALSE))), $C66= "0", 0), 0)</f>
        <v>0</v>
      </c>
      <c r="BA66" s="44">
        <f>IFERROR(_xlfn.IFS($C66="1",('Inputs-System'!$C$30*'Coincidence Factors'!$B$6*(1+'Inputs-System'!$C$18)*(1+'Inputs-System'!$C$41))*'Inputs-Proposals'!$M$17*'Inputs-Proposals'!$M$19*(1-'Inputs-Proposals'!$M$20^(AZ$3-'Inputs-System'!$C$7))*(VLOOKUP(AZ$3,'Embedded Emissions'!$A$47:$B$78,2,FALSE)+VLOOKUP(AZ$3,'Embedded Emissions'!$A$129:$B$158,2,FALSE)), $C66 = "2",('Inputs-System'!$C$30*'Coincidence Factors'!$B$6*(1+'Inputs-System'!$C$18)*(1+'Inputs-System'!$C$41))*'Inputs-Proposals'!$M$23*'Inputs-Proposals'!$M$25*(1-'Inputs-Proposals'!$M$20^(AZ$3-'Inputs-System'!$C$7))*(VLOOKUP(AZ$3,'Embedded Emissions'!$A$47:$B$78,2,FALSE)+VLOOKUP(AZ$3,'Embedded Emissions'!$A$129:$B$158,2,FALSE)), $C66 = "3", ('Inputs-System'!$C$30*'Coincidence Factors'!$B$6*(1+'Inputs-System'!$C$18)*(1+'Inputs-System'!$C$41))*'Inputs-Proposals'!$M$29*'Inputs-Proposals'!$M$31*(1-'Inputs-Proposals'!$M$20^(AZ$3-'Inputs-System'!$C$7))*(VLOOKUP(AZ$3,'Embedded Emissions'!$A$47:$B$78,2,FALSE)+VLOOKUP(AZ$3,'Embedded Emissions'!$A$129:$B$158,2,FALSE)), $C66 = "0", 0), 0)</f>
        <v>0</v>
      </c>
      <c r="BB66" s="44">
        <f>IFERROR(_xlfn.IFS($C66="1",( 'Inputs-System'!$C$30*'Coincidence Factors'!$B$6*(1+'Inputs-System'!$C$18)*(1+'Inputs-System'!$C$41))*('Inputs-Proposals'!$M$17*'Inputs-Proposals'!$M$19*(1-'Inputs-Proposals'!$M$20)^(AZ$3-'Inputs-System'!$C$7))*(VLOOKUP(AZ$3,DRIPE!$A$54:$I$82,5,FALSE)+VLOOKUP(AZ$3,DRIPE!$A$54:$I$82,9,FALSE))+ ('Inputs-System'!$C$26*'Coincidence Factors'!$B$6*(1+'Inputs-System'!$C$18)*(1+'Inputs-System'!$C$42))*'Inputs-Proposals'!$M$16*VLOOKUP(AZ$3,DRIPE!$A$54:$I$82,8,FALSE), $C66 = "2",( 'Inputs-System'!$C$30*'Coincidence Factors'!$B$6*(1+'Inputs-System'!$C$18)*(1+'Inputs-System'!$C$41))*('Inputs-Proposals'!$M$23*'Inputs-Proposals'!$M$25*(1-'Inputs-Proposals'!$M$26)^(AZ$3-'Inputs-System'!$C$7))*(VLOOKUP(AZ$3,DRIPE!$A$54:$I$82,5,FALSE)+VLOOKUP(AZ$3,DRIPE!$A$54:$I$82,9,FALSE))+ ('Inputs-System'!$C$26*'Coincidence Factors'!$B$6*(1+'Inputs-System'!$C$18)*(1+'Inputs-System'!$C$42))*'Inputs-Proposals'!$M$22*VLOOKUP(AZ$3,DRIPE!$A$54:$I$82,8,FALSE), $C66= "3", ( 'Inputs-System'!$C$30*'Coincidence Factors'!$B$6*(1+'Inputs-System'!$C$18)*(1+'Inputs-System'!$C$41))*('Inputs-Proposals'!$M$29*'Inputs-Proposals'!$M$31*(1-'Inputs-Proposals'!$M$32)^(AZ$3-'Inputs-System'!$C$7))*(VLOOKUP(AZ$3,DRIPE!$A$54:$I$82,5,FALSE)+VLOOKUP(AZ$3,DRIPE!$A$54:$I$82,9,FALSE))+ ('Inputs-System'!$C$26*'Coincidence Factors'!$B$6*(1+'Inputs-System'!$C$18)*(1+'Inputs-System'!$C$42))*'Inputs-Proposals'!$M$28*VLOOKUP(AZ$3,DRIPE!$A$54:$I$82,8,FALSE), $C66 = "0", 0), 0)</f>
        <v>0</v>
      </c>
      <c r="BC66" s="45">
        <f>IFERROR(_xlfn.IFS($C66="1",('Inputs-System'!$C$26*'Coincidence Factors'!$B$6*(1+'Inputs-System'!$C$18))*'Inputs-Proposals'!$M$16*(VLOOKUP(AZ$3,Capacity!$A$53:$E$85,4,FALSE)*(1+'Inputs-System'!$C$42)+VLOOKUP(AZ$3,Capacity!$A$53:$E$85,5,FALSE)*'Inputs-System'!$C$29*(1+'Inputs-System'!$C$43)), $C66 = "2", ('Inputs-System'!$C$26*'Coincidence Factors'!$B$6*(1+'Inputs-System'!$C$18))*'Inputs-Proposals'!$M$22*(VLOOKUP(AZ$3,Capacity!$A$53:$E$85,4,FALSE)*(1+'Inputs-System'!$C$42)+VLOOKUP(AZ$3,Capacity!$A$53:$E$85,5,FALSE)*'Inputs-System'!$C$29*(1+'Inputs-System'!$C$43)), $C66 = "3",('Inputs-System'!$C$26*'Coincidence Factors'!$B$6*(1+'Inputs-System'!$C$18))*'Inputs-Proposals'!$M$28*(VLOOKUP(AZ$3,Capacity!$A$53:$E$85,4,FALSE)*(1+'Inputs-System'!$C$42)+VLOOKUP(AZ$3,Capacity!$A$53:$E$85,5,FALSE)*'Inputs-System'!$C$29*(1+'Inputs-System'!$C$43)), $C66 = "0", 0), 0)</f>
        <v>0</v>
      </c>
      <c r="BD66" s="44">
        <v>0</v>
      </c>
      <c r="BE66" s="342">
        <f>IFERROR(_xlfn.IFS($C66="1", 'Inputs-System'!$C$30*'Coincidence Factors'!$B$6*'Inputs-Proposals'!$M$17*'Inputs-Proposals'!$M$19*(VLOOKUP(AZ$3,'Non-Embedded Emissions'!$A$56:$D$90,2,FALSE)+VLOOKUP(AZ$3,'Non-Embedded Emissions'!$A$143:$D$174,2,FALSE)+VLOOKUP(AZ$3,'Non-Embedded Emissions'!$A$230:$D$259,2,FALSE)), $C66 = "2", 'Inputs-System'!$C$30*'Coincidence Factors'!$B$6*'Inputs-Proposals'!$M$23*'Inputs-Proposals'!$M$25*(VLOOKUP(AZ$3,'Non-Embedded Emissions'!$A$56:$D$90,2,FALSE)+VLOOKUP(AZ$3,'Non-Embedded Emissions'!$A$143:$D$174,2,FALSE)+VLOOKUP(AZ$3,'Non-Embedded Emissions'!$A$230:$D$259,2,FALSE)), $C66 = "3", 'Inputs-System'!$C$30*'Coincidence Factors'!$B$6*'Inputs-Proposals'!$M$29*'Inputs-Proposals'!$M$31*(VLOOKUP(AZ$3,'Non-Embedded Emissions'!$A$56:$D$90,2,FALSE)+VLOOKUP(AZ$3,'Non-Embedded Emissions'!$A$143:$D$174,2,FALSE)+VLOOKUP(AZ$3,'Non-Embedded Emissions'!$A$230:$D$259,2,FALSE)), $C66 = "0", 0), 0)</f>
        <v>0</v>
      </c>
      <c r="BF66" s="347">
        <f>IFERROR(_xlfn.IFS($C66="1",('Inputs-System'!$C$30*'Coincidence Factors'!$B$6*(1+'Inputs-System'!$C$18)*(1+'Inputs-System'!$C$41)*('Inputs-Proposals'!$M$17*'Inputs-Proposals'!$M$19*(1-'Inputs-Proposals'!$M$20^(BF$3-'Inputs-System'!$C$7)))*(VLOOKUP(BF$3,Energy!$A$51:$K$83,5,FALSE))), $C66 = "2",('Inputs-System'!$C$30*'Coincidence Factors'!$B$6)*(1+'Inputs-System'!$C$18)*(1+'Inputs-System'!$C$41)*('Inputs-Proposals'!$M$23*'Inputs-Proposals'!$M$25*(1-'Inputs-Proposals'!$M$26^(BF$3-'Inputs-System'!$C$7)))*(VLOOKUP(BF$3,Energy!$A$51:$K$83,5,FALSE)), $C66= "3", ('Inputs-System'!$C$30*'Coincidence Factors'!$B$6*(1+'Inputs-System'!$C$18)*(1+'Inputs-System'!$C$41)*('Inputs-Proposals'!$M$29*'Inputs-Proposals'!$M$31*(1-'Inputs-Proposals'!$M$32^(BF$3-'Inputs-System'!$C$7)))*(VLOOKUP(BF$3,Energy!$A$51:$K$83,5,FALSE))), $C66= "0", 0), 0)</f>
        <v>0</v>
      </c>
      <c r="BG66" s="44">
        <f>IFERROR(_xlfn.IFS($C66="1",('Inputs-System'!$C$30*'Coincidence Factors'!$B$6*(1+'Inputs-System'!$C$18)*(1+'Inputs-System'!$C$41))*'Inputs-Proposals'!$M$17*'Inputs-Proposals'!$M$19*(1-'Inputs-Proposals'!$M$20^(BF$3-'Inputs-System'!$C$7))*(VLOOKUP(BF$3,'Embedded Emissions'!$A$47:$B$78,2,FALSE)+VLOOKUP(BF$3,'Embedded Emissions'!$A$129:$B$158,2,FALSE)), $C66 = "2",('Inputs-System'!$C$30*'Coincidence Factors'!$B$6*(1+'Inputs-System'!$C$18)*(1+'Inputs-System'!$C$41))*'Inputs-Proposals'!$M$23*'Inputs-Proposals'!$M$25*(1-'Inputs-Proposals'!$M$20^(BF$3-'Inputs-System'!$C$7))*(VLOOKUP(BF$3,'Embedded Emissions'!$A$47:$B$78,2,FALSE)+VLOOKUP(BF$3,'Embedded Emissions'!$A$129:$B$158,2,FALSE)), $C66 = "3", ('Inputs-System'!$C$30*'Coincidence Factors'!$B$6*(1+'Inputs-System'!$C$18)*(1+'Inputs-System'!$C$41))*'Inputs-Proposals'!$M$29*'Inputs-Proposals'!$M$31*(1-'Inputs-Proposals'!$M$20^(BF$3-'Inputs-System'!$C$7))*(VLOOKUP(BF$3,'Embedded Emissions'!$A$47:$B$78,2,FALSE)+VLOOKUP(BF$3,'Embedded Emissions'!$A$129:$B$158,2,FALSE)), $C66 = "0", 0), 0)</f>
        <v>0</v>
      </c>
      <c r="BH66" s="44">
        <f>IFERROR(_xlfn.IFS($C66="1",( 'Inputs-System'!$C$30*'Coincidence Factors'!$B$6*(1+'Inputs-System'!$C$18)*(1+'Inputs-System'!$C$41))*('Inputs-Proposals'!$M$17*'Inputs-Proposals'!$M$19*(1-'Inputs-Proposals'!$M$20)^(BF$3-'Inputs-System'!$C$7))*(VLOOKUP(BF$3,DRIPE!$A$54:$I$82,5,FALSE)+VLOOKUP(BF$3,DRIPE!$A$54:$I$82,9,FALSE))+ ('Inputs-System'!$C$26*'Coincidence Factors'!$B$6*(1+'Inputs-System'!$C$18)*(1+'Inputs-System'!$C$42))*'Inputs-Proposals'!$M$16*VLOOKUP(BF$3,DRIPE!$A$54:$I$82,8,FALSE), $C66 = "2",( 'Inputs-System'!$C$30*'Coincidence Factors'!$B$6*(1+'Inputs-System'!$C$18)*(1+'Inputs-System'!$C$41))*('Inputs-Proposals'!$M$23*'Inputs-Proposals'!$M$25*(1-'Inputs-Proposals'!$M$26)^(BF$3-'Inputs-System'!$C$7))*(VLOOKUP(BF$3,DRIPE!$A$54:$I$82,5,FALSE)+VLOOKUP(BF$3,DRIPE!$A$54:$I$82,9,FALSE))+ ('Inputs-System'!$C$26*'Coincidence Factors'!$B$6*(1+'Inputs-System'!$C$18)*(1+'Inputs-System'!$C$42))*'Inputs-Proposals'!$M$22*VLOOKUP(BF$3,DRIPE!$A$54:$I$82,8,FALSE), $C66= "3", ( 'Inputs-System'!$C$30*'Coincidence Factors'!$B$6*(1+'Inputs-System'!$C$18)*(1+'Inputs-System'!$C$41))*('Inputs-Proposals'!$M$29*'Inputs-Proposals'!$M$31*(1-'Inputs-Proposals'!$M$32)^(BF$3-'Inputs-System'!$C$7))*(VLOOKUP(BF$3,DRIPE!$A$54:$I$82,5,FALSE)+VLOOKUP(BF$3,DRIPE!$A$54:$I$82,9,FALSE))+ ('Inputs-System'!$C$26*'Coincidence Factors'!$B$6*(1+'Inputs-System'!$C$18)*(1+'Inputs-System'!$C$42))*'Inputs-Proposals'!$M$28*VLOOKUP(BF$3,DRIPE!$A$54:$I$82,8,FALSE), $C66 = "0", 0), 0)</f>
        <v>0</v>
      </c>
      <c r="BI66" s="45">
        <f>IFERROR(_xlfn.IFS($C66="1",('Inputs-System'!$C$26*'Coincidence Factors'!$B$6*(1+'Inputs-System'!$C$18))*'Inputs-Proposals'!$M$16*(VLOOKUP(BF$3,Capacity!$A$53:$E$85,4,FALSE)*(1+'Inputs-System'!$C$42)+VLOOKUP(BF$3,Capacity!$A$53:$E$85,5,FALSE)*'Inputs-System'!$C$29*(1+'Inputs-System'!$C$43)), $C66 = "2", ('Inputs-System'!$C$26*'Coincidence Factors'!$B$6*(1+'Inputs-System'!$C$18))*'Inputs-Proposals'!$M$22*(VLOOKUP(BF$3,Capacity!$A$53:$E$85,4,FALSE)*(1+'Inputs-System'!$C$42)+VLOOKUP(BF$3,Capacity!$A$53:$E$85,5,FALSE)*'Inputs-System'!$C$29*(1+'Inputs-System'!$C$43)), $C66 = "3",('Inputs-System'!$C$26*'Coincidence Factors'!$B$6*(1+'Inputs-System'!$C$18))*'Inputs-Proposals'!$M$28*(VLOOKUP(BF$3,Capacity!$A$53:$E$85,4,FALSE)*(1+'Inputs-System'!$C$42)+VLOOKUP(BF$3,Capacity!$A$53:$E$85,5,FALSE)*'Inputs-System'!$C$29*(1+'Inputs-System'!$C$43)), $C66 = "0", 0), 0)</f>
        <v>0</v>
      </c>
      <c r="BJ66" s="44">
        <v>0</v>
      </c>
      <c r="BK66" s="342">
        <f>IFERROR(_xlfn.IFS($C66="1", 'Inputs-System'!$C$30*'Coincidence Factors'!$B$6*'Inputs-Proposals'!$M$17*'Inputs-Proposals'!$M$19*(VLOOKUP(BF$3,'Non-Embedded Emissions'!$A$56:$D$90,2,FALSE)+VLOOKUP(BF$3,'Non-Embedded Emissions'!$A$143:$D$174,2,FALSE)+VLOOKUP(BF$3,'Non-Embedded Emissions'!$A$230:$D$259,2,FALSE)), $C66 = "2", 'Inputs-System'!$C$30*'Coincidence Factors'!$B$6*'Inputs-Proposals'!$M$23*'Inputs-Proposals'!$M$25*(VLOOKUP(BF$3,'Non-Embedded Emissions'!$A$56:$D$90,2,FALSE)+VLOOKUP(BF$3,'Non-Embedded Emissions'!$A$143:$D$174,2,FALSE)+VLOOKUP(BF$3,'Non-Embedded Emissions'!$A$230:$D$259,2,FALSE)), $C66 = "3", 'Inputs-System'!$C$30*'Coincidence Factors'!$B$6*'Inputs-Proposals'!$M$29*'Inputs-Proposals'!$M$31*(VLOOKUP(BF$3,'Non-Embedded Emissions'!$A$56:$D$90,2,FALSE)+VLOOKUP(BF$3,'Non-Embedded Emissions'!$A$143:$D$174,2,FALSE)+VLOOKUP(BF$3,'Non-Embedded Emissions'!$A$230:$D$259,2,FALSE)), $C66 = "0", 0), 0)</f>
        <v>0</v>
      </c>
      <c r="BL66" s="347">
        <f>IFERROR(_xlfn.IFS($C66="1",('Inputs-System'!$C$30*'Coincidence Factors'!$B$6*(1+'Inputs-System'!$C$18)*(1+'Inputs-System'!$C$41)*('Inputs-Proposals'!$M$17*'Inputs-Proposals'!$M$19*(1-'Inputs-Proposals'!$M$20^(BL$3-'Inputs-System'!$C$7)))*(VLOOKUP(BL$3,Energy!$A$51:$K$83,5,FALSE))), $C66 = "2",('Inputs-System'!$C$30*'Coincidence Factors'!$B$6)*(1+'Inputs-System'!$C$18)*(1+'Inputs-System'!$C$41)*('Inputs-Proposals'!$M$23*'Inputs-Proposals'!$M$25*(1-'Inputs-Proposals'!$M$26^(BL$3-'Inputs-System'!$C$7)))*(VLOOKUP(BL$3,Energy!$A$51:$K$83,5,FALSE)), $C66= "3", ('Inputs-System'!$C$30*'Coincidence Factors'!$B$6*(1+'Inputs-System'!$C$18)*(1+'Inputs-System'!$C$41)*('Inputs-Proposals'!$M$29*'Inputs-Proposals'!$M$31*(1-'Inputs-Proposals'!$M$32^(BL$3-'Inputs-System'!$C$7)))*(VLOOKUP(BL$3,Energy!$A$51:$K$83,5,FALSE))), $C66= "0", 0), 0)</f>
        <v>0</v>
      </c>
      <c r="BM66" s="44">
        <f>IFERROR(_xlfn.IFS($C66="1",('Inputs-System'!$C$30*'Coincidence Factors'!$B$6*(1+'Inputs-System'!$C$18)*(1+'Inputs-System'!$C$41))*'Inputs-Proposals'!$M$17*'Inputs-Proposals'!$M$19*(1-'Inputs-Proposals'!$M$20^(BL$3-'Inputs-System'!$C$7))*(VLOOKUP(BL$3,'Embedded Emissions'!$A$47:$B$78,2,FALSE)+VLOOKUP(BL$3,'Embedded Emissions'!$A$129:$B$158,2,FALSE)), $C66 = "2",('Inputs-System'!$C$30*'Coincidence Factors'!$B$6*(1+'Inputs-System'!$C$18)*(1+'Inputs-System'!$C$41))*'Inputs-Proposals'!$M$23*'Inputs-Proposals'!$M$25*(1-'Inputs-Proposals'!$M$20^(BL$3-'Inputs-System'!$C$7))*(VLOOKUP(BL$3,'Embedded Emissions'!$A$47:$B$78,2,FALSE)+VLOOKUP(BL$3,'Embedded Emissions'!$A$129:$B$158,2,FALSE)), $C66 = "3", ('Inputs-System'!$C$30*'Coincidence Factors'!$B$6*(1+'Inputs-System'!$C$18)*(1+'Inputs-System'!$C$41))*'Inputs-Proposals'!$M$29*'Inputs-Proposals'!$M$31*(1-'Inputs-Proposals'!$M$20^(BL$3-'Inputs-System'!$C$7))*(VLOOKUP(BL$3,'Embedded Emissions'!$A$47:$B$78,2,FALSE)+VLOOKUP(BL$3,'Embedded Emissions'!$A$129:$B$158,2,FALSE)), $C66 = "0", 0), 0)</f>
        <v>0</v>
      </c>
      <c r="BN66" s="44">
        <f>IFERROR(_xlfn.IFS($C66="1",( 'Inputs-System'!$C$30*'Coincidence Factors'!$B$6*(1+'Inputs-System'!$C$18)*(1+'Inputs-System'!$C$41))*('Inputs-Proposals'!$M$17*'Inputs-Proposals'!$M$19*(1-'Inputs-Proposals'!$M$20)^(BL$3-'Inputs-System'!$C$7))*(VLOOKUP(BL$3,DRIPE!$A$54:$I$82,5,FALSE)+VLOOKUP(BL$3,DRIPE!$A$54:$I$82,9,FALSE))+ ('Inputs-System'!$C$26*'Coincidence Factors'!$B$6*(1+'Inputs-System'!$C$18)*(1+'Inputs-System'!$C$42))*'Inputs-Proposals'!$M$16*VLOOKUP(BL$3,DRIPE!$A$54:$I$82,8,FALSE), $C66 = "2",( 'Inputs-System'!$C$30*'Coincidence Factors'!$B$6*(1+'Inputs-System'!$C$18)*(1+'Inputs-System'!$C$41))*('Inputs-Proposals'!$M$23*'Inputs-Proposals'!$M$25*(1-'Inputs-Proposals'!$M$26)^(BL$3-'Inputs-System'!$C$7))*(VLOOKUP(BL$3,DRIPE!$A$54:$I$82,5,FALSE)+VLOOKUP(BL$3,DRIPE!$A$54:$I$82,9,FALSE))+ ('Inputs-System'!$C$26*'Coincidence Factors'!$B$6*(1+'Inputs-System'!$C$18)*(1+'Inputs-System'!$C$42))*'Inputs-Proposals'!$M$22*VLOOKUP(BL$3,DRIPE!$A$54:$I$82,8,FALSE), $C66= "3", ( 'Inputs-System'!$C$30*'Coincidence Factors'!$B$6*(1+'Inputs-System'!$C$18)*(1+'Inputs-System'!$C$41))*('Inputs-Proposals'!$M$29*'Inputs-Proposals'!$M$31*(1-'Inputs-Proposals'!$M$32)^(BL$3-'Inputs-System'!$C$7))*(VLOOKUP(BL$3,DRIPE!$A$54:$I$82,5,FALSE)+VLOOKUP(BL$3,DRIPE!$A$54:$I$82,9,FALSE))+ ('Inputs-System'!$C$26*'Coincidence Factors'!$B$6*(1+'Inputs-System'!$C$18)*(1+'Inputs-System'!$C$42))*'Inputs-Proposals'!$M$28*VLOOKUP(BL$3,DRIPE!$A$54:$I$82,8,FALSE), $C66 = "0", 0), 0)</f>
        <v>0</v>
      </c>
      <c r="BO66" s="45">
        <f>IFERROR(_xlfn.IFS($C66="1",('Inputs-System'!$C$26*'Coincidence Factors'!$B$6*(1+'Inputs-System'!$C$18))*'Inputs-Proposals'!$M$16*(VLOOKUP(BL$3,Capacity!$A$53:$E$85,4,FALSE)*(1+'Inputs-System'!$C$42)+VLOOKUP(BL$3,Capacity!$A$53:$E$85,5,FALSE)*'Inputs-System'!$C$29*(1+'Inputs-System'!$C$43)), $C66 = "2", ('Inputs-System'!$C$26*'Coincidence Factors'!$B$6*(1+'Inputs-System'!$C$18))*'Inputs-Proposals'!$M$22*(VLOOKUP(BL$3,Capacity!$A$53:$E$85,4,FALSE)*(1+'Inputs-System'!$C$42)+VLOOKUP(BL$3,Capacity!$A$53:$E$85,5,FALSE)*'Inputs-System'!$C$29*(1+'Inputs-System'!$C$43)), $C66 = "3",('Inputs-System'!$C$26*'Coincidence Factors'!$B$6*(1+'Inputs-System'!$C$18))*'Inputs-Proposals'!$M$28*(VLOOKUP(BL$3,Capacity!$A$53:$E$85,4,FALSE)*(1+'Inputs-System'!$C$42)+VLOOKUP(BL$3,Capacity!$A$53:$E$85,5,FALSE)*'Inputs-System'!$C$29*(1+'Inputs-System'!$C$43)), $C66 = "0", 0), 0)</f>
        <v>0</v>
      </c>
      <c r="BP66" s="44">
        <v>0</v>
      </c>
      <c r="BQ66" s="342">
        <f>IFERROR(_xlfn.IFS($C66="1", 'Inputs-System'!$C$30*'Coincidence Factors'!$B$6*'Inputs-Proposals'!$M$17*'Inputs-Proposals'!$M$19*(VLOOKUP(BL$3,'Non-Embedded Emissions'!$A$56:$D$90,2,FALSE)+VLOOKUP(BL$3,'Non-Embedded Emissions'!$A$143:$D$174,2,FALSE)+VLOOKUP(BL$3,'Non-Embedded Emissions'!$A$230:$D$259,2,FALSE)), $C66 = "2", 'Inputs-System'!$C$30*'Coincidence Factors'!$B$6*'Inputs-Proposals'!$M$23*'Inputs-Proposals'!$M$25*(VLOOKUP(BL$3,'Non-Embedded Emissions'!$A$56:$D$90,2,FALSE)+VLOOKUP(BL$3,'Non-Embedded Emissions'!$A$143:$D$174,2,FALSE)+VLOOKUP(BL$3,'Non-Embedded Emissions'!$A$230:$D$259,2,FALSE)), $C66 = "3", 'Inputs-System'!$C$30*'Coincidence Factors'!$B$6*'Inputs-Proposals'!$M$29*'Inputs-Proposals'!$M$31*(VLOOKUP(BL$3,'Non-Embedded Emissions'!$A$56:$D$90,2,FALSE)+VLOOKUP(BL$3,'Non-Embedded Emissions'!$A$143:$D$174,2,FALSE)+VLOOKUP(BL$3,'Non-Embedded Emissions'!$A$230:$D$259,2,FALSE)), $C66 = "0", 0), 0)</f>
        <v>0</v>
      </c>
      <c r="BR66" s="347">
        <f>IFERROR(_xlfn.IFS($C66="1",('Inputs-System'!$C$30*'Coincidence Factors'!$B$6*(1+'Inputs-System'!$C$18)*(1+'Inputs-System'!$C$41)*('Inputs-Proposals'!$M$17*'Inputs-Proposals'!$M$19*(1-'Inputs-Proposals'!$M$20^(BR$3-'Inputs-System'!$C$7)))*(VLOOKUP(BR$3,Energy!$A$51:$K$83,5,FALSE))), $C66 = "2",('Inputs-System'!$C$30*'Coincidence Factors'!$B$6)*(1+'Inputs-System'!$C$18)*(1+'Inputs-System'!$C$41)*('Inputs-Proposals'!$M$23*'Inputs-Proposals'!$M$25*(1-'Inputs-Proposals'!$M$26^(BR$3-'Inputs-System'!$C$7)))*(VLOOKUP(BR$3,Energy!$A$51:$K$83,5,FALSE)), $C66= "3", ('Inputs-System'!$C$30*'Coincidence Factors'!$B$6*(1+'Inputs-System'!$C$18)*(1+'Inputs-System'!$C$41)*('Inputs-Proposals'!$M$29*'Inputs-Proposals'!$M$31*(1-'Inputs-Proposals'!$M$32^(BR$3-'Inputs-System'!$C$7)))*(VLOOKUP(BR$3,Energy!$A$51:$K$83,5,FALSE))), $C66= "0", 0), 0)</f>
        <v>0</v>
      </c>
      <c r="BS66" s="44">
        <f>IFERROR(_xlfn.IFS($C66="1",('Inputs-System'!$C$30*'Coincidence Factors'!$B$6*(1+'Inputs-System'!$C$18)*(1+'Inputs-System'!$C$41))*'Inputs-Proposals'!$M$17*'Inputs-Proposals'!$M$19*(1-'Inputs-Proposals'!$M$20^(BR$3-'Inputs-System'!$C$7))*(VLOOKUP(BR$3,'Embedded Emissions'!$A$47:$B$78,2,FALSE)+VLOOKUP(BR$3,'Embedded Emissions'!$A$129:$B$158,2,FALSE)), $C66 = "2",('Inputs-System'!$C$30*'Coincidence Factors'!$B$6*(1+'Inputs-System'!$C$18)*(1+'Inputs-System'!$C$41))*'Inputs-Proposals'!$M$23*'Inputs-Proposals'!$M$25*(1-'Inputs-Proposals'!$M$20^(BR$3-'Inputs-System'!$C$7))*(VLOOKUP(BR$3,'Embedded Emissions'!$A$47:$B$78,2,FALSE)+VLOOKUP(BR$3,'Embedded Emissions'!$A$129:$B$158,2,FALSE)), $C66 = "3", ('Inputs-System'!$C$30*'Coincidence Factors'!$B$6*(1+'Inputs-System'!$C$18)*(1+'Inputs-System'!$C$41))*'Inputs-Proposals'!$M$29*'Inputs-Proposals'!$M$31*(1-'Inputs-Proposals'!$M$20^(BR$3-'Inputs-System'!$C$7))*(VLOOKUP(BR$3,'Embedded Emissions'!$A$47:$B$78,2,FALSE)+VLOOKUP(BR$3,'Embedded Emissions'!$A$129:$B$158,2,FALSE)), $C66 = "0", 0), 0)</f>
        <v>0</v>
      </c>
      <c r="BT66" s="44">
        <f>IFERROR(_xlfn.IFS($C66="1",( 'Inputs-System'!$C$30*'Coincidence Factors'!$B$6*(1+'Inputs-System'!$C$18)*(1+'Inputs-System'!$C$41))*('Inputs-Proposals'!$M$17*'Inputs-Proposals'!$M$19*(1-'Inputs-Proposals'!$M$20)^(BR$3-'Inputs-System'!$C$7))*(VLOOKUP(BR$3,DRIPE!$A$54:$I$82,5,FALSE)+VLOOKUP(BR$3,DRIPE!$A$54:$I$82,9,FALSE))+ ('Inputs-System'!$C$26*'Coincidence Factors'!$B$6*(1+'Inputs-System'!$C$18)*(1+'Inputs-System'!$C$42))*'Inputs-Proposals'!$M$16*VLOOKUP(BR$3,DRIPE!$A$54:$I$82,8,FALSE), $C66 = "2",( 'Inputs-System'!$C$30*'Coincidence Factors'!$B$6*(1+'Inputs-System'!$C$18)*(1+'Inputs-System'!$C$41))*('Inputs-Proposals'!$M$23*'Inputs-Proposals'!$M$25*(1-'Inputs-Proposals'!$M$26)^(BR$3-'Inputs-System'!$C$7))*(VLOOKUP(BR$3,DRIPE!$A$54:$I$82,5,FALSE)+VLOOKUP(BR$3,DRIPE!$A$54:$I$82,9,FALSE))+ ('Inputs-System'!$C$26*'Coincidence Factors'!$B$6*(1+'Inputs-System'!$C$18)*(1+'Inputs-System'!$C$42))*'Inputs-Proposals'!$M$22*VLOOKUP(BR$3,DRIPE!$A$54:$I$82,8,FALSE), $C66= "3", ( 'Inputs-System'!$C$30*'Coincidence Factors'!$B$6*(1+'Inputs-System'!$C$18)*(1+'Inputs-System'!$C$41))*('Inputs-Proposals'!$M$29*'Inputs-Proposals'!$M$31*(1-'Inputs-Proposals'!$M$32)^(BR$3-'Inputs-System'!$C$7))*(VLOOKUP(BR$3,DRIPE!$A$54:$I$82,5,FALSE)+VLOOKUP(BR$3,DRIPE!$A$54:$I$82,9,FALSE))+ ('Inputs-System'!$C$26*'Coincidence Factors'!$B$6*(1+'Inputs-System'!$C$18)*(1+'Inputs-System'!$C$42))*'Inputs-Proposals'!$M$28*VLOOKUP(BR$3,DRIPE!$A$54:$I$82,8,FALSE), $C66 = "0", 0), 0)</f>
        <v>0</v>
      </c>
      <c r="BU66" s="45">
        <f>IFERROR(_xlfn.IFS($C66="1",('Inputs-System'!$C$26*'Coincidence Factors'!$B$6*(1+'Inputs-System'!$C$18))*'Inputs-Proposals'!$M$16*(VLOOKUP(BR$3,Capacity!$A$53:$E$85,4,FALSE)*(1+'Inputs-System'!$C$42)+VLOOKUP(BR$3,Capacity!$A$53:$E$85,5,FALSE)*'Inputs-System'!$C$29*(1+'Inputs-System'!$C$43)), $C66 = "2", ('Inputs-System'!$C$26*'Coincidence Factors'!$B$6*(1+'Inputs-System'!$C$18))*'Inputs-Proposals'!$M$22*(VLOOKUP(BR$3,Capacity!$A$53:$E$85,4,FALSE)*(1+'Inputs-System'!$C$42)+VLOOKUP(BR$3,Capacity!$A$53:$E$85,5,FALSE)*'Inputs-System'!$C$29*(1+'Inputs-System'!$C$43)), $C66 = "3",('Inputs-System'!$C$26*'Coincidence Factors'!$B$6*(1+'Inputs-System'!$C$18))*'Inputs-Proposals'!$M$28*(VLOOKUP(BR$3,Capacity!$A$53:$E$85,4,FALSE)*(1+'Inputs-System'!$C$42)+VLOOKUP(BR$3,Capacity!$A$53:$E$85,5,FALSE)*'Inputs-System'!$C$29*(1+'Inputs-System'!$C$43)), $C66 = "0", 0), 0)</f>
        <v>0</v>
      </c>
      <c r="BV66" s="44">
        <v>0</v>
      </c>
      <c r="BW66" s="342">
        <f>IFERROR(_xlfn.IFS($C66="1", 'Inputs-System'!$C$30*'Coincidence Factors'!$B$6*'Inputs-Proposals'!$M$17*'Inputs-Proposals'!$M$19*(VLOOKUP(BR$3,'Non-Embedded Emissions'!$A$56:$D$90,2,FALSE)+VLOOKUP(BR$3,'Non-Embedded Emissions'!$A$143:$D$174,2,FALSE)+VLOOKUP(BR$3,'Non-Embedded Emissions'!$A$230:$D$259,2,FALSE)), $C66 = "2", 'Inputs-System'!$C$30*'Coincidence Factors'!$B$6*'Inputs-Proposals'!$M$23*'Inputs-Proposals'!$M$25*(VLOOKUP(BR$3,'Non-Embedded Emissions'!$A$56:$D$90,2,FALSE)+VLOOKUP(BR$3,'Non-Embedded Emissions'!$A$143:$D$174,2,FALSE)+VLOOKUP(BR$3,'Non-Embedded Emissions'!$A$230:$D$259,2,FALSE)), $C66 = "3", 'Inputs-System'!$C$30*'Coincidence Factors'!$B$6*'Inputs-Proposals'!$M$29*'Inputs-Proposals'!$M$31*(VLOOKUP(BR$3,'Non-Embedded Emissions'!$A$56:$D$90,2,FALSE)+VLOOKUP(BR$3,'Non-Embedded Emissions'!$A$143:$D$174,2,FALSE)+VLOOKUP(BR$3,'Non-Embedded Emissions'!$A$230:$D$259,2,FALSE)), $C66 = "0", 0), 0)</f>
        <v>0</v>
      </c>
      <c r="BX66" s="347">
        <f>IFERROR(_xlfn.IFS($C66="1",('Inputs-System'!$C$30*'Coincidence Factors'!$B$6*(1+'Inputs-System'!$C$18)*(1+'Inputs-System'!$C$41)*('Inputs-Proposals'!$M$17*'Inputs-Proposals'!$M$19*(1-'Inputs-Proposals'!$M$20^(BX$3-'Inputs-System'!$C$7)))*(VLOOKUP(BX$3,Energy!$A$51:$K$83,5,FALSE))), $C66 = "2",('Inputs-System'!$C$30*'Coincidence Factors'!$B$6)*(1+'Inputs-System'!$C$18)*(1+'Inputs-System'!$C$41)*('Inputs-Proposals'!$M$23*'Inputs-Proposals'!$M$25*(1-'Inputs-Proposals'!$M$26^(BX$3-'Inputs-System'!$C$7)))*(VLOOKUP(BX$3,Energy!$A$51:$K$83,5,FALSE)), $C66= "3", ('Inputs-System'!$C$30*'Coincidence Factors'!$B$6*(1+'Inputs-System'!$C$18)*(1+'Inputs-System'!$C$41)*('Inputs-Proposals'!$M$29*'Inputs-Proposals'!$M$31*(1-'Inputs-Proposals'!$M$32^(BX$3-'Inputs-System'!$C$7)))*(VLOOKUP(BX$3,Energy!$A$51:$K$83,5,FALSE))), $C66= "0", 0), 0)</f>
        <v>0</v>
      </c>
      <c r="BY66" s="44">
        <f>IFERROR(_xlfn.IFS($C66="1",('Inputs-System'!$C$30*'Coincidence Factors'!$B$6*(1+'Inputs-System'!$C$18)*(1+'Inputs-System'!$C$41))*'Inputs-Proposals'!$M$17*'Inputs-Proposals'!$M$19*(1-'Inputs-Proposals'!$M$20^(BX$3-'Inputs-System'!$C$7))*(VLOOKUP(BX$3,'Embedded Emissions'!$A$47:$B$78,2,FALSE)+VLOOKUP(BX$3,'Embedded Emissions'!$A$129:$B$158,2,FALSE)), $C66 = "2",('Inputs-System'!$C$30*'Coincidence Factors'!$B$6*(1+'Inputs-System'!$C$18)*(1+'Inputs-System'!$C$41))*'Inputs-Proposals'!$M$23*'Inputs-Proposals'!$M$25*(1-'Inputs-Proposals'!$M$20^(BX$3-'Inputs-System'!$C$7))*(VLOOKUP(BX$3,'Embedded Emissions'!$A$47:$B$78,2,FALSE)+VLOOKUP(BX$3,'Embedded Emissions'!$A$129:$B$158,2,FALSE)), $C66 = "3", ('Inputs-System'!$C$30*'Coincidence Factors'!$B$6*(1+'Inputs-System'!$C$18)*(1+'Inputs-System'!$C$41))*'Inputs-Proposals'!$M$29*'Inputs-Proposals'!$M$31*(1-'Inputs-Proposals'!$M$20^(BX$3-'Inputs-System'!$C$7))*(VLOOKUP(BX$3,'Embedded Emissions'!$A$47:$B$78,2,FALSE)+VLOOKUP(BX$3,'Embedded Emissions'!$A$129:$B$158,2,FALSE)), $C66 = "0", 0), 0)</f>
        <v>0</v>
      </c>
      <c r="BZ66" s="44">
        <f>IFERROR(_xlfn.IFS($C66="1",( 'Inputs-System'!$C$30*'Coincidence Factors'!$B$6*(1+'Inputs-System'!$C$18)*(1+'Inputs-System'!$C$41))*('Inputs-Proposals'!$M$17*'Inputs-Proposals'!$M$19*(1-'Inputs-Proposals'!$M$20)^(BX$3-'Inputs-System'!$C$7))*(VLOOKUP(BX$3,DRIPE!$A$54:$I$82,5,FALSE)+VLOOKUP(BX$3,DRIPE!$A$54:$I$82,9,FALSE))+ ('Inputs-System'!$C$26*'Coincidence Factors'!$B$6*(1+'Inputs-System'!$C$18)*(1+'Inputs-System'!$C$42))*'Inputs-Proposals'!$M$16*VLOOKUP(BX$3,DRIPE!$A$54:$I$82,8,FALSE), $C66 = "2",( 'Inputs-System'!$C$30*'Coincidence Factors'!$B$6*(1+'Inputs-System'!$C$18)*(1+'Inputs-System'!$C$41))*('Inputs-Proposals'!$M$23*'Inputs-Proposals'!$M$25*(1-'Inputs-Proposals'!$M$26)^(BX$3-'Inputs-System'!$C$7))*(VLOOKUP(BX$3,DRIPE!$A$54:$I$82,5,FALSE)+VLOOKUP(BX$3,DRIPE!$A$54:$I$82,9,FALSE))+ ('Inputs-System'!$C$26*'Coincidence Factors'!$B$6*(1+'Inputs-System'!$C$18)*(1+'Inputs-System'!$C$42))*'Inputs-Proposals'!$M$22*VLOOKUP(BX$3,DRIPE!$A$54:$I$82,8,FALSE), $C66= "3", ( 'Inputs-System'!$C$30*'Coincidence Factors'!$B$6*(1+'Inputs-System'!$C$18)*(1+'Inputs-System'!$C$41))*('Inputs-Proposals'!$M$29*'Inputs-Proposals'!$M$31*(1-'Inputs-Proposals'!$M$32)^(BX$3-'Inputs-System'!$C$7))*(VLOOKUP(BX$3,DRIPE!$A$54:$I$82,5,FALSE)+VLOOKUP(BX$3,DRIPE!$A$54:$I$82,9,FALSE))+ ('Inputs-System'!$C$26*'Coincidence Factors'!$B$6*(1+'Inputs-System'!$C$18)*(1+'Inputs-System'!$C$42))*'Inputs-Proposals'!$M$28*VLOOKUP(BX$3,DRIPE!$A$54:$I$82,8,FALSE), $C66 = "0", 0), 0)</f>
        <v>0</v>
      </c>
      <c r="CA66" s="45">
        <f>IFERROR(_xlfn.IFS($C66="1",('Inputs-System'!$C$26*'Coincidence Factors'!$B$6*(1+'Inputs-System'!$C$18))*'Inputs-Proposals'!$M$16*(VLOOKUP(BX$3,Capacity!$A$53:$E$85,4,FALSE)*(1+'Inputs-System'!$C$42)+VLOOKUP(BX$3,Capacity!$A$53:$E$85,5,FALSE)*'Inputs-System'!$C$29*(1+'Inputs-System'!$C$43)), $C66 = "2", ('Inputs-System'!$C$26*'Coincidence Factors'!$B$6*(1+'Inputs-System'!$C$18))*'Inputs-Proposals'!$M$22*(VLOOKUP(BX$3,Capacity!$A$53:$E$85,4,FALSE)*(1+'Inputs-System'!$C$42)+VLOOKUP(BX$3,Capacity!$A$53:$E$85,5,FALSE)*'Inputs-System'!$C$29*(1+'Inputs-System'!$C$43)), $C66 = "3",('Inputs-System'!$C$26*'Coincidence Factors'!$B$6*(1+'Inputs-System'!$C$18))*'Inputs-Proposals'!$M$28*(VLOOKUP(BX$3,Capacity!$A$53:$E$85,4,FALSE)*(1+'Inputs-System'!$C$42)+VLOOKUP(BX$3,Capacity!$A$53:$E$85,5,FALSE)*'Inputs-System'!$C$29*(1+'Inputs-System'!$C$43)), $C66 = "0", 0), 0)</f>
        <v>0</v>
      </c>
      <c r="CB66" s="44">
        <v>0</v>
      </c>
      <c r="CC66" s="342">
        <f>IFERROR(_xlfn.IFS($C66="1", 'Inputs-System'!$C$30*'Coincidence Factors'!$B$6*'Inputs-Proposals'!$M$17*'Inputs-Proposals'!$M$19*(VLOOKUP(BX$3,'Non-Embedded Emissions'!$A$56:$D$90,2,FALSE)+VLOOKUP(BX$3,'Non-Embedded Emissions'!$A$143:$D$174,2,FALSE)+VLOOKUP(BX$3,'Non-Embedded Emissions'!$A$230:$D$259,2,FALSE)), $C66 = "2", 'Inputs-System'!$C$30*'Coincidence Factors'!$B$6*'Inputs-Proposals'!$M$23*'Inputs-Proposals'!$M$25*(VLOOKUP(BX$3,'Non-Embedded Emissions'!$A$56:$D$90,2,FALSE)+VLOOKUP(BX$3,'Non-Embedded Emissions'!$A$143:$D$174,2,FALSE)+VLOOKUP(BX$3,'Non-Embedded Emissions'!$A$230:$D$259,2,FALSE)), $C66 = "3", 'Inputs-System'!$C$30*'Coincidence Factors'!$B$6*'Inputs-Proposals'!$M$29*'Inputs-Proposals'!$M$31*(VLOOKUP(BX$3,'Non-Embedded Emissions'!$A$56:$D$90,2,FALSE)+VLOOKUP(BX$3,'Non-Embedded Emissions'!$A$143:$D$174,2,FALSE)+VLOOKUP(BX$3,'Non-Embedded Emissions'!$A$230:$D$259,2,FALSE)), $C66 = "0", 0), 0)</f>
        <v>0</v>
      </c>
      <c r="CD66" s="347">
        <f>IFERROR(_xlfn.IFS($C66="1",('Inputs-System'!$C$30*'Coincidence Factors'!$B$6*(1+'Inputs-System'!$C$18)*(1+'Inputs-System'!$C$41)*('Inputs-Proposals'!$M$17*'Inputs-Proposals'!$M$19*(1-'Inputs-Proposals'!$M$20^(CD$3-'Inputs-System'!$C$7)))*(VLOOKUP(CD$3,Energy!$A$51:$K$83,5,FALSE))), $C66 = "2",('Inputs-System'!$C$30*'Coincidence Factors'!$B$6)*(1+'Inputs-System'!$C$18)*(1+'Inputs-System'!$C$41)*('Inputs-Proposals'!$M$23*'Inputs-Proposals'!$M$25*(1-'Inputs-Proposals'!$M$26^(CD$3-'Inputs-System'!$C$7)))*(VLOOKUP(CD$3,Energy!$A$51:$K$83,5,FALSE)), $C66= "3", ('Inputs-System'!$C$30*'Coincidence Factors'!$B$6*(1+'Inputs-System'!$C$18)*(1+'Inputs-System'!$C$41)*('Inputs-Proposals'!$M$29*'Inputs-Proposals'!$M$31*(1-'Inputs-Proposals'!$M$32^(CD$3-'Inputs-System'!$C$7)))*(VLOOKUP(CD$3,Energy!$A$51:$K$83,5,FALSE))), $C66= "0", 0), 0)</f>
        <v>0</v>
      </c>
      <c r="CE66" s="44">
        <f>IFERROR(_xlfn.IFS($C66="1",('Inputs-System'!$C$30*'Coincidence Factors'!$B$6*(1+'Inputs-System'!$C$18)*(1+'Inputs-System'!$C$41))*'Inputs-Proposals'!$M$17*'Inputs-Proposals'!$M$19*(1-'Inputs-Proposals'!$M$20^(CD$3-'Inputs-System'!$C$7))*(VLOOKUP(CD$3,'Embedded Emissions'!$A$47:$B$78,2,FALSE)+VLOOKUP(CD$3,'Embedded Emissions'!$A$129:$B$158,2,FALSE)), $C66 = "2",('Inputs-System'!$C$30*'Coincidence Factors'!$B$6*(1+'Inputs-System'!$C$18)*(1+'Inputs-System'!$C$41))*'Inputs-Proposals'!$M$23*'Inputs-Proposals'!$M$25*(1-'Inputs-Proposals'!$M$20^(CD$3-'Inputs-System'!$C$7))*(VLOOKUP(CD$3,'Embedded Emissions'!$A$47:$B$78,2,FALSE)+VLOOKUP(CD$3,'Embedded Emissions'!$A$129:$B$158,2,FALSE)), $C66 = "3", ('Inputs-System'!$C$30*'Coincidence Factors'!$B$6*(1+'Inputs-System'!$C$18)*(1+'Inputs-System'!$C$41))*'Inputs-Proposals'!$M$29*'Inputs-Proposals'!$M$31*(1-'Inputs-Proposals'!$M$20^(CD$3-'Inputs-System'!$C$7))*(VLOOKUP(CD$3,'Embedded Emissions'!$A$47:$B$78,2,FALSE)+VLOOKUP(CD$3,'Embedded Emissions'!$A$129:$B$158,2,FALSE)), $C66 = "0", 0), 0)</f>
        <v>0</v>
      </c>
      <c r="CF66" s="44">
        <f>IFERROR(_xlfn.IFS($C66="1",( 'Inputs-System'!$C$30*'Coincidence Factors'!$B$6*(1+'Inputs-System'!$C$18)*(1+'Inputs-System'!$C$41))*('Inputs-Proposals'!$M$17*'Inputs-Proposals'!$M$19*(1-'Inputs-Proposals'!$M$20)^(CD$3-'Inputs-System'!$C$7))*(VLOOKUP(CD$3,DRIPE!$A$54:$I$82,5,FALSE)+VLOOKUP(CD$3,DRIPE!$A$54:$I$82,9,FALSE))+ ('Inputs-System'!$C$26*'Coincidence Factors'!$B$6*(1+'Inputs-System'!$C$18)*(1+'Inputs-System'!$C$42))*'Inputs-Proposals'!$M$16*VLOOKUP(CD$3,DRIPE!$A$54:$I$82,8,FALSE), $C66 = "2",( 'Inputs-System'!$C$30*'Coincidence Factors'!$B$6*(1+'Inputs-System'!$C$18)*(1+'Inputs-System'!$C$41))*('Inputs-Proposals'!$M$23*'Inputs-Proposals'!$M$25*(1-'Inputs-Proposals'!$M$26)^(CD$3-'Inputs-System'!$C$7))*(VLOOKUP(CD$3,DRIPE!$A$54:$I$82,5,FALSE)+VLOOKUP(CD$3,DRIPE!$A$54:$I$82,9,FALSE))+ ('Inputs-System'!$C$26*'Coincidence Factors'!$B$6*(1+'Inputs-System'!$C$18)*(1+'Inputs-System'!$C$42))*'Inputs-Proposals'!$M$22*VLOOKUP(CD$3,DRIPE!$A$54:$I$82,8,FALSE), $C66= "3", ( 'Inputs-System'!$C$30*'Coincidence Factors'!$B$6*(1+'Inputs-System'!$C$18)*(1+'Inputs-System'!$C$41))*('Inputs-Proposals'!$M$29*'Inputs-Proposals'!$M$31*(1-'Inputs-Proposals'!$M$32)^(CD$3-'Inputs-System'!$C$7))*(VLOOKUP(CD$3,DRIPE!$A$54:$I$82,5,FALSE)+VLOOKUP(CD$3,DRIPE!$A$54:$I$82,9,FALSE))+ ('Inputs-System'!$C$26*'Coincidence Factors'!$B$6*(1+'Inputs-System'!$C$18)*(1+'Inputs-System'!$C$42))*'Inputs-Proposals'!$M$28*VLOOKUP(CD$3,DRIPE!$A$54:$I$82,8,FALSE), $C66 = "0", 0), 0)</f>
        <v>0</v>
      </c>
      <c r="CG66" s="45">
        <f>IFERROR(_xlfn.IFS($C66="1",('Inputs-System'!$C$26*'Coincidence Factors'!$B$6*(1+'Inputs-System'!$C$18))*'Inputs-Proposals'!$M$16*(VLOOKUP(CD$3,Capacity!$A$53:$E$85,4,FALSE)*(1+'Inputs-System'!$C$42)+VLOOKUP(CD$3,Capacity!$A$53:$E$85,5,FALSE)*'Inputs-System'!$C$29*(1+'Inputs-System'!$C$43)), $C66 = "2", ('Inputs-System'!$C$26*'Coincidence Factors'!$B$6*(1+'Inputs-System'!$C$18))*'Inputs-Proposals'!$M$22*(VLOOKUP(CD$3,Capacity!$A$53:$E$85,4,FALSE)*(1+'Inputs-System'!$C$42)+VLOOKUP(CD$3,Capacity!$A$53:$E$85,5,FALSE)*'Inputs-System'!$C$29*(1+'Inputs-System'!$C$43)), $C66 = "3",('Inputs-System'!$C$26*'Coincidence Factors'!$B$6*(1+'Inputs-System'!$C$18))*'Inputs-Proposals'!$M$28*(VLOOKUP(CD$3,Capacity!$A$53:$E$85,4,FALSE)*(1+'Inputs-System'!$C$42)+VLOOKUP(CD$3,Capacity!$A$53:$E$85,5,FALSE)*'Inputs-System'!$C$29*(1+'Inputs-System'!$C$43)), $C66 = "0", 0), 0)</f>
        <v>0</v>
      </c>
      <c r="CH66" s="44">
        <v>0</v>
      </c>
      <c r="CI66" s="342">
        <f>IFERROR(_xlfn.IFS($C66="1", 'Inputs-System'!$C$30*'Coincidence Factors'!$B$6*'Inputs-Proposals'!$M$17*'Inputs-Proposals'!$M$19*(VLOOKUP(CD$3,'Non-Embedded Emissions'!$A$56:$D$90,2,FALSE)+VLOOKUP(CD$3,'Non-Embedded Emissions'!$A$143:$D$174,2,FALSE)+VLOOKUP(CD$3,'Non-Embedded Emissions'!$A$230:$D$259,2,FALSE)), $C66 = "2", 'Inputs-System'!$C$30*'Coincidence Factors'!$B$6*'Inputs-Proposals'!$M$23*'Inputs-Proposals'!$M$25*(VLOOKUP(CD$3,'Non-Embedded Emissions'!$A$56:$D$90,2,FALSE)+VLOOKUP(CD$3,'Non-Embedded Emissions'!$A$143:$D$174,2,FALSE)+VLOOKUP(CD$3,'Non-Embedded Emissions'!$A$230:$D$259,2,FALSE)), $C66 = "3", 'Inputs-System'!$C$30*'Coincidence Factors'!$B$6*'Inputs-Proposals'!$M$29*'Inputs-Proposals'!$M$31*(VLOOKUP(CD$3,'Non-Embedded Emissions'!$A$56:$D$90,2,FALSE)+VLOOKUP(CD$3,'Non-Embedded Emissions'!$A$143:$D$174,2,FALSE)+VLOOKUP(CD$3,'Non-Embedded Emissions'!$A$230:$D$259,2,FALSE)), $C66 = "0", 0), 0)</f>
        <v>0</v>
      </c>
      <c r="CJ66" s="347">
        <f>IFERROR(_xlfn.IFS($C66="1",('Inputs-System'!$C$30*'Coincidence Factors'!$B$6*(1+'Inputs-System'!$C$18)*(1+'Inputs-System'!$C$41)*('Inputs-Proposals'!$M$17*'Inputs-Proposals'!$M$19*(1-'Inputs-Proposals'!$M$20^(CJ$3-'Inputs-System'!$C$7)))*(VLOOKUP(CJ$3,Energy!$A$51:$K$83,5,FALSE))), $C66 = "2",('Inputs-System'!$C$30*'Coincidence Factors'!$B$6)*(1+'Inputs-System'!$C$18)*(1+'Inputs-System'!$C$41)*('Inputs-Proposals'!$M$23*'Inputs-Proposals'!$M$25*(1-'Inputs-Proposals'!$M$26^(CJ$3-'Inputs-System'!$C$7)))*(VLOOKUP(CJ$3,Energy!$A$51:$K$83,5,FALSE)), $C66= "3", ('Inputs-System'!$C$30*'Coincidence Factors'!$B$6*(1+'Inputs-System'!$C$18)*(1+'Inputs-System'!$C$41)*('Inputs-Proposals'!$M$29*'Inputs-Proposals'!$M$31*(1-'Inputs-Proposals'!$M$32^(CJ$3-'Inputs-System'!$C$7)))*(VLOOKUP(CJ$3,Energy!$A$51:$K$83,5,FALSE))), $C66= "0", 0), 0)</f>
        <v>0</v>
      </c>
      <c r="CK66" s="44">
        <f>IFERROR(_xlfn.IFS($C66="1",('Inputs-System'!$C$30*'Coincidence Factors'!$B$6*(1+'Inputs-System'!$C$18)*(1+'Inputs-System'!$C$41))*'Inputs-Proposals'!$M$17*'Inputs-Proposals'!$M$19*(1-'Inputs-Proposals'!$M$20^(CJ$3-'Inputs-System'!$C$7))*(VLOOKUP(CJ$3,'Embedded Emissions'!$A$47:$B$78,2,FALSE)+VLOOKUP(CJ$3,'Embedded Emissions'!$A$129:$B$158,2,FALSE)), $C66 = "2",('Inputs-System'!$C$30*'Coincidence Factors'!$B$6*(1+'Inputs-System'!$C$18)*(1+'Inputs-System'!$C$41))*'Inputs-Proposals'!$M$23*'Inputs-Proposals'!$M$25*(1-'Inputs-Proposals'!$M$20^(CJ$3-'Inputs-System'!$C$7))*(VLOOKUP(CJ$3,'Embedded Emissions'!$A$47:$B$78,2,FALSE)+VLOOKUP(CJ$3,'Embedded Emissions'!$A$129:$B$158,2,FALSE)), $C66 = "3", ('Inputs-System'!$C$30*'Coincidence Factors'!$B$6*(1+'Inputs-System'!$C$18)*(1+'Inputs-System'!$C$41))*'Inputs-Proposals'!$M$29*'Inputs-Proposals'!$M$31*(1-'Inputs-Proposals'!$M$20^(CJ$3-'Inputs-System'!$C$7))*(VLOOKUP(CJ$3,'Embedded Emissions'!$A$47:$B$78,2,FALSE)+VLOOKUP(CJ$3,'Embedded Emissions'!$A$129:$B$158,2,FALSE)), $C66 = "0", 0), 0)</f>
        <v>0</v>
      </c>
      <c r="CL66" s="44">
        <f>IFERROR(_xlfn.IFS($C66="1",( 'Inputs-System'!$C$30*'Coincidence Factors'!$B$6*(1+'Inputs-System'!$C$18)*(1+'Inputs-System'!$C$41))*('Inputs-Proposals'!$M$17*'Inputs-Proposals'!$M$19*(1-'Inputs-Proposals'!$M$20)^(CJ$3-'Inputs-System'!$C$7))*(VLOOKUP(CJ$3,DRIPE!$A$54:$I$82,5,FALSE)+VLOOKUP(CJ$3,DRIPE!$A$54:$I$82,9,FALSE))+ ('Inputs-System'!$C$26*'Coincidence Factors'!$B$6*(1+'Inputs-System'!$C$18)*(1+'Inputs-System'!$C$42))*'Inputs-Proposals'!$M$16*VLOOKUP(CJ$3,DRIPE!$A$54:$I$82,8,FALSE), $C66 = "2",( 'Inputs-System'!$C$30*'Coincidence Factors'!$B$6*(1+'Inputs-System'!$C$18)*(1+'Inputs-System'!$C$41))*('Inputs-Proposals'!$M$23*'Inputs-Proposals'!$M$25*(1-'Inputs-Proposals'!$M$26)^(CJ$3-'Inputs-System'!$C$7))*(VLOOKUP(CJ$3,DRIPE!$A$54:$I$82,5,FALSE)+VLOOKUP(CJ$3,DRIPE!$A$54:$I$82,9,FALSE))+ ('Inputs-System'!$C$26*'Coincidence Factors'!$B$6*(1+'Inputs-System'!$C$18)*(1+'Inputs-System'!$C$42))*'Inputs-Proposals'!$M$22*VLOOKUP(CJ$3,DRIPE!$A$54:$I$82,8,FALSE), $C66= "3", ( 'Inputs-System'!$C$30*'Coincidence Factors'!$B$6*(1+'Inputs-System'!$C$18)*(1+'Inputs-System'!$C$41))*('Inputs-Proposals'!$M$29*'Inputs-Proposals'!$M$31*(1-'Inputs-Proposals'!$M$32)^(CJ$3-'Inputs-System'!$C$7))*(VLOOKUP(CJ$3,DRIPE!$A$54:$I$82,5,FALSE)+VLOOKUP(CJ$3,DRIPE!$A$54:$I$82,9,FALSE))+ ('Inputs-System'!$C$26*'Coincidence Factors'!$B$6*(1+'Inputs-System'!$C$18)*(1+'Inputs-System'!$C$42))*'Inputs-Proposals'!$M$28*VLOOKUP(CJ$3,DRIPE!$A$54:$I$82,8,FALSE), $C66 = "0", 0), 0)</f>
        <v>0</v>
      </c>
      <c r="CM66" s="45">
        <f>IFERROR(_xlfn.IFS($C66="1",('Inputs-System'!$C$26*'Coincidence Factors'!$B$6*(1+'Inputs-System'!$C$18))*'Inputs-Proposals'!$M$16*(VLOOKUP(CJ$3,Capacity!$A$53:$E$85,4,FALSE)*(1+'Inputs-System'!$C$42)+VLOOKUP(CJ$3,Capacity!$A$53:$E$85,5,FALSE)*'Inputs-System'!$C$29*(1+'Inputs-System'!$C$43)), $C66 = "2", ('Inputs-System'!$C$26*'Coincidence Factors'!$B$6*(1+'Inputs-System'!$C$18))*'Inputs-Proposals'!$M$22*(VLOOKUP(CJ$3,Capacity!$A$53:$E$85,4,FALSE)*(1+'Inputs-System'!$C$42)+VLOOKUP(CJ$3,Capacity!$A$53:$E$85,5,FALSE)*'Inputs-System'!$C$29*(1+'Inputs-System'!$C$43)), $C66 = "3",('Inputs-System'!$C$26*'Coincidence Factors'!$B$6*(1+'Inputs-System'!$C$18))*'Inputs-Proposals'!$M$28*(VLOOKUP(CJ$3,Capacity!$A$53:$E$85,4,FALSE)*(1+'Inputs-System'!$C$42)+VLOOKUP(CJ$3,Capacity!$A$53:$E$85,5,FALSE)*'Inputs-System'!$C$29*(1+'Inputs-System'!$C$43)), $C66 = "0", 0), 0)</f>
        <v>0</v>
      </c>
      <c r="CN66" s="44">
        <v>0</v>
      </c>
      <c r="CO66" s="342">
        <f>IFERROR(_xlfn.IFS($C66="1", 'Inputs-System'!$C$30*'Coincidence Factors'!$B$6*'Inputs-Proposals'!$M$17*'Inputs-Proposals'!$M$19*(VLOOKUP(CJ$3,'Non-Embedded Emissions'!$A$56:$D$90,2,FALSE)+VLOOKUP(CJ$3,'Non-Embedded Emissions'!$A$143:$D$174,2,FALSE)+VLOOKUP(CJ$3,'Non-Embedded Emissions'!$A$230:$D$259,2,FALSE)), $C66 = "2", 'Inputs-System'!$C$30*'Coincidence Factors'!$B$6*'Inputs-Proposals'!$M$23*'Inputs-Proposals'!$M$25*(VLOOKUP(CJ$3,'Non-Embedded Emissions'!$A$56:$D$90,2,FALSE)+VLOOKUP(CJ$3,'Non-Embedded Emissions'!$A$143:$D$174,2,FALSE)+VLOOKUP(CJ$3,'Non-Embedded Emissions'!$A$230:$D$259,2,FALSE)), $C66 = "3", 'Inputs-System'!$C$30*'Coincidence Factors'!$B$6*'Inputs-Proposals'!$M$29*'Inputs-Proposals'!$M$31*(VLOOKUP(CJ$3,'Non-Embedded Emissions'!$A$56:$D$90,2,FALSE)+VLOOKUP(CJ$3,'Non-Embedded Emissions'!$A$143:$D$174,2,FALSE)+VLOOKUP(CJ$3,'Non-Embedded Emissions'!$A$230:$D$259,2,FALSE)), $C66 = "0", 0), 0)</f>
        <v>0</v>
      </c>
      <c r="CP66" s="347">
        <f>IFERROR(_xlfn.IFS($C66="1",('Inputs-System'!$C$30*'Coincidence Factors'!$B$6*(1+'Inputs-System'!$C$18)*(1+'Inputs-System'!$C$41)*('Inputs-Proposals'!$M$17*'Inputs-Proposals'!$M$19*(1-'Inputs-Proposals'!$M$20^(CP$3-'Inputs-System'!$C$7)))*(VLOOKUP(CP$3,Energy!$A$51:$K$83,5,FALSE))), $C66 = "2",('Inputs-System'!$C$30*'Coincidence Factors'!$B$6)*(1+'Inputs-System'!$C$18)*(1+'Inputs-System'!$C$41)*('Inputs-Proposals'!$M$23*'Inputs-Proposals'!$M$25*(1-'Inputs-Proposals'!$M$26^(CP$3-'Inputs-System'!$C$7)))*(VLOOKUP(CP$3,Energy!$A$51:$K$83,5,FALSE)), $C66= "3", ('Inputs-System'!$C$30*'Coincidence Factors'!$B$6*(1+'Inputs-System'!$C$18)*(1+'Inputs-System'!$C$41)*('Inputs-Proposals'!$M$29*'Inputs-Proposals'!$M$31*(1-'Inputs-Proposals'!$M$32^(CP$3-'Inputs-System'!$C$7)))*(VLOOKUP(CP$3,Energy!$A$51:$K$83,5,FALSE))), $C66= "0", 0), 0)</f>
        <v>0</v>
      </c>
      <c r="CQ66" s="44">
        <f>IFERROR(_xlfn.IFS($C66="1",('Inputs-System'!$C$30*'Coincidence Factors'!$B$6*(1+'Inputs-System'!$C$18)*(1+'Inputs-System'!$C$41))*'Inputs-Proposals'!$M$17*'Inputs-Proposals'!$M$19*(1-'Inputs-Proposals'!$M$20^(CP$3-'Inputs-System'!$C$7))*(VLOOKUP(CP$3,'Embedded Emissions'!$A$47:$B$78,2,FALSE)+VLOOKUP(CP$3,'Embedded Emissions'!$A$129:$B$158,2,FALSE)), $C66 = "2",('Inputs-System'!$C$30*'Coincidence Factors'!$B$6*(1+'Inputs-System'!$C$18)*(1+'Inputs-System'!$C$41))*'Inputs-Proposals'!$M$23*'Inputs-Proposals'!$M$25*(1-'Inputs-Proposals'!$M$20^(CP$3-'Inputs-System'!$C$7))*(VLOOKUP(CP$3,'Embedded Emissions'!$A$47:$B$78,2,FALSE)+VLOOKUP(CP$3,'Embedded Emissions'!$A$129:$B$158,2,FALSE)), $C66 = "3", ('Inputs-System'!$C$30*'Coincidence Factors'!$B$6*(1+'Inputs-System'!$C$18)*(1+'Inputs-System'!$C$41))*'Inputs-Proposals'!$M$29*'Inputs-Proposals'!$M$31*(1-'Inputs-Proposals'!$M$20^(CP$3-'Inputs-System'!$C$7))*(VLOOKUP(CP$3,'Embedded Emissions'!$A$47:$B$78,2,FALSE)+VLOOKUP(CP$3,'Embedded Emissions'!$A$129:$B$158,2,FALSE)), $C66 = "0", 0), 0)</f>
        <v>0</v>
      </c>
      <c r="CR66" s="44">
        <f>IFERROR(_xlfn.IFS($C66="1",( 'Inputs-System'!$C$30*'Coincidence Factors'!$B$6*(1+'Inputs-System'!$C$18)*(1+'Inputs-System'!$C$41))*('Inputs-Proposals'!$M$17*'Inputs-Proposals'!$M$19*(1-'Inputs-Proposals'!$M$20)^(CP$3-'Inputs-System'!$C$7))*(VLOOKUP(CP$3,DRIPE!$A$54:$I$82,5,FALSE)+VLOOKUP(CP$3,DRIPE!$A$54:$I$82,9,FALSE))+ ('Inputs-System'!$C$26*'Coincidence Factors'!$B$6*(1+'Inputs-System'!$C$18)*(1+'Inputs-System'!$C$42))*'Inputs-Proposals'!$M$16*VLOOKUP(CP$3,DRIPE!$A$54:$I$82,8,FALSE), $C66 = "2",( 'Inputs-System'!$C$30*'Coincidence Factors'!$B$6*(1+'Inputs-System'!$C$18)*(1+'Inputs-System'!$C$41))*('Inputs-Proposals'!$M$23*'Inputs-Proposals'!$M$25*(1-'Inputs-Proposals'!$M$26)^(CP$3-'Inputs-System'!$C$7))*(VLOOKUP(CP$3,DRIPE!$A$54:$I$82,5,FALSE)+VLOOKUP(CP$3,DRIPE!$A$54:$I$82,9,FALSE))+ ('Inputs-System'!$C$26*'Coincidence Factors'!$B$6*(1+'Inputs-System'!$C$18)*(1+'Inputs-System'!$C$42))*'Inputs-Proposals'!$M$22*VLOOKUP(CP$3,DRIPE!$A$54:$I$82,8,FALSE), $C66= "3", ( 'Inputs-System'!$C$30*'Coincidence Factors'!$B$6*(1+'Inputs-System'!$C$18)*(1+'Inputs-System'!$C$41))*('Inputs-Proposals'!$M$29*'Inputs-Proposals'!$M$31*(1-'Inputs-Proposals'!$M$32)^(CP$3-'Inputs-System'!$C$7))*(VLOOKUP(CP$3,DRIPE!$A$54:$I$82,5,FALSE)+VLOOKUP(CP$3,DRIPE!$A$54:$I$82,9,FALSE))+ ('Inputs-System'!$C$26*'Coincidence Factors'!$B$6*(1+'Inputs-System'!$C$18)*(1+'Inputs-System'!$C$42))*'Inputs-Proposals'!$M$28*VLOOKUP(CP$3,DRIPE!$A$54:$I$82,8,FALSE), $C66 = "0", 0), 0)</f>
        <v>0</v>
      </c>
      <c r="CS66" s="45">
        <f>IFERROR(_xlfn.IFS($C66="1",('Inputs-System'!$C$26*'Coincidence Factors'!$B$6*(1+'Inputs-System'!$C$18))*'Inputs-Proposals'!$M$16*(VLOOKUP(CP$3,Capacity!$A$53:$E$85,4,FALSE)*(1+'Inputs-System'!$C$42)+VLOOKUP(CP$3,Capacity!$A$53:$E$85,5,FALSE)*'Inputs-System'!$C$29*(1+'Inputs-System'!$C$43)), $C66 = "2", ('Inputs-System'!$C$26*'Coincidence Factors'!$B$6*(1+'Inputs-System'!$C$18))*'Inputs-Proposals'!$M$22*(VLOOKUP(CP$3,Capacity!$A$53:$E$85,4,FALSE)*(1+'Inputs-System'!$C$42)+VLOOKUP(CP$3,Capacity!$A$53:$E$85,5,FALSE)*'Inputs-System'!$C$29*(1+'Inputs-System'!$C$43)), $C66 = "3",('Inputs-System'!$C$26*'Coincidence Factors'!$B$6*(1+'Inputs-System'!$C$18))*'Inputs-Proposals'!$M$28*(VLOOKUP(CP$3,Capacity!$A$53:$E$85,4,FALSE)*(1+'Inputs-System'!$C$42)+VLOOKUP(CP$3,Capacity!$A$53:$E$85,5,FALSE)*'Inputs-System'!$C$29*(1+'Inputs-System'!$C$43)), $C66 = "0", 0), 0)</f>
        <v>0</v>
      </c>
      <c r="CT66" s="44">
        <v>0</v>
      </c>
      <c r="CU66" s="342">
        <f>IFERROR(_xlfn.IFS($C66="1", 'Inputs-System'!$C$30*'Coincidence Factors'!$B$6*'Inputs-Proposals'!$M$17*'Inputs-Proposals'!$M$19*(VLOOKUP(CP$3,'Non-Embedded Emissions'!$A$56:$D$90,2,FALSE)+VLOOKUP(CP$3,'Non-Embedded Emissions'!$A$143:$D$174,2,FALSE)+VLOOKUP(CP$3,'Non-Embedded Emissions'!$A$230:$D$259,2,FALSE)), $C66 = "2", 'Inputs-System'!$C$30*'Coincidence Factors'!$B$6*'Inputs-Proposals'!$M$23*'Inputs-Proposals'!$M$25*(VLOOKUP(CP$3,'Non-Embedded Emissions'!$A$56:$D$90,2,FALSE)+VLOOKUP(CP$3,'Non-Embedded Emissions'!$A$143:$D$174,2,FALSE)+VLOOKUP(CP$3,'Non-Embedded Emissions'!$A$230:$D$259,2,FALSE)), $C66 = "3", 'Inputs-System'!$C$30*'Coincidence Factors'!$B$6*'Inputs-Proposals'!$M$29*'Inputs-Proposals'!$M$31*(VLOOKUP(CP$3,'Non-Embedded Emissions'!$A$56:$D$90,2,FALSE)+VLOOKUP(CP$3,'Non-Embedded Emissions'!$A$143:$D$174,2,FALSE)+VLOOKUP(CP$3,'Non-Embedded Emissions'!$A$230:$D$259,2,FALSE)), $C66 = "0", 0), 0)</f>
        <v>0</v>
      </c>
      <c r="CV66" s="347">
        <f>IFERROR(_xlfn.IFS($C66="1",('Inputs-System'!$C$30*'Coincidence Factors'!$B$6*(1+'Inputs-System'!$C$18)*(1+'Inputs-System'!$C$41)*('Inputs-Proposals'!$M$17*'Inputs-Proposals'!$M$19*(1-'Inputs-Proposals'!$M$20^(CV$3-'Inputs-System'!$C$7)))*(VLOOKUP(CV$3,Energy!$A$51:$K$83,5,FALSE))), $C66 = "2",('Inputs-System'!$C$30*'Coincidence Factors'!$B$6)*(1+'Inputs-System'!$C$18)*(1+'Inputs-System'!$C$41)*('Inputs-Proposals'!$M$23*'Inputs-Proposals'!$M$25*(1-'Inputs-Proposals'!$M$26^(CV$3-'Inputs-System'!$C$7)))*(VLOOKUP(CV$3,Energy!$A$51:$K$83,5,FALSE)), $C66= "3", ('Inputs-System'!$C$30*'Coincidence Factors'!$B$6*(1+'Inputs-System'!$C$18)*(1+'Inputs-System'!$C$41)*('Inputs-Proposals'!$M$29*'Inputs-Proposals'!$M$31*(1-'Inputs-Proposals'!$M$32^(CV$3-'Inputs-System'!$C$7)))*(VLOOKUP(CV$3,Energy!$A$51:$K$83,5,FALSE))), $C66= "0", 0), 0)</f>
        <v>0</v>
      </c>
      <c r="CW66" s="44">
        <f>IFERROR(_xlfn.IFS($C66="1",('Inputs-System'!$C$30*'Coincidence Factors'!$B$6*(1+'Inputs-System'!$C$18)*(1+'Inputs-System'!$C$41))*'Inputs-Proposals'!$M$17*'Inputs-Proposals'!$M$19*(1-'Inputs-Proposals'!$M$20^(CV$3-'Inputs-System'!$C$7))*(VLOOKUP(CV$3,'Embedded Emissions'!$A$47:$B$78,2,FALSE)+VLOOKUP(CV$3,'Embedded Emissions'!$A$129:$B$158,2,FALSE)), $C66 = "2",('Inputs-System'!$C$30*'Coincidence Factors'!$B$6*(1+'Inputs-System'!$C$18)*(1+'Inputs-System'!$C$41))*'Inputs-Proposals'!$M$23*'Inputs-Proposals'!$M$25*(1-'Inputs-Proposals'!$M$20^(CV$3-'Inputs-System'!$C$7))*(VLOOKUP(CV$3,'Embedded Emissions'!$A$47:$B$78,2,FALSE)+VLOOKUP(CV$3,'Embedded Emissions'!$A$129:$B$158,2,FALSE)), $C66 = "3", ('Inputs-System'!$C$30*'Coincidence Factors'!$B$6*(1+'Inputs-System'!$C$18)*(1+'Inputs-System'!$C$41))*'Inputs-Proposals'!$M$29*'Inputs-Proposals'!$M$31*(1-'Inputs-Proposals'!$M$20^(CV$3-'Inputs-System'!$C$7))*(VLOOKUP(CV$3,'Embedded Emissions'!$A$47:$B$78,2,FALSE)+VLOOKUP(CV$3,'Embedded Emissions'!$A$129:$B$158,2,FALSE)), $C66 = "0", 0), 0)</f>
        <v>0</v>
      </c>
      <c r="CX66" s="44">
        <f>IFERROR(_xlfn.IFS($C66="1",( 'Inputs-System'!$C$30*'Coincidence Factors'!$B$6*(1+'Inputs-System'!$C$18)*(1+'Inputs-System'!$C$41))*('Inputs-Proposals'!$M$17*'Inputs-Proposals'!$M$19*(1-'Inputs-Proposals'!$M$20)^(CV$3-'Inputs-System'!$C$7))*(VLOOKUP(CV$3,DRIPE!$A$54:$I$82,5,FALSE)+VLOOKUP(CV$3,DRIPE!$A$54:$I$82,9,FALSE))+ ('Inputs-System'!$C$26*'Coincidence Factors'!$B$6*(1+'Inputs-System'!$C$18)*(1+'Inputs-System'!$C$42))*'Inputs-Proposals'!$M$16*VLOOKUP(CV$3,DRIPE!$A$54:$I$82,8,FALSE), $C66 = "2",( 'Inputs-System'!$C$30*'Coincidence Factors'!$B$6*(1+'Inputs-System'!$C$18)*(1+'Inputs-System'!$C$41))*('Inputs-Proposals'!$M$23*'Inputs-Proposals'!$M$25*(1-'Inputs-Proposals'!$M$26)^(CV$3-'Inputs-System'!$C$7))*(VLOOKUP(CV$3,DRIPE!$A$54:$I$82,5,FALSE)+VLOOKUP(CV$3,DRIPE!$A$54:$I$82,9,FALSE))+ ('Inputs-System'!$C$26*'Coincidence Factors'!$B$6*(1+'Inputs-System'!$C$18)*(1+'Inputs-System'!$C$42))*'Inputs-Proposals'!$M$22*VLOOKUP(CV$3,DRIPE!$A$54:$I$82,8,FALSE), $C66= "3", ( 'Inputs-System'!$C$30*'Coincidence Factors'!$B$6*(1+'Inputs-System'!$C$18)*(1+'Inputs-System'!$C$41))*('Inputs-Proposals'!$M$29*'Inputs-Proposals'!$M$31*(1-'Inputs-Proposals'!$M$32)^(CV$3-'Inputs-System'!$C$7))*(VLOOKUP(CV$3,DRIPE!$A$54:$I$82,5,FALSE)+VLOOKUP(CV$3,DRIPE!$A$54:$I$82,9,FALSE))+ ('Inputs-System'!$C$26*'Coincidence Factors'!$B$6*(1+'Inputs-System'!$C$18)*(1+'Inputs-System'!$C$42))*'Inputs-Proposals'!$M$28*VLOOKUP(CV$3,DRIPE!$A$54:$I$82,8,FALSE), $C66 = "0", 0), 0)</f>
        <v>0</v>
      </c>
      <c r="CY66" s="45">
        <f>IFERROR(_xlfn.IFS($C66="1",('Inputs-System'!$C$26*'Coincidence Factors'!$B$6*(1+'Inputs-System'!$C$18))*'Inputs-Proposals'!$M$16*(VLOOKUP(CV$3,Capacity!$A$53:$E$85,4,FALSE)*(1+'Inputs-System'!$C$42)+VLOOKUP(CV$3,Capacity!$A$53:$E$85,5,FALSE)*'Inputs-System'!$C$29*(1+'Inputs-System'!$C$43)), $C66 = "2", ('Inputs-System'!$C$26*'Coincidence Factors'!$B$6*(1+'Inputs-System'!$C$18))*'Inputs-Proposals'!$M$22*(VLOOKUP(CV$3,Capacity!$A$53:$E$85,4,FALSE)*(1+'Inputs-System'!$C$42)+VLOOKUP(CV$3,Capacity!$A$53:$E$85,5,FALSE)*'Inputs-System'!$C$29*(1+'Inputs-System'!$C$43)), $C66 = "3",('Inputs-System'!$C$26*'Coincidence Factors'!$B$6*(1+'Inputs-System'!$C$18))*'Inputs-Proposals'!$M$28*(VLOOKUP(CV$3,Capacity!$A$53:$E$85,4,FALSE)*(1+'Inputs-System'!$C$42)+VLOOKUP(CV$3,Capacity!$A$53:$E$85,5,FALSE)*'Inputs-System'!$C$29*(1+'Inputs-System'!$C$43)), $C66 = "0", 0), 0)</f>
        <v>0</v>
      </c>
      <c r="CZ66" s="44">
        <v>0</v>
      </c>
      <c r="DA66" s="342">
        <f>IFERROR(_xlfn.IFS($C66="1", 'Inputs-System'!$C$30*'Coincidence Factors'!$B$6*'Inputs-Proposals'!$M$17*'Inputs-Proposals'!$M$19*(VLOOKUP(CV$3,'Non-Embedded Emissions'!$A$56:$D$90,2,FALSE)+VLOOKUP(CV$3,'Non-Embedded Emissions'!$A$143:$D$174,2,FALSE)+VLOOKUP(CV$3,'Non-Embedded Emissions'!$A$230:$D$259,2,FALSE)), $C66 = "2", 'Inputs-System'!$C$30*'Coincidence Factors'!$B$6*'Inputs-Proposals'!$M$23*'Inputs-Proposals'!$M$25*(VLOOKUP(CV$3,'Non-Embedded Emissions'!$A$56:$D$90,2,FALSE)+VLOOKUP(CV$3,'Non-Embedded Emissions'!$A$143:$D$174,2,FALSE)+VLOOKUP(CV$3,'Non-Embedded Emissions'!$A$230:$D$259,2,FALSE)), $C66 = "3", 'Inputs-System'!$C$30*'Coincidence Factors'!$B$6*'Inputs-Proposals'!$M$29*'Inputs-Proposals'!$M$31*(VLOOKUP(CV$3,'Non-Embedded Emissions'!$A$56:$D$90,2,FALSE)+VLOOKUP(CV$3,'Non-Embedded Emissions'!$A$143:$D$174,2,FALSE)+VLOOKUP(CV$3,'Non-Embedded Emissions'!$A$230:$D$259,2,FALSE)), $C66 = "0", 0), 0)</f>
        <v>0</v>
      </c>
      <c r="DB66" s="347">
        <f>IFERROR(_xlfn.IFS($C66="1",('Inputs-System'!$C$30*'Coincidence Factors'!$B$6*(1+'Inputs-System'!$C$18)*(1+'Inputs-System'!$C$41)*('Inputs-Proposals'!$M$17*'Inputs-Proposals'!$M$19*(1-'Inputs-Proposals'!$M$20^(DB$3-'Inputs-System'!$C$7)))*(VLOOKUP(DB$3,Energy!$A$51:$K$83,5,FALSE))), $C66 = "2",('Inputs-System'!$C$30*'Coincidence Factors'!$B$6)*(1+'Inputs-System'!$C$18)*(1+'Inputs-System'!$C$41)*('Inputs-Proposals'!$M$23*'Inputs-Proposals'!$M$25*(1-'Inputs-Proposals'!$M$26^(DB$3-'Inputs-System'!$C$7)))*(VLOOKUP(DB$3,Energy!$A$51:$K$83,5,FALSE)), $C66= "3", ('Inputs-System'!$C$30*'Coincidence Factors'!$B$6*(1+'Inputs-System'!$C$18)*(1+'Inputs-System'!$C$41)*('Inputs-Proposals'!$M$29*'Inputs-Proposals'!$M$31*(1-'Inputs-Proposals'!$M$32^(DB$3-'Inputs-System'!$C$7)))*(VLOOKUP(DB$3,Energy!$A$51:$K$83,5,FALSE))), $C66= "0", 0), 0)</f>
        <v>0</v>
      </c>
      <c r="DC66" s="44">
        <f>IFERROR(_xlfn.IFS($C66="1",('Inputs-System'!$C$30*'Coincidence Factors'!$B$6*(1+'Inputs-System'!$C$18)*(1+'Inputs-System'!$C$41))*'Inputs-Proposals'!$M$17*'Inputs-Proposals'!$M$19*(1-'Inputs-Proposals'!$M$20^(DB$3-'Inputs-System'!$C$7))*(VLOOKUP(DB$3,'Embedded Emissions'!$A$47:$B$78,2,FALSE)+VLOOKUP(DB$3,'Embedded Emissions'!$A$129:$B$158,2,FALSE)), $C66 = "2",('Inputs-System'!$C$30*'Coincidence Factors'!$B$6*(1+'Inputs-System'!$C$18)*(1+'Inputs-System'!$C$41))*'Inputs-Proposals'!$M$23*'Inputs-Proposals'!$M$25*(1-'Inputs-Proposals'!$M$20^(DB$3-'Inputs-System'!$C$7))*(VLOOKUP(DB$3,'Embedded Emissions'!$A$47:$B$78,2,FALSE)+VLOOKUP(DB$3,'Embedded Emissions'!$A$129:$B$158,2,FALSE)), $C66 = "3", ('Inputs-System'!$C$30*'Coincidence Factors'!$B$6*(1+'Inputs-System'!$C$18)*(1+'Inputs-System'!$C$41))*'Inputs-Proposals'!$M$29*'Inputs-Proposals'!$M$31*(1-'Inputs-Proposals'!$M$20^(DB$3-'Inputs-System'!$C$7))*(VLOOKUP(DB$3,'Embedded Emissions'!$A$47:$B$78,2,FALSE)+VLOOKUP(DB$3,'Embedded Emissions'!$A$129:$B$158,2,FALSE)), $C66 = "0", 0), 0)</f>
        <v>0</v>
      </c>
      <c r="DD66" s="44">
        <f>IFERROR(_xlfn.IFS($C66="1",( 'Inputs-System'!$C$30*'Coincidence Factors'!$B$6*(1+'Inputs-System'!$C$18)*(1+'Inputs-System'!$C$41))*('Inputs-Proposals'!$M$17*'Inputs-Proposals'!$M$19*(1-'Inputs-Proposals'!$M$20)^(DB$3-'Inputs-System'!$C$7))*(VLOOKUP(DB$3,DRIPE!$A$54:$I$82,5,FALSE)+VLOOKUP(DB$3,DRIPE!$A$54:$I$82,9,FALSE))+ ('Inputs-System'!$C$26*'Coincidence Factors'!$B$6*(1+'Inputs-System'!$C$18)*(1+'Inputs-System'!$C$42))*'Inputs-Proposals'!$M$16*VLOOKUP(DB$3,DRIPE!$A$54:$I$82,8,FALSE), $C66 = "2",( 'Inputs-System'!$C$30*'Coincidence Factors'!$B$6*(1+'Inputs-System'!$C$18)*(1+'Inputs-System'!$C$41))*('Inputs-Proposals'!$M$23*'Inputs-Proposals'!$M$25*(1-'Inputs-Proposals'!$M$26)^(DB$3-'Inputs-System'!$C$7))*(VLOOKUP(DB$3,DRIPE!$A$54:$I$82,5,FALSE)+VLOOKUP(DB$3,DRIPE!$A$54:$I$82,9,FALSE))+ ('Inputs-System'!$C$26*'Coincidence Factors'!$B$6*(1+'Inputs-System'!$C$18)*(1+'Inputs-System'!$C$42))*'Inputs-Proposals'!$M$22*VLOOKUP(DB$3,DRIPE!$A$54:$I$82,8,FALSE), $C66= "3", ( 'Inputs-System'!$C$30*'Coincidence Factors'!$B$6*(1+'Inputs-System'!$C$18)*(1+'Inputs-System'!$C$41))*('Inputs-Proposals'!$M$29*'Inputs-Proposals'!$M$31*(1-'Inputs-Proposals'!$M$32)^(DB$3-'Inputs-System'!$C$7))*(VLOOKUP(DB$3,DRIPE!$A$54:$I$82,5,FALSE)+VLOOKUP(DB$3,DRIPE!$A$54:$I$82,9,FALSE))+ ('Inputs-System'!$C$26*'Coincidence Factors'!$B$6*(1+'Inputs-System'!$C$18)*(1+'Inputs-System'!$C$42))*'Inputs-Proposals'!$M$28*VLOOKUP(DB$3,DRIPE!$A$54:$I$82,8,FALSE), $C66 = "0", 0), 0)</f>
        <v>0</v>
      </c>
      <c r="DE66" s="45">
        <f>IFERROR(_xlfn.IFS($C66="1",('Inputs-System'!$C$26*'Coincidence Factors'!$B$6*(1+'Inputs-System'!$C$18))*'Inputs-Proposals'!$M$16*(VLOOKUP(DB$3,Capacity!$A$53:$E$85,4,FALSE)*(1+'Inputs-System'!$C$42)+VLOOKUP(DB$3,Capacity!$A$53:$E$85,5,FALSE)*'Inputs-System'!$C$29*(1+'Inputs-System'!$C$43)), $C66 = "2", ('Inputs-System'!$C$26*'Coincidence Factors'!$B$6*(1+'Inputs-System'!$C$18))*'Inputs-Proposals'!$M$22*(VLOOKUP(DB$3,Capacity!$A$53:$E$85,4,FALSE)*(1+'Inputs-System'!$C$42)+VLOOKUP(DB$3,Capacity!$A$53:$E$85,5,FALSE)*'Inputs-System'!$C$29*(1+'Inputs-System'!$C$43)), $C66 = "3",('Inputs-System'!$C$26*'Coincidence Factors'!$B$6*(1+'Inputs-System'!$C$18))*'Inputs-Proposals'!$M$28*(VLOOKUP(DB$3,Capacity!$A$53:$E$85,4,FALSE)*(1+'Inputs-System'!$C$42)+VLOOKUP(DB$3,Capacity!$A$53:$E$85,5,FALSE)*'Inputs-System'!$C$29*(1+'Inputs-System'!$C$43)), $C66 = "0", 0), 0)</f>
        <v>0</v>
      </c>
      <c r="DF66" s="44">
        <v>0</v>
      </c>
      <c r="DG66" s="342">
        <f>IFERROR(_xlfn.IFS($C66="1", 'Inputs-System'!$C$30*'Coincidence Factors'!$B$6*'Inputs-Proposals'!$M$17*'Inputs-Proposals'!$M$19*(VLOOKUP(DB$3,'Non-Embedded Emissions'!$A$56:$D$90,2,FALSE)+VLOOKUP(DB$3,'Non-Embedded Emissions'!$A$143:$D$174,2,FALSE)+VLOOKUP(DB$3,'Non-Embedded Emissions'!$A$230:$D$259,2,FALSE)), $C66 = "2", 'Inputs-System'!$C$30*'Coincidence Factors'!$B$6*'Inputs-Proposals'!$M$23*'Inputs-Proposals'!$M$25*(VLOOKUP(DB$3,'Non-Embedded Emissions'!$A$56:$D$90,2,FALSE)+VLOOKUP(DB$3,'Non-Embedded Emissions'!$A$143:$D$174,2,FALSE)+VLOOKUP(DB$3,'Non-Embedded Emissions'!$A$230:$D$259,2,FALSE)), $C66 = "3", 'Inputs-System'!$C$30*'Coincidence Factors'!$B$6*'Inputs-Proposals'!$M$29*'Inputs-Proposals'!$M$31*(VLOOKUP(DB$3,'Non-Embedded Emissions'!$A$56:$D$90,2,FALSE)+VLOOKUP(DB$3,'Non-Embedded Emissions'!$A$143:$D$174,2,FALSE)+VLOOKUP(DB$3,'Non-Embedded Emissions'!$A$230:$D$259,2,FALSE)), $C66 = "0", 0), 0)</f>
        <v>0</v>
      </c>
      <c r="DH66" s="347">
        <f>IFERROR(_xlfn.IFS($C66="1",('Inputs-System'!$C$30*'Coincidence Factors'!$B$6*(1+'Inputs-System'!$C$18)*(1+'Inputs-System'!$C$41)*('Inputs-Proposals'!$M$17*'Inputs-Proposals'!$M$19*(1-'Inputs-Proposals'!$M$20^(DH$3-'Inputs-System'!$C$7)))*(VLOOKUP(DH$3,Energy!$A$51:$K$83,5,FALSE))), $C66 = "2",('Inputs-System'!$C$30*'Coincidence Factors'!$B$6)*(1+'Inputs-System'!$C$18)*(1+'Inputs-System'!$C$41)*('Inputs-Proposals'!$M$23*'Inputs-Proposals'!$M$25*(1-'Inputs-Proposals'!$M$26^(DH$3-'Inputs-System'!$C$7)))*(VLOOKUP(DH$3,Energy!$A$51:$K$83,5,FALSE)), $C66= "3", ('Inputs-System'!$C$30*'Coincidence Factors'!$B$6*(1+'Inputs-System'!$C$18)*(1+'Inputs-System'!$C$41)*('Inputs-Proposals'!$M$29*'Inputs-Proposals'!$M$31*(1-'Inputs-Proposals'!$M$32^(DH$3-'Inputs-System'!$C$7)))*(VLOOKUP(DH$3,Energy!$A$51:$K$83,5,FALSE))), $C66= "0", 0), 0)</f>
        <v>0</v>
      </c>
      <c r="DI66" s="44">
        <f>IFERROR(_xlfn.IFS($C66="1",('Inputs-System'!$C$30*'Coincidence Factors'!$B$6*(1+'Inputs-System'!$C$18)*(1+'Inputs-System'!$C$41))*'Inputs-Proposals'!$M$17*'Inputs-Proposals'!$M$19*(1-'Inputs-Proposals'!$M$20^(DH$3-'Inputs-System'!$C$7))*(VLOOKUP(DH$3,'Embedded Emissions'!$A$47:$B$78,2,FALSE)+VLOOKUP(DH$3,'Embedded Emissions'!$A$129:$B$158,2,FALSE)), $C66 = "2",('Inputs-System'!$C$30*'Coincidence Factors'!$B$6*(1+'Inputs-System'!$C$18)*(1+'Inputs-System'!$C$41))*'Inputs-Proposals'!$M$23*'Inputs-Proposals'!$M$25*(1-'Inputs-Proposals'!$M$20^(DH$3-'Inputs-System'!$C$7))*(VLOOKUP(DH$3,'Embedded Emissions'!$A$47:$B$78,2,FALSE)+VLOOKUP(DH$3,'Embedded Emissions'!$A$129:$B$158,2,FALSE)), $C66 = "3", ('Inputs-System'!$C$30*'Coincidence Factors'!$B$6*(1+'Inputs-System'!$C$18)*(1+'Inputs-System'!$C$41))*'Inputs-Proposals'!$M$29*'Inputs-Proposals'!$M$31*(1-'Inputs-Proposals'!$M$20^(DH$3-'Inputs-System'!$C$7))*(VLOOKUP(DH$3,'Embedded Emissions'!$A$47:$B$78,2,FALSE)+VLOOKUP(DH$3,'Embedded Emissions'!$A$129:$B$158,2,FALSE)), $C66 = "0", 0), 0)</f>
        <v>0</v>
      </c>
      <c r="DJ66" s="44">
        <f>IFERROR(_xlfn.IFS($C66="1",( 'Inputs-System'!$C$30*'Coincidence Factors'!$B$6*(1+'Inputs-System'!$C$18)*(1+'Inputs-System'!$C$41))*('Inputs-Proposals'!$M$17*'Inputs-Proposals'!$M$19*(1-'Inputs-Proposals'!$M$20)^(DH$3-'Inputs-System'!$C$7))*(VLOOKUP(DH$3,DRIPE!$A$54:$I$82,5,FALSE)+VLOOKUP(DH$3,DRIPE!$A$54:$I$82,9,FALSE))+ ('Inputs-System'!$C$26*'Coincidence Factors'!$B$6*(1+'Inputs-System'!$C$18)*(1+'Inputs-System'!$C$42))*'Inputs-Proposals'!$M$16*VLOOKUP(DH$3,DRIPE!$A$54:$I$82,8,FALSE), $C66 = "2",( 'Inputs-System'!$C$30*'Coincidence Factors'!$B$6*(1+'Inputs-System'!$C$18)*(1+'Inputs-System'!$C$41))*('Inputs-Proposals'!$M$23*'Inputs-Proposals'!$M$25*(1-'Inputs-Proposals'!$M$26)^(DH$3-'Inputs-System'!$C$7))*(VLOOKUP(DH$3,DRIPE!$A$54:$I$82,5,FALSE)+VLOOKUP(DH$3,DRIPE!$A$54:$I$82,9,FALSE))+ ('Inputs-System'!$C$26*'Coincidence Factors'!$B$6*(1+'Inputs-System'!$C$18)*(1+'Inputs-System'!$C$42))*'Inputs-Proposals'!$M$22*VLOOKUP(DH$3,DRIPE!$A$54:$I$82,8,FALSE), $C66= "3", ( 'Inputs-System'!$C$30*'Coincidence Factors'!$B$6*(1+'Inputs-System'!$C$18)*(1+'Inputs-System'!$C$41))*('Inputs-Proposals'!$M$29*'Inputs-Proposals'!$M$31*(1-'Inputs-Proposals'!$M$32)^(DH$3-'Inputs-System'!$C$7))*(VLOOKUP(DH$3,DRIPE!$A$54:$I$82,5,FALSE)+VLOOKUP(DH$3,DRIPE!$A$54:$I$82,9,FALSE))+ ('Inputs-System'!$C$26*'Coincidence Factors'!$B$6*(1+'Inputs-System'!$C$18)*(1+'Inputs-System'!$C$42))*'Inputs-Proposals'!$M$28*VLOOKUP(DH$3,DRIPE!$A$54:$I$82,8,FALSE), $C66 = "0", 0), 0)</f>
        <v>0</v>
      </c>
      <c r="DK66" s="45">
        <f>IFERROR(_xlfn.IFS($C66="1",('Inputs-System'!$C$26*'Coincidence Factors'!$B$6*(1+'Inputs-System'!$C$18))*'Inputs-Proposals'!$M$16*(VLOOKUP(DH$3,Capacity!$A$53:$E$85,4,FALSE)*(1+'Inputs-System'!$C$42)+VLOOKUP(DH$3,Capacity!$A$53:$E$85,5,FALSE)*'Inputs-System'!$C$29*(1+'Inputs-System'!$C$43)), $C66 = "2", ('Inputs-System'!$C$26*'Coincidence Factors'!$B$6*(1+'Inputs-System'!$C$18))*'Inputs-Proposals'!$M$22*(VLOOKUP(DH$3,Capacity!$A$53:$E$85,4,FALSE)*(1+'Inputs-System'!$C$42)+VLOOKUP(DH$3,Capacity!$A$53:$E$85,5,FALSE)*'Inputs-System'!$C$29*(1+'Inputs-System'!$C$43)), $C66 = "3",('Inputs-System'!$C$26*'Coincidence Factors'!$B$6*(1+'Inputs-System'!$C$18))*'Inputs-Proposals'!$M$28*(VLOOKUP(DH$3,Capacity!$A$53:$E$85,4,FALSE)*(1+'Inputs-System'!$C$42)+VLOOKUP(DH$3,Capacity!$A$53:$E$85,5,FALSE)*'Inputs-System'!$C$29*(1+'Inputs-System'!$C$43)), $C66 = "0", 0), 0)</f>
        <v>0</v>
      </c>
      <c r="DL66" s="44">
        <v>0</v>
      </c>
      <c r="DM66" s="342">
        <f>IFERROR(_xlfn.IFS($C66="1", 'Inputs-System'!$C$30*'Coincidence Factors'!$B$6*'Inputs-Proposals'!$M$17*'Inputs-Proposals'!$M$19*(VLOOKUP(DH$3,'Non-Embedded Emissions'!$A$56:$D$90,2,FALSE)+VLOOKUP(DH$3,'Non-Embedded Emissions'!$A$143:$D$174,2,FALSE)+VLOOKUP(DH$3,'Non-Embedded Emissions'!$A$230:$D$259,2,FALSE)), $C66 = "2", 'Inputs-System'!$C$30*'Coincidence Factors'!$B$6*'Inputs-Proposals'!$M$23*'Inputs-Proposals'!$M$25*(VLOOKUP(DH$3,'Non-Embedded Emissions'!$A$56:$D$90,2,FALSE)+VLOOKUP(DH$3,'Non-Embedded Emissions'!$A$143:$D$174,2,FALSE)+VLOOKUP(DH$3,'Non-Embedded Emissions'!$A$230:$D$259,2,FALSE)), $C66 = "3", 'Inputs-System'!$C$30*'Coincidence Factors'!$B$6*'Inputs-Proposals'!$M$29*'Inputs-Proposals'!$M$31*(VLOOKUP(DH$3,'Non-Embedded Emissions'!$A$56:$D$90,2,FALSE)+VLOOKUP(DH$3,'Non-Embedded Emissions'!$A$143:$D$174,2,FALSE)+VLOOKUP(DH$3,'Non-Embedded Emissions'!$A$230:$D$259,2,FALSE)), $C66 = "0", 0), 0)</f>
        <v>0</v>
      </c>
      <c r="DN66" s="347">
        <f>IFERROR(_xlfn.IFS($C66="1",('Inputs-System'!$C$30*'Coincidence Factors'!$B$6*(1+'Inputs-System'!$C$18)*(1+'Inputs-System'!$C$41)*('Inputs-Proposals'!$M$17*'Inputs-Proposals'!$M$19*(1-'Inputs-Proposals'!$M$20^(DN$3-'Inputs-System'!$C$7)))*(VLOOKUP(DN$3,Energy!$A$51:$K$83,5,FALSE))), $C66 = "2",('Inputs-System'!$C$30*'Coincidence Factors'!$B$6)*(1+'Inputs-System'!$C$18)*(1+'Inputs-System'!$C$41)*('Inputs-Proposals'!$M$23*'Inputs-Proposals'!$M$25*(1-'Inputs-Proposals'!$M$26^(DN$3-'Inputs-System'!$C$7)))*(VLOOKUP(DN$3,Energy!$A$51:$K$83,5,FALSE)), $C66= "3", ('Inputs-System'!$C$30*'Coincidence Factors'!$B$6*(1+'Inputs-System'!$C$18)*(1+'Inputs-System'!$C$41)*('Inputs-Proposals'!$M$29*'Inputs-Proposals'!$M$31*(1-'Inputs-Proposals'!$M$32^(DN$3-'Inputs-System'!$C$7)))*(VLOOKUP(DN$3,Energy!$A$51:$K$83,5,FALSE))), $C66= "0", 0), 0)</f>
        <v>0</v>
      </c>
      <c r="DO66" s="44">
        <f>IFERROR(_xlfn.IFS($C66="1",('Inputs-System'!$C$30*'Coincidence Factors'!$B$6*(1+'Inputs-System'!$C$18)*(1+'Inputs-System'!$C$41))*'Inputs-Proposals'!$M$17*'Inputs-Proposals'!$M$19*(1-'Inputs-Proposals'!$M$20^(DN$3-'Inputs-System'!$C$7))*(VLOOKUP(DN$3,'Embedded Emissions'!$A$47:$B$78,2,FALSE)+VLOOKUP(DN$3,'Embedded Emissions'!$A$129:$B$158,2,FALSE)), $C66 = "2",('Inputs-System'!$C$30*'Coincidence Factors'!$B$6*(1+'Inputs-System'!$C$18)*(1+'Inputs-System'!$C$41))*'Inputs-Proposals'!$M$23*'Inputs-Proposals'!$M$25*(1-'Inputs-Proposals'!$M$20^(DN$3-'Inputs-System'!$C$7))*(VLOOKUP(DN$3,'Embedded Emissions'!$A$47:$B$78,2,FALSE)+VLOOKUP(DN$3,'Embedded Emissions'!$A$129:$B$158,2,FALSE)), $C66 = "3", ('Inputs-System'!$C$30*'Coincidence Factors'!$B$6*(1+'Inputs-System'!$C$18)*(1+'Inputs-System'!$C$41))*'Inputs-Proposals'!$M$29*'Inputs-Proposals'!$M$31*(1-'Inputs-Proposals'!$M$20^(DN$3-'Inputs-System'!$C$7))*(VLOOKUP(DN$3,'Embedded Emissions'!$A$47:$B$78,2,FALSE)+VLOOKUP(DN$3,'Embedded Emissions'!$A$129:$B$158,2,FALSE)), $C66 = "0", 0), 0)</f>
        <v>0</v>
      </c>
      <c r="DP66" s="44">
        <f>IFERROR(_xlfn.IFS($C66="1",( 'Inputs-System'!$C$30*'Coincidence Factors'!$B$6*(1+'Inputs-System'!$C$18)*(1+'Inputs-System'!$C$41))*('Inputs-Proposals'!$M$17*'Inputs-Proposals'!$M$19*(1-'Inputs-Proposals'!$M$20)^(DN$3-'Inputs-System'!$C$7))*(VLOOKUP(DN$3,DRIPE!$A$54:$I$82,5,FALSE)+VLOOKUP(DN$3,DRIPE!$A$54:$I$82,9,FALSE))+ ('Inputs-System'!$C$26*'Coincidence Factors'!$B$6*(1+'Inputs-System'!$C$18)*(1+'Inputs-System'!$C$42))*'Inputs-Proposals'!$M$16*VLOOKUP(DN$3,DRIPE!$A$54:$I$82,8,FALSE), $C66 = "2",( 'Inputs-System'!$C$30*'Coincidence Factors'!$B$6*(1+'Inputs-System'!$C$18)*(1+'Inputs-System'!$C$41))*('Inputs-Proposals'!$M$23*'Inputs-Proposals'!$M$25*(1-'Inputs-Proposals'!$M$26)^(DN$3-'Inputs-System'!$C$7))*(VLOOKUP(DN$3,DRIPE!$A$54:$I$82,5,FALSE)+VLOOKUP(DN$3,DRIPE!$A$54:$I$82,9,FALSE))+ ('Inputs-System'!$C$26*'Coincidence Factors'!$B$6*(1+'Inputs-System'!$C$18)*(1+'Inputs-System'!$C$42))*'Inputs-Proposals'!$M$22*VLOOKUP(DN$3,DRIPE!$A$54:$I$82,8,FALSE), $C66= "3", ( 'Inputs-System'!$C$30*'Coincidence Factors'!$B$6*(1+'Inputs-System'!$C$18)*(1+'Inputs-System'!$C$41))*('Inputs-Proposals'!$M$29*'Inputs-Proposals'!$M$31*(1-'Inputs-Proposals'!$M$32)^(DN$3-'Inputs-System'!$C$7))*(VLOOKUP(DN$3,DRIPE!$A$54:$I$82,5,FALSE)+VLOOKUP(DN$3,DRIPE!$A$54:$I$82,9,FALSE))+ ('Inputs-System'!$C$26*'Coincidence Factors'!$B$6*(1+'Inputs-System'!$C$18)*(1+'Inputs-System'!$C$42))*'Inputs-Proposals'!$M$28*VLOOKUP(DN$3,DRIPE!$A$54:$I$82,8,FALSE), $C66 = "0", 0), 0)</f>
        <v>0</v>
      </c>
      <c r="DQ66" s="45">
        <f>IFERROR(_xlfn.IFS($C66="1",('Inputs-System'!$C$26*'Coincidence Factors'!$B$6*(1+'Inputs-System'!$C$18))*'Inputs-Proposals'!$M$16*(VLOOKUP(DN$3,Capacity!$A$53:$E$85,4,FALSE)*(1+'Inputs-System'!$C$42)+VLOOKUP(DN$3,Capacity!$A$53:$E$85,5,FALSE)*'Inputs-System'!$C$29*(1+'Inputs-System'!$C$43)), $C66 = "2", ('Inputs-System'!$C$26*'Coincidence Factors'!$B$6*(1+'Inputs-System'!$C$18))*'Inputs-Proposals'!$M$22*(VLOOKUP(DN$3,Capacity!$A$53:$E$85,4,FALSE)*(1+'Inputs-System'!$C$42)+VLOOKUP(DN$3,Capacity!$A$53:$E$85,5,FALSE)*'Inputs-System'!$C$29*(1+'Inputs-System'!$C$43)), $C66 = "3",('Inputs-System'!$C$26*'Coincidence Factors'!$B$6*(1+'Inputs-System'!$C$18))*'Inputs-Proposals'!$M$28*(VLOOKUP(DN$3,Capacity!$A$53:$E$85,4,FALSE)*(1+'Inputs-System'!$C$42)+VLOOKUP(DN$3,Capacity!$A$53:$E$85,5,FALSE)*'Inputs-System'!$C$29*(1+'Inputs-System'!$C$43)), $C66 = "0", 0), 0)</f>
        <v>0</v>
      </c>
      <c r="DR66" s="44">
        <v>0</v>
      </c>
      <c r="DS66" s="342">
        <f>IFERROR(_xlfn.IFS($C66="1", 'Inputs-System'!$C$30*'Coincidence Factors'!$B$6*'Inputs-Proposals'!$M$17*'Inputs-Proposals'!$M$19*(VLOOKUP(DN$3,'Non-Embedded Emissions'!$A$56:$D$90,2,FALSE)+VLOOKUP(DN$3,'Non-Embedded Emissions'!$A$143:$D$174,2,FALSE)+VLOOKUP(DN$3,'Non-Embedded Emissions'!$A$230:$D$259,2,FALSE)), $C66 = "2", 'Inputs-System'!$C$30*'Coincidence Factors'!$B$6*'Inputs-Proposals'!$M$23*'Inputs-Proposals'!$M$25*(VLOOKUP(DN$3,'Non-Embedded Emissions'!$A$56:$D$90,2,FALSE)+VLOOKUP(DN$3,'Non-Embedded Emissions'!$A$143:$D$174,2,FALSE)+VLOOKUP(DN$3,'Non-Embedded Emissions'!$A$230:$D$259,2,FALSE)), $C66 = "3", 'Inputs-System'!$C$30*'Coincidence Factors'!$B$6*'Inputs-Proposals'!$M$29*'Inputs-Proposals'!$M$31*(VLOOKUP(DN$3,'Non-Embedded Emissions'!$A$56:$D$90,2,FALSE)+VLOOKUP(DN$3,'Non-Embedded Emissions'!$A$143:$D$174,2,FALSE)+VLOOKUP(DN$3,'Non-Embedded Emissions'!$A$230:$D$259,2,FALSE)), $C66 = "0", 0), 0)</f>
        <v>0</v>
      </c>
      <c r="DT66" s="347">
        <f>IFERROR(_xlfn.IFS($C66="1",('Inputs-System'!$C$30*'Coincidence Factors'!$B$6*(1+'Inputs-System'!$C$18)*(1+'Inputs-System'!$C$41)*('Inputs-Proposals'!$M$17*'Inputs-Proposals'!$M$19*(1-'Inputs-Proposals'!$M$20^(DT$3-'Inputs-System'!$C$7)))*(VLOOKUP(DT$3,Energy!$A$51:$K$83,5,FALSE))), $C66 = "2",('Inputs-System'!$C$30*'Coincidence Factors'!$B$6)*(1+'Inputs-System'!$C$18)*(1+'Inputs-System'!$C$41)*('Inputs-Proposals'!$M$23*'Inputs-Proposals'!$M$25*(1-'Inputs-Proposals'!$M$26^(DT$3-'Inputs-System'!$C$7)))*(VLOOKUP(DT$3,Energy!$A$51:$K$83,5,FALSE)), $C66= "3", ('Inputs-System'!$C$30*'Coincidence Factors'!$B$6*(1+'Inputs-System'!$C$18)*(1+'Inputs-System'!$C$41)*('Inputs-Proposals'!$M$29*'Inputs-Proposals'!$M$31*(1-'Inputs-Proposals'!$M$32^(DT$3-'Inputs-System'!$C$7)))*(VLOOKUP(DT$3,Energy!$A$51:$K$83,5,FALSE))), $C66= "0", 0), 0)</f>
        <v>0</v>
      </c>
      <c r="DU66" s="44">
        <f>IFERROR(_xlfn.IFS($C66="1",('Inputs-System'!$C$30*'Coincidence Factors'!$B$6*(1+'Inputs-System'!$C$18)*(1+'Inputs-System'!$C$41))*'Inputs-Proposals'!$M$17*'Inputs-Proposals'!$M$19*(1-'Inputs-Proposals'!$M$20^(DT$3-'Inputs-System'!$C$7))*(VLOOKUP(DT$3,'Embedded Emissions'!$A$47:$B$78,2,FALSE)+VLOOKUP(DT$3,'Embedded Emissions'!$A$129:$B$158,2,FALSE)), $C66 = "2",('Inputs-System'!$C$30*'Coincidence Factors'!$B$6*(1+'Inputs-System'!$C$18)*(1+'Inputs-System'!$C$41))*'Inputs-Proposals'!$M$23*'Inputs-Proposals'!$M$25*(1-'Inputs-Proposals'!$M$20^(DT$3-'Inputs-System'!$C$7))*(VLOOKUP(DT$3,'Embedded Emissions'!$A$47:$B$78,2,FALSE)+VLOOKUP(DT$3,'Embedded Emissions'!$A$129:$B$158,2,FALSE)), $C66 = "3", ('Inputs-System'!$C$30*'Coincidence Factors'!$B$6*(1+'Inputs-System'!$C$18)*(1+'Inputs-System'!$C$41))*'Inputs-Proposals'!$M$29*'Inputs-Proposals'!$M$31*(1-'Inputs-Proposals'!$M$20^(DT$3-'Inputs-System'!$C$7))*(VLOOKUP(DT$3,'Embedded Emissions'!$A$47:$B$78,2,FALSE)+VLOOKUP(DT$3,'Embedded Emissions'!$A$129:$B$158,2,FALSE)), $C66 = "0", 0), 0)</f>
        <v>0</v>
      </c>
      <c r="DV66" s="44">
        <f>IFERROR(_xlfn.IFS($C66="1",( 'Inputs-System'!$C$30*'Coincidence Factors'!$B$6*(1+'Inputs-System'!$C$18)*(1+'Inputs-System'!$C$41))*('Inputs-Proposals'!$M$17*'Inputs-Proposals'!$M$19*(1-'Inputs-Proposals'!$M$20)^(DT$3-'Inputs-System'!$C$7))*(VLOOKUP(DT$3,DRIPE!$A$54:$I$82,5,FALSE)+VLOOKUP(DT$3,DRIPE!$A$54:$I$82,9,FALSE))+ ('Inputs-System'!$C$26*'Coincidence Factors'!$B$6*(1+'Inputs-System'!$C$18)*(1+'Inputs-System'!$C$42))*'Inputs-Proposals'!$M$16*VLOOKUP(DT$3,DRIPE!$A$54:$I$82,8,FALSE), $C66 = "2",( 'Inputs-System'!$C$30*'Coincidence Factors'!$B$6*(1+'Inputs-System'!$C$18)*(1+'Inputs-System'!$C$41))*('Inputs-Proposals'!$M$23*'Inputs-Proposals'!$M$25*(1-'Inputs-Proposals'!$M$26)^(DT$3-'Inputs-System'!$C$7))*(VLOOKUP(DT$3,DRIPE!$A$54:$I$82,5,FALSE)+VLOOKUP(DT$3,DRIPE!$A$54:$I$82,9,FALSE))+ ('Inputs-System'!$C$26*'Coincidence Factors'!$B$6*(1+'Inputs-System'!$C$18)*(1+'Inputs-System'!$C$42))*'Inputs-Proposals'!$M$22*VLOOKUP(DT$3,DRIPE!$A$54:$I$82,8,FALSE), $C66= "3", ( 'Inputs-System'!$C$30*'Coincidence Factors'!$B$6*(1+'Inputs-System'!$C$18)*(1+'Inputs-System'!$C$41))*('Inputs-Proposals'!$M$29*'Inputs-Proposals'!$M$31*(1-'Inputs-Proposals'!$M$32)^(DT$3-'Inputs-System'!$C$7))*(VLOOKUP(DT$3,DRIPE!$A$54:$I$82,5,FALSE)+VLOOKUP(DT$3,DRIPE!$A$54:$I$82,9,FALSE))+ ('Inputs-System'!$C$26*'Coincidence Factors'!$B$6*(1+'Inputs-System'!$C$18)*(1+'Inputs-System'!$C$42))*'Inputs-Proposals'!$M$28*VLOOKUP(DT$3,DRIPE!$A$54:$I$82,8,FALSE), $C66 = "0", 0), 0)</f>
        <v>0</v>
      </c>
      <c r="DW66" s="45">
        <f>IFERROR(_xlfn.IFS($C66="1",('Inputs-System'!$C$26*'Coincidence Factors'!$B$6*(1+'Inputs-System'!$C$18))*'Inputs-Proposals'!$M$16*(VLOOKUP(DT$3,Capacity!$A$53:$E$85,4,FALSE)*(1+'Inputs-System'!$C$42)+VLOOKUP(DT$3,Capacity!$A$53:$E$85,5,FALSE)*'Inputs-System'!$C$29*(1+'Inputs-System'!$C$43)), $C66 = "2", ('Inputs-System'!$C$26*'Coincidence Factors'!$B$6*(1+'Inputs-System'!$C$18))*'Inputs-Proposals'!$M$22*(VLOOKUP(DT$3,Capacity!$A$53:$E$85,4,FALSE)*(1+'Inputs-System'!$C$42)+VLOOKUP(DT$3,Capacity!$A$53:$E$85,5,FALSE)*'Inputs-System'!$C$29*(1+'Inputs-System'!$C$43)), $C66 = "3",('Inputs-System'!$C$26*'Coincidence Factors'!$B$6*(1+'Inputs-System'!$C$18))*'Inputs-Proposals'!$M$28*(VLOOKUP(DT$3,Capacity!$A$53:$E$85,4,FALSE)*(1+'Inputs-System'!$C$42)+VLOOKUP(DT$3,Capacity!$A$53:$E$85,5,FALSE)*'Inputs-System'!$C$29*(1+'Inputs-System'!$C$43)), $C66 = "0", 0), 0)</f>
        <v>0</v>
      </c>
      <c r="DX66" s="44">
        <v>0</v>
      </c>
      <c r="DY66" s="342">
        <f>IFERROR(_xlfn.IFS($C66="1", 'Inputs-System'!$C$30*'Coincidence Factors'!$B$6*'Inputs-Proposals'!$M$17*'Inputs-Proposals'!$M$19*(VLOOKUP(DT$3,'Non-Embedded Emissions'!$A$56:$D$90,2,FALSE)+VLOOKUP(DT$3,'Non-Embedded Emissions'!$A$143:$D$174,2,FALSE)+VLOOKUP(DT$3,'Non-Embedded Emissions'!$A$230:$D$259,2,FALSE)), $C66 = "2", 'Inputs-System'!$C$30*'Coincidence Factors'!$B$6*'Inputs-Proposals'!$M$23*'Inputs-Proposals'!$M$25*(VLOOKUP(DT$3,'Non-Embedded Emissions'!$A$56:$D$90,2,FALSE)+VLOOKUP(DT$3,'Non-Embedded Emissions'!$A$143:$D$174,2,FALSE)+VLOOKUP(DT$3,'Non-Embedded Emissions'!$A$230:$D$259,2,FALSE)), $C66 = "3", 'Inputs-System'!$C$30*'Coincidence Factors'!$B$6*'Inputs-Proposals'!$M$29*'Inputs-Proposals'!$M$31*(VLOOKUP(DT$3,'Non-Embedded Emissions'!$A$56:$D$90,2,FALSE)+VLOOKUP(DT$3,'Non-Embedded Emissions'!$A$143:$D$174,2,FALSE)+VLOOKUP(DT$3,'Non-Embedded Emissions'!$A$230:$D$259,2,FALSE)), $C66 = "0", 0), 0)</f>
        <v>0</v>
      </c>
      <c r="DZ66" s="347">
        <f>IFERROR(_xlfn.IFS($C66="1",('Inputs-System'!$C$30*'Coincidence Factors'!$B$6*(1+'Inputs-System'!$C$18)*(1+'Inputs-System'!$C$41)*('Inputs-Proposals'!$M$17*'Inputs-Proposals'!$M$19*(1-'Inputs-Proposals'!$M$20^(DZ$3-'Inputs-System'!$C$7)))*(VLOOKUP(DZ$3,Energy!$A$51:$K$83,5,FALSE))), $C66 = "2",('Inputs-System'!$C$30*'Coincidence Factors'!$B$6)*(1+'Inputs-System'!$C$18)*(1+'Inputs-System'!$C$41)*('Inputs-Proposals'!$M$23*'Inputs-Proposals'!$M$25*(1-'Inputs-Proposals'!$M$26^(DZ$3-'Inputs-System'!$C$7)))*(VLOOKUP(DZ$3,Energy!$A$51:$K$83,5,FALSE)), $C66= "3", ('Inputs-System'!$C$30*'Coincidence Factors'!$B$6*(1+'Inputs-System'!$C$18)*(1+'Inputs-System'!$C$41)*('Inputs-Proposals'!$M$29*'Inputs-Proposals'!$M$31*(1-'Inputs-Proposals'!$M$32^(DZ$3-'Inputs-System'!$C$7)))*(VLOOKUP(DZ$3,Energy!$A$51:$K$83,5,FALSE))), $C66= "0", 0), 0)</f>
        <v>0</v>
      </c>
      <c r="EA66" s="44">
        <f>IFERROR(_xlfn.IFS($C66="1",('Inputs-System'!$C$30*'Coincidence Factors'!$B$6*(1+'Inputs-System'!$C$18)*(1+'Inputs-System'!$C$41))*'Inputs-Proposals'!$M$17*'Inputs-Proposals'!$M$19*(1-'Inputs-Proposals'!$M$20^(DZ$3-'Inputs-System'!$C$7))*(VLOOKUP(DZ$3,'Embedded Emissions'!$A$47:$B$78,2,FALSE)+VLOOKUP(DZ$3,'Embedded Emissions'!$A$129:$B$158,2,FALSE)), $C66 = "2",('Inputs-System'!$C$30*'Coincidence Factors'!$B$6*(1+'Inputs-System'!$C$18)*(1+'Inputs-System'!$C$41))*'Inputs-Proposals'!$M$23*'Inputs-Proposals'!$M$25*(1-'Inputs-Proposals'!$M$20^(DZ$3-'Inputs-System'!$C$7))*(VLOOKUP(DZ$3,'Embedded Emissions'!$A$47:$B$78,2,FALSE)+VLOOKUP(DZ$3,'Embedded Emissions'!$A$129:$B$158,2,FALSE)), $C66 = "3", ('Inputs-System'!$C$30*'Coincidence Factors'!$B$6*(1+'Inputs-System'!$C$18)*(1+'Inputs-System'!$C$41))*'Inputs-Proposals'!$M$29*'Inputs-Proposals'!$M$31*(1-'Inputs-Proposals'!$M$20^(DZ$3-'Inputs-System'!$C$7))*(VLOOKUP(DZ$3,'Embedded Emissions'!$A$47:$B$78,2,FALSE)+VLOOKUP(DZ$3,'Embedded Emissions'!$A$129:$B$158,2,FALSE)), $C66 = "0", 0), 0)</f>
        <v>0</v>
      </c>
      <c r="EB66" s="44">
        <f>IFERROR(_xlfn.IFS($C66="1",( 'Inputs-System'!$C$30*'Coincidence Factors'!$B$6*(1+'Inputs-System'!$C$18)*(1+'Inputs-System'!$C$41))*('Inputs-Proposals'!$M$17*'Inputs-Proposals'!$M$19*(1-'Inputs-Proposals'!$M$20)^(DZ$3-'Inputs-System'!$C$7))*(VLOOKUP(DZ$3,DRIPE!$A$54:$I$82,5,FALSE)+VLOOKUP(DZ$3,DRIPE!$A$54:$I$82,9,FALSE))+ ('Inputs-System'!$C$26*'Coincidence Factors'!$B$6*(1+'Inputs-System'!$C$18)*(1+'Inputs-System'!$C$42))*'Inputs-Proposals'!$M$16*VLOOKUP(DZ$3,DRIPE!$A$54:$I$82,8,FALSE), $C66 = "2",( 'Inputs-System'!$C$30*'Coincidence Factors'!$B$6*(1+'Inputs-System'!$C$18)*(1+'Inputs-System'!$C$41))*('Inputs-Proposals'!$M$23*'Inputs-Proposals'!$M$25*(1-'Inputs-Proposals'!$M$26)^(DZ$3-'Inputs-System'!$C$7))*(VLOOKUP(DZ$3,DRIPE!$A$54:$I$82,5,FALSE)+VLOOKUP(DZ$3,DRIPE!$A$54:$I$82,9,FALSE))+ ('Inputs-System'!$C$26*'Coincidence Factors'!$B$6*(1+'Inputs-System'!$C$18)*(1+'Inputs-System'!$C$42))*'Inputs-Proposals'!$M$22*VLOOKUP(DZ$3,DRIPE!$A$54:$I$82,8,FALSE), $C66= "3", ( 'Inputs-System'!$C$30*'Coincidence Factors'!$B$6*(1+'Inputs-System'!$C$18)*(1+'Inputs-System'!$C$41))*('Inputs-Proposals'!$M$29*'Inputs-Proposals'!$M$31*(1-'Inputs-Proposals'!$M$32)^(DZ$3-'Inputs-System'!$C$7))*(VLOOKUP(DZ$3,DRIPE!$A$54:$I$82,5,FALSE)+VLOOKUP(DZ$3,DRIPE!$A$54:$I$82,9,FALSE))+ ('Inputs-System'!$C$26*'Coincidence Factors'!$B$6*(1+'Inputs-System'!$C$18)*(1+'Inputs-System'!$C$42))*'Inputs-Proposals'!$M$28*VLOOKUP(DZ$3,DRIPE!$A$54:$I$82,8,FALSE), $C66 = "0", 0), 0)</f>
        <v>0</v>
      </c>
      <c r="EC66" s="45">
        <f>IFERROR(_xlfn.IFS($C66="1",('Inputs-System'!$C$26*'Coincidence Factors'!$B$6*(1+'Inputs-System'!$C$18))*'Inputs-Proposals'!$M$16*(VLOOKUP(DZ$3,Capacity!$A$53:$E$85,4,FALSE)*(1+'Inputs-System'!$C$42)+VLOOKUP(DZ$3,Capacity!$A$53:$E$85,5,FALSE)*'Inputs-System'!$C$29*(1+'Inputs-System'!$C$43)), $C66 = "2", ('Inputs-System'!$C$26*'Coincidence Factors'!$B$6*(1+'Inputs-System'!$C$18))*'Inputs-Proposals'!$M$22*(VLOOKUP(DZ$3,Capacity!$A$53:$E$85,4,FALSE)*(1+'Inputs-System'!$C$42)+VLOOKUP(DZ$3,Capacity!$A$53:$E$85,5,FALSE)*'Inputs-System'!$C$29*(1+'Inputs-System'!$C$43)), $C66 = "3",('Inputs-System'!$C$26*'Coincidence Factors'!$B$6*(1+'Inputs-System'!$C$18))*'Inputs-Proposals'!$M$28*(VLOOKUP(DZ$3,Capacity!$A$53:$E$85,4,FALSE)*(1+'Inputs-System'!$C$42)+VLOOKUP(DZ$3,Capacity!$A$53:$E$85,5,FALSE)*'Inputs-System'!$C$29*(1+'Inputs-System'!$C$43)), $C66 = "0", 0), 0)</f>
        <v>0</v>
      </c>
      <c r="ED66" s="44">
        <v>0</v>
      </c>
      <c r="EE66" s="342">
        <f>IFERROR(_xlfn.IFS($C66="1", 'Inputs-System'!$C$30*'Coincidence Factors'!$B$6*'Inputs-Proposals'!$M$17*'Inputs-Proposals'!$M$19*(VLOOKUP(DZ$3,'Non-Embedded Emissions'!$A$56:$D$90,2,FALSE)+VLOOKUP(DZ$3,'Non-Embedded Emissions'!$A$143:$D$174,2,FALSE)+VLOOKUP(DZ$3,'Non-Embedded Emissions'!$A$230:$D$259,2,FALSE)), $C66 = "2", 'Inputs-System'!$C$30*'Coincidence Factors'!$B$6*'Inputs-Proposals'!$M$23*'Inputs-Proposals'!$M$25*(VLOOKUP(DZ$3,'Non-Embedded Emissions'!$A$56:$D$90,2,FALSE)+VLOOKUP(DZ$3,'Non-Embedded Emissions'!$A$143:$D$174,2,FALSE)+VLOOKUP(DZ$3,'Non-Embedded Emissions'!$A$230:$D$259,2,FALSE)), $C66 = "3", 'Inputs-System'!$C$30*'Coincidence Factors'!$B$6*'Inputs-Proposals'!$M$29*'Inputs-Proposals'!$M$31*(VLOOKUP(DZ$3,'Non-Embedded Emissions'!$A$56:$D$90,2,FALSE)+VLOOKUP(DZ$3,'Non-Embedded Emissions'!$A$143:$D$174,2,FALSE)+VLOOKUP(DZ$3,'Non-Embedded Emissions'!$A$230:$D$259,2,FALSE)), $C66 = "0", 0), 0)</f>
        <v>0</v>
      </c>
    </row>
    <row r="67" spans="1:135" x14ac:dyDescent="0.35">
      <c r="A67" s="708"/>
      <c r="B67" s="3" t="s">
        <v>159</v>
      </c>
      <c r="C67" s="3" t="str">
        <f>IFERROR(_xlfn.IFS('Benefits Calc'!B67='Inputs-Proposals'!$M$15, "1", 'Benefits Calc'!B67='Inputs-Proposals'!$M$21, "2", 'Benefits Calc'!B67='Inputs-Proposals'!$M$27, "3"), "0")</f>
        <v>0</v>
      </c>
      <c r="D67" s="323">
        <f t="shared" ref="D67:I69" si="66">P67+V67+AB67+AH67+AN67+AT67+AZ67+BF67+BL67+BR67+BX67+CD67+CJ67+CP67+CV67+DB67+DH67+DN67+DT67+DZ67</f>
        <v>0</v>
      </c>
      <c r="E67" s="44">
        <f t="shared" si="66"/>
        <v>0</v>
      </c>
      <c r="F67" s="44">
        <f t="shared" si="66"/>
        <v>0</v>
      </c>
      <c r="G67" s="44">
        <f t="shared" si="66"/>
        <v>0</v>
      </c>
      <c r="H67" s="44">
        <f t="shared" si="66"/>
        <v>0</v>
      </c>
      <c r="I67" s="44">
        <f t="shared" si="66"/>
        <v>0</v>
      </c>
      <c r="J67" s="323">
        <f>NPV('Inputs-System'!$C$20,P67+V67+AB67+AH67+AN67+AT67+AZ67+BF67+BL67+BR67+BX67+CD67+CJ67+CP67+CV67+DB67+DH67+DN67+DT67+DZ67)</f>
        <v>0</v>
      </c>
      <c r="K67" s="44">
        <f>NPV('Inputs-System'!$C$20,Q67+W67+AC67+AI67+AO67+AU67+BA67+BG67+BM67+BS67+BY67+CE67+CK67+CQ67+CW67+DC67+DI67+DO67+DU67+EA67)</f>
        <v>0</v>
      </c>
      <c r="L67" s="44">
        <f>NPV('Inputs-System'!$C$20,R67+X67+AD67+AJ67+AP67+AV67+BB67+BH67+BN67+BT67+BZ67+CF67+CL67+CR67+CX67+DD67+DJ67+DP67+DV67+EB67)</f>
        <v>0</v>
      </c>
      <c r="M67" s="44">
        <f>NPV('Inputs-System'!$C$20,S67+Y67+AE67+AK67+AQ67+AW67+BC67+BI67+BO67+BU67+CA67+CG67+CM67+CS67+CY67+DE67+DK67+DQ67+DW67+EC67)</f>
        <v>0</v>
      </c>
      <c r="N67" s="44">
        <f>NPV('Inputs-System'!$C$20,T67+Z67+AF67+AL67+AR67+AX67+BD67+BJ67+BP67+BV67+CB67+CH67+CN67+CT67+CZ67+DF67+DL67+DR67+DX67+ED67)</f>
        <v>0</v>
      </c>
      <c r="O67" s="119">
        <f>NPV('Inputs-System'!$C$20,U67+AA67+AG67+AM67+AS67+AY67+BE67+BK67+BQ67+BW67+CC67+CI67+CO67+CU67+DA67+DG67+DM67+DS67+DY67+EE67)</f>
        <v>0</v>
      </c>
      <c r="P67" s="45">
        <f>IFERROR(_xlfn.IFS($C67="1",('Inputs-System'!$C$30*'Coincidence Factors'!$B$7*(1+'Inputs-System'!$C$18)*(1+'Inputs-System'!$C$41)*('Inputs-Proposals'!$M$17*'Inputs-Proposals'!$M$19*('Inputs-Proposals'!$M$20))*(VLOOKUP(P$3,Energy!$A$51:$K$83,5,FALSE))), $C67 = "2",('Inputs-System'!$C$30*'Coincidence Factors'!$B$7)*(1+'Inputs-System'!$C$18)*(1+'Inputs-System'!$C$41)*('Inputs-Proposals'!$M$23*'Inputs-Proposals'!$M$25*('Inputs-Proposals'!$M$26))*(VLOOKUP(P$3,Energy!$A$51:$K$83,5,FALSE)), $C67= "3", ('Inputs-System'!$C$30*'Coincidence Factors'!$B$7*(1+'Inputs-System'!$C$18)*(1+'Inputs-System'!$C$41)*('Inputs-Proposals'!$M$29*'Inputs-Proposals'!$M$31*('Inputs-Proposals'!$M$32))*(VLOOKUP(P$3,Energy!$A$51:$K$83,5,FALSE))), $C67= "0", 0), 0)</f>
        <v>0</v>
      </c>
      <c r="Q67" s="44">
        <f>IFERROR(_xlfn.IFS($C67="1",'Inputs-System'!$C$30*'Coincidence Factors'!$B$7*(1+'Inputs-System'!$C$18)*(1+'Inputs-System'!$C$41)*'Inputs-Proposals'!$M$17*'Inputs-Proposals'!$M$19*('Inputs-Proposals'!$M$20)*(VLOOKUP(P$3,'Embedded Emissions'!$A$47:$B$78,2,FALSE)+VLOOKUP(P$3,'Embedded Emissions'!$A$129:$B$158,2,FALSE)), $C67 = "2",'Inputs-System'!$C$30*'Coincidence Factors'!$B$7*(1+'Inputs-System'!$C$18)*(1+'Inputs-System'!$C$41)*'Inputs-Proposals'!$M$23*'Inputs-Proposals'!$M$25*('Inputs-Proposals'!$M$20)*(VLOOKUP(P$3,'Embedded Emissions'!$A$47:$B$78,2,FALSE)+VLOOKUP(P$3,'Embedded Emissions'!$A$129:$B$158,2,FALSE)), $C67 = "3", 'Inputs-System'!$C$30*'Coincidence Factors'!$B$7*(1+'Inputs-System'!$C$18)*(1+'Inputs-System'!$C$41)*'Inputs-Proposals'!$M$29*'Inputs-Proposals'!$M$31*('Inputs-Proposals'!$M$20)*(VLOOKUP(P$3,'Embedded Emissions'!$A$47:$B$78,2,FALSE)+VLOOKUP(P$3,'Embedded Emissions'!$A$129:$B$158,2,FALSE)), $C67 = "0", 0), 0)</f>
        <v>0</v>
      </c>
      <c r="R67" s="44">
        <f>IFERROR(_xlfn.IFS($C67="1",( 'Inputs-System'!$C$30*'Coincidence Factors'!$B$7*(1+'Inputs-System'!$C$18)*(1+'Inputs-System'!$C$41))*('Inputs-Proposals'!$M$17*'Inputs-Proposals'!$M$19*('Inputs-Proposals'!$M$20))*(VLOOKUP(P$3,DRIPE!$A$54:$I$82,5,FALSE)+VLOOKUP(P$3,DRIPE!$A$54:$I$82,9,FALSE))+ ('Inputs-System'!$C$26*'Coincidence Factors'!$B$7*(1+'Inputs-System'!$C$18)*(1+'Inputs-System'!$C$42))*'Inputs-Proposals'!$M$16*VLOOKUP(P$3,DRIPE!$A$54:$I$82,8,FALSE), $C67 = "2",( 'Inputs-System'!$C$30*'Coincidence Factors'!$B$7*(1+'Inputs-System'!$C$18)*(1+'Inputs-System'!$C$41))*('Inputs-Proposals'!$M$23*'Inputs-Proposals'!$M$25*('Inputs-Proposals'!$M$26))*(VLOOKUP(P$3,DRIPE!$A$54:$I$82,5,FALSE)+VLOOKUP(P$3,DRIPE!$A$54:$I$82,12,FALSE))+ ('Inputs-System'!$C$26*'Coincidence Factors'!$B$7*(1+'Inputs-System'!$C$18)*(1+'Inputs-System'!$C$42))*'Inputs-Proposals'!$M$22*VLOOKUP(P$3,DRIPE!$A$54:$I$82,8,FALSE), $C67= "3", ( 'Inputs-System'!$C$30*'Coincidence Factors'!$B$7*(1+'Inputs-System'!$C$18)*(1+'Inputs-System'!$C$41))*('Inputs-Proposals'!$M$29*'Inputs-Proposals'!$M$31*('Inputs-Proposals'!$M$32))*(VLOOKUP(P$3,DRIPE!$A$54:$I$82,5,FALSE)+VLOOKUP(P$3,DRIPE!$A$54:$I$82,12,FALSE))+ ('Inputs-System'!$C$26*'Coincidence Factors'!$B$7*(1+'Inputs-System'!$C$18)*(1+'Inputs-System'!$C$42))*'Inputs-Proposals'!$M$28*VLOOKUP(P$3,DRIPE!$A$54:$I$82,8,FALSE), $C67 = "0", 0), 0)</f>
        <v>0</v>
      </c>
      <c r="S67" s="45">
        <f>IFERROR(_xlfn.IFS($C67="1",('Inputs-System'!$C$26*'Coincidence Factors'!$B$7*(1+'Inputs-System'!$C$18))*'Inputs-Proposals'!$M$16*(VLOOKUP(P$3,Capacity!$A$53:$E$85,4,FALSE)*(1+'Inputs-System'!$C$42)+VLOOKUP(P$3,Capacity!$A$53:$E$85,5,FALSE)*'Inputs-System'!$C$29*(1+'Inputs-System'!$C$43)), $C67 = "2", ('Inputs-System'!$C$26*'Coincidence Factors'!$B$7*(1+'Inputs-System'!$C$18))*'Inputs-Proposals'!$M$22*(VLOOKUP(P$3,Capacity!$A$53:$E$85,4,FALSE)*(1+'Inputs-System'!$C$42)+VLOOKUP(P$3,Capacity!$A$53:$E$85,5,FALSE)*'Inputs-System'!$C$29*(1+'Inputs-System'!$C$43)), $C67 = "3",('Inputs-System'!$C$26*'Coincidence Factors'!$B$7*(1+'Inputs-System'!$C$18))*'Inputs-Proposals'!$M$28*(VLOOKUP(P$3,Capacity!$A$53:$E$85,4,FALSE)*(1+'Inputs-System'!$C$42)+VLOOKUP(P$3,Capacity!$A$53:$E$85,5,FALSE)*'Inputs-System'!$C$29*(1+'Inputs-System'!$C$43)), $C67 = "0", 0), 0)</f>
        <v>0</v>
      </c>
      <c r="T67" s="44">
        <v>0</v>
      </c>
      <c r="U67" s="44">
        <f>IFERROR(_xlfn.IFS($C67="1", 'Inputs-System'!$C$30*'Coincidence Factors'!$B$7*'Inputs-Proposals'!$M$17*'Inputs-Proposals'!$M$19*(VLOOKUP(P$3,'Non-Embedded Emissions'!$A$56:$D$90,2,FALSE)+VLOOKUP(P$3,'Non-Embedded Emissions'!$A$143:$D$174,2,FALSE)+VLOOKUP(P$3,'Non-Embedded Emissions'!$A$230:$D$259,2,FALSE)), $C67 = "2", 'Inputs-System'!$C$30*'Coincidence Factors'!$B$7*'Inputs-Proposals'!$M$23*'Inputs-Proposals'!$M$25*(VLOOKUP(P$3,'Non-Embedded Emissions'!$A$56:$D$90,2,FALSE)+VLOOKUP(P$3,'Non-Embedded Emissions'!$A$143:$D$174,2,FALSE)+VLOOKUP(P$3,'Non-Embedded Emissions'!$A$230:$D$259,2,FALSE)), $C67 = "3", 'Inputs-System'!$C$30*'Coincidence Factors'!$B$7*'Inputs-Proposals'!$M$29*'Inputs-Proposals'!$M$31*(VLOOKUP(P$3,'Non-Embedded Emissions'!$A$56:$D$90,2,FALSE)+VLOOKUP(P$3,'Non-Embedded Emissions'!$A$143:$D$174,2,FALSE)+VLOOKUP(P$3,'Non-Embedded Emissions'!$A$230:$D$259,2,FALSE)), $C67 = "0", 0), 0)</f>
        <v>0</v>
      </c>
      <c r="V67" s="347">
        <f>IFERROR(_xlfn.IFS($C67="1",('Inputs-System'!$C$30*'Coincidence Factors'!$B$7*(1+'Inputs-System'!$C$18)*(1+'Inputs-System'!$C$41)*('Inputs-Proposals'!$M$17*'Inputs-Proposals'!$M$19*('Inputs-Proposals'!$M$20))*(VLOOKUP(V$3,Energy!$A$51:$K$83,5,FALSE))), $C67 = "2",('Inputs-System'!$C$30*'Coincidence Factors'!$B$7)*(1+'Inputs-System'!$C$18)*(1+'Inputs-System'!$C$41)*('Inputs-Proposals'!$M$23*'Inputs-Proposals'!$M$25*('Inputs-Proposals'!$M$26))*(VLOOKUP(V$3,Energy!$A$51:$K$83,5,FALSE)), $C67= "3", ('Inputs-System'!$C$30*'Coincidence Factors'!$B$7*(1+'Inputs-System'!$C$18)*(1+'Inputs-System'!$C$41)*('Inputs-Proposals'!$M$29*'Inputs-Proposals'!$M$31*('Inputs-Proposals'!$M$32))*(VLOOKUP(V$3,Energy!$A$51:$K$83,5,FALSE))), $C67= "0", 0), 0)</f>
        <v>0</v>
      </c>
      <c r="W67" s="44">
        <f>IFERROR(_xlfn.IFS($C67="1",'Inputs-System'!$C$30*'Coincidence Factors'!$B$7*(1+'Inputs-System'!$C$18)*(1+'Inputs-System'!$C$41)*'Inputs-Proposals'!$M$17*'Inputs-Proposals'!$M$19*('Inputs-Proposals'!$M$20)*(VLOOKUP(V$3,'Embedded Emissions'!$A$47:$B$78,2,FALSE)+VLOOKUP(V$3,'Embedded Emissions'!$A$129:$B$158,2,FALSE)), $C67 = "2",'Inputs-System'!$C$30*'Coincidence Factors'!$B$7*(1+'Inputs-System'!$C$18)*(1+'Inputs-System'!$C$41)*'Inputs-Proposals'!$M$23*'Inputs-Proposals'!$M$25*('Inputs-Proposals'!$M$20)*(VLOOKUP(V$3,'Embedded Emissions'!$A$47:$B$78,2,FALSE)+VLOOKUP(V$3,'Embedded Emissions'!$A$129:$B$158,2,FALSE)), $C67 = "3", 'Inputs-System'!$C$30*'Coincidence Factors'!$B$7*(1+'Inputs-System'!$C$18)*(1+'Inputs-System'!$C$41)*'Inputs-Proposals'!$M$29*'Inputs-Proposals'!$M$31*('Inputs-Proposals'!$M$20)*(VLOOKUP(V$3,'Embedded Emissions'!$A$47:$B$78,2,FALSE)+VLOOKUP(V$3,'Embedded Emissions'!$A$129:$B$158,2,FALSE)), $C67 = "0", 0), 0)</f>
        <v>0</v>
      </c>
      <c r="X67" s="44">
        <f>IFERROR(_xlfn.IFS($C67="1",( 'Inputs-System'!$C$30*'Coincidence Factors'!$B$7*(1+'Inputs-System'!$C$18)*(1+'Inputs-System'!$C$41))*('Inputs-Proposals'!$M$17*'Inputs-Proposals'!$M$19*('Inputs-Proposals'!$M$20))*(VLOOKUP(V$3,DRIPE!$A$54:$I$82,5,FALSE)+VLOOKUP(V$3,DRIPE!$A$54:$I$82,9,FALSE))+ ('Inputs-System'!$C$26*'Coincidence Factors'!$B$7*(1+'Inputs-System'!$C$18)*(1+'Inputs-System'!$C$42))*'Inputs-Proposals'!$M$16*VLOOKUP(V$3,DRIPE!$A$54:$I$82,8,FALSE), $C67 = "2",( 'Inputs-System'!$C$30*'Coincidence Factors'!$B$7*(1+'Inputs-System'!$C$18)*(1+'Inputs-System'!$C$41))*('Inputs-Proposals'!$M$23*'Inputs-Proposals'!$M$25*('Inputs-Proposals'!$M$26))*(VLOOKUP(V$3,DRIPE!$A$54:$I$82,5,FALSE)+VLOOKUP(V$3,DRIPE!$A$54:$I$82,12,FALSE))+ ('Inputs-System'!$C$26*'Coincidence Factors'!$B$7*(1+'Inputs-System'!$C$18)*(1+'Inputs-System'!$C$42))*'Inputs-Proposals'!$M$22*VLOOKUP(V$3,DRIPE!$A$54:$I$82,8,FALSE), $C67= "3", ( 'Inputs-System'!$C$30*'Coincidence Factors'!$B$7*(1+'Inputs-System'!$C$18)*(1+'Inputs-System'!$C$41))*('Inputs-Proposals'!$M$29*'Inputs-Proposals'!$M$31*('Inputs-Proposals'!$M$32))*(VLOOKUP(V$3,DRIPE!$A$54:$I$82,5,FALSE)+VLOOKUP(V$3,DRIPE!$A$54:$I$82,12,FALSE))+ ('Inputs-System'!$C$26*'Coincidence Factors'!$B$7*(1+'Inputs-System'!$C$18)*(1+'Inputs-System'!$C$42))*'Inputs-Proposals'!$M$28*VLOOKUP(V$3,DRIPE!$A$54:$I$82,8,FALSE), $C67 = "0", 0), 0)</f>
        <v>0</v>
      </c>
      <c r="Y67" s="45">
        <f>IFERROR(_xlfn.IFS($C67="1",('Inputs-System'!$C$26*'Coincidence Factors'!$B$7*(1+'Inputs-System'!$C$18))*'Inputs-Proposals'!$M$16*(VLOOKUP(V$3,Capacity!$A$53:$E$85,4,FALSE)*(1+'Inputs-System'!$C$42)+VLOOKUP(V$3,Capacity!$A$53:$E$85,5,FALSE)*'Inputs-System'!$C$29*(1+'Inputs-System'!$C$43)), $C67 = "2", ('Inputs-System'!$C$26*'Coincidence Factors'!$B$7*(1+'Inputs-System'!$C$18))*'Inputs-Proposals'!$M$22*(VLOOKUP(V$3,Capacity!$A$53:$E$85,4,FALSE)*(1+'Inputs-System'!$C$42)+VLOOKUP(V$3,Capacity!$A$53:$E$85,5,FALSE)*'Inputs-System'!$C$29*(1+'Inputs-System'!$C$43)), $C67 = "3",('Inputs-System'!$C$26*'Coincidence Factors'!$B$7*(1+'Inputs-System'!$C$18))*'Inputs-Proposals'!$M$28*(VLOOKUP(V$3,Capacity!$A$53:$E$85,4,FALSE)*(1+'Inputs-System'!$C$42)+VLOOKUP(V$3,Capacity!$A$53:$E$85,5,FALSE)*'Inputs-System'!$C$29*(1+'Inputs-System'!$C$43)), $C67 = "0", 0), 0)</f>
        <v>0</v>
      </c>
      <c r="Z67" s="44">
        <v>0</v>
      </c>
      <c r="AA67" s="342">
        <f>IFERROR(_xlfn.IFS($C67="1", 'Inputs-System'!$C$30*'Coincidence Factors'!$B$7*'Inputs-Proposals'!$M$17*'Inputs-Proposals'!$M$19*(VLOOKUP(V$3,'Non-Embedded Emissions'!$A$56:$D$90,2,FALSE)+VLOOKUP(V$3,'Non-Embedded Emissions'!$A$143:$D$174,2,FALSE)+VLOOKUP(V$3,'Non-Embedded Emissions'!$A$230:$D$259,2,FALSE)), $C67 = "2", 'Inputs-System'!$C$30*'Coincidence Factors'!$B$7*'Inputs-Proposals'!$M$23*'Inputs-Proposals'!$M$25*(VLOOKUP(V$3,'Non-Embedded Emissions'!$A$56:$D$90,2,FALSE)+VLOOKUP(V$3,'Non-Embedded Emissions'!$A$143:$D$174,2,FALSE)+VLOOKUP(V$3,'Non-Embedded Emissions'!$A$230:$D$259,2,FALSE)), $C67 = "3", 'Inputs-System'!$C$30*'Coincidence Factors'!$B$7*'Inputs-Proposals'!$M$29*'Inputs-Proposals'!$M$31*(VLOOKUP(V$3,'Non-Embedded Emissions'!$A$56:$D$90,2,FALSE)+VLOOKUP(V$3,'Non-Embedded Emissions'!$A$143:$D$174,2,FALSE)+VLOOKUP(V$3,'Non-Embedded Emissions'!$A$230:$D$259,2,FALSE)), $C67 = "0", 0), 0)</f>
        <v>0</v>
      </c>
      <c r="AB67" s="347">
        <f>IFERROR(_xlfn.IFS($C67="1",('Inputs-System'!$C$30*'Coincidence Factors'!$B$7*(1+'Inputs-System'!$C$18)*(1+'Inputs-System'!$C$41)*('Inputs-Proposals'!$M$17*'Inputs-Proposals'!$M$19*('Inputs-Proposals'!$M$20))*(VLOOKUP(AB$3,Energy!$A$51:$K$83,5,FALSE))), $C67 = "2",('Inputs-System'!$C$30*'Coincidence Factors'!$B$7)*(1+'Inputs-System'!$C$18)*(1+'Inputs-System'!$C$41)*('Inputs-Proposals'!$M$23*'Inputs-Proposals'!$M$25*('Inputs-Proposals'!$M$26))*(VLOOKUP(AB$3,Energy!$A$51:$K$83,5,FALSE)), $C67= "3", ('Inputs-System'!$C$30*'Coincidence Factors'!$B$7*(1+'Inputs-System'!$C$18)*(1+'Inputs-System'!$C$41)*('Inputs-Proposals'!$M$29*'Inputs-Proposals'!$M$31*('Inputs-Proposals'!$M$32))*(VLOOKUP(AB$3,Energy!$A$51:$K$83,5,FALSE))), $C67= "0", 0), 0)</f>
        <v>0</v>
      </c>
      <c r="AC67" s="44">
        <f>IFERROR(_xlfn.IFS($C67="1",'Inputs-System'!$C$30*'Coincidence Factors'!$B$7*(1+'Inputs-System'!$C$18)*(1+'Inputs-System'!$C$41)*'Inputs-Proposals'!$M$17*'Inputs-Proposals'!$M$19*('Inputs-Proposals'!$M$20)*(VLOOKUP(AB$3,'Embedded Emissions'!$A$47:$B$78,2,FALSE)+VLOOKUP(AB$3,'Embedded Emissions'!$A$129:$B$158,2,FALSE)), $C67 = "2",'Inputs-System'!$C$30*'Coincidence Factors'!$B$7*(1+'Inputs-System'!$C$18)*(1+'Inputs-System'!$C$41)*'Inputs-Proposals'!$M$23*'Inputs-Proposals'!$M$25*('Inputs-Proposals'!$M$20)*(VLOOKUP(AB$3,'Embedded Emissions'!$A$47:$B$78,2,FALSE)+VLOOKUP(AB$3,'Embedded Emissions'!$A$129:$B$158,2,FALSE)), $C67 = "3", 'Inputs-System'!$C$30*'Coincidence Factors'!$B$7*(1+'Inputs-System'!$C$18)*(1+'Inputs-System'!$C$41)*'Inputs-Proposals'!$M$29*'Inputs-Proposals'!$M$31*('Inputs-Proposals'!$M$20)*(VLOOKUP(AB$3,'Embedded Emissions'!$A$47:$B$78,2,FALSE)+VLOOKUP(AB$3,'Embedded Emissions'!$A$129:$B$158,2,FALSE)), $C67 = "0", 0), 0)</f>
        <v>0</v>
      </c>
      <c r="AD67" s="44">
        <f>IFERROR(_xlfn.IFS($C67="1",( 'Inputs-System'!$C$30*'Coincidence Factors'!$B$7*(1+'Inputs-System'!$C$18)*(1+'Inputs-System'!$C$41))*('Inputs-Proposals'!$M$17*'Inputs-Proposals'!$M$19*('Inputs-Proposals'!$M$20))*(VLOOKUP(AB$3,DRIPE!$A$54:$I$82,5,FALSE)+VLOOKUP(AB$3,DRIPE!$A$54:$I$82,9,FALSE))+ ('Inputs-System'!$C$26*'Coincidence Factors'!$B$7*(1+'Inputs-System'!$C$18)*(1+'Inputs-System'!$C$42))*'Inputs-Proposals'!$M$16*VLOOKUP(AB$3,DRIPE!$A$54:$I$82,8,FALSE), $C67 = "2",( 'Inputs-System'!$C$30*'Coincidence Factors'!$B$7*(1+'Inputs-System'!$C$18)*(1+'Inputs-System'!$C$41))*('Inputs-Proposals'!$M$23*'Inputs-Proposals'!$M$25*('Inputs-Proposals'!$M$26))*(VLOOKUP(AB$3,DRIPE!$A$54:$I$82,5,FALSE)+VLOOKUP(AB$3,DRIPE!$A$54:$I$82,12,FALSE))+ ('Inputs-System'!$C$26*'Coincidence Factors'!$B$7*(1+'Inputs-System'!$C$18)*(1+'Inputs-System'!$C$42))*'Inputs-Proposals'!$M$22*VLOOKUP(AB$3,DRIPE!$A$54:$I$82,8,FALSE), $C67= "3", ( 'Inputs-System'!$C$30*'Coincidence Factors'!$B$7*(1+'Inputs-System'!$C$18)*(1+'Inputs-System'!$C$41))*('Inputs-Proposals'!$M$29*'Inputs-Proposals'!$M$31*('Inputs-Proposals'!$M$32))*(VLOOKUP(AB$3,DRIPE!$A$54:$I$82,5,FALSE)+VLOOKUP(AB$3,DRIPE!$A$54:$I$82,12,FALSE))+ ('Inputs-System'!$C$26*'Coincidence Factors'!$B$7*(1+'Inputs-System'!$C$18)*(1+'Inputs-System'!$C$42))*'Inputs-Proposals'!$M$28*VLOOKUP(AB$3,DRIPE!$A$54:$I$82,8,FALSE), $C67 = "0", 0), 0)</f>
        <v>0</v>
      </c>
      <c r="AE67" s="45">
        <f>IFERROR(_xlfn.IFS($C67="1",('Inputs-System'!$C$26*'Coincidence Factors'!$B$7*(1+'Inputs-System'!$C$18))*'Inputs-Proposals'!$M$16*(VLOOKUP(AB$3,Capacity!$A$53:$E$85,4,FALSE)*(1+'Inputs-System'!$C$42)+VLOOKUP(AB$3,Capacity!$A$53:$E$85,5,FALSE)*'Inputs-System'!$C$29*(1+'Inputs-System'!$C$43)), $C67 = "2", ('Inputs-System'!$C$26*'Coincidence Factors'!$B$7*(1+'Inputs-System'!$C$18))*'Inputs-Proposals'!$M$22*(VLOOKUP(AB$3,Capacity!$A$53:$E$85,4,FALSE)*(1+'Inputs-System'!$C$42)+VLOOKUP(AB$3,Capacity!$A$53:$E$85,5,FALSE)*'Inputs-System'!$C$29*(1+'Inputs-System'!$C$43)), $C67 = "3",('Inputs-System'!$C$26*'Coincidence Factors'!$B$7*(1+'Inputs-System'!$C$18))*'Inputs-Proposals'!$M$28*(VLOOKUP(AB$3,Capacity!$A$53:$E$85,4,FALSE)*(1+'Inputs-System'!$C$42)+VLOOKUP(AB$3,Capacity!$A$53:$E$85,5,FALSE)*'Inputs-System'!$C$29*(1+'Inputs-System'!$C$43)), $C67 = "0", 0), 0)</f>
        <v>0</v>
      </c>
      <c r="AF67" s="44">
        <v>0</v>
      </c>
      <c r="AG67" s="342">
        <f>IFERROR(_xlfn.IFS($C67="1", 'Inputs-System'!$C$30*'Coincidence Factors'!$B$7*'Inputs-Proposals'!$M$17*'Inputs-Proposals'!$M$19*(VLOOKUP(AB$3,'Non-Embedded Emissions'!$A$56:$D$90,2,FALSE)+VLOOKUP(AB$3,'Non-Embedded Emissions'!$A$143:$D$174,2,FALSE)+VLOOKUP(AB$3,'Non-Embedded Emissions'!$A$230:$D$259,2,FALSE)), $C67 = "2", 'Inputs-System'!$C$30*'Coincidence Factors'!$B$7*'Inputs-Proposals'!$M$23*'Inputs-Proposals'!$M$25*(VLOOKUP(AB$3,'Non-Embedded Emissions'!$A$56:$D$90,2,FALSE)+VLOOKUP(AB$3,'Non-Embedded Emissions'!$A$143:$D$174,2,FALSE)+VLOOKUP(AB$3,'Non-Embedded Emissions'!$A$230:$D$259,2,FALSE)), $C67 = "3", 'Inputs-System'!$C$30*'Coincidence Factors'!$B$7*'Inputs-Proposals'!$M$29*'Inputs-Proposals'!$M$31*(VLOOKUP(AB$3,'Non-Embedded Emissions'!$A$56:$D$90,2,FALSE)+VLOOKUP(AB$3,'Non-Embedded Emissions'!$A$143:$D$174,2,FALSE)+VLOOKUP(AB$3,'Non-Embedded Emissions'!$A$230:$D$259,2,FALSE)), $C67 = "0", 0), 0)</f>
        <v>0</v>
      </c>
      <c r="AH67" s="347">
        <f>IFERROR(_xlfn.IFS($C67="1",('Inputs-System'!$C$30*'Coincidence Factors'!$B$7*(1+'Inputs-System'!$C$18)*(1+'Inputs-System'!$C$41)*('Inputs-Proposals'!$M$17*'Inputs-Proposals'!$M$19*('Inputs-Proposals'!$M$20))*(VLOOKUP(AH$3,Energy!$A$51:$K$83,5,FALSE))), $C67 = "2",('Inputs-System'!$C$30*'Coincidence Factors'!$B$7)*(1+'Inputs-System'!$C$18)*(1+'Inputs-System'!$C$41)*('Inputs-Proposals'!$M$23*'Inputs-Proposals'!$M$25*('Inputs-Proposals'!$M$26))*(VLOOKUP(AH$3,Energy!$A$51:$K$83,5,FALSE)), $C67= "3", ('Inputs-System'!$C$30*'Coincidence Factors'!$B$7*(1+'Inputs-System'!$C$18)*(1+'Inputs-System'!$C$41)*('Inputs-Proposals'!$M$29*'Inputs-Proposals'!$M$31*('Inputs-Proposals'!$M$32))*(VLOOKUP(AH$3,Energy!$A$51:$K$83,5,FALSE))), $C67= "0", 0), 0)</f>
        <v>0</v>
      </c>
      <c r="AI67" s="44">
        <f>IFERROR(_xlfn.IFS($C67="1",'Inputs-System'!$C$30*'Coincidence Factors'!$B$7*(1+'Inputs-System'!$C$18)*(1+'Inputs-System'!$C$41)*'Inputs-Proposals'!$M$17*'Inputs-Proposals'!$M$19*('Inputs-Proposals'!$M$20)*(VLOOKUP(AH$3,'Embedded Emissions'!$A$47:$B$78,2,FALSE)+VLOOKUP(AH$3,'Embedded Emissions'!$A$129:$B$158,2,FALSE)), $C67 = "2",'Inputs-System'!$C$30*'Coincidence Factors'!$B$7*(1+'Inputs-System'!$C$18)*(1+'Inputs-System'!$C$41)*'Inputs-Proposals'!$M$23*'Inputs-Proposals'!$M$25*('Inputs-Proposals'!$M$20)*(VLOOKUP(AH$3,'Embedded Emissions'!$A$47:$B$78,2,FALSE)+VLOOKUP(AH$3,'Embedded Emissions'!$A$129:$B$158,2,FALSE)), $C67 = "3", 'Inputs-System'!$C$30*'Coincidence Factors'!$B$7*(1+'Inputs-System'!$C$18)*(1+'Inputs-System'!$C$41)*'Inputs-Proposals'!$M$29*'Inputs-Proposals'!$M$31*('Inputs-Proposals'!$M$20)*(VLOOKUP(AH$3,'Embedded Emissions'!$A$47:$B$78,2,FALSE)+VLOOKUP(AH$3,'Embedded Emissions'!$A$129:$B$158,2,FALSE)), $C67 = "0", 0), 0)</f>
        <v>0</v>
      </c>
      <c r="AJ67" s="44">
        <f>IFERROR(_xlfn.IFS($C67="1",( 'Inputs-System'!$C$30*'Coincidence Factors'!$B$7*(1+'Inputs-System'!$C$18)*(1+'Inputs-System'!$C$41))*('Inputs-Proposals'!$M$17*'Inputs-Proposals'!$M$19*('Inputs-Proposals'!$M$20))*(VLOOKUP(AH$3,DRIPE!$A$54:$I$82,5,FALSE)+VLOOKUP(AH$3,DRIPE!$A$54:$I$82,9,FALSE))+ ('Inputs-System'!$C$26*'Coincidence Factors'!$B$7*(1+'Inputs-System'!$C$18)*(1+'Inputs-System'!$C$42))*'Inputs-Proposals'!$M$16*VLOOKUP(AH$3,DRIPE!$A$54:$I$82,8,FALSE), $C67 = "2",( 'Inputs-System'!$C$30*'Coincidence Factors'!$B$7*(1+'Inputs-System'!$C$18)*(1+'Inputs-System'!$C$41))*('Inputs-Proposals'!$M$23*'Inputs-Proposals'!$M$25*('Inputs-Proposals'!$M$26))*(VLOOKUP(AH$3,DRIPE!$A$54:$I$82,5,FALSE)+VLOOKUP(AH$3,DRIPE!$A$54:$I$82,12,FALSE))+ ('Inputs-System'!$C$26*'Coincidence Factors'!$B$7*(1+'Inputs-System'!$C$18)*(1+'Inputs-System'!$C$42))*'Inputs-Proposals'!$M$22*VLOOKUP(AH$3,DRIPE!$A$54:$I$82,8,FALSE), $C67= "3", ( 'Inputs-System'!$C$30*'Coincidence Factors'!$B$7*(1+'Inputs-System'!$C$18)*(1+'Inputs-System'!$C$41))*('Inputs-Proposals'!$M$29*'Inputs-Proposals'!$M$31*('Inputs-Proposals'!$M$32))*(VLOOKUP(AH$3,DRIPE!$A$54:$I$82,5,FALSE)+VLOOKUP(AH$3,DRIPE!$A$54:$I$82,12,FALSE))+ ('Inputs-System'!$C$26*'Coincidence Factors'!$B$7*(1+'Inputs-System'!$C$18)*(1+'Inputs-System'!$C$42))*'Inputs-Proposals'!$M$28*VLOOKUP(AH$3,DRIPE!$A$54:$I$82,8,FALSE), $C67 = "0", 0), 0)</f>
        <v>0</v>
      </c>
      <c r="AK67" s="45">
        <f>IFERROR(_xlfn.IFS($C67="1",('Inputs-System'!$C$26*'Coincidence Factors'!$B$7*(1+'Inputs-System'!$C$18))*'Inputs-Proposals'!$M$16*(VLOOKUP(AH$3,Capacity!$A$53:$E$85,4,FALSE)*(1+'Inputs-System'!$C$42)+VLOOKUP(AH$3,Capacity!$A$53:$E$85,5,FALSE)*'Inputs-System'!$C$29*(1+'Inputs-System'!$C$43)), $C67 = "2", ('Inputs-System'!$C$26*'Coincidence Factors'!$B$7*(1+'Inputs-System'!$C$18))*'Inputs-Proposals'!$M$22*(VLOOKUP(AH$3,Capacity!$A$53:$E$85,4,FALSE)*(1+'Inputs-System'!$C$42)+VLOOKUP(AH$3,Capacity!$A$53:$E$85,5,FALSE)*'Inputs-System'!$C$29*(1+'Inputs-System'!$C$43)), $C67 = "3",('Inputs-System'!$C$26*'Coincidence Factors'!$B$7*(1+'Inputs-System'!$C$18))*'Inputs-Proposals'!$M$28*(VLOOKUP(AH$3,Capacity!$A$53:$E$85,4,FALSE)*(1+'Inputs-System'!$C$42)+VLOOKUP(AH$3,Capacity!$A$53:$E$85,5,FALSE)*'Inputs-System'!$C$29*(1+'Inputs-System'!$C$43)), $C67 = "0", 0), 0)</f>
        <v>0</v>
      </c>
      <c r="AL67" s="44">
        <v>0</v>
      </c>
      <c r="AM67" s="342">
        <f>IFERROR(_xlfn.IFS($C67="1", 'Inputs-System'!$C$30*'Coincidence Factors'!$B$7*'Inputs-Proposals'!$M$17*'Inputs-Proposals'!$M$19*(VLOOKUP(AH$3,'Non-Embedded Emissions'!$A$56:$D$90,2,FALSE)+VLOOKUP(AH$3,'Non-Embedded Emissions'!$A$143:$D$174,2,FALSE)+VLOOKUP(AH$3,'Non-Embedded Emissions'!$A$230:$D$259,2,FALSE)), $C67 = "2", 'Inputs-System'!$C$30*'Coincidence Factors'!$B$7*'Inputs-Proposals'!$M$23*'Inputs-Proposals'!$M$25*(VLOOKUP(AH$3,'Non-Embedded Emissions'!$A$56:$D$90,2,FALSE)+VLOOKUP(AH$3,'Non-Embedded Emissions'!$A$143:$D$174,2,FALSE)+VLOOKUP(AH$3,'Non-Embedded Emissions'!$A$230:$D$259,2,FALSE)), $C67 = "3", 'Inputs-System'!$C$30*'Coincidence Factors'!$B$7*'Inputs-Proposals'!$M$29*'Inputs-Proposals'!$M$31*(VLOOKUP(AH$3,'Non-Embedded Emissions'!$A$56:$D$90,2,FALSE)+VLOOKUP(AH$3,'Non-Embedded Emissions'!$A$143:$D$174,2,FALSE)+VLOOKUP(AH$3,'Non-Embedded Emissions'!$A$230:$D$259,2,FALSE)), $C67 = "0", 0), 0)</f>
        <v>0</v>
      </c>
      <c r="AN67" s="347">
        <f>IFERROR(_xlfn.IFS($C67="1",('Inputs-System'!$C$30*'Coincidence Factors'!$B$7*(1+'Inputs-System'!$C$18)*(1+'Inputs-System'!$C$41)*('Inputs-Proposals'!$M$17*'Inputs-Proposals'!$M$19*('Inputs-Proposals'!$M$20))*(VLOOKUP(AN$3,Energy!$A$51:$K$83,5,FALSE))), $C67 = "2",('Inputs-System'!$C$30*'Coincidence Factors'!$B$7)*(1+'Inputs-System'!$C$18)*(1+'Inputs-System'!$C$41)*('Inputs-Proposals'!$M$23*'Inputs-Proposals'!$M$25*('Inputs-Proposals'!$M$26))*(VLOOKUP(AN$3,Energy!$A$51:$K$83,5,FALSE)), $C67= "3", ('Inputs-System'!$C$30*'Coincidence Factors'!$B$7*(1+'Inputs-System'!$C$18)*(1+'Inputs-System'!$C$41)*('Inputs-Proposals'!$M$29*'Inputs-Proposals'!$M$31*('Inputs-Proposals'!$M$32))*(VLOOKUP(AN$3,Energy!$A$51:$K$83,5,FALSE))), $C67= "0", 0), 0)</f>
        <v>0</v>
      </c>
      <c r="AO67" s="44">
        <f>IFERROR(_xlfn.IFS($C67="1",'Inputs-System'!$C$30*'Coincidence Factors'!$B$7*(1+'Inputs-System'!$C$18)*(1+'Inputs-System'!$C$41)*'Inputs-Proposals'!$M$17*'Inputs-Proposals'!$M$19*('Inputs-Proposals'!$M$20)*(VLOOKUP(AN$3,'Embedded Emissions'!$A$47:$B$78,2,FALSE)+VLOOKUP(AN$3,'Embedded Emissions'!$A$129:$B$158,2,FALSE)), $C67 = "2",'Inputs-System'!$C$30*'Coincidence Factors'!$B$7*(1+'Inputs-System'!$C$18)*(1+'Inputs-System'!$C$41)*'Inputs-Proposals'!$M$23*'Inputs-Proposals'!$M$25*('Inputs-Proposals'!$M$20)*(VLOOKUP(AN$3,'Embedded Emissions'!$A$47:$B$78,2,FALSE)+VLOOKUP(AN$3,'Embedded Emissions'!$A$129:$B$158,2,FALSE)), $C67 = "3", 'Inputs-System'!$C$30*'Coincidence Factors'!$B$7*(1+'Inputs-System'!$C$18)*(1+'Inputs-System'!$C$41)*'Inputs-Proposals'!$M$29*'Inputs-Proposals'!$M$31*('Inputs-Proposals'!$M$20)*(VLOOKUP(AN$3,'Embedded Emissions'!$A$47:$B$78,2,FALSE)+VLOOKUP(AN$3,'Embedded Emissions'!$A$129:$B$158,2,FALSE)), $C67 = "0", 0), 0)</f>
        <v>0</v>
      </c>
      <c r="AP67" s="44">
        <f>IFERROR(_xlfn.IFS($C67="1",( 'Inputs-System'!$C$30*'Coincidence Factors'!$B$7*(1+'Inputs-System'!$C$18)*(1+'Inputs-System'!$C$41))*('Inputs-Proposals'!$M$17*'Inputs-Proposals'!$M$19*('Inputs-Proposals'!$M$20))*(VLOOKUP(AN$3,DRIPE!$A$54:$I$82,5,FALSE)+VLOOKUP(AN$3,DRIPE!$A$54:$I$82,9,FALSE))+ ('Inputs-System'!$C$26*'Coincidence Factors'!$B$7*(1+'Inputs-System'!$C$18)*(1+'Inputs-System'!$C$42))*'Inputs-Proposals'!$M$16*VLOOKUP(AN$3,DRIPE!$A$54:$I$82,8,FALSE), $C67 = "2",( 'Inputs-System'!$C$30*'Coincidence Factors'!$B$7*(1+'Inputs-System'!$C$18)*(1+'Inputs-System'!$C$41))*('Inputs-Proposals'!$M$23*'Inputs-Proposals'!$M$25*('Inputs-Proposals'!$M$26))*(VLOOKUP(AN$3,DRIPE!$A$54:$I$82,5,FALSE)+VLOOKUP(AN$3,DRIPE!$A$54:$I$82,12,FALSE))+ ('Inputs-System'!$C$26*'Coincidence Factors'!$B$7*(1+'Inputs-System'!$C$18)*(1+'Inputs-System'!$C$42))*'Inputs-Proposals'!$M$22*VLOOKUP(AN$3,DRIPE!$A$54:$I$82,8,FALSE), $C67= "3", ( 'Inputs-System'!$C$30*'Coincidence Factors'!$B$7*(1+'Inputs-System'!$C$18)*(1+'Inputs-System'!$C$41))*('Inputs-Proposals'!$M$29*'Inputs-Proposals'!$M$31*('Inputs-Proposals'!$M$32))*(VLOOKUP(AN$3,DRIPE!$A$54:$I$82,5,FALSE)+VLOOKUP(AN$3,DRIPE!$A$54:$I$82,12,FALSE))+ ('Inputs-System'!$C$26*'Coincidence Factors'!$B$7*(1+'Inputs-System'!$C$18)*(1+'Inputs-System'!$C$42))*'Inputs-Proposals'!$M$28*VLOOKUP(AN$3,DRIPE!$A$54:$I$82,8,FALSE), $C67 = "0", 0), 0)</f>
        <v>0</v>
      </c>
      <c r="AQ67" s="45">
        <f>IFERROR(_xlfn.IFS($C67="1",('Inputs-System'!$C$26*'Coincidence Factors'!$B$7*(1+'Inputs-System'!$C$18))*'Inputs-Proposals'!$M$16*(VLOOKUP(AN$3,Capacity!$A$53:$E$85,4,FALSE)*(1+'Inputs-System'!$C$42)+VLOOKUP(AN$3,Capacity!$A$53:$E$85,5,FALSE)*'Inputs-System'!$C$29*(1+'Inputs-System'!$C$43)), $C67 = "2", ('Inputs-System'!$C$26*'Coincidence Factors'!$B$7*(1+'Inputs-System'!$C$18))*'Inputs-Proposals'!$M$22*(VLOOKUP(AN$3,Capacity!$A$53:$E$85,4,FALSE)*(1+'Inputs-System'!$C$42)+VLOOKUP(AN$3,Capacity!$A$53:$E$85,5,FALSE)*'Inputs-System'!$C$29*(1+'Inputs-System'!$C$43)), $C67 = "3",('Inputs-System'!$C$26*'Coincidence Factors'!$B$7*(1+'Inputs-System'!$C$18))*'Inputs-Proposals'!$M$28*(VLOOKUP(AN$3,Capacity!$A$53:$E$85,4,FALSE)*(1+'Inputs-System'!$C$42)+VLOOKUP(AN$3,Capacity!$A$53:$E$85,5,FALSE)*'Inputs-System'!$C$29*(1+'Inputs-System'!$C$43)), $C67 = "0", 0), 0)</f>
        <v>0</v>
      </c>
      <c r="AR67" s="44">
        <v>0</v>
      </c>
      <c r="AS67" s="342">
        <f>IFERROR(_xlfn.IFS($C67="1", 'Inputs-System'!$C$30*'Coincidence Factors'!$B$7*'Inputs-Proposals'!$M$17*'Inputs-Proposals'!$M$19*(VLOOKUP(AN$3,'Non-Embedded Emissions'!$A$56:$D$90,2,FALSE)+VLOOKUP(AN$3,'Non-Embedded Emissions'!$A$143:$D$174,2,FALSE)+VLOOKUP(AN$3,'Non-Embedded Emissions'!$A$230:$D$259,2,FALSE)), $C67 = "2", 'Inputs-System'!$C$30*'Coincidence Factors'!$B$7*'Inputs-Proposals'!$M$23*'Inputs-Proposals'!$M$25*(VLOOKUP(AN$3,'Non-Embedded Emissions'!$A$56:$D$90,2,FALSE)+VLOOKUP(AN$3,'Non-Embedded Emissions'!$A$143:$D$174,2,FALSE)+VLOOKUP(AN$3,'Non-Embedded Emissions'!$A$230:$D$259,2,FALSE)), $C67 = "3", 'Inputs-System'!$C$30*'Coincidence Factors'!$B$7*'Inputs-Proposals'!$M$29*'Inputs-Proposals'!$M$31*(VLOOKUP(AN$3,'Non-Embedded Emissions'!$A$56:$D$90,2,FALSE)+VLOOKUP(AN$3,'Non-Embedded Emissions'!$A$143:$D$174,2,FALSE)+VLOOKUP(AN$3,'Non-Embedded Emissions'!$A$230:$D$259,2,FALSE)), $C67 = "0", 0), 0)</f>
        <v>0</v>
      </c>
      <c r="AT67" s="347">
        <f>IFERROR(_xlfn.IFS($C67="1",('Inputs-System'!$C$30*'Coincidence Factors'!$B$7*(1+'Inputs-System'!$C$18)*(1+'Inputs-System'!$C$41)*('Inputs-Proposals'!$M$17*'Inputs-Proposals'!$M$19*('Inputs-Proposals'!$M$20))*(VLOOKUP(AT$3,Energy!$A$51:$K$83,5,FALSE))), $C67 = "2",('Inputs-System'!$C$30*'Coincidence Factors'!$B$7)*(1+'Inputs-System'!$C$18)*(1+'Inputs-System'!$C$41)*('Inputs-Proposals'!$M$23*'Inputs-Proposals'!$M$25*('Inputs-Proposals'!$M$26))*(VLOOKUP(AT$3,Energy!$A$51:$K$83,5,FALSE)), $C67= "3", ('Inputs-System'!$C$30*'Coincidence Factors'!$B$7*(1+'Inputs-System'!$C$18)*(1+'Inputs-System'!$C$41)*('Inputs-Proposals'!$M$29*'Inputs-Proposals'!$M$31*('Inputs-Proposals'!$M$32))*(VLOOKUP(AT$3,Energy!$A$51:$K$83,5,FALSE))), $C67= "0", 0), 0)</f>
        <v>0</v>
      </c>
      <c r="AU67" s="44">
        <f>IFERROR(_xlfn.IFS($C67="1",'Inputs-System'!$C$30*'Coincidence Factors'!$B$7*(1+'Inputs-System'!$C$18)*(1+'Inputs-System'!$C$41)*'Inputs-Proposals'!$M$17*'Inputs-Proposals'!$M$19*('Inputs-Proposals'!$M$20)*(VLOOKUP(AT$3,'Embedded Emissions'!$A$47:$B$78,2,FALSE)+VLOOKUP(AT$3,'Embedded Emissions'!$A$129:$B$158,2,FALSE)), $C67 = "2",'Inputs-System'!$C$30*'Coincidence Factors'!$B$7*(1+'Inputs-System'!$C$18)*(1+'Inputs-System'!$C$41)*'Inputs-Proposals'!$M$23*'Inputs-Proposals'!$M$25*('Inputs-Proposals'!$M$20)*(VLOOKUP(AT$3,'Embedded Emissions'!$A$47:$B$78,2,FALSE)+VLOOKUP(AT$3,'Embedded Emissions'!$A$129:$B$158,2,FALSE)), $C67 = "3", 'Inputs-System'!$C$30*'Coincidence Factors'!$B$7*(1+'Inputs-System'!$C$18)*(1+'Inputs-System'!$C$41)*'Inputs-Proposals'!$M$29*'Inputs-Proposals'!$M$31*('Inputs-Proposals'!$M$20)*(VLOOKUP(AT$3,'Embedded Emissions'!$A$47:$B$78,2,FALSE)+VLOOKUP(AT$3,'Embedded Emissions'!$A$129:$B$158,2,FALSE)), $C67 = "0", 0), 0)</f>
        <v>0</v>
      </c>
      <c r="AV67" s="44">
        <f>IFERROR(_xlfn.IFS($C67="1",( 'Inputs-System'!$C$30*'Coincidence Factors'!$B$7*(1+'Inputs-System'!$C$18)*(1+'Inputs-System'!$C$41))*('Inputs-Proposals'!$M$17*'Inputs-Proposals'!$M$19*('Inputs-Proposals'!$M$20))*(VLOOKUP(AT$3,DRIPE!$A$54:$I$82,5,FALSE)+VLOOKUP(AT$3,DRIPE!$A$54:$I$82,9,FALSE))+ ('Inputs-System'!$C$26*'Coincidence Factors'!$B$7*(1+'Inputs-System'!$C$18)*(1+'Inputs-System'!$C$42))*'Inputs-Proposals'!$M$16*VLOOKUP(AT$3,DRIPE!$A$54:$I$82,8,FALSE), $C67 = "2",( 'Inputs-System'!$C$30*'Coincidence Factors'!$B$7*(1+'Inputs-System'!$C$18)*(1+'Inputs-System'!$C$41))*('Inputs-Proposals'!$M$23*'Inputs-Proposals'!$M$25*('Inputs-Proposals'!$M$26))*(VLOOKUP(AT$3,DRIPE!$A$54:$I$82,5,FALSE)+VLOOKUP(AT$3,DRIPE!$A$54:$I$82,12,FALSE))+ ('Inputs-System'!$C$26*'Coincidence Factors'!$B$7*(1+'Inputs-System'!$C$18)*(1+'Inputs-System'!$C$42))*'Inputs-Proposals'!$M$22*VLOOKUP(AT$3,DRIPE!$A$54:$I$82,8,FALSE), $C67= "3", ( 'Inputs-System'!$C$30*'Coincidence Factors'!$B$7*(1+'Inputs-System'!$C$18)*(1+'Inputs-System'!$C$41))*('Inputs-Proposals'!$M$29*'Inputs-Proposals'!$M$31*('Inputs-Proposals'!$M$32))*(VLOOKUP(AT$3,DRIPE!$A$54:$I$82,5,FALSE)+VLOOKUP(AT$3,DRIPE!$A$54:$I$82,12,FALSE))+ ('Inputs-System'!$C$26*'Coincidence Factors'!$B$7*(1+'Inputs-System'!$C$18)*(1+'Inputs-System'!$C$42))*'Inputs-Proposals'!$M$28*VLOOKUP(AT$3,DRIPE!$A$54:$I$82,8,FALSE), $C67 = "0", 0), 0)</f>
        <v>0</v>
      </c>
      <c r="AW67" s="45">
        <f>IFERROR(_xlfn.IFS($C67="1",('Inputs-System'!$C$26*'Coincidence Factors'!$B$7*(1+'Inputs-System'!$C$18))*'Inputs-Proposals'!$M$16*(VLOOKUP(AT$3,Capacity!$A$53:$E$85,4,FALSE)*(1+'Inputs-System'!$C$42)+VLOOKUP(AT$3,Capacity!$A$53:$E$85,5,FALSE)*'Inputs-System'!$C$29*(1+'Inputs-System'!$C$43)), $C67 = "2", ('Inputs-System'!$C$26*'Coincidence Factors'!$B$7*(1+'Inputs-System'!$C$18))*'Inputs-Proposals'!$M$22*(VLOOKUP(AT$3,Capacity!$A$53:$E$85,4,FALSE)*(1+'Inputs-System'!$C$42)+VLOOKUP(AT$3,Capacity!$A$53:$E$85,5,FALSE)*'Inputs-System'!$C$29*(1+'Inputs-System'!$C$43)), $C67 = "3",('Inputs-System'!$C$26*'Coincidence Factors'!$B$7*(1+'Inputs-System'!$C$18))*'Inputs-Proposals'!$M$28*(VLOOKUP(AT$3,Capacity!$A$53:$E$85,4,FALSE)*(1+'Inputs-System'!$C$42)+VLOOKUP(AT$3,Capacity!$A$53:$E$85,5,FALSE)*'Inputs-System'!$C$29*(1+'Inputs-System'!$C$43)), $C67 = "0", 0), 0)</f>
        <v>0</v>
      </c>
      <c r="AX67" s="44">
        <v>0</v>
      </c>
      <c r="AY67" s="342">
        <f>IFERROR(_xlfn.IFS($C67="1", 'Inputs-System'!$C$30*'Coincidence Factors'!$B$7*'Inputs-Proposals'!$M$17*'Inputs-Proposals'!$M$19*(VLOOKUP(AT$3,'Non-Embedded Emissions'!$A$56:$D$90,2,FALSE)+VLOOKUP(AT$3,'Non-Embedded Emissions'!$A$143:$D$174,2,FALSE)+VLOOKUP(AT$3,'Non-Embedded Emissions'!$A$230:$D$259,2,FALSE)), $C67 = "2", 'Inputs-System'!$C$30*'Coincidence Factors'!$B$7*'Inputs-Proposals'!$M$23*'Inputs-Proposals'!$M$25*(VLOOKUP(AT$3,'Non-Embedded Emissions'!$A$56:$D$90,2,FALSE)+VLOOKUP(AT$3,'Non-Embedded Emissions'!$A$143:$D$174,2,FALSE)+VLOOKUP(AT$3,'Non-Embedded Emissions'!$A$230:$D$259,2,FALSE)), $C67 = "3", 'Inputs-System'!$C$30*'Coincidence Factors'!$B$7*'Inputs-Proposals'!$M$29*'Inputs-Proposals'!$M$31*(VLOOKUP(AT$3,'Non-Embedded Emissions'!$A$56:$D$90,2,FALSE)+VLOOKUP(AT$3,'Non-Embedded Emissions'!$A$143:$D$174,2,FALSE)+VLOOKUP(AT$3,'Non-Embedded Emissions'!$A$230:$D$259,2,FALSE)), $C67 = "0", 0), 0)</f>
        <v>0</v>
      </c>
      <c r="AZ67" s="347">
        <f>IFERROR(_xlfn.IFS($C67="1",('Inputs-System'!$C$30*'Coincidence Factors'!$B$7*(1+'Inputs-System'!$C$18)*(1+'Inputs-System'!$C$41)*('Inputs-Proposals'!$M$17*'Inputs-Proposals'!$M$19*('Inputs-Proposals'!$M$20))*(VLOOKUP(AZ$3,Energy!$A$51:$K$83,5,FALSE))), $C67 = "2",('Inputs-System'!$C$30*'Coincidence Factors'!$B$7)*(1+'Inputs-System'!$C$18)*(1+'Inputs-System'!$C$41)*('Inputs-Proposals'!$M$23*'Inputs-Proposals'!$M$25*('Inputs-Proposals'!$M$26))*(VLOOKUP(AZ$3,Energy!$A$51:$K$83,5,FALSE)), $C67= "3", ('Inputs-System'!$C$30*'Coincidence Factors'!$B$7*(1+'Inputs-System'!$C$18)*(1+'Inputs-System'!$C$41)*('Inputs-Proposals'!$M$29*'Inputs-Proposals'!$M$31*('Inputs-Proposals'!$M$32))*(VLOOKUP(AZ$3,Energy!$A$51:$K$83,5,FALSE))), $C67= "0", 0), 0)</f>
        <v>0</v>
      </c>
      <c r="BA67" s="44">
        <f>IFERROR(_xlfn.IFS($C67="1",'Inputs-System'!$C$30*'Coincidence Factors'!$B$7*(1+'Inputs-System'!$C$18)*(1+'Inputs-System'!$C$41)*'Inputs-Proposals'!$M$17*'Inputs-Proposals'!$M$19*('Inputs-Proposals'!$M$20)*(VLOOKUP(AZ$3,'Embedded Emissions'!$A$47:$B$78,2,FALSE)+VLOOKUP(AZ$3,'Embedded Emissions'!$A$129:$B$158,2,FALSE)), $C67 = "2",'Inputs-System'!$C$30*'Coincidence Factors'!$B$7*(1+'Inputs-System'!$C$18)*(1+'Inputs-System'!$C$41)*'Inputs-Proposals'!$M$23*'Inputs-Proposals'!$M$25*('Inputs-Proposals'!$M$20)*(VLOOKUP(AZ$3,'Embedded Emissions'!$A$47:$B$78,2,FALSE)+VLOOKUP(AZ$3,'Embedded Emissions'!$A$129:$B$158,2,FALSE)), $C67 = "3", 'Inputs-System'!$C$30*'Coincidence Factors'!$B$7*(1+'Inputs-System'!$C$18)*(1+'Inputs-System'!$C$41)*'Inputs-Proposals'!$M$29*'Inputs-Proposals'!$M$31*('Inputs-Proposals'!$M$20)*(VLOOKUP(AZ$3,'Embedded Emissions'!$A$47:$B$78,2,FALSE)+VLOOKUP(AZ$3,'Embedded Emissions'!$A$129:$B$158,2,FALSE)), $C67 = "0", 0), 0)</f>
        <v>0</v>
      </c>
      <c r="BB67" s="44">
        <f>IFERROR(_xlfn.IFS($C67="1",( 'Inputs-System'!$C$30*'Coincidence Factors'!$B$7*(1+'Inputs-System'!$C$18)*(1+'Inputs-System'!$C$41))*('Inputs-Proposals'!$M$17*'Inputs-Proposals'!$M$19*('Inputs-Proposals'!$M$20))*(VLOOKUP(AZ$3,DRIPE!$A$54:$I$82,5,FALSE)+VLOOKUP(AZ$3,DRIPE!$A$54:$I$82,9,FALSE))+ ('Inputs-System'!$C$26*'Coincidence Factors'!$B$7*(1+'Inputs-System'!$C$18)*(1+'Inputs-System'!$C$42))*'Inputs-Proposals'!$M$16*VLOOKUP(AZ$3,DRIPE!$A$54:$I$82,8,FALSE), $C67 = "2",( 'Inputs-System'!$C$30*'Coincidence Factors'!$B$7*(1+'Inputs-System'!$C$18)*(1+'Inputs-System'!$C$41))*('Inputs-Proposals'!$M$23*'Inputs-Proposals'!$M$25*('Inputs-Proposals'!$M$26))*(VLOOKUP(AZ$3,DRIPE!$A$54:$I$82,5,FALSE)+VLOOKUP(AZ$3,DRIPE!$A$54:$I$82,12,FALSE))+ ('Inputs-System'!$C$26*'Coincidence Factors'!$B$7*(1+'Inputs-System'!$C$18)*(1+'Inputs-System'!$C$42))*'Inputs-Proposals'!$M$22*VLOOKUP(AZ$3,DRIPE!$A$54:$I$82,8,FALSE), $C67= "3", ( 'Inputs-System'!$C$30*'Coincidence Factors'!$B$7*(1+'Inputs-System'!$C$18)*(1+'Inputs-System'!$C$41))*('Inputs-Proposals'!$M$29*'Inputs-Proposals'!$M$31*('Inputs-Proposals'!$M$32))*(VLOOKUP(AZ$3,DRIPE!$A$54:$I$82,5,FALSE)+VLOOKUP(AZ$3,DRIPE!$A$54:$I$82,12,FALSE))+ ('Inputs-System'!$C$26*'Coincidence Factors'!$B$7*(1+'Inputs-System'!$C$18)*(1+'Inputs-System'!$C$42))*'Inputs-Proposals'!$M$28*VLOOKUP(AZ$3,DRIPE!$A$54:$I$82,8,FALSE), $C67 = "0", 0), 0)</f>
        <v>0</v>
      </c>
      <c r="BC67" s="45">
        <f>IFERROR(_xlfn.IFS($C67="1",('Inputs-System'!$C$26*'Coincidence Factors'!$B$7*(1+'Inputs-System'!$C$18))*'Inputs-Proposals'!$M$16*(VLOOKUP(AZ$3,Capacity!$A$53:$E$85,4,FALSE)*(1+'Inputs-System'!$C$42)+VLOOKUP(AZ$3,Capacity!$A$53:$E$85,5,FALSE)*'Inputs-System'!$C$29*(1+'Inputs-System'!$C$43)), $C67 = "2", ('Inputs-System'!$C$26*'Coincidence Factors'!$B$7*(1+'Inputs-System'!$C$18))*'Inputs-Proposals'!$M$22*(VLOOKUP(AZ$3,Capacity!$A$53:$E$85,4,FALSE)*(1+'Inputs-System'!$C$42)+VLOOKUP(AZ$3,Capacity!$A$53:$E$85,5,FALSE)*'Inputs-System'!$C$29*(1+'Inputs-System'!$C$43)), $C67 = "3",('Inputs-System'!$C$26*'Coincidence Factors'!$B$7*(1+'Inputs-System'!$C$18))*'Inputs-Proposals'!$M$28*(VLOOKUP(AZ$3,Capacity!$A$53:$E$85,4,FALSE)*(1+'Inputs-System'!$C$42)+VLOOKUP(AZ$3,Capacity!$A$53:$E$85,5,FALSE)*'Inputs-System'!$C$29*(1+'Inputs-System'!$C$43)), $C67 = "0", 0), 0)</f>
        <v>0</v>
      </c>
      <c r="BD67" s="44">
        <v>0</v>
      </c>
      <c r="BE67" s="342">
        <f>IFERROR(_xlfn.IFS($C67="1", 'Inputs-System'!$C$30*'Coincidence Factors'!$B$7*'Inputs-Proposals'!$M$17*'Inputs-Proposals'!$M$19*(VLOOKUP(AZ$3,'Non-Embedded Emissions'!$A$56:$D$90,2,FALSE)+VLOOKUP(AZ$3,'Non-Embedded Emissions'!$A$143:$D$174,2,FALSE)+VLOOKUP(AZ$3,'Non-Embedded Emissions'!$A$230:$D$259,2,FALSE)), $C67 = "2", 'Inputs-System'!$C$30*'Coincidence Factors'!$B$7*'Inputs-Proposals'!$M$23*'Inputs-Proposals'!$M$25*(VLOOKUP(AZ$3,'Non-Embedded Emissions'!$A$56:$D$90,2,FALSE)+VLOOKUP(AZ$3,'Non-Embedded Emissions'!$A$143:$D$174,2,FALSE)+VLOOKUP(AZ$3,'Non-Embedded Emissions'!$A$230:$D$259,2,FALSE)), $C67 = "3", 'Inputs-System'!$C$30*'Coincidence Factors'!$B$7*'Inputs-Proposals'!$M$29*'Inputs-Proposals'!$M$31*(VLOOKUP(AZ$3,'Non-Embedded Emissions'!$A$56:$D$90,2,FALSE)+VLOOKUP(AZ$3,'Non-Embedded Emissions'!$A$143:$D$174,2,FALSE)+VLOOKUP(AZ$3,'Non-Embedded Emissions'!$A$230:$D$259,2,FALSE)), $C67 = "0", 0), 0)</f>
        <v>0</v>
      </c>
      <c r="BF67" s="347">
        <f>IFERROR(_xlfn.IFS($C67="1",('Inputs-System'!$C$30*'Coincidence Factors'!$B$7*(1+'Inputs-System'!$C$18)*(1+'Inputs-System'!$C$41)*('Inputs-Proposals'!$M$17*'Inputs-Proposals'!$M$19*('Inputs-Proposals'!$M$20))*(VLOOKUP(BF$3,Energy!$A$51:$K$83,5,FALSE))), $C67 = "2",('Inputs-System'!$C$30*'Coincidence Factors'!$B$7)*(1+'Inputs-System'!$C$18)*(1+'Inputs-System'!$C$41)*('Inputs-Proposals'!$M$23*'Inputs-Proposals'!$M$25*('Inputs-Proposals'!$M$26))*(VLOOKUP(BF$3,Energy!$A$51:$K$83,5,FALSE)), $C67= "3", ('Inputs-System'!$C$30*'Coincidence Factors'!$B$7*(1+'Inputs-System'!$C$18)*(1+'Inputs-System'!$C$41)*('Inputs-Proposals'!$M$29*'Inputs-Proposals'!$M$31*('Inputs-Proposals'!$M$32))*(VLOOKUP(BF$3,Energy!$A$51:$K$83,5,FALSE))), $C67= "0", 0), 0)</f>
        <v>0</v>
      </c>
      <c r="BG67" s="44">
        <f>IFERROR(_xlfn.IFS($C67="1",'Inputs-System'!$C$30*'Coincidence Factors'!$B$7*(1+'Inputs-System'!$C$18)*(1+'Inputs-System'!$C$41)*'Inputs-Proposals'!$M$17*'Inputs-Proposals'!$M$19*('Inputs-Proposals'!$M$20)*(VLOOKUP(BF$3,'Embedded Emissions'!$A$47:$B$78,2,FALSE)+VLOOKUP(BF$3,'Embedded Emissions'!$A$129:$B$158,2,FALSE)), $C67 = "2",'Inputs-System'!$C$30*'Coincidence Factors'!$B$7*(1+'Inputs-System'!$C$18)*(1+'Inputs-System'!$C$41)*'Inputs-Proposals'!$M$23*'Inputs-Proposals'!$M$25*('Inputs-Proposals'!$M$20)*(VLOOKUP(BF$3,'Embedded Emissions'!$A$47:$B$78,2,FALSE)+VLOOKUP(BF$3,'Embedded Emissions'!$A$129:$B$158,2,FALSE)), $C67 = "3", 'Inputs-System'!$C$30*'Coincidence Factors'!$B$7*(1+'Inputs-System'!$C$18)*(1+'Inputs-System'!$C$41)*'Inputs-Proposals'!$M$29*'Inputs-Proposals'!$M$31*('Inputs-Proposals'!$M$20)*(VLOOKUP(BF$3,'Embedded Emissions'!$A$47:$B$78,2,FALSE)+VLOOKUP(BF$3,'Embedded Emissions'!$A$129:$B$158,2,FALSE)), $C67 = "0", 0), 0)</f>
        <v>0</v>
      </c>
      <c r="BH67" s="44">
        <f>IFERROR(_xlfn.IFS($C67="1",( 'Inputs-System'!$C$30*'Coincidence Factors'!$B$7*(1+'Inputs-System'!$C$18)*(1+'Inputs-System'!$C$41))*('Inputs-Proposals'!$M$17*'Inputs-Proposals'!$M$19*('Inputs-Proposals'!$M$20))*(VLOOKUP(BF$3,DRIPE!$A$54:$I$82,5,FALSE)+VLOOKUP(BF$3,DRIPE!$A$54:$I$82,9,FALSE))+ ('Inputs-System'!$C$26*'Coincidence Factors'!$B$7*(1+'Inputs-System'!$C$18)*(1+'Inputs-System'!$C$42))*'Inputs-Proposals'!$M$16*VLOOKUP(BF$3,DRIPE!$A$54:$I$82,8,FALSE), $C67 = "2",( 'Inputs-System'!$C$30*'Coincidence Factors'!$B$7*(1+'Inputs-System'!$C$18)*(1+'Inputs-System'!$C$41))*('Inputs-Proposals'!$M$23*'Inputs-Proposals'!$M$25*('Inputs-Proposals'!$M$26))*(VLOOKUP(BF$3,DRIPE!$A$54:$I$82,5,FALSE)+VLOOKUP(BF$3,DRIPE!$A$54:$I$82,12,FALSE))+ ('Inputs-System'!$C$26*'Coincidence Factors'!$B$7*(1+'Inputs-System'!$C$18)*(1+'Inputs-System'!$C$42))*'Inputs-Proposals'!$M$22*VLOOKUP(BF$3,DRIPE!$A$54:$I$82,8,FALSE), $C67= "3", ( 'Inputs-System'!$C$30*'Coincidence Factors'!$B$7*(1+'Inputs-System'!$C$18)*(1+'Inputs-System'!$C$41))*('Inputs-Proposals'!$M$29*'Inputs-Proposals'!$M$31*('Inputs-Proposals'!$M$32))*(VLOOKUP(BF$3,DRIPE!$A$54:$I$82,5,FALSE)+VLOOKUP(BF$3,DRIPE!$A$54:$I$82,12,FALSE))+ ('Inputs-System'!$C$26*'Coincidence Factors'!$B$7*(1+'Inputs-System'!$C$18)*(1+'Inputs-System'!$C$42))*'Inputs-Proposals'!$M$28*VLOOKUP(BF$3,DRIPE!$A$54:$I$82,8,FALSE), $C67 = "0", 0), 0)</f>
        <v>0</v>
      </c>
      <c r="BI67" s="45">
        <f>IFERROR(_xlfn.IFS($C67="1",('Inputs-System'!$C$26*'Coincidence Factors'!$B$7*(1+'Inputs-System'!$C$18))*'Inputs-Proposals'!$M$16*(VLOOKUP(BF$3,Capacity!$A$53:$E$85,4,FALSE)*(1+'Inputs-System'!$C$42)+VLOOKUP(BF$3,Capacity!$A$53:$E$85,5,FALSE)*'Inputs-System'!$C$29*(1+'Inputs-System'!$C$43)), $C67 = "2", ('Inputs-System'!$C$26*'Coincidence Factors'!$B$7*(1+'Inputs-System'!$C$18))*'Inputs-Proposals'!$M$22*(VLOOKUP(BF$3,Capacity!$A$53:$E$85,4,FALSE)*(1+'Inputs-System'!$C$42)+VLOOKUP(BF$3,Capacity!$A$53:$E$85,5,FALSE)*'Inputs-System'!$C$29*(1+'Inputs-System'!$C$43)), $C67 = "3",('Inputs-System'!$C$26*'Coincidence Factors'!$B$7*(1+'Inputs-System'!$C$18))*'Inputs-Proposals'!$M$28*(VLOOKUP(BF$3,Capacity!$A$53:$E$85,4,FALSE)*(1+'Inputs-System'!$C$42)+VLOOKUP(BF$3,Capacity!$A$53:$E$85,5,FALSE)*'Inputs-System'!$C$29*(1+'Inputs-System'!$C$43)), $C67 = "0", 0), 0)</f>
        <v>0</v>
      </c>
      <c r="BJ67" s="44">
        <v>0</v>
      </c>
      <c r="BK67" s="342">
        <f>IFERROR(_xlfn.IFS($C67="1", 'Inputs-System'!$C$30*'Coincidence Factors'!$B$7*'Inputs-Proposals'!$M$17*'Inputs-Proposals'!$M$19*(VLOOKUP(BF$3,'Non-Embedded Emissions'!$A$56:$D$90,2,FALSE)+VLOOKUP(BF$3,'Non-Embedded Emissions'!$A$143:$D$174,2,FALSE)+VLOOKUP(BF$3,'Non-Embedded Emissions'!$A$230:$D$259,2,FALSE)), $C67 = "2", 'Inputs-System'!$C$30*'Coincidence Factors'!$B$7*'Inputs-Proposals'!$M$23*'Inputs-Proposals'!$M$25*(VLOOKUP(BF$3,'Non-Embedded Emissions'!$A$56:$D$90,2,FALSE)+VLOOKUP(BF$3,'Non-Embedded Emissions'!$A$143:$D$174,2,FALSE)+VLOOKUP(BF$3,'Non-Embedded Emissions'!$A$230:$D$259,2,FALSE)), $C67 = "3", 'Inputs-System'!$C$30*'Coincidence Factors'!$B$7*'Inputs-Proposals'!$M$29*'Inputs-Proposals'!$M$31*(VLOOKUP(BF$3,'Non-Embedded Emissions'!$A$56:$D$90,2,FALSE)+VLOOKUP(BF$3,'Non-Embedded Emissions'!$A$143:$D$174,2,FALSE)+VLOOKUP(BF$3,'Non-Embedded Emissions'!$A$230:$D$259,2,FALSE)), $C67 = "0", 0), 0)</f>
        <v>0</v>
      </c>
      <c r="BL67" s="347">
        <f>IFERROR(_xlfn.IFS($C67="1",('Inputs-System'!$C$30*'Coincidence Factors'!$B$7*(1+'Inputs-System'!$C$18)*(1+'Inputs-System'!$C$41)*('Inputs-Proposals'!$M$17*'Inputs-Proposals'!$M$19*('Inputs-Proposals'!$M$20))*(VLOOKUP(BL$3,Energy!$A$51:$K$83,5,FALSE))), $C67 = "2",('Inputs-System'!$C$30*'Coincidence Factors'!$B$7)*(1+'Inputs-System'!$C$18)*(1+'Inputs-System'!$C$41)*('Inputs-Proposals'!$M$23*'Inputs-Proposals'!$M$25*('Inputs-Proposals'!$M$26))*(VLOOKUP(BL$3,Energy!$A$51:$K$83,5,FALSE)), $C67= "3", ('Inputs-System'!$C$30*'Coincidence Factors'!$B$7*(1+'Inputs-System'!$C$18)*(1+'Inputs-System'!$C$41)*('Inputs-Proposals'!$M$29*'Inputs-Proposals'!$M$31*('Inputs-Proposals'!$M$32))*(VLOOKUP(BL$3,Energy!$A$51:$K$83,5,FALSE))), $C67= "0", 0), 0)</f>
        <v>0</v>
      </c>
      <c r="BM67" s="44">
        <f>IFERROR(_xlfn.IFS($C67="1",'Inputs-System'!$C$30*'Coincidence Factors'!$B$7*(1+'Inputs-System'!$C$18)*(1+'Inputs-System'!$C$41)*'Inputs-Proposals'!$M$17*'Inputs-Proposals'!$M$19*('Inputs-Proposals'!$M$20)*(VLOOKUP(BL$3,'Embedded Emissions'!$A$47:$B$78,2,FALSE)+VLOOKUP(BL$3,'Embedded Emissions'!$A$129:$B$158,2,FALSE)), $C67 = "2",'Inputs-System'!$C$30*'Coincidence Factors'!$B$7*(1+'Inputs-System'!$C$18)*(1+'Inputs-System'!$C$41)*'Inputs-Proposals'!$M$23*'Inputs-Proposals'!$M$25*('Inputs-Proposals'!$M$20)*(VLOOKUP(BL$3,'Embedded Emissions'!$A$47:$B$78,2,FALSE)+VLOOKUP(BL$3,'Embedded Emissions'!$A$129:$B$158,2,FALSE)), $C67 = "3", 'Inputs-System'!$C$30*'Coincidence Factors'!$B$7*(1+'Inputs-System'!$C$18)*(1+'Inputs-System'!$C$41)*'Inputs-Proposals'!$M$29*'Inputs-Proposals'!$M$31*('Inputs-Proposals'!$M$20)*(VLOOKUP(BL$3,'Embedded Emissions'!$A$47:$B$78,2,FALSE)+VLOOKUP(BL$3,'Embedded Emissions'!$A$129:$B$158,2,FALSE)), $C67 = "0", 0), 0)</f>
        <v>0</v>
      </c>
      <c r="BN67" s="44">
        <f>IFERROR(_xlfn.IFS($C67="1",( 'Inputs-System'!$C$30*'Coincidence Factors'!$B$7*(1+'Inputs-System'!$C$18)*(1+'Inputs-System'!$C$41))*('Inputs-Proposals'!$M$17*'Inputs-Proposals'!$M$19*('Inputs-Proposals'!$M$20))*(VLOOKUP(BL$3,DRIPE!$A$54:$I$82,5,FALSE)+VLOOKUP(BL$3,DRIPE!$A$54:$I$82,9,FALSE))+ ('Inputs-System'!$C$26*'Coincidence Factors'!$B$7*(1+'Inputs-System'!$C$18)*(1+'Inputs-System'!$C$42))*'Inputs-Proposals'!$M$16*VLOOKUP(BL$3,DRIPE!$A$54:$I$82,8,FALSE), $C67 = "2",( 'Inputs-System'!$C$30*'Coincidence Factors'!$B$7*(1+'Inputs-System'!$C$18)*(1+'Inputs-System'!$C$41))*('Inputs-Proposals'!$M$23*'Inputs-Proposals'!$M$25*('Inputs-Proposals'!$M$26))*(VLOOKUP(BL$3,DRIPE!$A$54:$I$82,5,FALSE)+VLOOKUP(BL$3,DRIPE!$A$54:$I$82,12,FALSE))+ ('Inputs-System'!$C$26*'Coincidence Factors'!$B$7*(1+'Inputs-System'!$C$18)*(1+'Inputs-System'!$C$42))*'Inputs-Proposals'!$M$22*VLOOKUP(BL$3,DRIPE!$A$54:$I$82,8,FALSE), $C67= "3", ( 'Inputs-System'!$C$30*'Coincidence Factors'!$B$7*(1+'Inputs-System'!$C$18)*(1+'Inputs-System'!$C$41))*('Inputs-Proposals'!$M$29*'Inputs-Proposals'!$M$31*('Inputs-Proposals'!$M$32))*(VLOOKUP(BL$3,DRIPE!$A$54:$I$82,5,FALSE)+VLOOKUP(BL$3,DRIPE!$A$54:$I$82,12,FALSE))+ ('Inputs-System'!$C$26*'Coincidence Factors'!$B$7*(1+'Inputs-System'!$C$18)*(1+'Inputs-System'!$C$42))*'Inputs-Proposals'!$M$28*VLOOKUP(BL$3,DRIPE!$A$54:$I$82,8,FALSE), $C67 = "0", 0), 0)</f>
        <v>0</v>
      </c>
      <c r="BO67" s="45">
        <f>IFERROR(_xlfn.IFS($C67="1",('Inputs-System'!$C$26*'Coincidence Factors'!$B$7*(1+'Inputs-System'!$C$18))*'Inputs-Proposals'!$M$16*(VLOOKUP(BL$3,Capacity!$A$53:$E$85,4,FALSE)*(1+'Inputs-System'!$C$42)+VLOOKUP(BL$3,Capacity!$A$53:$E$85,5,FALSE)*'Inputs-System'!$C$29*(1+'Inputs-System'!$C$43)), $C67 = "2", ('Inputs-System'!$C$26*'Coincidence Factors'!$B$7*(1+'Inputs-System'!$C$18))*'Inputs-Proposals'!$M$22*(VLOOKUP(BL$3,Capacity!$A$53:$E$85,4,FALSE)*(1+'Inputs-System'!$C$42)+VLOOKUP(BL$3,Capacity!$A$53:$E$85,5,FALSE)*'Inputs-System'!$C$29*(1+'Inputs-System'!$C$43)), $C67 = "3",('Inputs-System'!$C$26*'Coincidence Factors'!$B$7*(1+'Inputs-System'!$C$18))*'Inputs-Proposals'!$M$28*(VLOOKUP(BL$3,Capacity!$A$53:$E$85,4,FALSE)*(1+'Inputs-System'!$C$42)+VLOOKUP(BL$3,Capacity!$A$53:$E$85,5,FALSE)*'Inputs-System'!$C$29*(1+'Inputs-System'!$C$43)), $C67 = "0", 0), 0)</f>
        <v>0</v>
      </c>
      <c r="BP67" s="44">
        <v>0</v>
      </c>
      <c r="BQ67" s="342">
        <f>IFERROR(_xlfn.IFS($C67="1", 'Inputs-System'!$C$30*'Coincidence Factors'!$B$7*'Inputs-Proposals'!$M$17*'Inputs-Proposals'!$M$19*(VLOOKUP(BL$3,'Non-Embedded Emissions'!$A$56:$D$90,2,FALSE)+VLOOKUP(BL$3,'Non-Embedded Emissions'!$A$143:$D$174,2,FALSE)+VLOOKUP(BL$3,'Non-Embedded Emissions'!$A$230:$D$259,2,FALSE)), $C67 = "2", 'Inputs-System'!$C$30*'Coincidence Factors'!$B$7*'Inputs-Proposals'!$M$23*'Inputs-Proposals'!$M$25*(VLOOKUP(BL$3,'Non-Embedded Emissions'!$A$56:$D$90,2,FALSE)+VLOOKUP(BL$3,'Non-Embedded Emissions'!$A$143:$D$174,2,FALSE)+VLOOKUP(BL$3,'Non-Embedded Emissions'!$A$230:$D$259,2,FALSE)), $C67 = "3", 'Inputs-System'!$C$30*'Coincidence Factors'!$B$7*'Inputs-Proposals'!$M$29*'Inputs-Proposals'!$M$31*(VLOOKUP(BL$3,'Non-Embedded Emissions'!$A$56:$D$90,2,FALSE)+VLOOKUP(BL$3,'Non-Embedded Emissions'!$A$143:$D$174,2,FALSE)+VLOOKUP(BL$3,'Non-Embedded Emissions'!$A$230:$D$259,2,FALSE)), $C67 = "0", 0), 0)</f>
        <v>0</v>
      </c>
      <c r="BR67" s="347">
        <f>IFERROR(_xlfn.IFS($C67="1",('Inputs-System'!$C$30*'Coincidence Factors'!$B$7*(1+'Inputs-System'!$C$18)*(1+'Inputs-System'!$C$41)*('Inputs-Proposals'!$M$17*'Inputs-Proposals'!$M$19*('Inputs-Proposals'!$M$20))*(VLOOKUP(BR$3,Energy!$A$51:$K$83,5,FALSE))), $C67 = "2",('Inputs-System'!$C$30*'Coincidence Factors'!$B$7)*(1+'Inputs-System'!$C$18)*(1+'Inputs-System'!$C$41)*('Inputs-Proposals'!$M$23*'Inputs-Proposals'!$M$25*('Inputs-Proposals'!$M$26))*(VLOOKUP(BR$3,Energy!$A$51:$K$83,5,FALSE)), $C67= "3", ('Inputs-System'!$C$30*'Coincidence Factors'!$B$7*(1+'Inputs-System'!$C$18)*(1+'Inputs-System'!$C$41)*('Inputs-Proposals'!$M$29*'Inputs-Proposals'!$M$31*('Inputs-Proposals'!$M$32))*(VLOOKUP(BR$3,Energy!$A$51:$K$83,5,FALSE))), $C67= "0", 0), 0)</f>
        <v>0</v>
      </c>
      <c r="BS67" s="44">
        <f>IFERROR(_xlfn.IFS($C67="1",'Inputs-System'!$C$30*'Coincidence Factors'!$B$7*(1+'Inputs-System'!$C$18)*(1+'Inputs-System'!$C$41)*'Inputs-Proposals'!$M$17*'Inputs-Proposals'!$M$19*('Inputs-Proposals'!$M$20)*(VLOOKUP(BR$3,'Embedded Emissions'!$A$47:$B$78,2,FALSE)+VLOOKUP(BR$3,'Embedded Emissions'!$A$129:$B$158,2,FALSE)), $C67 = "2",'Inputs-System'!$C$30*'Coincidence Factors'!$B$7*(1+'Inputs-System'!$C$18)*(1+'Inputs-System'!$C$41)*'Inputs-Proposals'!$M$23*'Inputs-Proposals'!$M$25*('Inputs-Proposals'!$M$20)*(VLOOKUP(BR$3,'Embedded Emissions'!$A$47:$B$78,2,FALSE)+VLOOKUP(BR$3,'Embedded Emissions'!$A$129:$B$158,2,FALSE)), $C67 = "3", 'Inputs-System'!$C$30*'Coincidence Factors'!$B$7*(1+'Inputs-System'!$C$18)*(1+'Inputs-System'!$C$41)*'Inputs-Proposals'!$M$29*'Inputs-Proposals'!$M$31*('Inputs-Proposals'!$M$20)*(VLOOKUP(BR$3,'Embedded Emissions'!$A$47:$B$78,2,FALSE)+VLOOKUP(BR$3,'Embedded Emissions'!$A$129:$B$158,2,FALSE)), $C67 = "0", 0), 0)</f>
        <v>0</v>
      </c>
      <c r="BT67" s="44">
        <f>IFERROR(_xlfn.IFS($C67="1",( 'Inputs-System'!$C$30*'Coincidence Factors'!$B$7*(1+'Inputs-System'!$C$18)*(1+'Inputs-System'!$C$41))*('Inputs-Proposals'!$M$17*'Inputs-Proposals'!$M$19*('Inputs-Proposals'!$M$20))*(VLOOKUP(BR$3,DRIPE!$A$54:$I$82,5,FALSE)+VLOOKUP(BR$3,DRIPE!$A$54:$I$82,9,FALSE))+ ('Inputs-System'!$C$26*'Coincidence Factors'!$B$7*(1+'Inputs-System'!$C$18)*(1+'Inputs-System'!$C$42))*'Inputs-Proposals'!$M$16*VLOOKUP(BR$3,DRIPE!$A$54:$I$82,8,FALSE), $C67 = "2",( 'Inputs-System'!$C$30*'Coincidence Factors'!$B$7*(1+'Inputs-System'!$C$18)*(1+'Inputs-System'!$C$41))*('Inputs-Proposals'!$M$23*'Inputs-Proposals'!$M$25*('Inputs-Proposals'!$M$26))*(VLOOKUP(BR$3,DRIPE!$A$54:$I$82,5,FALSE)+VLOOKUP(BR$3,DRIPE!$A$54:$I$82,12,FALSE))+ ('Inputs-System'!$C$26*'Coincidence Factors'!$B$7*(1+'Inputs-System'!$C$18)*(1+'Inputs-System'!$C$42))*'Inputs-Proposals'!$M$22*VLOOKUP(BR$3,DRIPE!$A$54:$I$82,8,FALSE), $C67= "3", ( 'Inputs-System'!$C$30*'Coincidence Factors'!$B$7*(1+'Inputs-System'!$C$18)*(1+'Inputs-System'!$C$41))*('Inputs-Proposals'!$M$29*'Inputs-Proposals'!$M$31*('Inputs-Proposals'!$M$32))*(VLOOKUP(BR$3,DRIPE!$A$54:$I$82,5,FALSE)+VLOOKUP(BR$3,DRIPE!$A$54:$I$82,12,FALSE))+ ('Inputs-System'!$C$26*'Coincidence Factors'!$B$7*(1+'Inputs-System'!$C$18)*(1+'Inputs-System'!$C$42))*'Inputs-Proposals'!$M$28*VLOOKUP(BR$3,DRIPE!$A$54:$I$82,8,FALSE), $C67 = "0", 0), 0)</f>
        <v>0</v>
      </c>
      <c r="BU67" s="45">
        <f>IFERROR(_xlfn.IFS($C67="1",('Inputs-System'!$C$26*'Coincidence Factors'!$B$7*(1+'Inputs-System'!$C$18))*'Inputs-Proposals'!$M$16*(VLOOKUP(BR$3,Capacity!$A$53:$E$85,4,FALSE)*(1+'Inputs-System'!$C$42)+VLOOKUP(BR$3,Capacity!$A$53:$E$85,5,FALSE)*'Inputs-System'!$C$29*(1+'Inputs-System'!$C$43)), $C67 = "2", ('Inputs-System'!$C$26*'Coincidence Factors'!$B$7*(1+'Inputs-System'!$C$18))*'Inputs-Proposals'!$M$22*(VLOOKUP(BR$3,Capacity!$A$53:$E$85,4,FALSE)*(1+'Inputs-System'!$C$42)+VLOOKUP(BR$3,Capacity!$A$53:$E$85,5,FALSE)*'Inputs-System'!$C$29*(1+'Inputs-System'!$C$43)), $C67 = "3",('Inputs-System'!$C$26*'Coincidence Factors'!$B$7*(1+'Inputs-System'!$C$18))*'Inputs-Proposals'!$M$28*(VLOOKUP(BR$3,Capacity!$A$53:$E$85,4,FALSE)*(1+'Inputs-System'!$C$42)+VLOOKUP(BR$3,Capacity!$A$53:$E$85,5,FALSE)*'Inputs-System'!$C$29*(1+'Inputs-System'!$C$43)), $C67 = "0", 0), 0)</f>
        <v>0</v>
      </c>
      <c r="BV67" s="44">
        <v>0</v>
      </c>
      <c r="BW67" s="342">
        <f>IFERROR(_xlfn.IFS($C67="1", 'Inputs-System'!$C$30*'Coincidence Factors'!$B$7*'Inputs-Proposals'!$M$17*'Inputs-Proposals'!$M$19*(VLOOKUP(BR$3,'Non-Embedded Emissions'!$A$56:$D$90,2,FALSE)+VLOOKUP(BR$3,'Non-Embedded Emissions'!$A$143:$D$174,2,FALSE)+VLOOKUP(BR$3,'Non-Embedded Emissions'!$A$230:$D$259,2,FALSE)), $C67 = "2", 'Inputs-System'!$C$30*'Coincidence Factors'!$B$7*'Inputs-Proposals'!$M$23*'Inputs-Proposals'!$M$25*(VLOOKUP(BR$3,'Non-Embedded Emissions'!$A$56:$D$90,2,FALSE)+VLOOKUP(BR$3,'Non-Embedded Emissions'!$A$143:$D$174,2,FALSE)+VLOOKUP(BR$3,'Non-Embedded Emissions'!$A$230:$D$259,2,FALSE)), $C67 = "3", 'Inputs-System'!$C$30*'Coincidence Factors'!$B$7*'Inputs-Proposals'!$M$29*'Inputs-Proposals'!$M$31*(VLOOKUP(BR$3,'Non-Embedded Emissions'!$A$56:$D$90,2,FALSE)+VLOOKUP(BR$3,'Non-Embedded Emissions'!$A$143:$D$174,2,FALSE)+VLOOKUP(BR$3,'Non-Embedded Emissions'!$A$230:$D$259,2,FALSE)), $C67 = "0", 0), 0)</f>
        <v>0</v>
      </c>
      <c r="BX67" s="347">
        <f>IFERROR(_xlfn.IFS($C67="1",('Inputs-System'!$C$30*'Coincidence Factors'!$B$7*(1+'Inputs-System'!$C$18)*(1+'Inputs-System'!$C$41)*('Inputs-Proposals'!$M$17*'Inputs-Proposals'!$M$19*('Inputs-Proposals'!$M$20))*(VLOOKUP(BX$3,Energy!$A$51:$K$83,5,FALSE))), $C67 = "2",('Inputs-System'!$C$30*'Coincidence Factors'!$B$7)*(1+'Inputs-System'!$C$18)*(1+'Inputs-System'!$C$41)*('Inputs-Proposals'!$M$23*'Inputs-Proposals'!$M$25*('Inputs-Proposals'!$M$26))*(VLOOKUP(BX$3,Energy!$A$51:$K$83,5,FALSE)), $C67= "3", ('Inputs-System'!$C$30*'Coincidence Factors'!$B$7*(1+'Inputs-System'!$C$18)*(1+'Inputs-System'!$C$41)*('Inputs-Proposals'!$M$29*'Inputs-Proposals'!$M$31*('Inputs-Proposals'!$M$32))*(VLOOKUP(BX$3,Energy!$A$51:$K$83,5,FALSE))), $C67= "0", 0), 0)</f>
        <v>0</v>
      </c>
      <c r="BY67" s="44">
        <f>IFERROR(_xlfn.IFS($C67="1",'Inputs-System'!$C$30*'Coincidence Factors'!$B$7*(1+'Inputs-System'!$C$18)*(1+'Inputs-System'!$C$41)*'Inputs-Proposals'!$M$17*'Inputs-Proposals'!$M$19*('Inputs-Proposals'!$M$20)*(VLOOKUP(BX$3,'Embedded Emissions'!$A$47:$B$78,2,FALSE)+VLOOKUP(BX$3,'Embedded Emissions'!$A$129:$B$158,2,FALSE)), $C67 = "2",'Inputs-System'!$C$30*'Coincidence Factors'!$B$7*(1+'Inputs-System'!$C$18)*(1+'Inputs-System'!$C$41)*'Inputs-Proposals'!$M$23*'Inputs-Proposals'!$M$25*('Inputs-Proposals'!$M$20)*(VLOOKUP(BX$3,'Embedded Emissions'!$A$47:$B$78,2,FALSE)+VLOOKUP(BX$3,'Embedded Emissions'!$A$129:$B$158,2,FALSE)), $C67 = "3", 'Inputs-System'!$C$30*'Coincidence Factors'!$B$7*(1+'Inputs-System'!$C$18)*(1+'Inputs-System'!$C$41)*'Inputs-Proposals'!$M$29*'Inputs-Proposals'!$M$31*('Inputs-Proposals'!$M$20)*(VLOOKUP(BX$3,'Embedded Emissions'!$A$47:$B$78,2,FALSE)+VLOOKUP(BX$3,'Embedded Emissions'!$A$129:$B$158,2,FALSE)), $C67 = "0", 0), 0)</f>
        <v>0</v>
      </c>
      <c r="BZ67" s="44">
        <f>IFERROR(_xlfn.IFS($C67="1",( 'Inputs-System'!$C$30*'Coincidence Factors'!$B$7*(1+'Inputs-System'!$C$18)*(1+'Inputs-System'!$C$41))*('Inputs-Proposals'!$M$17*'Inputs-Proposals'!$M$19*('Inputs-Proposals'!$M$20))*(VLOOKUP(BX$3,DRIPE!$A$54:$I$82,5,FALSE)+VLOOKUP(BX$3,DRIPE!$A$54:$I$82,9,FALSE))+ ('Inputs-System'!$C$26*'Coincidence Factors'!$B$7*(1+'Inputs-System'!$C$18)*(1+'Inputs-System'!$C$42))*'Inputs-Proposals'!$M$16*VLOOKUP(BX$3,DRIPE!$A$54:$I$82,8,FALSE), $C67 = "2",( 'Inputs-System'!$C$30*'Coincidence Factors'!$B$7*(1+'Inputs-System'!$C$18)*(1+'Inputs-System'!$C$41))*('Inputs-Proposals'!$M$23*'Inputs-Proposals'!$M$25*('Inputs-Proposals'!$M$26))*(VLOOKUP(BX$3,DRIPE!$A$54:$I$82,5,FALSE)+VLOOKUP(BX$3,DRIPE!$A$54:$I$82,12,FALSE))+ ('Inputs-System'!$C$26*'Coincidence Factors'!$B$7*(1+'Inputs-System'!$C$18)*(1+'Inputs-System'!$C$42))*'Inputs-Proposals'!$M$22*VLOOKUP(BX$3,DRIPE!$A$54:$I$82,8,FALSE), $C67= "3", ( 'Inputs-System'!$C$30*'Coincidence Factors'!$B$7*(1+'Inputs-System'!$C$18)*(1+'Inputs-System'!$C$41))*('Inputs-Proposals'!$M$29*'Inputs-Proposals'!$M$31*('Inputs-Proposals'!$M$32))*(VLOOKUP(BX$3,DRIPE!$A$54:$I$82,5,FALSE)+VLOOKUP(BX$3,DRIPE!$A$54:$I$82,12,FALSE))+ ('Inputs-System'!$C$26*'Coincidence Factors'!$B$7*(1+'Inputs-System'!$C$18)*(1+'Inputs-System'!$C$42))*'Inputs-Proposals'!$M$28*VLOOKUP(BX$3,DRIPE!$A$54:$I$82,8,FALSE), $C67 = "0", 0), 0)</f>
        <v>0</v>
      </c>
      <c r="CA67" s="45">
        <f>IFERROR(_xlfn.IFS($C67="1",('Inputs-System'!$C$26*'Coincidence Factors'!$B$7*(1+'Inputs-System'!$C$18))*'Inputs-Proposals'!$M$16*(VLOOKUP(BX$3,Capacity!$A$53:$E$85,4,FALSE)*(1+'Inputs-System'!$C$42)+VLOOKUP(BX$3,Capacity!$A$53:$E$85,5,FALSE)*'Inputs-System'!$C$29*(1+'Inputs-System'!$C$43)), $C67 = "2", ('Inputs-System'!$C$26*'Coincidence Factors'!$B$7*(1+'Inputs-System'!$C$18))*'Inputs-Proposals'!$M$22*(VLOOKUP(BX$3,Capacity!$A$53:$E$85,4,FALSE)*(1+'Inputs-System'!$C$42)+VLOOKUP(BX$3,Capacity!$A$53:$E$85,5,FALSE)*'Inputs-System'!$C$29*(1+'Inputs-System'!$C$43)), $C67 = "3",('Inputs-System'!$C$26*'Coincidence Factors'!$B$7*(1+'Inputs-System'!$C$18))*'Inputs-Proposals'!$M$28*(VLOOKUP(BX$3,Capacity!$A$53:$E$85,4,FALSE)*(1+'Inputs-System'!$C$42)+VLOOKUP(BX$3,Capacity!$A$53:$E$85,5,FALSE)*'Inputs-System'!$C$29*(1+'Inputs-System'!$C$43)), $C67 = "0", 0), 0)</f>
        <v>0</v>
      </c>
      <c r="CB67" s="44">
        <v>0</v>
      </c>
      <c r="CC67" s="342">
        <f>IFERROR(_xlfn.IFS($C67="1", 'Inputs-System'!$C$30*'Coincidence Factors'!$B$7*'Inputs-Proposals'!$M$17*'Inputs-Proposals'!$M$19*(VLOOKUP(BX$3,'Non-Embedded Emissions'!$A$56:$D$90,2,FALSE)+VLOOKUP(BX$3,'Non-Embedded Emissions'!$A$143:$D$174,2,FALSE)+VLOOKUP(BX$3,'Non-Embedded Emissions'!$A$230:$D$259,2,FALSE)), $C67 = "2", 'Inputs-System'!$C$30*'Coincidence Factors'!$B$7*'Inputs-Proposals'!$M$23*'Inputs-Proposals'!$M$25*(VLOOKUP(BX$3,'Non-Embedded Emissions'!$A$56:$D$90,2,FALSE)+VLOOKUP(BX$3,'Non-Embedded Emissions'!$A$143:$D$174,2,FALSE)+VLOOKUP(BX$3,'Non-Embedded Emissions'!$A$230:$D$259,2,FALSE)), $C67 = "3", 'Inputs-System'!$C$30*'Coincidence Factors'!$B$7*'Inputs-Proposals'!$M$29*'Inputs-Proposals'!$M$31*(VLOOKUP(BX$3,'Non-Embedded Emissions'!$A$56:$D$90,2,FALSE)+VLOOKUP(BX$3,'Non-Embedded Emissions'!$A$143:$D$174,2,FALSE)+VLOOKUP(BX$3,'Non-Embedded Emissions'!$A$230:$D$259,2,FALSE)), $C67 = "0", 0), 0)</f>
        <v>0</v>
      </c>
      <c r="CD67" s="347">
        <f>IFERROR(_xlfn.IFS($C67="1",('Inputs-System'!$C$30*'Coincidence Factors'!$B$7*(1+'Inputs-System'!$C$18)*(1+'Inputs-System'!$C$41)*('Inputs-Proposals'!$M$17*'Inputs-Proposals'!$M$19*('Inputs-Proposals'!$M$20))*(VLOOKUP(CD$3,Energy!$A$51:$K$83,5,FALSE))), $C67 = "2",('Inputs-System'!$C$30*'Coincidence Factors'!$B$7)*(1+'Inputs-System'!$C$18)*(1+'Inputs-System'!$C$41)*('Inputs-Proposals'!$M$23*'Inputs-Proposals'!$M$25*('Inputs-Proposals'!$M$26))*(VLOOKUP(CD$3,Energy!$A$51:$K$83,5,FALSE)), $C67= "3", ('Inputs-System'!$C$30*'Coincidence Factors'!$B$7*(1+'Inputs-System'!$C$18)*(1+'Inputs-System'!$C$41)*('Inputs-Proposals'!$M$29*'Inputs-Proposals'!$M$31*('Inputs-Proposals'!$M$32))*(VLOOKUP(CD$3,Energy!$A$51:$K$83,5,FALSE))), $C67= "0", 0), 0)</f>
        <v>0</v>
      </c>
      <c r="CE67" s="44">
        <f>IFERROR(_xlfn.IFS($C67="1",'Inputs-System'!$C$30*'Coincidence Factors'!$B$7*(1+'Inputs-System'!$C$18)*(1+'Inputs-System'!$C$41)*'Inputs-Proposals'!$M$17*'Inputs-Proposals'!$M$19*('Inputs-Proposals'!$M$20)*(VLOOKUP(CD$3,'Embedded Emissions'!$A$47:$B$78,2,FALSE)+VLOOKUP(CD$3,'Embedded Emissions'!$A$129:$B$158,2,FALSE)), $C67 = "2",'Inputs-System'!$C$30*'Coincidence Factors'!$B$7*(1+'Inputs-System'!$C$18)*(1+'Inputs-System'!$C$41)*'Inputs-Proposals'!$M$23*'Inputs-Proposals'!$M$25*('Inputs-Proposals'!$M$20)*(VLOOKUP(CD$3,'Embedded Emissions'!$A$47:$B$78,2,FALSE)+VLOOKUP(CD$3,'Embedded Emissions'!$A$129:$B$158,2,FALSE)), $C67 = "3", 'Inputs-System'!$C$30*'Coincidence Factors'!$B$7*(1+'Inputs-System'!$C$18)*(1+'Inputs-System'!$C$41)*'Inputs-Proposals'!$M$29*'Inputs-Proposals'!$M$31*('Inputs-Proposals'!$M$20)*(VLOOKUP(CD$3,'Embedded Emissions'!$A$47:$B$78,2,FALSE)+VLOOKUP(CD$3,'Embedded Emissions'!$A$129:$B$158,2,FALSE)), $C67 = "0", 0), 0)</f>
        <v>0</v>
      </c>
      <c r="CF67" s="44">
        <f>IFERROR(_xlfn.IFS($C67="1",( 'Inputs-System'!$C$30*'Coincidence Factors'!$B$7*(1+'Inputs-System'!$C$18)*(1+'Inputs-System'!$C$41))*('Inputs-Proposals'!$M$17*'Inputs-Proposals'!$M$19*('Inputs-Proposals'!$M$20))*(VLOOKUP(CD$3,DRIPE!$A$54:$I$82,5,FALSE)+VLOOKUP(CD$3,DRIPE!$A$54:$I$82,9,FALSE))+ ('Inputs-System'!$C$26*'Coincidence Factors'!$B$7*(1+'Inputs-System'!$C$18)*(1+'Inputs-System'!$C$42))*'Inputs-Proposals'!$M$16*VLOOKUP(CD$3,DRIPE!$A$54:$I$82,8,FALSE), $C67 = "2",( 'Inputs-System'!$C$30*'Coincidence Factors'!$B$7*(1+'Inputs-System'!$C$18)*(1+'Inputs-System'!$C$41))*('Inputs-Proposals'!$M$23*'Inputs-Proposals'!$M$25*('Inputs-Proposals'!$M$26))*(VLOOKUP(CD$3,DRIPE!$A$54:$I$82,5,FALSE)+VLOOKUP(CD$3,DRIPE!$A$54:$I$82,12,FALSE))+ ('Inputs-System'!$C$26*'Coincidence Factors'!$B$7*(1+'Inputs-System'!$C$18)*(1+'Inputs-System'!$C$42))*'Inputs-Proposals'!$M$22*VLOOKUP(CD$3,DRIPE!$A$54:$I$82,8,FALSE), $C67= "3", ( 'Inputs-System'!$C$30*'Coincidence Factors'!$B$7*(1+'Inputs-System'!$C$18)*(1+'Inputs-System'!$C$41))*('Inputs-Proposals'!$M$29*'Inputs-Proposals'!$M$31*('Inputs-Proposals'!$M$32))*(VLOOKUP(CD$3,DRIPE!$A$54:$I$82,5,FALSE)+VLOOKUP(CD$3,DRIPE!$A$54:$I$82,12,FALSE))+ ('Inputs-System'!$C$26*'Coincidence Factors'!$B$7*(1+'Inputs-System'!$C$18)*(1+'Inputs-System'!$C$42))*'Inputs-Proposals'!$M$28*VLOOKUP(CD$3,DRIPE!$A$54:$I$82,8,FALSE), $C67 = "0", 0), 0)</f>
        <v>0</v>
      </c>
      <c r="CG67" s="45">
        <f>IFERROR(_xlfn.IFS($C67="1",('Inputs-System'!$C$26*'Coincidence Factors'!$B$7*(1+'Inputs-System'!$C$18))*'Inputs-Proposals'!$M$16*(VLOOKUP(CD$3,Capacity!$A$53:$E$85,4,FALSE)*(1+'Inputs-System'!$C$42)+VLOOKUP(CD$3,Capacity!$A$53:$E$85,5,FALSE)*'Inputs-System'!$C$29*(1+'Inputs-System'!$C$43)), $C67 = "2", ('Inputs-System'!$C$26*'Coincidence Factors'!$B$7*(1+'Inputs-System'!$C$18))*'Inputs-Proposals'!$M$22*(VLOOKUP(CD$3,Capacity!$A$53:$E$85,4,FALSE)*(1+'Inputs-System'!$C$42)+VLOOKUP(CD$3,Capacity!$A$53:$E$85,5,FALSE)*'Inputs-System'!$C$29*(1+'Inputs-System'!$C$43)), $C67 = "3",('Inputs-System'!$C$26*'Coincidence Factors'!$B$7*(1+'Inputs-System'!$C$18))*'Inputs-Proposals'!$M$28*(VLOOKUP(CD$3,Capacity!$A$53:$E$85,4,FALSE)*(1+'Inputs-System'!$C$42)+VLOOKUP(CD$3,Capacity!$A$53:$E$85,5,FALSE)*'Inputs-System'!$C$29*(1+'Inputs-System'!$C$43)), $C67 = "0", 0), 0)</f>
        <v>0</v>
      </c>
      <c r="CH67" s="44">
        <v>0</v>
      </c>
      <c r="CI67" s="342">
        <f>IFERROR(_xlfn.IFS($C67="1", 'Inputs-System'!$C$30*'Coincidence Factors'!$B$7*'Inputs-Proposals'!$M$17*'Inputs-Proposals'!$M$19*(VLOOKUP(CD$3,'Non-Embedded Emissions'!$A$56:$D$90,2,FALSE)+VLOOKUP(CD$3,'Non-Embedded Emissions'!$A$143:$D$174,2,FALSE)+VLOOKUP(CD$3,'Non-Embedded Emissions'!$A$230:$D$259,2,FALSE)), $C67 = "2", 'Inputs-System'!$C$30*'Coincidence Factors'!$B$7*'Inputs-Proposals'!$M$23*'Inputs-Proposals'!$M$25*(VLOOKUP(CD$3,'Non-Embedded Emissions'!$A$56:$D$90,2,FALSE)+VLOOKUP(CD$3,'Non-Embedded Emissions'!$A$143:$D$174,2,FALSE)+VLOOKUP(CD$3,'Non-Embedded Emissions'!$A$230:$D$259,2,FALSE)), $C67 = "3", 'Inputs-System'!$C$30*'Coincidence Factors'!$B$7*'Inputs-Proposals'!$M$29*'Inputs-Proposals'!$M$31*(VLOOKUP(CD$3,'Non-Embedded Emissions'!$A$56:$D$90,2,FALSE)+VLOOKUP(CD$3,'Non-Embedded Emissions'!$A$143:$D$174,2,FALSE)+VLOOKUP(CD$3,'Non-Embedded Emissions'!$A$230:$D$259,2,FALSE)), $C67 = "0", 0), 0)</f>
        <v>0</v>
      </c>
      <c r="CJ67" s="347">
        <f>IFERROR(_xlfn.IFS($C67="1",('Inputs-System'!$C$30*'Coincidence Factors'!$B$7*(1+'Inputs-System'!$C$18)*(1+'Inputs-System'!$C$41)*('Inputs-Proposals'!$M$17*'Inputs-Proposals'!$M$19*('Inputs-Proposals'!$M$20))*(VLOOKUP(CJ$3,Energy!$A$51:$K$83,5,FALSE))), $C67 = "2",('Inputs-System'!$C$30*'Coincidence Factors'!$B$7)*(1+'Inputs-System'!$C$18)*(1+'Inputs-System'!$C$41)*('Inputs-Proposals'!$M$23*'Inputs-Proposals'!$M$25*('Inputs-Proposals'!$M$26))*(VLOOKUP(CJ$3,Energy!$A$51:$K$83,5,FALSE)), $C67= "3", ('Inputs-System'!$C$30*'Coincidence Factors'!$B$7*(1+'Inputs-System'!$C$18)*(1+'Inputs-System'!$C$41)*('Inputs-Proposals'!$M$29*'Inputs-Proposals'!$M$31*('Inputs-Proposals'!$M$32))*(VLOOKUP(CJ$3,Energy!$A$51:$K$83,5,FALSE))), $C67= "0", 0), 0)</f>
        <v>0</v>
      </c>
      <c r="CK67" s="44">
        <f>IFERROR(_xlfn.IFS($C67="1",'Inputs-System'!$C$30*'Coincidence Factors'!$B$7*(1+'Inputs-System'!$C$18)*(1+'Inputs-System'!$C$41)*'Inputs-Proposals'!$M$17*'Inputs-Proposals'!$M$19*('Inputs-Proposals'!$M$20)*(VLOOKUP(CJ$3,'Embedded Emissions'!$A$47:$B$78,2,FALSE)+VLOOKUP(CJ$3,'Embedded Emissions'!$A$129:$B$158,2,FALSE)), $C67 = "2",'Inputs-System'!$C$30*'Coincidence Factors'!$B$7*(1+'Inputs-System'!$C$18)*(1+'Inputs-System'!$C$41)*'Inputs-Proposals'!$M$23*'Inputs-Proposals'!$M$25*('Inputs-Proposals'!$M$20)*(VLOOKUP(CJ$3,'Embedded Emissions'!$A$47:$B$78,2,FALSE)+VLOOKUP(CJ$3,'Embedded Emissions'!$A$129:$B$158,2,FALSE)), $C67 = "3", 'Inputs-System'!$C$30*'Coincidence Factors'!$B$7*(1+'Inputs-System'!$C$18)*(1+'Inputs-System'!$C$41)*'Inputs-Proposals'!$M$29*'Inputs-Proposals'!$M$31*('Inputs-Proposals'!$M$20)*(VLOOKUP(CJ$3,'Embedded Emissions'!$A$47:$B$78,2,FALSE)+VLOOKUP(CJ$3,'Embedded Emissions'!$A$129:$B$158,2,FALSE)), $C67 = "0", 0), 0)</f>
        <v>0</v>
      </c>
      <c r="CL67" s="44">
        <f>IFERROR(_xlfn.IFS($C67="1",( 'Inputs-System'!$C$30*'Coincidence Factors'!$B$7*(1+'Inputs-System'!$C$18)*(1+'Inputs-System'!$C$41))*('Inputs-Proposals'!$M$17*'Inputs-Proposals'!$M$19*('Inputs-Proposals'!$M$20))*(VLOOKUP(CJ$3,DRIPE!$A$54:$I$82,5,FALSE)+VLOOKUP(CJ$3,DRIPE!$A$54:$I$82,9,FALSE))+ ('Inputs-System'!$C$26*'Coincidence Factors'!$B$7*(1+'Inputs-System'!$C$18)*(1+'Inputs-System'!$C$42))*'Inputs-Proposals'!$M$16*VLOOKUP(CJ$3,DRIPE!$A$54:$I$82,8,FALSE), $C67 = "2",( 'Inputs-System'!$C$30*'Coincidence Factors'!$B$7*(1+'Inputs-System'!$C$18)*(1+'Inputs-System'!$C$41))*('Inputs-Proposals'!$M$23*'Inputs-Proposals'!$M$25*('Inputs-Proposals'!$M$26))*(VLOOKUP(CJ$3,DRIPE!$A$54:$I$82,5,FALSE)+VLOOKUP(CJ$3,DRIPE!$A$54:$I$82,12,FALSE))+ ('Inputs-System'!$C$26*'Coincidence Factors'!$B$7*(1+'Inputs-System'!$C$18)*(1+'Inputs-System'!$C$42))*'Inputs-Proposals'!$M$22*VLOOKUP(CJ$3,DRIPE!$A$54:$I$82,8,FALSE), $C67= "3", ( 'Inputs-System'!$C$30*'Coincidence Factors'!$B$7*(1+'Inputs-System'!$C$18)*(1+'Inputs-System'!$C$41))*('Inputs-Proposals'!$M$29*'Inputs-Proposals'!$M$31*('Inputs-Proposals'!$M$32))*(VLOOKUP(CJ$3,DRIPE!$A$54:$I$82,5,FALSE)+VLOOKUP(CJ$3,DRIPE!$A$54:$I$82,12,FALSE))+ ('Inputs-System'!$C$26*'Coincidence Factors'!$B$7*(1+'Inputs-System'!$C$18)*(1+'Inputs-System'!$C$42))*'Inputs-Proposals'!$M$28*VLOOKUP(CJ$3,DRIPE!$A$54:$I$82,8,FALSE), $C67 = "0", 0), 0)</f>
        <v>0</v>
      </c>
      <c r="CM67" s="45">
        <f>IFERROR(_xlfn.IFS($C67="1",('Inputs-System'!$C$26*'Coincidence Factors'!$B$7*(1+'Inputs-System'!$C$18))*'Inputs-Proposals'!$M$16*(VLOOKUP(CJ$3,Capacity!$A$53:$E$85,4,FALSE)*(1+'Inputs-System'!$C$42)+VLOOKUP(CJ$3,Capacity!$A$53:$E$85,5,FALSE)*'Inputs-System'!$C$29*(1+'Inputs-System'!$C$43)), $C67 = "2", ('Inputs-System'!$C$26*'Coincidence Factors'!$B$7*(1+'Inputs-System'!$C$18))*'Inputs-Proposals'!$M$22*(VLOOKUP(CJ$3,Capacity!$A$53:$E$85,4,FALSE)*(1+'Inputs-System'!$C$42)+VLOOKUP(CJ$3,Capacity!$A$53:$E$85,5,FALSE)*'Inputs-System'!$C$29*(1+'Inputs-System'!$C$43)), $C67 = "3",('Inputs-System'!$C$26*'Coincidence Factors'!$B$7*(1+'Inputs-System'!$C$18))*'Inputs-Proposals'!$M$28*(VLOOKUP(CJ$3,Capacity!$A$53:$E$85,4,FALSE)*(1+'Inputs-System'!$C$42)+VLOOKUP(CJ$3,Capacity!$A$53:$E$85,5,FALSE)*'Inputs-System'!$C$29*(1+'Inputs-System'!$C$43)), $C67 = "0", 0), 0)</f>
        <v>0</v>
      </c>
      <c r="CN67" s="44">
        <v>0</v>
      </c>
      <c r="CO67" s="342">
        <f>IFERROR(_xlfn.IFS($C67="1", 'Inputs-System'!$C$30*'Coincidence Factors'!$B$7*'Inputs-Proposals'!$M$17*'Inputs-Proposals'!$M$19*(VLOOKUP(CJ$3,'Non-Embedded Emissions'!$A$56:$D$90,2,FALSE)+VLOOKUP(CJ$3,'Non-Embedded Emissions'!$A$143:$D$174,2,FALSE)+VLOOKUP(CJ$3,'Non-Embedded Emissions'!$A$230:$D$259,2,FALSE)), $C67 = "2", 'Inputs-System'!$C$30*'Coincidence Factors'!$B$7*'Inputs-Proposals'!$M$23*'Inputs-Proposals'!$M$25*(VLOOKUP(CJ$3,'Non-Embedded Emissions'!$A$56:$D$90,2,FALSE)+VLOOKUP(CJ$3,'Non-Embedded Emissions'!$A$143:$D$174,2,FALSE)+VLOOKUP(CJ$3,'Non-Embedded Emissions'!$A$230:$D$259,2,FALSE)), $C67 = "3", 'Inputs-System'!$C$30*'Coincidence Factors'!$B$7*'Inputs-Proposals'!$M$29*'Inputs-Proposals'!$M$31*(VLOOKUP(CJ$3,'Non-Embedded Emissions'!$A$56:$D$90,2,FALSE)+VLOOKUP(CJ$3,'Non-Embedded Emissions'!$A$143:$D$174,2,FALSE)+VLOOKUP(CJ$3,'Non-Embedded Emissions'!$A$230:$D$259,2,FALSE)), $C67 = "0", 0), 0)</f>
        <v>0</v>
      </c>
      <c r="CP67" s="347">
        <f>IFERROR(_xlfn.IFS($C67="1",('Inputs-System'!$C$30*'Coincidence Factors'!$B$7*(1+'Inputs-System'!$C$18)*(1+'Inputs-System'!$C$41)*('Inputs-Proposals'!$M$17*'Inputs-Proposals'!$M$19*('Inputs-Proposals'!$M$20))*(VLOOKUP(CP$3,Energy!$A$51:$K$83,5,FALSE))), $C67 = "2",('Inputs-System'!$C$30*'Coincidence Factors'!$B$7)*(1+'Inputs-System'!$C$18)*(1+'Inputs-System'!$C$41)*('Inputs-Proposals'!$M$23*'Inputs-Proposals'!$M$25*('Inputs-Proposals'!$M$26))*(VLOOKUP(CP$3,Energy!$A$51:$K$83,5,FALSE)), $C67= "3", ('Inputs-System'!$C$30*'Coincidence Factors'!$B$7*(1+'Inputs-System'!$C$18)*(1+'Inputs-System'!$C$41)*('Inputs-Proposals'!$M$29*'Inputs-Proposals'!$M$31*('Inputs-Proposals'!$M$32))*(VLOOKUP(CP$3,Energy!$A$51:$K$83,5,FALSE))), $C67= "0", 0), 0)</f>
        <v>0</v>
      </c>
      <c r="CQ67" s="44">
        <f>IFERROR(_xlfn.IFS($C67="1",'Inputs-System'!$C$30*'Coincidence Factors'!$B$7*(1+'Inputs-System'!$C$18)*(1+'Inputs-System'!$C$41)*'Inputs-Proposals'!$M$17*'Inputs-Proposals'!$M$19*('Inputs-Proposals'!$M$20)*(VLOOKUP(CP$3,'Embedded Emissions'!$A$47:$B$78,2,FALSE)+VLOOKUP(CP$3,'Embedded Emissions'!$A$129:$B$158,2,FALSE)), $C67 = "2",'Inputs-System'!$C$30*'Coincidence Factors'!$B$7*(1+'Inputs-System'!$C$18)*(1+'Inputs-System'!$C$41)*'Inputs-Proposals'!$M$23*'Inputs-Proposals'!$M$25*('Inputs-Proposals'!$M$20)*(VLOOKUP(CP$3,'Embedded Emissions'!$A$47:$B$78,2,FALSE)+VLOOKUP(CP$3,'Embedded Emissions'!$A$129:$B$158,2,FALSE)), $C67 = "3", 'Inputs-System'!$C$30*'Coincidence Factors'!$B$7*(1+'Inputs-System'!$C$18)*(1+'Inputs-System'!$C$41)*'Inputs-Proposals'!$M$29*'Inputs-Proposals'!$M$31*('Inputs-Proposals'!$M$20)*(VLOOKUP(CP$3,'Embedded Emissions'!$A$47:$B$78,2,FALSE)+VLOOKUP(CP$3,'Embedded Emissions'!$A$129:$B$158,2,FALSE)), $C67 = "0", 0), 0)</f>
        <v>0</v>
      </c>
      <c r="CR67" s="44">
        <f>IFERROR(_xlfn.IFS($C67="1",( 'Inputs-System'!$C$30*'Coincidence Factors'!$B$7*(1+'Inputs-System'!$C$18)*(1+'Inputs-System'!$C$41))*('Inputs-Proposals'!$M$17*'Inputs-Proposals'!$M$19*('Inputs-Proposals'!$M$20))*(VLOOKUP(CP$3,DRIPE!$A$54:$I$82,5,FALSE)+VLOOKUP(CP$3,DRIPE!$A$54:$I$82,9,FALSE))+ ('Inputs-System'!$C$26*'Coincidence Factors'!$B$7*(1+'Inputs-System'!$C$18)*(1+'Inputs-System'!$C$42))*'Inputs-Proposals'!$M$16*VLOOKUP(CP$3,DRIPE!$A$54:$I$82,8,FALSE), $C67 = "2",( 'Inputs-System'!$C$30*'Coincidence Factors'!$B$7*(1+'Inputs-System'!$C$18)*(1+'Inputs-System'!$C$41))*('Inputs-Proposals'!$M$23*'Inputs-Proposals'!$M$25*('Inputs-Proposals'!$M$26))*(VLOOKUP(CP$3,DRIPE!$A$54:$I$82,5,FALSE)+VLOOKUP(CP$3,DRIPE!$A$54:$I$82,12,FALSE))+ ('Inputs-System'!$C$26*'Coincidence Factors'!$B$7*(1+'Inputs-System'!$C$18)*(1+'Inputs-System'!$C$42))*'Inputs-Proposals'!$M$22*VLOOKUP(CP$3,DRIPE!$A$54:$I$82,8,FALSE), $C67= "3", ( 'Inputs-System'!$C$30*'Coincidence Factors'!$B$7*(1+'Inputs-System'!$C$18)*(1+'Inputs-System'!$C$41))*('Inputs-Proposals'!$M$29*'Inputs-Proposals'!$M$31*('Inputs-Proposals'!$M$32))*(VLOOKUP(CP$3,DRIPE!$A$54:$I$82,5,FALSE)+VLOOKUP(CP$3,DRIPE!$A$54:$I$82,12,FALSE))+ ('Inputs-System'!$C$26*'Coincidence Factors'!$B$7*(1+'Inputs-System'!$C$18)*(1+'Inputs-System'!$C$42))*'Inputs-Proposals'!$M$28*VLOOKUP(CP$3,DRIPE!$A$54:$I$82,8,FALSE), $C67 = "0", 0), 0)</f>
        <v>0</v>
      </c>
      <c r="CS67" s="45">
        <f>IFERROR(_xlfn.IFS($C67="1",('Inputs-System'!$C$26*'Coincidence Factors'!$B$7*(1+'Inputs-System'!$C$18))*'Inputs-Proposals'!$M$16*(VLOOKUP(CP$3,Capacity!$A$53:$E$85,4,FALSE)*(1+'Inputs-System'!$C$42)+VLOOKUP(CP$3,Capacity!$A$53:$E$85,5,FALSE)*'Inputs-System'!$C$29*(1+'Inputs-System'!$C$43)), $C67 = "2", ('Inputs-System'!$C$26*'Coincidence Factors'!$B$7*(1+'Inputs-System'!$C$18))*'Inputs-Proposals'!$M$22*(VLOOKUP(CP$3,Capacity!$A$53:$E$85,4,FALSE)*(1+'Inputs-System'!$C$42)+VLOOKUP(CP$3,Capacity!$A$53:$E$85,5,FALSE)*'Inputs-System'!$C$29*(1+'Inputs-System'!$C$43)), $C67 = "3",('Inputs-System'!$C$26*'Coincidence Factors'!$B$7*(1+'Inputs-System'!$C$18))*'Inputs-Proposals'!$M$28*(VLOOKUP(CP$3,Capacity!$A$53:$E$85,4,FALSE)*(1+'Inputs-System'!$C$42)+VLOOKUP(CP$3,Capacity!$A$53:$E$85,5,FALSE)*'Inputs-System'!$C$29*(1+'Inputs-System'!$C$43)), $C67 = "0", 0), 0)</f>
        <v>0</v>
      </c>
      <c r="CT67" s="44">
        <v>0</v>
      </c>
      <c r="CU67" s="342">
        <f>IFERROR(_xlfn.IFS($C67="1", 'Inputs-System'!$C$30*'Coincidence Factors'!$B$7*'Inputs-Proposals'!$M$17*'Inputs-Proposals'!$M$19*(VLOOKUP(CP$3,'Non-Embedded Emissions'!$A$56:$D$90,2,FALSE)+VLOOKUP(CP$3,'Non-Embedded Emissions'!$A$143:$D$174,2,FALSE)+VLOOKUP(CP$3,'Non-Embedded Emissions'!$A$230:$D$259,2,FALSE)), $C67 = "2", 'Inputs-System'!$C$30*'Coincidence Factors'!$B$7*'Inputs-Proposals'!$M$23*'Inputs-Proposals'!$M$25*(VLOOKUP(CP$3,'Non-Embedded Emissions'!$A$56:$D$90,2,FALSE)+VLOOKUP(CP$3,'Non-Embedded Emissions'!$A$143:$D$174,2,FALSE)+VLOOKUP(CP$3,'Non-Embedded Emissions'!$A$230:$D$259,2,FALSE)), $C67 = "3", 'Inputs-System'!$C$30*'Coincidence Factors'!$B$7*'Inputs-Proposals'!$M$29*'Inputs-Proposals'!$M$31*(VLOOKUP(CP$3,'Non-Embedded Emissions'!$A$56:$D$90,2,FALSE)+VLOOKUP(CP$3,'Non-Embedded Emissions'!$A$143:$D$174,2,FALSE)+VLOOKUP(CP$3,'Non-Embedded Emissions'!$A$230:$D$259,2,FALSE)), $C67 = "0", 0), 0)</f>
        <v>0</v>
      </c>
      <c r="CV67" s="347">
        <f>IFERROR(_xlfn.IFS($C67="1",('Inputs-System'!$C$30*'Coincidence Factors'!$B$7*(1+'Inputs-System'!$C$18)*(1+'Inputs-System'!$C$41)*('Inputs-Proposals'!$M$17*'Inputs-Proposals'!$M$19*('Inputs-Proposals'!$M$20))*(VLOOKUP(CV$3,Energy!$A$51:$K$83,5,FALSE))), $C67 = "2",('Inputs-System'!$C$30*'Coincidence Factors'!$B$7)*(1+'Inputs-System'!$C$18)*(1+'Inputs-System'!$C$41)*('Inputs-Proposals'!$M$23*'Inputs-Proposals'!$M$25*('Inputs-Proposals'!$M$26))*(VLOOKUP(CV$3,Energy!$A$51:$K$83,5,FALSE)), $C67= "3", ('Inputs-System'!$C$30*'Coincidence Factors'!$B$7*(1+'Inputs-System'!$C$18)*(1+'Inputs-System'!$C$41)*('Inputs-Proposals'!$M$29*'Inputs-Proposals'!$M$31*('Inputs-Proposals'!$M$32))*(VLOOKUP(CV$3,Energy!$A$51:$K$83,5,FALSE))), $C67= "0", 0), 0)</f>
        <v>0</v>
      </c>
      <c r="CW67" s="44">
        <f>IFERROR(_xlfn.IFS($C67="1",'Inputs-System'!$C$30*'Coincidence Factors'!$B$7*(1+'Inputs-System'!$C$18)*(1+'Inputs-System'!$C$41)*'Inputs-Proposals'!$M$17*'Inputs-Proposals'!$M$19*('Inputs-Proposals'!$M$20)*(VLOOKUP(CV$3,'Embedded Emissions'!$A$47:$B$78,2,FALSE)+VLOOKUP(CV$3,'Embedded Emissions'!$A$129:$B$158,2,FALSE)), $C67 = "2",'Inputs-System'!$C$30*'Coincidence Factors'!$B$7*(1+'Inputs-System'!$C$18)*(1+'Inputs-System'!$C$41)*'Inputs-Proposals'!$M$23*'Inputs-Proposals'!$M$25*('Inputs-Proposals'!$M$20)*(VLOOKUP(CV$3,'Embedded Emissions'!$A$47:$B$78,2,FALSE)+VLOOKUP(CV$3,'Embedded Emissions'!$A$129:$B$158,2,FALSE)), $C67 = "3", 'Inputs-System'!$C$30*'Coincidence Factors'!$B$7*(1+'Inputs-System'!$C$18)*(1+'Inputs-System'!$C$41)*'Inputs-Proposals'!$M$29*'Inputs-Proposals'!$M$31*('Inputs-Proposals'!$M$20)*(VLOOKUP(CV$3,'Embedded Emissions'!$A$47:$B$78,2,FALSE)+VLOOKUP(CV$3,'Embedded Emissions'!$A$129:$B$158,2,FALSE)), $C67 = "0", 0), 0)</f>
        <v>0</v>
      </c>
      <c r="CX67" s="44">
        <f>IFERROR(_xlfn.IFS($C67="1",( 'Inputs-System'!$C$30*'Coincidence Factors'!$B$7*(1+'Inputs-System'!$C$18)*(1+'Inputs-System'!$C$41))*('Inputs-Proposals'!$M$17*'Inputs-Proposals'!$M$19*('Inputs-Proposals'!$M$20))*(VLOOKUP(CV$3,DRIPE!$A$54:$I$82,5,FALSE)+VLOOKUP(CV$3,DRIPE!$A$54:$I$82,9,FALSE))+ ('Inputs-System'!$C$26*'Coincidence Factors'!$B$7*(1+'Inputs-System'!$C$18)*(1+'Inputs-System'!$C$42))*'Inputs-Proposals'!$M$16*VLOOKUP(CV$3,DRIPE!$A$54:$I$82,8,FALSE), $C67 = "2",( 'Inputs-System'!$C$30*'Coincidence Factors'!$B$7*(1+'Inputs-System'!$C$18)*(1+'Inputs-System'!$C$41))*('Inputs-Proposals'!$M$23*'Inputs-Proposals'!$M$25*('Inputs-Proposals'!$M$26))*(VLOOKUP(CV$3,DRIPE!$A$54:$I$82,5,FALSE)+VLOOKUP(CV$3,DRIPE!$A$54:$I$82,12,FALSE))+ ('Inputs-System'!$C$26*'Coincidence Factors'!$B$7*(1+'Inputs-System'!$C$18)*(1+'Inputs-System'!$C$42))*'Inputs-Proposals'!$M$22*VLOOKUP(CV$3,DRIPE!$A$54:$I$82,8,FALSE), $C67= "3", ( 'Inputs-System'!$C$30*'Coincidence Factors'!$B$7*(1+'Inputs-System'!$C$18)*(1+'Inputs-System'!$C$41))*('Inputs-Proposals'!$M$29*'Inputs-Proposals'!$M$31*('Inputs-Proposals'!$M$32))*(VLOOKUP(CV$3,DRIPE!$A$54:$I$82,5,FALSE)+VLOOKUP(CV$3,DRIPE!$A$54:$I$82,12,FALSE))+ ('Inputs-System'!$C$26*'Coincidence Factors'!$B$7*(1+'Inputs-System'!$C$18)*(1+'Inputs-System'!$C$42))*'Inputs-Proposals'!$M$28*VLOOKUP(CV$3,DRIPE!$A$54:$I$82,8,FALSE), $C67 = "0", 0), 0)</f>
        <v>0</v>
      </c>
      <c r="CY67" s="45">
        <f>IFERROR(_xlfn.IFS($C67="1",('Inputs-System'!$C$26*'Coincidence Factors'!$B$7*(1+'Inputs-System'!$C$18))*'Inputs-Proposals'!$M$16*(VLOOKUP(CV$3,Capacity!$A$53:$E$85,4,FALSE)*(1+'Inputs-System'!$C$42)+VLOOKUP(CV$3,Capacity!$A$53:$E$85,5,FALSE)*'Inputs-System'!$C$29*(1+'Inputs-System'!$C$43)), $C67 = "2", ('Inputs-System'!$C$26*'Coincidence Factors'!$B$7*(1+'Inputs-System'!$C$18))*'Inputs-Proposals'!$M$22*(VLOOKUP(CV$3,Capacity!$A$53:$E$85,4,FALSE)*(1+'Inputs-System'!$C$42)+VLOOKUP(CV$3,Capacity!$A$53:$E$85,5,FALSE)*'Inputs-System'!$C$29*(1+'Inputs-System'!$C$43)), $C67 = "3",('Inputs-System'!$C$26*'Coincidence Factors'!$B$7*(1+'Inputs-System'!$C$18))*'Inputs-Proposals'!$M$28*(VLOOKUP(CV$3,Capacity!$A$53:$E$85,4,FALSE)*(1+'Inputs-System'!$C$42)+VLOOKUP(CV$3,Capacity!$A$53:$E$85,5,FALSE)*'Inputs-System'!$C$29*(1+'Inputs-System'!$C$43)), $C67 = "0", 0), 0)</f>
        <v>0</v>
      </c>
      <c r="CZ67" s="44">
        <v>0</v>
      </c>
      <c r="DA67" s="342">
        <f>IFERROR(_xlfn.IFS($C67="1", 'Inputs-System'!$C$30*'Coincidence Factors'!$B$7*'Inputs-Proposals'!$M$17*'Inputs-Proposals'!$M$19*(VLOOKUP(CV$3,'Non-Embedded Emissions'!$A$56:$D$90,2,FALSE)+VLOOKUP(CV$3,'Non-Embedded Emissions'!$A$143:$D$174,2,FALSE)+VLOOKUP(CV$3,'Non-Embedded Emissions'!$A$230:$D$259,2,FALSE)), $C67 = "2", 'Inputs-System'!$C$30*'Coincidence Factors'!$B$7*'Inputs-Proposals'!$M$23*'Inputs-Proposals'!$M$25*(VLOOKUP(CV$3,'Non-Embedded Emissions'!$A$56:$D$90,2,FALSE)+VLOOKUP(CV$3,'Non-Embedded Emissions'!$A$143:$D$174,2,FALSE)+VLOOKUP(CV$3,'Non-Embedded Emissions'!$A$230:$D$259,2,FALSE)), $C67 = "3", 'Inputs-System'!$C$30*'Coincidence Factors'!$B$7*'Inputs-Proposals'!$M$29*'Inputs-Proposals'!$M$31*(VLOOKUP(CV$3,'Non-Embedded Emissions'!$A$56:$D$90,2,FALSE)+VLOOKUP(CV$3,'Non-Embedded Emissions'!$A$143:$D$174,2,FALSE)+VLOOKUP(CV$3,'Non-Embedded Emissions'!$A$230:$D$259,2,FALSE)), $C67 = "0", 0), 0)</f>
        <v>0</v>
      </c>
      <c r="DB67" s="347">
        <f>IFERROR(_xlfn.IFS($C67="1",('Inputs-System'!$C$30*'Coincidence Factors'!$B$7*(1+'Inputs-System'!$C$18)*(1+'Inputs-System'!$C$41)*('Inputs-Proposals'!$M$17*'Inputs-Proposals'!$M$19*('Inputs-Proposals'!$M$20))*(VLOOKUP(DB$3,Energy!$A$51:$K$83,5,FALSE))), $C67 = "2",('Inputs-System'!$C$30*'Coincidence Factors'!$B$7)*(1+'Inputs-System'!$C$18)*(1+'Inputs-System'!$C$41)*('Inputs-Proposals'!$M$23*'Inputs-Proposals'!$M$25*('Inputs-Proposals'!$M$26))*(VLOOKUP(DB$3,Energy!$A$51:$K$83,5,FALSE)), $C67= "3", ('Inputs-System'!$C$30*'Coincidence Factors'!$B$7*(1+'Inputs-System'!$C$18)*(1+'Inputs-System'!$C$41)*('Inputs-Proposals'!$M$29*'Inputs-Proposals'!$M$31*('Inputs-Proposals'!$M$32))*(VLOOKUP(DB$3,Energy!$A$51:$K$83,5,FALSE))), $C67= "0", 0), 0)</f>
        <v>0</v>
      </c>
      <c r="DC67" s="44">
        <f>IFERROR(_xlfn.IFS($C67="1",'Inputs-System'!$C$30*'Coincidence Factors'!$B$7*(1+'Inputs-System'!$C$18)*(1+'Inputs-System'!$C$41)*'Inputs-Proposals'!$M$17*'Inputs-Proposals'!$M$19*('Inputs-Proposals'!$M$20)*(VLOOKUP(DB$3,'Embedded Emissions'!$A$47:$B$78,2,FALSE)+VLOOKUP(DB$3,'Embedded Emissions'!$A$129:$B$158,2,FALSE)), $C67 = "2",'Inputs-System'!$C$30*'Coincidence Factors'!$B$7*(1+'Inputs-System'!$C$18)*(1+'Inputs-System'!$C$41)*'Inputs-Proposals'!$M$23*'Inputs-Proposals'!$M$25*('Inputs-Proposals'!$M$20)*(VLOOKUP(DB$3,'Embedded Emissions'!$A$47:$B$78,2,FALSE)+VLOOKUP(DB$3,'Embedded Emissions'!$A$129:$B$158,2,FALSE)), $C67 = "3", 'Inputs-System'!$C$30*'Coincidence Factors'!$B$7*(1+'Inputs-System'!$C$18)*(1+'Inputs-System'!$C$41)*'Inputs-Proposals'!$M$29*'Inputs-Proposals'!$M$31*('Inputs-Proposals'!$M$20)*(VLOOKUP(DB$3,'Embedded Emissions'!$A$47:$B$78,2,FALSE)+VLOOKUP(DB$3,'Embedded Emissions'!$A$129:$B$158,2,FALSE)), $C67 = "0", 0), 0)</f>
        <v>0</v>
      </c>
      <c r="DD67" s="44">
        <f>IFERROR(_xlfn.IFS($C67="1",( 'Inputs-System'!$C$30*'Coincidence Factors'!$B$7*(1+'Inputs-System'!$C$18)*(1+'Inputs-System'!$C$41))*('Inputs-Proposals'!$M$17*'Inputs-Proposals'!$M$19*('Inputs-Proposals'!$M$20))*(VLOOKUP(DB$3,DRIPE!$A$54:$I$82,5,FALSE)+VLOOKUP(DB$3,DRIPE!$A$54:$I$82,9,FALSE))+ ('Inputs-System'!$C$26*'Coincidence Factors'!$B$7*(1+'Inputs-System'!$C$18)*(1+'Inputs-System'!$C$42))*'Inputs-Proposals'!$M$16*VLOOKUP(DB$3,DRIPE!$A$54:$I$82,8,FALSE), $C67 = "2",( 'Inputs-System'!$C$30*'Coincidence Factors'!$B$7*(1+'Inputs-System'!$C$18)*(1+'Inputs-System'!$C$41))*('Inputs-Proposals'!$M$23*'Inputs-Proposals'!$M$25*('Inputs-Proposals'!$M$26))*(VLOOKUP(DB$3,DRIPE!$A$54:$I$82,5,FALSE)+VLOOKUP(DB$3,DRIPE!$A$54:$I$82,12,FALSE))+ ('Inputs-System'!$C$26*'Coincidence Factors'!$B$7*(1+'Inputs-System'!$C$18)*(1+'Inputs-System'!$C$42))*'Inputs-Proposals'!$M$22*VLOOKUP(DB$3,DRIPE!$A$54:$I$82,8,FALSE), $C67= "3", ( 'Inputs-System'!$C$30*'Coincidence Factors'!$B$7*(1+'Inputs-System'!$C$18)*(1+'Inputs-System'!$C$41))*('Inputs-Proposals'!$M$29*'Inputs-Proposals'!$M$31*('Inputs-Proposals'!$M$32))*(VLOOKUP(DB$3,DRIPE!$A$54:$I$82,5,FALSE)+VLOOKUP(DB$3,DRIPE!$A$54:$I$82,12,FALSE))+ ('Inputs-System'!$C$26*'Coincidence Factors'!$B$7*(1+'Inputs-System'!$C$18)*(1+'Inputs-System'!$C$42))*'Inputs-Proposals'!$M$28*VLOOKUP(DB$3,DRIPE!$A$54:$I$82,8,FALSE), $C67 = "0", 0), 0)</f>
        <v>0</v>
      </c>
      <c r="DE67" s="45">
        <f>IFERROR(_xlfn.IFS($C67="1",('Inputs-System'!$C$26*'Coincidence Factors'!$B$7*(1+'Inputs-System'!$C$18))*'Inputs-Proposals'!$M$16*(VLOOKUP(DB$3,Capacity!$A$53:$E$85,4,FALSE)*(1+'Inputs-System'!$C$42)+VLOOKUP(DB$3,Capacity!$A$53:$E$85,5,FALSE)*'Inputs-System'!$C$29*(1+'Inputs-System'!$C$43)), $C67 = "2", ('Inputs-System'!$C$26*'Coincidence Factors'!$B$7*(1+'Inputs-System'!$C$18))*'Inputs-Proposals'!$M$22*(VLOOKUP(DB$3,Capacity!$A$53:$E$85,4,FALSE)*(1+'Inputs-System'!$C$42)+VLOOKUP(DB$3,Capacity!$A$53:$E$85,5,FALSE)*'Inputs-System'!$C$29*(1+'Inputs-System'!$C$43)), $C67 = "3",('Inputs-System'!$C$26*'Coincidence Factors'!$B$7*(1+'Inputs-System'!$C$18))*'Inputs-Proposals'!$M$28*(VLOOKUP(DB$3,Capacity!$A$53:$E$85,4,FALSE)*(1+'Inputs-System'!$C$42)+VLOOKUP(DB$3,Capacity!$A$53:$E$85,5,FALSE)*'Inputs-System'!$C$29*(1+'Inputs-System'!$C$43)), $C67 = "0", 0), 0)</f>
        <v>0</v>
      </c>
      <c r="DF67" s="44">
        <v>0</v>
      </c>
      <c r="DG67" s="342">
        <f>IFERROR(_xlfn.IFS($C67="1", 'Inputs-System'!$C$30*'Coincidence Factors'!$B$7*'Inputs-Proposals'!$M$17*'Inputs-Proposals'!$M$19*(VLOOKUP(DB$3,'Non-Embedded Emissions'!$A$56:$D$90,2,FALSE)+VLOOKUP(DB$3,'Non-Embedded Emissions'!$A$143:$D$174,2,FALSE)+VLOOKUP(DB$3,'Non-Embedded Emissions'!$A$230:$D$259,2,FALSE)), $C67 = "2", 'Inputs-System'!$C$30*'Coincidence Factors'!$B$7*'Inputs-Proposals'!$M$23*'Inputs-Proposals'!$M$25*(VLOOKUP(DB$3,'Non-Embedded Emissions'!$A$56:$D$90,2,FALSE)+VLOOKUP(DB$3,'Non-Embedded Emissions'!$A$143:$D$174,2,FALSE)+VLOOKUP(DB$3,'Non-Embedded Emissions'!$A$230:$D$259,2,FALSE)), $C67 = "3", 'Inputs-System'!$C$30*'Coincidence Factors'!$B$7*'Inputs-Proposals'!$M$29*'Inputs-Proposals'!$M$31*(VLOOKUP(DB$3,'Non-Embedded Emissions'!$A$56:$D$90,2,FALSE)+VLOOKUP(DB$3,'Non-Embedded Emissions'!$A$143:$D$174,2,FALSE)+VLOOKUP(DB$3,'Non-Embedded Emissions'!$A$230:$D$259,2,FALSE)), $C67 = "0", 0), 0)</f>
        <v>0</v>
      </c>
      <c r="DH67" s="347">
        <f>IFERROR(_xlfn.IFS($C67="1",('Inputs-System'!$C$30*'Coincidence Factors'!$B$7*(1+'Inputs-System'!$C$18)*(1+'Inputs-System'!$C$41)*('Inputs-Proposals'!$M$17*'Inputs-Proposals'!$M$19*('Inputs-Proposals'!$M$20))*(VLOOKUP(DH$3,Energy!$A$51:$K$83,5,FALSE))), $C67 = "2",('Inputs-System'!$C$30*'Coincidence Factors'!$B$7)*(1+'Inputs-System'!$C$18)*(1+'Inputs-System'!$C$41)*('Inputs-Proposals'!$M$23*'Inputs-Proposals'!$M$25*('Inputs-Proposals'!$M$26))*(VLOOKUP(DH$3,Energy!$A$51:$K$83,5,FALSE)), $C67= "3", ('Inputs-System'!$C$30*'Coincidence Factors'!$B$7*(1+'Inputs-System'!$C$18)*(1+'Inputs-System'!$C$41)*('Inputs-Proposals'!$M$29*'Inputs-Proposals'!$M$31*('Inputs-Proposals'!$M$32))*(VLOOKUP(DH$3,Energy!$A$51:$K$83,5,FALSE))), $C67= "0", 0), 0)</f>
        <v>0</v>
      </c>
      <c r="DI67" s="44">
        <f>IFERROR(_xlfn.IFS($C67="1",'Inputs-System'!$C$30*'Coincidence Factors'!$B$7*(1+'Inputs-System'!$C$18)*(1+'Inputs-System'!$C$41)*'Inputs-Proposals'!$M$17*'Inputs-Proposals'!$M$19*('Inputs-Proposals'!$M$20)*(VLOOKUP(DH$3,'Embedded Emissions'!$A$47:$B$78,2,FALSE)+VLOOKUP(DH$3,'Embedded Emissions'!$A$129:$B$158,2,FALSE)), $C67 = "2",'Inputs-System'!$C$30*'Coincidence Factors'!$B$7*(1+'Inputs-System'!$C$18)*(1+'Inputs-System'!$C$41)*'Inputs-Proposals'!$M$23*'Inputs-Proposals'!$M$25*('Inputs-Proposals'!$M$20)*(VLOOKUP(DH$3,'Embedded Emissions'!$A$47:$B$78,2,FALSE)+VLOOKUP(DH$3,'Embedded Emissions'!$A$129:$B$158,2,FALSE)), $C67 = "3", 'Inputs-System'!$C$30*'Coincidence Factors'!$B$7*(1+'Inputs-System'!$C$18)*(1+'Inputs-System'!$C$41)*'Inputs-Proposals'!$M$29*'Inputs-Proposals'!$M$31*('Inputs-Proposals'!$M$20)*(VLOOKUP(DH$3,'Embedded Emissions'!$A$47:$B$78,2,FALSE)+VLOOKUP(DH$3,'Embedded Emissions'!$A$129:$B$158,2,FALSE)), $C67 = "0", 0), 0)</f>
        <v>0</v>
      </c>
      <c r="DJ67" s="44">
        <f>IFERROR(_xlfn.IFS($C67="1",( 'Inputs-System'!$C$30*'Coincidence Factors'!$B$7*(1+'Inputs-System'!$C$18)*(1+'Inputs-System'!$C$41))*('Inputs-Proposals'!$M$17*'Inputs-Proposals'!$M$19*('Inputs-Proposals'!$M$20))*(VLOOKUP(DH$3,DRIPE!$A$54:$I$82,5,FALSE)+VLOOKUP(DH$3,DRIPE!$A$54:$I$82,9,FALSE))+ ('Inputs-System'!$C$26*'Coincidence Factors'!$B$7*(1+'Inputs-System'!$C$18)*(1+'Inputs-System'!$C$42))*'Inputs-Proposals'!$M$16*VLOOKUP(DH$3,DRIPE!$A$54:$I$82,8,FALSE), $C67 = "2",( 'Inputs-System'!$C$30*'Coincidence Factors'!$B$7*(1+'Inputs-System'!$C$18)*(1+'Inputs-System'!$C$41))*('Inputs-Proposals'!$M$23*'Inputs-Proposals'!$M$25*('Inputs-Proposals'!$M$26))*(VLOOKUP(DH$3,DRIPE!$A$54:$I$82,5,FALSE)+VLOOKUP(DH$3,DRIPE!$A$54:$I$82,12,FALSE))+ ('Inputs-System'!$C$26*'Coincidence Factors'!$B$7*(1+'Inputs-System'!$C$18)*(1+'Inputs-System'!$C$42))*'Inputs-Proposals'!$M$22*VLOOKUP(DH$3,DRIPE!$A$54:$I$82,8,FALSE), $C67= "3", ( 'Inputs-System'!$C$30*'Coincidence Factors'!$B$7*(1+'Inputs-System'!$C$18)*(1+'Inputs-System'!$C$41))*('Inputs-Proposals'!$M$29*'Inputs-Proposals'!$M$31*('Inputs-Proposals'!$M$32))*(VLOOKUP(DH$3,DRIPE!$A$54:$I$82,5,FALSE)+VLOOKUP(DH$3,DRIPE!$A$54:$I$82,12,FALSE))+ ('Inputs-System'!$C$26*'Coincidence Factors'!$B$7*(1+'Inputs-System'!$C$18)*(1+'Inputs-System'!$C$42))*'Inputs-Proposals'!$M$28*VLOOKUP(DH$3,DRIPE!$A$54:$I$82,8,FALSE), $C67 = "0", 0), 0)</f>
        <v>0</v>
      </c>
      <c r="DK67" s="45">
        <f>IFERROR(_xlfn.IFS($C67="1",('Inputs-System'!$C$26*'Coincidence Factors'!$B$7*(1+'Inputs-System'!$C$18))*'Inputs-Proposals'!$M$16*(VLOOKUP(DH$3,Capacity!$A$53:$E$85,4,FALSE)*(1+'Inputs-System'!$C$42)+VLOOKUP(DH$3,Capacity!$A$53:$E$85,5,FALSE)*'Inputs-System'!$C$29*(1+'Inputs-System'!$C$43)), $C67 = "2", ('Inputs-System'!$C$26*'Coincidence Factors'!$B$7*(1+'Inputs-System'!$C$18))*'Inputs-Proposals'!$M$22*(VLOOKUP(DH$3,Capacity!$A$53:$E$85,4,FALSE)*(1+'Inputs-System'!$C$42)+VLOOKUP(DH$3,Capacity!$A$53:$E$85,5,FALSE)*'Inputs-System'!$C$29*(1+'Inputs-System'!$C$43)), $C67 = "3",('Inputs-System'!$C$26*'Coincidence Factors'!$B$7*(1+'Inputs-System'!$C$18))*'Inputs-Proposals'!$M$28*(VLOOKUP(DH$3,Capacity!$A$53:$E$85,4,FALSE)*(1+'Inputs-System'!$C$42)+VLOOKUP(DH$3,Capacity!$A$53:$E$85,5,FALSE)*'Inputs-System'!$C$29*(1+'Inputs-System'!$C$43)), $C67 = "0", 0), 0)</f>
        <v>0</v>
      </c>
      <c r="DL67" s="44">
        <v>0</v>
      </c>
      <c r="DM67" s="342">
        <f>IFERROR(_xlfn.IFS($C67="1", 'Inputs-System'!$C$30*'Coincidence Factors'!$B$7*'Inputs-Proposals'!$M$17*'Inputs-Proposals'!$M$19*(VLOOKUP(DH$3,'Non-Embedded Emissions'!$A$56:$D$90,2,FALSE)+VLOOKUP(DH$3,'Non-Embedded Emissions'!$A$143:$D$174,2,FALSE)+VLOOKUP(DH$3,'Non-Embedded Emissions'!$A$230:$D$259,2,FALSE)), $C67 = "2", 'Inputs-System'!$C$30*'Coincidence Factors'!$B$7*'Inputs-Proposals'!$M$23*'Inputs-Proposals'!$M$25*(VLOOKUP(DH$3,'Non-Embedded Emissions'!$A$56:$D$90,2,FALSE)+VLOOKUP(DH$3,'Non-Embedded Emissions'!$A$143:$D$174,2,FALSE)+VLOOKUP(DH$3,'Non-Embedded Emissions'!$A$230:$D$259,2,FALSE)), $C67 = "3", 'Inputs-System'!$C$30*'Coincidence Factors'!$B$7*'Inputs-Proposals'!$M$29*'Inputs-Proposals'!$M$31*(VLOOKUP(DH$3,'Non-Embedded Emissions'!$A$56:$D$90,2,FALSE)+VLOOKUP(DH$3,'Non-Embedded Emissions'!$A$143:$D$174,2,FALSE)+VLOOKUP(DH$3,'Non-Embedded Emissions'!$A$230:$D$259,2,FALSE)), $C67 = "0", 0), 0)</f>
        <v>0</v>
      </c>
      <c r="DN67" s="347">
        <f>IFERROR(_xlfn.IFS($C67="1",('Inputs-System'!$C$30*'Coincidence Factors'!$B$7*(1+'Inputs-System'!$C$18)*(1+'Inputs-System'!$C$41)*('Inputs-Proposals'!$M$17*'Inputs-Proposals'!$M$19*('Inputs-Proposals'!$M$20))*(VLOOKUP(DN$3,Energy!$A$51:$K$83,5,FALSE))), $C67 = "2",('Inputs-System'!$C$30*'Coincidence Factors'!$B$7)*(1+'Inputs-System'!$C$18)*(1+'Inputs-System'!$C$41)*('Inputs-Proposals'!$M$23*'Inputs-Proposals'!$M$25*('Inputs-Proposals'!$M$26))*(VLOOKUP(DN$3,Energy!$A$51:$K$83,5,FALSE)), $C67= "3", ('Inputs-System'!$C$30*'Coincidence Factors'!$B$7*(1+'Inputs-System'!$C$18)*(1+'Inputs-System'!$C$41)*('Inputs-Proposals'!$M$29*'Inputs-Proposals'!$M$31*('Inputs-Proposals'!$M$32))*(VLOOKUP(DN$3,Energy!$A$51:$K$83,5,FALSE))), $C67= "0", 0), 0)</f>
        <v>0</v>
      </c>
      <c r="DO67" s="44">
        <f>IFERROR(_xlfn.IFS($C67="1",'Inputs-System'!$C$30*'Coincidence Factors'!$B$7*(1+'Inputs-System'!$C$18)*(1+'Inputs-System'!$C$41)*'Inputs-Proposals'!$M$17*'Inputs-Proposals'!$M$19*('Inputs-Proposals'!$M$20)*(VLOOKUP(DN$3,'Embedded Emissions'!$A$47:$B$78,2,FALSE)+VLOOKUP(DN$3,'Embedded Emissions'!$A$129:$B$158,2,FALSE)), $C67 = "2",'Inputs-System'!$C$30*'Coincidence Factors'!$B$7*(1+'Inputs-System'!$C$18)*(1+'Inputs-System'!$C$41)*'Inputs-Proposals'!$M$23*'Inputs-Proposals'!$M$25*('Inputs-Proposals'!$M$20)*(VLOOKUP(DN$3,'Embedded Emissions'!$A$47:$B$78,2,FALSE)+VLOOKUP(DN$3,'Embedded Emissions'!$A$129:$B$158,2,FALSE)), $C67 = "3", 'Inputs-System'!$C$30*'Coincidence Factors'!$B$7*(1+'Inputs-System'!$C$18)*(1+'Inputs-System'!$C$41)*'Inputs-Proposals'!$M$29*'Inputs-Proposals'!$M$31*('Inputs-Proposals'!$M$20)*(VLOOKUP(DN$3,'Embedded Emissions'!$A$47:$B$78,2,FALSE)+VLOOKUP(DN$3,'Embedded Emissions'!$A$129:$B$158,2,FALSE)), $C67 = "0", 0), 0)</f>
        <v>0</v>
      </c>
      <c r="DP67" s="44">
        <f>IFERROR(_xlfn.IFS($C67="1",( 'Inputs-System'!$C$30*'Coincidence Factors'!$B$7*(1+'Inputs-System'!$C$18)*(1+'Inputs-System'!$C$41))*('Inputs-Proposals'!$M$17*'Inputs-Proposals'!$M$19*('Inputs-Proposals'!$M$20))*(VLOOKUP(DN$3,DRIPE!$A$54:$I$82,5,FALSE)+VLOOKUP(DN$3,DRIPE!$A$54:$I$82,9,FALSE))+ ('Inputs-System'!$C$26*'Coincidence Factors'!$B$7*(1+'Inputs-System'!$C$18)*(1+'Inputs-System'!$C$42))*'Inputs-Proposals'!$M$16*VLOOKUP(DN$3,DRIPE!$A$54:$I$82,8,FALSE), $C67 = "2",( 'Inputs-System'!$C$30*'Coincidence Factors'!$B$7*(1+'Inputs-System'!$C$18)*(1+'Inputs-System'!$C$41))*('Inputs-Proposals'!$M$23*'Inputs-Proposals'!$M$25*('Inputs-Proposals'!$M$26))*(VLOOKUP(DN$3,DRIPE!$A$54:$I$82,5,FALSE)+VLOOKUP(DN$3,DRIPE!$A$54:$I$82,12,FALSE))+ ('Inputs-System'!$C$26*'Coincidence Factors'!$B$7*(1+'Inputs-System'!$C$18)*(1+'Inputs-System'!$C$42))*'Inputs-Proposals'!$M$22*VLOOKUP(DN$3,DRIPE!$A$54:$I$82,8,FALSE), $C67= "3", ( 'Inputs-System'!$C$30*'Coincidence Factors'!$B$7*(1+'Inputs-System'!$C$18)*(1+'Inputs-System'!$C$41))*('Inputs-Proposals'!$M$29*'Inputs-Proposals'!$M$31*('Inputs-Proposals'!$M$32))*(VLOOKUP(DN$3,DRIPE!$A$54:$I$82,5,FALSE)+VLOOKUP(DN$3,DRIPE!$A$54:$I$82,12,FALSE))+ ('Inputs-System'!$C$26*'Coincidence Factors'!$B$7*(1+'Inputs-System'!$C$18)*(1+'Inputs-System'!$C$42))*'Inputs-Proposals'!$M$28*VLOOKUP(DN$3,DRIPE!$A$54:$I$82,8,FALSE), $C67 = "0", 0), 0)</f>
        <v>0</v>
      </c>
      <c r="DQ67" s="45">
        <f>IFERROR(_xlfn.IFS($C67="1",('Inputs-System'!$C$26*'Coincidence Factors'!$B$7*(1+'Inputs-System'!$C$18))*'Inputs-Proposals'!$M$16*(VLOOKUP(DN$3,Capacity!$A$53:$E$85,4,FALSE)*(1+'Inputs-System'!$C$42)+VLOOKUP(DN$3,Capacity!$A$53:$E$85,5,FALSE)*'Inputs-System'!$C$29*(1+'Inputs-System'!$C$43)), $C67 = "2", ('Inputs-System'!$C$26*'Coincidence Factors'!$B$7*(1+'Inputs-System'!$C$18))*'Inputs-Proposals'!$M$22*(VLOOKUP(DN$3,Capacity!$A$53:$E$85,4,FALSE)*(1+'Inputs-System'!$C$42)+VLOOKUP(DN$3,Capacity!$A$53:$E$85,5,FALSE)*'Inputs-System'!$C$29*(1+'Inputs-System'!$C$43)), $C67 = "3",('Inputs-System'!$C$26*'Coincidence Factors'!$B$7*(1+'Inputs-System'!$C$18))*'Inputs-Proposals'!$M$28*(VLOOKUP(DN$3,Capacity!$A$53:$E$85,4,FALSE)*(1+'Inputs-System'!$C$42)+VLOOKUP(DN$3,Capacity!$A$53:$E$85,5,FALSE)*'Inputs-System'!$C$29*(1+'Inputs-System'!$C$43)), $C67 = "0", 0), 0)</f>
        <v>0</v>
      </c>
      <c r="DR67" s="44">
        <v>0</v>
      </c>
      <c r="DS67" s="342">
        <f>IFERROR(_xlfn.IFS($C67="1", 'Inputs-System'!$C$30*'Coincidence Factors'!$B$7*'Inputs-Proposals'!$M$17*'Inputs-Proposals'!$M$19*(VLOOKUP(DN$3,'Non-Embedded Emissions'!$A$56:$D$90,2,FALSE)+VLOOKUP(DN$3,'Non-Embedded Emissions'!$A$143:$D$174,2,FALSE)+VLOOKUP(DN$3,'Non-Embedded Emissions'!$A$230:$D$259,2,FALSE)), $C67 = "2", 'Inputs-System'!$C$30*'Coincidence Factors'!$B$7*'Inputs-Proposals'!$M$23*'Inputs-Proposals'!$M$25*(VLOOKUP(DN$3,'Non-Embedded Emissions'!$A$56:$D$90,2,FALSE)+VLOOKUP(DN$3,'Non-Embedded Emissions'!$A$143:$D$174,2,FALSE)+VLOOKUP(DN$3,'Non-Embedded Emissions'!$A$230:$D$259,2,FALSE)), $C67 = "3", 'Inputs-System'!$C$30*'Coincidence Factors'!$B$7*'Inputs-Proposals'!$M$29*'Inputs-Proposals'!$M$31*(VLOOKUP(DN$3,'Non-Embedded Emissions'!$A$56:$D$90,2,FALSE)+VLOOKUP(DN$3,'Non-Embedded Emissions'!$A$143:$D$174,2,FALSE)+VLOOKUP(DN$3,'Non-Embedded Emissions'!$A$230:$D$259,2,FALSE)), $C67 = "0", 0), 0)</f>
        <v>0</v>
      </c>
      <c r="DT67" s="347">
        <f>IFERROR(_xlfn.IFS($C67="1",('Inputs-System'!$C$30*'Coincidence Factors'!$B$7*(1+'Inputs-System'!$C$18)*(1+'Inputs-System'!$C$41)*('Inputs-Proposals'!$M$17*'Inputs-Proposals'!$M$19*('Inputs-Proposals'!$M$20))*(VLOOKUP(DT$3,Energy!$A$51:$K$83,5,FALSE))), $C67 = "2",('Inputs-System'!$C$30*'Coincidence Factors'!$B$7)*(1+'Inputs-System'!$C$18)*(1+'Inputs-System'!$C$41)*('Inputs-Proposals'!$M$23*'Inputs-Proposals'!$M$25*('Inputs-Proposals'!$M$26))*(VLOOKUP(DT$3,Energy!$A$51:$K$83,5,FALSE)), $C67= "3", ('Inputs-System'!$C$30*'Coincidence Factors'!$B$7*(1+'Inputs-System'!$C$18)*(1+'Inputs-System'!$C$41)*('Inputs-Proposals'!$M$29*'Inputs-Proposals'!$M$31*('Inputs-Proposals'!$M$32))*(VLOOKUP(DT$3,Energy!$A$51:$K$83,5,FALSE))), $C67= "0", 0), 0)</f>
        <v>0</v>
      </c>
      <c r="DU67" s="44">
        <f>IFERROR(_xlfn.IFS($C67="1",'Inputs-System'!$C$30*'Coincidence Factors'!$B$7*(1+'Inputs-System'!$C$18)*(1+'Inputs-System'!$C$41)*'Inputs-Proposals'!$M$17*'Inputs-Proposals'!$M$19*('Inputs-Proposals'!$M$20)*(VLOOKUP(DT$3,'Embedded Emissions'!$A$47:$B$78,2,FALSE)+VLOOKUP(DT$3,'Embedded Emissions'!$A$129:$B$158,2,FALSE)), $C67 = "2",'Inputs-System'!$C$30*'Coincidence Factors'!$B$7*(1+'Inputs-System'!$C$18)*(1+'Inputs-System'!$C$41)*'Inputs-Proposals'!$M$23*'Inputs-Proposals'!$M$25*('Inputs-Proposals'!$M$20)*(VLOOKUP(DT$3,'Embedded Emissions'!$A$47:$B$78,2,FALSE)+VLOOKUP(DT$3,'Embedded Emissions'!$A$129:$B$158,2,FALSE)), $C67 = "3", 'Inputs-System'!$C$30*'Coincidence Factors'!$B$7*(1+'Inputs-System'!$C$18)*(1+'Inputs-System'!$C$41)*'Inputs-Proposals'!$M$29*'Inputs-Proposals'!$M$31*('Inputs-Proposals'!$M$20)*(VLOOKUP(DT$3,'Embedded Emissions'!$A$47:$B$78,2,FALSE)+VLOOKUP(DT$3,'Embedded Emissions'!$A$129:$B$158,2,FALSE)), $C67 = "0", 0), 0)</f>
        <v>0</v>
      </c>
      <c r="DV67" s="44">
        <f>IFERROR(_xlfn.IFS($C67="1",( 'Inputs-System'!$C$30*'Coincidence Factors'!$B$7*(1+'Inputs-System'!$C$18)*(1+'Inputs-System'!$C$41))*('Inputs-Proposals'!$M$17*'Inputs-Proposals'!$M$19*('Inputs-Proposals'!$M$20))*(VLOOKUP(DT$3,DRIPE!$A$54:$I$82,5,FALSE)+VLOOKUP(DT$3,DRIPE!$A$54:$I$82,9,FALSE))+ ('Inputs-System'!$C$26*'Coincidence Factors'!$B$7*(1+'Inputs-System'!$C$18)*(1+'Inputs-System'!$C$42))*'Inputs-Proposals'!$M$16*VLOOKUP(DT$3,DRIPE!$A$54:$I$82,8,FALSE), $C67 = "2",( 'Inputs-System'!$C$30*'Coincidence Factors'!$B$7*(1+'Inputs-System'!$C$18)*(1+'Inputs-System'!$C$41))*('Inputs-Proposals'!$M$23*'Inputs-Proposals'!$M$25*('Inputs-Proposals'!$M$26))*(VLOOKUP(DT$3,DRIPE!$A$54:$I$82,5,FALSE)+VLOOKUP(DT$3,DRIPE!$A$54:$I$82,12,FALSE))+ ('Inputs-System'!$C$26*'Coincidence Factors'!$B$7*(1+'Inputs-System'!$C$18)*(1+'Inputs-System'!$C$42))*'Inputs-Proposals'!$M$22*VLOOKUP(DT$3,DRIPE!$A$54:$I$82,8,FALSE), $C67= "3", ( 'Inputs-System'!$C$30*'Coincidence Factors'!$B$7*(1+'Inputs-System'!$C$18)*(1+'Inputs-System'!$C$41))*('Inputs-Proposals'!$M$29*'Inputs-Proposals'!$M$31*('Inputs-Proposals'!$M$32))*(VLOOKUP(DT$3,DRIPE!$A$54:$I$82,5,FALSE)+VLOOKUP(DT$3,DRIPE!$A$54:$I$82,12,FALSE))+ ('Inputs-System'!$C$26*'Coincidence Factors'!$B$7*(1+'Inputs-System'!$C$18)*(1+'Inputs-System'!$C$42))*'Inputs-Proposals'!$M$28*VLOOKUP(DT$3,DRIPE!$A$54:$I$82,8,FALSE), $C67 = "0", 0), 0)</f>
        <v>0</v>
      </c>
      <c r="DW67" s="45">
        <f>IFERROR(_xlfn.IFS($C67="1",('Inputs-System'!$C$26*'Coincidence Factors'!$B$7*(1+'Inputs-System'!$C$18))*'Inputs-Proposals'!$M$16*(VLOOKUP(DT$3,Capacity!$A$53:$E$85,4,FALSE)*(1+'Inputs-System'!$C$42)+VLOOKUP(DT$3,Capacity!$A$53:$E$85,5,FALSE)*'Inputs-System'!$C$29*(1+'Inputs-System'!$C$43)), $C67 = "2", ('Inputs-System'!$C$26*'Coincidence Factors'!$B$7*(1+'Inputs-System'!$C$18))*'Inputs-Proposals'!$M$22*(VLOOKUP(DT$3,Capacity!$A$53:$E$85,4,FALSE)*(1+'Inputs-System'!$C$42)+VLOOKUP(DT$3,Capacity!$A$53:$E$85,5,FALSE)*'Inputs-System'!$C$29*(1+'Inputs-System'!$C$43)), $C67 = "3",('Inputs-System'!$C$26*'Coincidence Factors'!$B$7*(1+'Inputs-System'!$C$18))*'Inputs-Proposals'!$M$28*(VLOOKUP(DT$3,Capacity!$A$53:$E$85,4,FALSE)*(1+'Inputs-System'!$C$42)+VLOOKUP(DT$3,Capacity!$A$53:$E$85,5,FALSE)*'Inputs-System'!$C$29*(1+'Inputs-System'!$C$43)), $C67 = "0", 0), 0)</f>
        <v>0</v>
      </c>
      <c r="DX67" s="44">
        <v>0</v>
      </c>
      <c r="DY67" s="342">
        <f>IFERROR(_xlfn.IFS($C67="1", 'Inputs-System'!$C$30*'Coincidence Factors'!$B$7*'Inputs-Proposals'!$M$17*'Inputs-Proposals'!$M$19*(VLOOKUP(DT$3,'Non-Embedded Emissions'!$A$56:$D$90,2,FALSE)+VLOOKUP(DT$3,'Non-Embedded Emissions'!$A$143:$D$174,2,FALSE)+VLOOKUP(DT$3,'Non-Embedded Emissions'!$A$230:$D$259,2,FALSE)), $C67 = "2", 'Inputs-System'!$C$30*'Coincidence Factors'!$B$7*'Inputs-Proposals'!$M$23*'Inputs-Proposals'!$M$25*(VLOOKUP(DT$3,'Non-Embedded Emissions'!$A$56:$D$90,2,FALSE)+VLOOKUP(DT$3,'Non-Embedded Emissions'!$A$143:$D$174,2,FALSE)+VLOOKUP(DT$3,'Non-Embedded Emissions'!$A$230:$D$259,2,FALSE)), $C67 = "3", 'Inputs-System'!$C$30*'Coincidence Factors'!$B$7*'Inputs-Proposals'!$M$29*'Inputs-Proposals'!$M$31*(VLOOKUP(DT$3,'Non-Embedded Emissions'!$A$56:$D$90,2,FALSE)+VLOOKUP(DT$3,'Non-Embedded Emissions'!$A$143:$D$174,2,FALSE)+VLOOKUP(DT$3,'Non-Embedded Emissions'!$A$230:$D$259,2,FALSE)), $C67 = "0", 0), 0)</f>
        <v>0</v>
      </c>
      <c r="DZ67" s="347">
        <f>IFERROR(_xlfn.IFS($C67="1",('Inputs-System'!$C$30*'Coincidence Factors'!$B$7*(1+'Inputs-System'!$C$18)*(1+'Inputs-System'!$C$41)*('Inputs-Proposals'!$M$17*'Inputs-Proposals'!$M$19*('Inputs-Proposals'!$M$20))*(VLOOKUP(DZ$3,Energy!$A$51:$K$83,5,FALSE))), $C67 = "2",('Inputs-System'!$C$30*'Coincidence Factors'!$B$7)*(1+'Inputs-System'!$C$18)*(1+'Inputs-System'!$C$41)*('Inputs-Proposals'!$M$23*'Inputs-Proposals'!$M$25*('Inputs-Proposals'!$M$26))*(VLOOKUP(DZ$3,Energy!$A$51:$K$83,5,FALSE)), $C67= "3", ('Inputs-System'!$C$30*'Coincidence Factors'!$B$7*(1+'Inputs-System'!$C$18)*(1+'Inputs-System'!$C$41)*('Inputs-Proposals'!$M$29*'Inputs-Proposals'!$M$31*('Inputs-Proposals'!$M$32))*(VLOOKUP(DZ$3,Energy!$A$51:$K$83,5,FALSE))), $C67= "0", 0), 0)</f>
        <v>0</v>
      </c>
      <c r="EA67" s="44">
        <f>IFERROR(_xlfn.IFS($C67="1",'Inputs-System'!$C$30*'Coincidence Factors'!$B$7*(1+'Inputs-System'!$C$18)*(1+'Inputs-System'!$C$41)*'Inputs-Proposals'!$M$17*'Inputs-Proposals'!$M$19*('Inputs-Proposals'!$M$20)*(VLOOKUP(DZ$3,'Embedded Emissions'!$A$47:$B$78,2,FALSE)+VLOOKUP(DZ$3,'Embedded Emissions'!$A$129:$B$158,2,FALSE)), $C67 = "2",'Inputs-System'!$C$30*'Coincidence Factors'!$B$7*(1+'Inputs-System'!$C$18)*(1+'Inputs-System'!$C$41)*'Inputs-Proposals'!$M$23*'Inputs-Proposals'!$M$25*('Inputs-Proposals'!$M$20)*(VLOOKUP(DZ$3,'Embedded Emissions'!$A$47:$B$78,2,FALSE)+VLOOKUP(DZ$3,'Embedded Emissions'!$A$129:$B$158,2,FALSE)), $C67 = "3", 'Inputs-System'!$C$30*'Coincidence Factors'!$B$7*(1+'Inputs-System'!$C$18)*(1+'Inputs-System'!$C$41)*'Inputs-Proposals'!$M$29*'Inputs-Proposals'!$M$31*('Inputs-Proposals'!$M$20)*(VLOOKUP(DZ$3,'Embedded Emissions'!$A$47:$B$78,2,FALSE)+VLOOKUP(DZ$3,'Embedded Emissions'!$A$129:$B$158,2,FALSE)), $C67 = "0", 0), 0)</f>
        <v>0</v>
      </c>
      <c r="EB67" s="44">
        <f>IFERROR(_xlfn.IFS($C67="1",( 'Inputs-System'!$C$30*'Coincidence Factors'!$B$7*(1+'Inputs-System'!$C$18)*(1+'Inputs-System'!$C$41))*('Inputs-Proposals'!$M$17*'Inputs-Proposals'!$M$19*('Inputs-Proposals'!$M$20))*(VLOOKUP(DZ$3,DRIPE!$A$54:$I$82,5,FALSE)+VLOOKUP(DZ$3,DRIPE!$A$54:$I$82,9,FALSE))+ ('Inputs-System'!$C$26*'Coincidence Factors'!$B$7*(1+'Inputs-System'!$C$18)*(1+'Inputs-System'!$C$42))*'Inputs-Proposals'!$M$16*VLOOKUP(DZ$3,DRIPE!$A$54:$I$82,8,FALSE), $C67 = "2",( 'Inputs-System'!$C$30*'Coincidence Factors'!$B$7*(1+'Inputs-System'!$C$18)*(1+'Inputs-System'!$C$41))*('Inputs-Proposals'!$M$23*'Inputs-Proposals'!$M$25*('Inputs-Proposals'!$M$26))*(VLOOKUP(DZ$3,DRIPE!$A$54:$I$82,5,FALSE)+VLOOKUP(DZ$3,DRIPE!$A$54:$I$82,12,FALSE))+ ('Inputs-System'!$C$26*'Coincidence Factors'!$B$7*(1+'Inputs-System'!$C$18)*(1+'Inputs-System'!$C$42))*'Inputs-Proposals'!$M$22*VLOOKUP(DZ$3,DRIPE!$A$54:$I$82,8,FALSE), $C67= "3", ( 'Inputs-System'!$C$30*'Coincidence Factors'!$B$7*(1+'Inputs-System'!$C$18)*(1+'Inputs-System'!$C$41))*('Inputs-Proposals'!$M$29*'Inputs-Proposals'!$M$31*('Inputs-Proposals'!$M$32))*(VLOOKUP(DZ$3,DRIPE!$A$54:$I$82,5,FALSE)+VLOOKUP(DZ$3,DRIPE!$A$54:$I$82,12,FALSE))+ ('Inputs-System'!$C$26*'Coincidence Factors'!$B$7*(1+'Inputs-System'!$C$18)*(1+'Inputs-System'!$C$42))*'Inputs-Proposals'!$M$28*VLOOKUP(DZ$3,DRIPE!$A$54:$I$82,8,FALSE), $C67 = "0", 0), 0)</f>
        <v>0</v>
      </c>
      <c r="EC67" s="45">
        <f>IFERROR(_xlfn.IFS($C67="1",('Inputs-System'!$C$26*'Coincidence Factors'!$B$7*(1+'Inputs-System'!$C$18))*'Inputs-Proposals'!$M$16*(VLOOKUP(DZ$3,Capacity!$A$53:$E$85,4,FALSE)*(1+'Inputs-System'!$C$42)+VLOOKUP(DZ$3,Capacity!$A$53:$E$85,5,FALSE)*'Inputs-System'!$C$29*(1+'Inputs-System'!$C$43)), $C67 = "2", ('Inputs-System'!$C$26*'Coincidence Factors'!$B$7*(1+'Inputs-System'!$C$18))*'Inputs-Proposals'!$M$22*(VLOOKUP(DZ$3,Capacity!$A$53:$E$85,4,FALSE)*(1+'Inputs-System'!$C$42)+VLOOKUP(DZ$3,Capacity!$A$53:$E$85,5,FALSE)*'Inputs-System'!$C$29*(1+'Inputs-System'!$C$43)), $C67 = "3",('Inputs-System'!$C$26*'Coincidence Factors'!$B$7*(1+'Inputs-System'!$C$18))*'Inputs-Proposals'!$M$28*(VLOOKUP(DZ$3,Capacity!$A$53:$E$85,4,FALSE)*(1+'Inputs-System'!$C$42)+VLOOKUP(DZ$3,Capacity!$A$53:$E$85,5,FALSE)*'Inputs-System'!$C$29*(1+'Inputs-System'!$C$43)), $C67 = "0", 0), 0)</f>
        <v>0</v>
      </c>
      <c r="ED67" s="44">
        <v>0</v>
      </c>
      <c r="EE67" s="342">
        <f>IFERROR(_xlfn.IFS($C67="1", 'Inputs-System'!$C$30*'Coincidence Factors'!$B$7*'Inputs-Proposals'!$M$17*'Inputs-Proposals'!$M$19*(VLOOKUP(DZ$3,'Non-Embedded Emissions'!$A$56:$D$90,2,FALSE)+VLOOKUP(DZ$3,'Non-Embedded Emissions'!$A$143:$D$174,2,FALSE)+VLOOKUP(DZ$3,'Non-Embedded Emissions'!$A$230:$D$259,2,FALSE)), $C67 = "2", 'Inputs-System'!$C$30*'Coincidence Factors'!$B$7*'Inputs-Proposals'!$M$23*'Inputs-Proposals'!$M$25*(VLOOKUP(DZ$3,'Non-Embedded Emissions'!$A$56:$D$90,2,FALSE)+VLOOKUP(DZ$3,'Non-Embedded Emissions'!$A$143:$D$174,2,FALSE)+VLOOKUP(DZ$3,'Non-Embedded Emissions'!$A$230:$D$259,2,FALSE)), $C67 = "3", 'Inputs-System'!$C$30*'Coincidence Factors'!$B$7*'Inputs-Proposals'!$M$29*'Inputs-Proposals'!$M$31*(VLOOKUP(DZ$3,'Non-Embedded Emissions'!$A$56:$D$90,2,FALSE)+VLOOKUP(DZ$3,'Non-Embedded Emissions'!$A$143:$D$174,2,FALSE)+VLOOKUP(DZ$3,'Non-Embedded Emissions'!$A$230:$D$259,2,FALSE)), $C67 = "0", 0), 0)</f>
        <v>0</v>
      </c>
    </row>
    <row r="68" spans="1:135" x14ac:dyDescent="0.35">
      <c r="A68" s="708"/>
      <c r="B68" s="3" t="s">
        <v>160</v>
      </c>
      <c r="C68" s="3" t="str">
        <f>IFERROR(_xlfn.IFS('Benefits Calc'!B68='Inputs-Proposals'!$M$15, "1", 'Benefits Calc'!B68='Inputs-Proposals'!$M$21, "2", 'Benefits Calc'!B68='Inputs-Proposals'!$M$27, "3"), "0")</f>
        <v>0</v>
      </c>
      <c r="D68" s="323">
        <f t="shared" si="66"/>
        <v>0</v>
      </c>
      <c r="E68" s="44">
        <f t="shared" si="66"/>
        <v>0</v>
      </c>
      <c r="F68" s="44">
        <f t="shared" si="66"/>
        <v>0</v>
      </c>
      <c r="G68" s="44">
        <f t="shared" si="66"/>
        <v>0</v>
      </c>
      <c r="H68" s="44">
        <f t="shared" si="66"/>
        <v>0</v>
      </c>
      <c r="I68" s="44">
        <f t="shared" si="66"/>
        <v>0</v>
      </c>
      <c r="J68" s="323">
        <f>NPV('Inputs-System'!$C$20,P68+V68+AB68+AH68+AN68+AT68+AZ68+BF68+BL68+BR68+BX68+CD68+CJ68+CP68+CV68+DB68+DH68+DN68+DT68+DZ68)</f>
        <v>0</v>
      </c>
      <c r="K68" s="44">
        <f>NPV('Inputs-System'!$C$20,Q68+W68+AC68+AI68+AO68+AU68+BA68+BG68+BM68+BS68+BY68+CE68+CK68+CQ68+CW68+DC68+DI68+DO68+DU68+EA68)</f>
        <v>0</v>
      </c>
      <c r="L68" s="44">
        <f>NPV('Inputs-System'!$C$20,R68+X68+AD68+AJ68+AP68+AV68+BB68+BH68+BN68+BT68+BZ68+CF68+CL68+CR68+CX68+DD68+DJ68+DP68+DV68+EB68)</f>
        <v>0</v>
      </c>
      <c r="M68" s="44">
        <f>NPV('Inputs-System'!$C$20,S68+Y68+AE68+AK68+AQ68+AW68+BC68+BI68+BO68+BU68+CA68+CG68+CM68+CS68+CY68+DE68+DK68+DQ68+DW68+EC68)</f>
        <v>0</v>
      </c>
      <c r="N68" s="44">
        <f>NPV('Inputs-System'!$C$20,T68+Z68+AF68+AL68+AR68+AX68+BD68+BJ68+BP68+BV68+CB68+CH68+CN68+CT68+CZ68+DF68+DL68+DR68+DX68+ED68)</f>
        <v>0</v>
      </c>
      <c r="O68" s="119">
        <f>NPV('Inputs-System'!$C$20,U68+AA68+AG68+AM68+AS68+AY68+BE68+BK68+BQ68+BW68+CC68+CI68+CO68+CU68+DA68+DG68+DM68+DS68+DY68+EE68)</f>
        <v>0</v>
      </c>
      <c r="P68" s="45">
        <f>IFERROR(_xlfn.IFS($C68="1",('Inputs-System'!$C$30*'Coincidence Factors'!$B$8*(1+'Inputs-System'!$C$18)*(1+'Inputs-System'!$C$41)*('Inputs-Proposals'!$M$17*'Inputs-Proposals'!$M$19*('Inputs-Proposals'!$M$20))*(VLOOKUP(P$3,Energy!$A$51:$K$83,5,FALSE))), $C68 = "2",('Inputs-System'!$C$30*'Coincidence Factors'!$B$8)*(1+'Inputs-System'!$C$18)*(1+'Inputs-System'!$C$41)*('Inputs-Proposals'!$M$23*'Inputs-Proposals'!$M$25*('Inputs-Proposals'!$M$26))*(VLOOKUP(P$3,Energy!$A$51:$K$83,5,FALSE)), $C68= "3", ('Inputs-System'!$C$30*'Coincidence Factors'!$B$8*(1+'Inputs-System'!$C$18)*(1+'Inputs-System'!$C$41)*('Inputs-Proposals'!$M$29*'Inputs-Proposals'!$M$31*('Inputs-Proposals'!$M$32))*(VLOOKUP(P$3,Energy!$A$51:$K$83,5,FALSE))), $C68= "0", 0), 0)</f>
        <v>0</v>
      </c>
      <c r="Q68" s="44">
        <f>IFERROR(_xlfn.IFS($C68="1",'Inputs-System'!$C$30*'Coincidence Factors'!$B$8*(1+'Inputs-System'!$C$18)*(1+'Inputs-System'!$C$41)*'Inputs-Proposals'!$M$17*'Inputs-Proposals'!$M$19*('Inputs-Proposals'!$M$20)*(VLOOKUP(P$3,'Embedded Emissions'!$A$47:$B$78,2,FALSE)+VLOOKUP(P$3,'Embedded Emissions'!$A$129:$B$158,2,FALSE)), $C68 = "2", 'Inputs-System'!$C$30*'Coincidence Factors'!$B$8*(1+'Inputs-System'!$C$18)*(1+'Inputs-System'!$C$41)*'Inputs-Proposals'!$M$23*'Inputs-Proposals'!$M$25*('Inputs-Proposals'!$M$20)*(VLOOKUP(P$3,'Embedded Emissions'!$A$47:$B$78,2,FALSE)+VLOOKUP(P$3,'Embedded Emissions'!$A$129:$B$158,2,FALSE)), $C68 = "3",'Inputs-System'!$C$30*'Coincidence Factors'!$B$8*(1+'Inputs-System'!$C$18)*(1+'Inputs-System'!$C$41)*'Inputs-Proposals'!$M$29*'Inputs-Proposals'!$M$31*('Inputs-Proposals'!$M$20)*(VLOOKUP(P$3,'Embedded Emissions'!$A$47:$B$78,2,FALSE)+VLOOKUP(P$3,'Embedded Emissions'!$A$129:$B$158,2,FALSE)), $C68 = "0", 0), 0)</f>
        <v>0</v>
      </c>
      <c r="R68" s="44">
        <f>IFERROR(_xlfn.IFS($C68="1",( 'Inputs-System'!$C$30*'Coincidence Factors'!$B$8*(1+'Inputs-System'!$C$18)*(1+'Inputs-System'!$C$41))*('Inputs-Proposals'!$M$17*'Inputs-Proposals'!$M$19*('Inputs-Proposals'!$M$20))*(VLOOKUP(P$3,DRIPE!$A$54:$I$82,5,FALSE)+VLOOKUP(P$3,DRIPE!$A$54:$I$82,9,FALSE))+ ('Inputs-System'!$C$26*'Coincidence Factors'!$B$8*(1+'Inputs-System'!$C$18)*(1+'Inputs-System'!$C$42))*'Inputs-Proposals'!$M$16*VLOOKUP(P$3,DRIPE!$A$54:$I$82,8,FALSE), $C68 = "2",( 'Inputs-System'!$C$30*'Coincidence Factors'!$B$8*(1+'Inputs-System'!$C$18)*(1+'Inputs-System'!$C$41))*('Inputs-Proposals'!$M$23*'Inputs-Proposals'!$M$25*('Inputs-Proposals'!$M$26))*(VLOOKUP(P$3,DRIPE!$A$54:$I$82,5,FALSE)+VLOOKUP(P$3,DRIPE!$A$54:$I$82,9,FALSE))+  ('Inputs-System'!$C$26*'Coincidence Factors'!$B$8*(1+'Inputs-System'!$C$18)*(1+'Inputs-System'!$C$42))*'Inputs-Proposals'!$M$22*VLOOKUP(P$3,DRIPE!$A$54:$I$82,8,FALSE), $C68= "3", ( 'Inputs-System'!$C$30*'Coincidence Factors'!$B$8*(1+'Inputs-System'!$C$18)*(1+'Inputs-System'!$C$41))*('Inputs-Proposals'!$M$29*'Inputs-Proposals'!$M$31*('Inputs-Proposals'!$M$32))*(VLOOKUP(P$3,DRIPE!$A$54:$I$82,5,FALSE)+VLOOKUP(P$3,DRIPE!$A$54:$I$82,9,FALSE))+  ('Inputs-System'!$C$26*'Coincidence Factors'!$B$8*(1+'Inputs-System'!$C$18)*(1+'Inputs-System'!$C$42))*'Inputs-Proposals'!$M$28*VLOOKUP(P$3,DRIPE!$A$54:$I$82,8,FALSE), $C68 = "0", 0), 0)</f>
        <v>0</v>
      </c>
      <c r="S68" s="45">
        <f>IFERROR(_xlfn.IFS($C68="1",('Inputs-System'!$C$30*'Coincidence Factors'!$B$8*(1+'Inputs-System'!$C$18))*'Inputs-Proposals'!$M$16*(VLOOKUP(P$3,Capacity!$A$53:$E$85,4,FALSE)*(1+'Inputs-System'!$C$42)+VLOOKUP(P$3,Capacity!$A$53:$E$85,5,FALSE)*'Inputs-System'!$C$29*(1+'Inputs-System'!$C$43)), $C68 = "2", ('Inputs-System'!$C$30*'Coincidence Factors'!$B$8*(1+'Inputs-System'!$C$18))*'Inputs-Proposals'!$M$22*(VLOOKUP(P$3,Capacity!$A$53:$E$85,4,FALSE)*(1+'Inputs-System'!$C$42)+VLOOKUP(P$3,Capacity!$A$53:$E$85,5,FALSE)*'Inputs-System'!$C$29*(1+'Inputs-System'!$C$43)), $C68 = "3",('Inputs-System'!$C$30*'Coincidence Factors'!$B$8*(1+'Inputs-System'!$C$18))*'Inputs-Proposals'!$M$28*(VLOOKUP(P$3,Capacity!$A$53:$E$85,4,FALSE)*(1+'Inputs-System'!$C$42)+VLOOKUP(P$3,Capacity!$A$53:$E$85,5,FALSE)*'Inputs-System'!$C$29*(1+'Inputs-System'!$C$43)), $C68 = "0", 0), 0)</f>
        <v>0</v>
      </c>
      <c r="T68" s="44">
        <v>0</v>
      </c>
      <c r="U68" s="44">
        <f>IFERROR(_xlfn.IFS($C68="1", 'Inputs-System'!$C$30*'Coincidence Factors'!$B$8*'Inputs-Proposals'!$M$17*'Inputs-Proposals'!$M$19*(VLOOKUP(P$3,'Non-Embedded Emissions'!$A$56:$D$90,2,FALSE)+VLOOKUP(P$3,'Non-Embedded Emissions'!$A$143:$D$174,2,FALSE)+VLOOKUP(P$3,'Non-Embedded Emissions'!$A$230:$D$259,2,FALSE)), $C68 = "2", 'Inputs-System'!$C$30*'Coincidence Factors'!$B$8*'Inputs-Proposals'!$M$23*'Inputs-Proposals'!$M$25*(VLOOKUP(P$3,'Non-Embedded Emissions'!$A$56:$D$90,2,FALSE)+VLOOKUP(P$3,'Non-Embedded Emissions'!$A$143:$D$174,2,FALSE)+VLOOKUP(P$3,'Non-Embedded Emissions'!$A$230:$D$259,2,FALSE)), $C68 = "3", 'Inputs-System'!$C$30*'Coincidence Factors'!$B$8*'Inputs-Proposals'!$M$29*'Inputs-Proposals'!$M$31*(VLOOKUP(P$3,'Non-Embedded Emissions'!$A$56:$D$90,2,FALSE)+VLOOKUP(P$3,'Non-Embedded Emissions'!$A$143:$D$174,2,FALSE)+VLOOKUP(P$3,'Non-Embedded Emissions'!$A$230:$D$259,2,FALSE)), $C68 = "0", 0), 0)</f>
        <v>0</v>
      </c>
      <c r="V68" s="347">
        <f>IFERROR(_xlfn.IFS($C68="1",('Inputs-System'!$C$30*'Coincidence Factors'!$B$8*(1+'Inputs-System'!$C$18)*(1+'Inputs-System'!$C$41)*('Inputs-Proposals'!$M$17*'Inputs-Proposals'!$M$19*('Inputs-Proposals'!$M$20))*(VLOOKUP(V$3,Energy!$A$51:$K$83,5,FALSE))), $C68 = "2",('Inputs-System'!$C$30*'Coincidence Factors'!$B$8)*(1+'Inputs-System'!$C$18)*(1+'Inputs-System'!$C$41)*('Inputs-Proposals'!$M$23*'Inputs-Proposals'!$M$25*('Inputs-Proposals'!$M$26))*(VLOOKUP(V$3,Energy!$A$51:$K$83,5,FALSE)), $C68= "3", ('Inputs-System'!$C$30*'Coincidence Factors'!$B$8*(1+'Inputs-System'!$C$18)*(1+'Inputs-System'!$C$41)*('Inputs-Proposals'!$M$29*'Inputs-Proposals'!$M$31*('Inputs-Proposals'!$M$32))*(VLOOKUP(V$3,Energy!$A$51:$K$83,5,FALSE))), $C68= "0", 0), 0)</f>
        <v>0</v>
      </c>
      <c r="W68" s="44">
        <f>IFERROR(_xlfn.IFS($C68="1",'Inputs-System'!$C$30*'Coincidence Factors'!$B$8*(1+'Inputs-System'!$C$18)*(1+'Inputs-System'!$C$41)*'Inputs-Proposals'!$M$17*'Inputs-Proposals'!$M$19*('Inputs-Proposals'!$M$20)*(VLOOKUP(V$3,'Embedded Emissions'!$A$47:$B$78,2,FALSE)+VLOOKUP(V$3,'Embedded Emissions'!$A$129:$B$158,2,FALSE)), $C68 = "2", 'Inputs-System'!$C$30*'Coincidence Factors'!$B$8*(1+'Inputs-System'!$C$18)*(1+'Inputs-System'!$C$41)*'Inputs-Proposals'!$M$23*'Inputs-Proposals'!$M$25*('Inputs-Proposals'!$M$20)*(VLOOKUP(V$3,'Embedded Emissions'!$A$47:$B$78,2,FALSE)+VLOOKUP(V$3,'Embedded Emissions'!$A$129:$B$158,2,FALSE)), $C68 = "3",'Inputs-System'!$C$30*'Coincidence Factors'!$B$8*(1+'Inputs-System'!$C$18)*(1+'Inputs-System'!$C$41)*'Inputs-Proposals'!$M$29*'Inputs-Proposals'!$M$31*('Inputs-Proposals'!$M$20)*(VLOOKUP(V$3,'Embedded Emissions'!$A$47:$B$78,2,FALSE)+VLOOKUP(V$3,'Embedded Emissions'!$A$129:$B$158,2,FALSE)), $C68 = "0", 0), 0)</f>
        <v>0</v>
      </c>
      <c r="X68" s="44">
        <f>IFERROR(_xlfn.IFS($C68="1",( 'Inputs-System'!$C$30*'Coincidence Factors'!$B$8*(1+'Inputs-System'!$C$18)*(1+'Inputs-System'!$C$41))*('Inputs-Proposals'!$M$17*'Inputs-Proposals'!$M$19*('Inputs-Proposals'!$M$20))*(VLOOKUP(V$3,DRIPE!$A$54:$I$82,5,FALSE)+VLOOKUP(V$3,DRIPE!$A$54:$I$82,9,FALSE))+ ('Inputs-System'!$C$26*'Coincidence Factors'!$B$8*(1+'Inputs-System'!$C$18)*(1+'Inputs-System'!$C$42))*'Inputs-Proposals'!$M$16*VLOOKUP(V$3,DRIPE!$A$54:$I$82,8,FALSE), $C68 = "2",( 'Inputs-System'!$C$30*'Coincidence Factors'!$B$8*(1+'Inputs-System'!$C$18)*(1+'Inputs-System'!$C$41))*('Inputs-Proposals'!$M$23*'Inputs-Proposals'!$M$25*('Inputs-Proposals'!$M$26))*(VLOOKUP(V$3,DRIPE!$A$54:$I$82,5,FALSE)+VLOOKUP(V$3,DRIPE!$A$54:$I$82,9,FALSE))+  ('Inputs-System'!$C$26*'Coincidence Factors'!$B$8*(1+'Inputs-System'!$C$18)*(1+'Inputs-System'!$C$42))*'Inputs-Proposals'!$M$22*VLOOKUP(V$3,DRIPE!$A$54:$I$82,8,FALSE), $C68= "3", ( 'Inputs-System'!$C$30*'Coincidence Factors'!$B$8*(1+'Inputs-System'!$C$18)*(1+'Inputs-System'!$C$41))*('Inputs-Proposals'!$M$29*'Inputs-Proposals'!$M$31*('Inputs-Proposals'!$M$32))*(VLOOKUP(V$3,DRIPE!$A$54:$I$82,5,FALSE)+VLOOKUP(V$3,DRIPE!$A$54:$I$82,9,FALSE))+  ('Inputs-System'!$C$26*'Coincidence Factors'!$B$8*(1+'Inputs-System'!$C$18)*(1+'Inputs-System'!$C$42))*'Inputs-Proposals'!$M$28*VLOOKUP(V$3,DRIPE!$A$54:$I$82,8,FALSE), $C68 = "0", 0), 0)</f>
        <v>0</v>
      </c>
      <c r="Y68" s="45">
        <f>IFERROR(_xlfn.IFS($C68="1",('Inputs-System'!$C$30*'Coincidence Factors'!$B$8*(1+'Inputs-System'!$C$18))*'Inputs-Proposals'!$M$16*(VLOOKUP(V$3,Capacity!$A$53:$E$85,4,FALSE)*(1+'Inputs-System'!$C$42)+VLOOKUP(V$3,Capacity!$A$53:$E$85,5,FALSE)*'Inputs-System'!$C$29*(1+'Inputs-System'!$C$43)), $C68 = "2", ('Inputs-System'!$C$30*'Coincidence Factors'!$B$8*(1+'Inputs-System'!$C$18))*'Inputs-Proposals'!$M$22*(VLOOKUP(V$3,Capacity!$A$53:$E$85,4,FALSE)*(1+'Inputs-System'!$C$42)+VLOOKUP(V$3,Capacity!$A$53:$E$85,5,FALSE)*'Inputs-System'!$C$29*(1+'Inputs-System'!$C$43)), $C68 = "3",('Inputs-System'!$C$30*'Coincidence Factors'!$B$8*(1+'Inputs-System'!$C$18))*'Inputs-Proposals'!$M$28*(VLOOKUP(V$3,Capacity!$A$53:$E$85,4,FALSE)*(1+'Inputs-System'!$C$42)+VLOOKUP(V$3,Capacity!$A$53:$E$85,5,FALSE)*'Inputs-System'!$C$29*(1+'Inputs-System'!$C$43)), $C68 = "0", 0), 0)</f>
        <v>0</v>
      </c>
      <c r="Z68" s="44">
        <v>0</v>
      </c>
      <c r="AA68" s="342">
        <f>IFERROR(_xlfn.IFS($C68="1", 'Inputs-System'!$C$30*'Coincidence Factors'!$B$8*'Inputs-Proposals'!$M$17*'Inputs-Proposals'!$M$19*(VLOOKUP(V$3,'Non-Embedded Emissions'!$A$56:$D$90,2,FALSE)+VLOOKUP(V$3,'Non-Embedded Emissions'!$A$143:$D$174,2,FALSE)+VLOOKUP(V$3,'Non-Embedded Emissions'!$A$230:$D$259,2,FALSE)), $C68 = "2", 'Inputs-System'!$C$30*'Coincidence Factors'!$B$8*'Inputs-Proposals'!$M$23*'Inputs-Proposals'!$M$25*(VLOOKUP(V$3,'Non-Embedded Emissions'!$A$56:$D$90,2,FALSE)+VLOOKUP(V$3,'Non-Embedded Emissions'!$A$143:$D$174,2,FALSE)+VLOOKUP(V$3,'Non-Embedded Emissions'!$A$230:$D$259,2,FALSE)), $C68 = "3", 'Inputs-System'!$C$30*'Coincidence Factors'!$B$8*'Inputs-Proposals'!$M$29*'Inputs-Proposals'!$M$31*(VLOOKUP(V$3,'Non-Embedded Emissions'!$A$56:$D$90,2,FALSE)+VLOOKUP(V$3,'Non-Embedded Emissions'!$A$143:$D$174,2,FALSE)+VLOOKUP(V$3,'Non-Embedded Emissions'!$A$230:$D$259,2,FALSE)), $C68 = "0", 0), 0)</f>
        <v>0</v>
      </c>
      <c r="AB68" s="347">
        <f>IFERROR(_xlfn.IFS($C68="1",('Inputs-System'!$C$30*'Coincidence Factors'!$B$8*(1+'Inputs-System'!$C$18)*(1+'Inputs-System'!$C$41)*('Inputs-Proposals'!$M$17*'Inputs-Proposals'!$M$19*('Inputs-Proposals'!$M$20))*(VLOOKUP(AB$3,Energy!$A$51:$K$83,5,FALSE))), $C68 = "2",('Inputs-System'!$C$30*'Coincidence Factors'!$B$8)*(1+'Inputs-System'!$C$18)*(1+'Inputs-System'!$C$41)*('Inputs-Proposals'!$M$23*'Inputs-Proposals'!$M$25*('Inputs-Proposals'!$M$26))*(VLOOKUP(AB$3,Energy!$A$51:$K$83,5,FALSE)), $C68= "3", ('Inputs-System'!$C$30*'Coincidence Factors'!$B$8*(1+'Inputs-System'!$C$18)*(1+'Inputs-System'!$C$41)*('Inputs-Proposals'!$M$29*'Inputs-Proposals'!$M$31*('Inputs-Proposals'!$M$32))*(VLOOKUP(AB$3,Energy!$A$51:$K$83,5,FALSE))), $C68= "0", 0), 0)</f>
        <v>0</v>
      </c>
      <c r="AC68" s="44">
        <f>IFERROR(_xlfn.IFS($C68="1",'Inputs-System'!$C$30*'Coincidence Factors'!$B$8*(1+'Inputs-System'!$C$18)*(1+'Inputs-System'!$C$41)*'Inputs-Proposals'!$M$17*'Inputs-Proposals'!$M$19*('Inputs-Proposals'!$M$20)*(VLOOKUP(AB$3,'Embedded Emissions'!$A$47:$B$78,2,FALSE)+VLOOKUP(AB$3,'Embedded Emissions'!$A$129:$B$158,2,FALSE)), $C68 = "2", 'Inputs-System'!$C$30*'Coincidence Factors'!$B$8*(1+'Inputs-System'!$C$18)*(1+'Inputs-System'!$C$41)*'Inputs-Proposals'!$M$23*'Inputs-Proposals'!$M$25*('Inputs-Proposals'!$M$20)*(VLOOKUP(AB$3,'Embedded Emissions'!$A$47:$B$78,2,FALSE)+VLOOKUP(AB$3,'Embedded Emissions'!$A$129:$B$158,2,FALSE)), $C68 = "3",'Inputs-System'!$C$30*'Coincidence Factors'!$B$8*(1+'Inputs-System'!$C$18)*(1+'Inputs-System'!$C$41)*'Inputs-Proposals'!$M$29*'Inputs-Proposals'!$M$31*('Inputs-Proposals'!$M$20)*(VLOOKUP(AB$3,'Embedded Emissions'!$A$47:$B$78,2,FALSE)+VLOOKUP(AB$3,'Embedded Emissions'!$A$129:$B$158,2,FALSE)), $C68 = "0", 0), 0)</f>
        <v>0</v>
      </c>
      <c r="AD68" s="44">
        <f>IFERROR(_xlfn.IFS($C68="1",( 'Inputs-System'!$C$30*'Coincidence Factors'!$B$8*(1+'Inputs-System'!$C$18)*(1+'Inputs-System'!$C$41))*('Inputs-Proposals'!$M$17*'Inputs-Proposals'!$M$19*('Inputs-Proposals'!$M$20))*(VLOOKUP(AB$3,DRIPE!$A$54:$I$82,5,FALSE)+VLOOKUP(AB$3,DRIPE!$A$54:$I$82,9,FALSE))+ ('Inputs-System'!$C$26*'Coincidence Factors'!$B$8*(1+'Inputs-System'!$C$18)*(1+'Inputs-System'!$C$42))*'Inputs-Proposals'!$M$16*VLOOKUP(AB$3,DRIPE!$A$54:$I$82,8,FALSE), $C68 = "2",( 'Inputs-System'!$C$30*'Coincidence Factors'!$B$8*(1+'Inputs-System'!$C$18)*(1+'Inputs-System'!$C$41))*('Inputs-Proposals'!$M$23*'Inputs-Proposals'!$M$25*('Inputs-Proposals'!$M$26))*(VLOOKUP(AB$3,DRIPE!$A$54:$I$82,5,FALSE)+VLOOKUP(AB$3,DRIPE!$A$54:$I$82,9,FALSE))+  ('Inputs-System'!$C$26*'Coincidence Factors'!$B$8*(1+'Inputs-System'!$C$18)*(1+'Inputs-System'!$C$42))*'Inputs-Proposals'!$M$22*VLOOKUP(AB$3,DRIPE!$A$54:$I$82,8,FALSE), $C68= "3", ( 'Inputs-System'!$C$30*'Coincidence Factors'!$B$8*(1+'Inputs-System'!$C$18)*(1+'Inputs-System'!$C$41))*('Inputs-Proposals'!$M$29*'Inputs-Proposals'!$M$31*('Inputs-Proposals'!$M$32))*(VLOOKUP(AB$3,DRIPE!$A$54:$I$82,5,FALSE)+VLOOKUP(AB$3,DRIPE!$A$54:$I$82,9,FALSE))+  ('Inputs-System'!$C$26*'Coincidence Factors'!$B$8*(1+'Inputs-System'!$C$18)*(1+'Inputs-System'!$C$42))*'Inputs-Proposals'!$M$28*VLOOKUP(AB$3,DRIPE!$A$54:$I$82,8,FALSE), $C68 = "0", 0), 0)</f>
        <v>0</v>
      </c>
      <c r="AE68" s="45">
        <f>IFERROR(_xlfn.IFS($C68="1",('Inputs-System'!$C$30*'Coincidence Factors'!$B$8*(1+'Inputs-System'!$C$18))*'Inputs-Proposals'!$M$16*(VLOOKUP(AB$3,Capacity!$A$53:$E$85,4,FALSE)*(1+'Inputs-System'!$C$42)+VLOOKUP(AB$3,Capacity!$A$53:$E$85,5,FALSE)*'Inputs-System'!$C$29*(1+'Inputs-System'!$C$43)), $C68 = "2", ('Inputs-System'!$C$30*'Coincidence Factors'!$B$8*(1+'Inputs-System'!$C$18))*'Inputs-Proposals'!$M$22*(VLOOKUP(AB$3,Capacity!$A$53:$E$85,4,FALSE)*(1+'Inputs-System'!$C$42)+VLOOKUP(AB$3,Capacity!$A$53:$E$85,5,FALSE)*'Inputs-System'!$C$29*(1+'Inputs-System'!$C$43)), $C68 = "3",('Inputs-System'!$C$30*'Coincidence Factors'!$B$8*(1+'Inputs-System'!$C$18))*'Inputs-Proposals'!$M$28*(VLOOKUP(AB$3,Capacity!$A$53:$E$85,4,FALSE)*(1+'Inputs-System'!$C$42)+VLOOKUP(AB$3,Capacity!$A$53:$E$85,5,FALSE)*'Inputs-System'!$C$29*(1+'Inputs-System'!$C$43)), $C68 = "0", 0), 0)</f>
        <v>0</v>
      </c>
      <c r="AF68" s="44">
        <v>0</v>
      </c>
      <c r="AG68" s="342">
        <f>IFERROR(_xlfn.IFS($C68="1", 'Inputs-System'!$C$30*'Coincidence Factors'!$B$8*'Inputs-Proposals'!$M$17*'Inputs-Proposals'!$M$19*(VLOOKUP(AB$3,'Non-Embedded Emissions'!$A$56:$D$90,2,FALSE)+VLOOKUP(AB$3,'Non-Embedded Emissions'!$A$143:$D$174,2,FALSE)+VLOOKUP(AB$3,'Non-Embedded Emissions'!$A$230:$D$259,2,FALSE)), $C68 = "2", 'Inputs-System'!$C$30*'Coincidence Factors'!$B$8*'Inputs-Proposals'!$M$23*'Inputs-Proposals'!$M$25*(VLOOKUP(AB$3,'Non-Embedded Emissions'!$A$56:$D$90,2,FALSE)+VLOOKUP(AB$3,'Non-Embedded Emissions'!$A$143:$D$174,2,FALSE)+VLOOKUP(AB$3,'Non-Embedded Emissions'!$A$230:$D$259,2,FALSE)), $C68 = "3", 'Inputs-System'!$C$30*'Coincidence Factors'!$B$8*'Inputs-Proposals'!$M$29*'Inputs-Proposals'!$M$31*(VLOOKUP(AB$3,'Non-Embedded Emissions'!$A$56:$D$90,2,FALSE)+VLOOKUP(AB$3,'Non-Embedded Emissions'!$A$143:$D$174,2,FALSE)+VLOOKUP(AB$3,'Non-Embedded Emissions'!$A$230:$D$259,2,FALSE)), $C68 = "0", 0), 0)</f>
        <v>0</v>
      </c>
      <c r="AH68" s="347">
        <f>IFERROR(_xlfn.IFS($C68="1",('Inputs-System'!$C$30*'Coincidence Factors'!$B$8*(1+'Inputs-System'!$C$18)*(1+'Inputs-System'!$C$41)*('Inputs-Proposals'!$M$17*'Inputs-Proposals'!$M$19*('Inputs-Proposals'!$M$20))*(VLOOKUP(AH$3,Energy!$A$51:$K$83,5,FALSE))), $C68 = "2",('Inputs-System'!$C$30*'Coincidence Factors'!$B$8)*(1+'Inputs-System'!$C$18)*(1+'Inputs-System'!$C$41)*('Inputs-Proposals'!$M$23*'Inputs-Proposals'!$M$25*('Inputs-Proposals'!$M$26))*(VLOOKUP(AH$3,Energy!$A$51:$K$83,5,FALSE)), $C68= "3", ('Inputs-System'!$C$30*'Coincidence Factors'!$B$8*(1+'Inputs-System'!$C$18)*(1+'Inputs-System'!$C$41)*('Inputs-Proposals'!$M$29*'Inputs-Proposals'!$M$31*('Inputs-Proposals'!$M$32))*(VLOOKUP(AH$3,Energy!$A$51:$K$83,5,FALSE))), $C68= "0", 0), 0)</f>
        <v>0</v>
      </c>
      <c r="AI68" s="44">
        <f>IFERROR(_xlfn.IFS($C68="1",'Inputs-System'!$C$30*'Coincidence Factors'!$B$8*(1+'Inputs-System'!$C$18)*(1+'Inputs-System'!$C$41)*'Inputs-Proposals'!$M$17*'Inputs-Proposals'!$M$19*('Inputs-Proposals'!$M$20)*(VLOOKUP(AH$3,'Embedded Emissions'!$A$47:$B$78,2,FALSE)+VLOOKUP(AH$3,'Embedded Emissions'!$A$129:$B$158,2,FALSE)), $C68 = "2", 'Inputs-System'!$C$30*'Coincidence Factors'!$B$8*(1+'Inputs-System'!$C$18)*(1+'Inputs-System'!$C$41)*'Inputs-Proposals'!$M$23*'Inputs-Proposals'!$M$25*('Inputs-Proposals'!$M$20)*(VLOOKUP(AH$3,'Embedded Emissions'!$A$47:$B$78,2,FALSE)+VLOOKUP(AH$3,'Embedded Emissions'!$A$129:$B$158,2,FALSE)), $C68 = "3",'Inputs-System'!$C$30*'Coincidence Factors'!$B$8*(1+'Inputs-System'!$C$18)*(1+'Inputs-System'!$C$41)*'Inputs-Proposals'!$M$29*'Inputs-Proposals'!$M$31*('Inputs-Proposals'!$M$20)*(VLOOKUP(AH$3,'Embedded Emissions'!$A$47:$B$78,2,FALSE)+VLOOKUP(AH$3,'Embedded Emissions'!$A$129:$B$158,2,FALSE)), $C68 = "0", 0), 0)</f>
        <v>0</v>
      </c>
      <c r="AJ68" s="44">
        <f>IFERROR(_xlfn.IFS($C68="1",( 'Inputs-System'!$C$30*'Coincidence Factors'!$B$8*(1+'Inputs-System'!$C$18)*(1+'Inputs-System'!$C$41))*('Inputs-Proposals'!$M$17*'Inputs-Proposals'!$M$19*('Inputs-Proposals'!$M$20))*(VLOOKUP(AH$3,DRIPE!$A$54:$I$82,5,FALSE)+VLOOKUP(AH$3,DRIPE!$A$54:$I$82,9,FALSE))+ ('Inputs-System'!$C$26*'Coincidence Factors'!$B$8*(1+'Inputs-System'!$C$18)*(1+'Inputs-System'!$C$42))*'Inputs-Proposals'!$M$16*VLOOKUP(AH$3,DRIPE!$A$54:$I$82,8,FALSE), $C68 = "2",( 'Inputs-System'!$C$30*'Coincidence Factors'!$B$8*(1+'Inputs-System'!$C$18)*(1+'Inputs-System'!$C$41))*('Inputs-Proposals'!$M$23*'Inputs-Proposals'!$M$25*('Inputs-Proposals'!$M$26))*(VLOOKUP(AH$3,DRIPE!$A$54:$I$82,5,FALSE)+VLOOKUP(AH$3,DRIPE!$A$54:$I$82,9,FALSE))+  ('Inputs-System'!$C$26*'Coincidence Factors'!$B$8*(1+'Inputs-System'!$C$18)*(1+'Inputs-System'!$C$42))*'Inputs-Proposals'!$M$22*VLOOKUP(AH$3,DRIPE!$A$54:$I$82,8,FALSE), $C68= "3", ( 'Inputs-System'!$C$30*'Coincidence Factors'!$B$8*(1+'Inputs-System'!$C$18)*(1+'Inputs-System'!$C$41))*('Inputs-Proposals'!$M$29*'Inputs-Proposals'!$M$31*('Inputs-Proposals'!$M$32))*(VLOOKUP(AH$3,DRIPE!$A$54:$I$82,5,FALSE)+VLOOKUP(AH$3,DRIPE!$A$54:$I$82,9,FALSE))+  ('Inputs-System'!$C$26*'Coincidence Factors'!$B$8*(1+'Inputs-System'!$C$18)*(1+'Inputs-System'!$C$42))*'Inputs-Proposals'!$M$28*VLOOKUP(AH$3,DRIPE!$A$54:$I$82,8,FALSE), $C68 = "0", 0), 0)</f>
        <v>0</v>
      </c>
      <c r="AK68" s="45">
        <f>IFERROR(_xlfn.IFS($C68="1",('Inputs-System'!$C$30*'Coincidence Factors'!$B$8*(1+'Inputs-System'!$C$18))*'Inputs-Proposals'!$M$16*(VLOOKUP(AH$3,Capacity!$A$53:$E$85,4,FALSE)*(1+'Inputs-System'!$C$42)+VLOOKUP(AH$3,Capacity!$A$53:$E$85,5,FALSE)*'Inputs-System'!$C$29*(1+'Inputs-System'!$C$43)), $C68 = "2", ('Inputs-System'!$C$30*'Coincidence Factors'!$B$8*(1+'Inputs-System'!$C$18))*'Inputs-Proposals'!$M$22*(VLOOKUP(AH$3,Capacity!$A$53:$E$85,4,FALSE)*(1+'Inputs-System'!$C$42)+VLOOKUP(AH$3,Capacity!$A$53:$E$85,5,FALSE)*'Inputs-System'!$C$29*(1+'Inputs-System'!$C$43)), $C68 = "3",('Inputs-System'!$C$30*'Coincidence Factors'!$B$8*(1+'Inputs-System'!$C$18))*'Inputs-Proposals'!$M$28*(VLOOKUP(AH$3,Capacity!$A$53:$E$85,4,FALSE)*(1+'Inputs-System'!$C$42)+VLOOKUP(AH$3,Capacity!$A$53:$E$85,5,FALSE)*'Inputs-System'!$C$29*(1+'Inputs-System'!$C$43)), $C68 = "0", 0), 0)</f>
        <v>0</v>
      </c>
      <c r="AL68" s="44">
        <v>0</v>
      </c>
      <c r="AM68" s="342">
        <f>IFERROR(_xlfn.IFS($C68="1", 'Inputs-System'!$C$30*'Coincidence Factors'!$B$8*'Inputs-Proposals'!$M$17*'Inputs-Proposals'!$M$19*(VLOOKUP(AH$3,'Non-Embedded Emissions'!$A$56:$D$90,2,FALSE)+VLOOKUP(AH$3,'Non-Embedded Emissions'!$A$143:$D$174,2,FALSE)+VLOOKUP(AH$3,'Non-Embedded Emissions'!$A$230:$D$259,2,FALSE)), $C68 = "2", 'Inputs-System'!$C$30*'Coincidence Factors'!$B$8*'Inputs-Proposals'!$M$23*'Inputs-Proposals'!$M$25*(VLOOKUP(AH$3,'Non-Embedded Emissions'!$A$56:$D$90,2,FALSE)+VLOOKUP(AH$3,'Non-Embedded Emissions'!$A$143:$D$174,2,FALSE)+VLOOKUP(AH$3,'Non-Embedded Emissions'!$A$230:$D$259,2,FALSE)), $C68 = "3", 'Inputs-System'!$C$30*'Coincidence Factors'!$B$8*'Inputs-Proposals'!$M$29*'Inputs-Proposals'!$M$31*(VLOOKUP(AH$3,'Non-Embedded Emissions'!$A$56:$D$90,2,FALSE)+VLOOKUP(AH$3,'Non-Embedded Emissions'!$A$143:$D$174,2,FALSE)+VLOOKUP(AH$3,'Non-Embedded Emissions'!$A$230:$D$259,2,FALSE)), $C68 = "0", 0), 0)</f>
        <v>0</v>
      </c>
      <c r="AN68" s="347">
        <f>IFERROR(_xlfn.IFS($C68="1",('Inputs-System'!$C$30*'Coincidence Factors'!$B$8*(1+'Inputs-System'!$C$18)*(1+'Inputs-System'!$C$41)*('Inputs-Proposals'!$M$17*'Inputs-Proposals'!$M$19*('Inputs-Proposals'!$M$20))*(VLOOKUP(AN$3,Energy!$A$51:$K$83,5,FALSE))), $C68 = "2",('Inputs-System'!$C$30*'Coincidence Factors'!$B$8)*(1+'Inputs-System'!$C$18)*(1+'Inputs-System'!$C$41)*('Inputs-Proposals'!$M$23*'Inputs-Proposals'!$M$25*('Inputs-Proposals'!$M$26))*(VLOOKUP(AN$3,Energy!$A$51:$K$83,5,FALSE)), $C68= "3", ('Inputs-System'!$C$30*'Coincidence Factors'!$B$8*(1+'Inputs-System'!$C$18)*(1+'Inputs-System'!$C$41)*('Inputs-Proposals'!$M$29*'Inputs-Proposals'!$M$31*('Inputs-Proposals'!$M$32))*(VLOOKUP(AN$3,Energy!$A$51:$K$83,5,FALSE))), $C68= "0", 0), 0)</f>
        <v>0</v>
      </c>
      <c r="AO68" s="44">
        <f>IFERROR(_xlfn.IFS($C68="1",'Inputs-System'!$C$30*'Coincidence Factors'!$B$8*(1+'Inputs-System'!$C$18)*(1+'Inputs-System'!$C$41)*'Inputs-Proposals'!$M$17*'Inputs-Proposals'!$M$19*('Inputs-Proposals'!$M$20)*(VLOOKUP(AN$3,'Embedded Emissions'!$A$47:$B$78,2,FALSE)+VLOOKUP(AN$3,'Embedded Emissions'!$A$129:$B$158,2,FALSE)), $C68 = "2", 'Inputs-System'!$C$30*'Coincidence Factors'!$B$8*(1+'Inputs-System'!$C$18)*(1+'Inputs-System'!$C$41)*'Inputs-Proposals'!$M$23*'Inputs-Proposals'!$M$25*('Inputs-Proposals'!$M$20)*(VLOOKUP(AN$3,'Embedded Emissions'!$A$47:$B$78,2,FALSE)+VLOOKUP(AN$3,'Embedded Emissions'!$A$129:$B$158,2,FALSE)), $C68 = "3",'Inputs-System'!$C$30*'Coincidence Factors'!$B$8*(1+'Inputs-System'!$C$18)*(1+'Inputs-System'!$C$41)*'Inputs-Proposals'!$M$29*'Inputs-Proposals'!$M$31*('Inputs-Proposals'!$M$20)*(VLOOKUP(AN$3,'Embedded Emissions'!$A$47:$B$78,2,FALSE)+VLOOKUP(AN$3,'Embedded Emissions'!$A$129:$B$158,2,FALSE)), $C68 = "0", 0), 0)</f>
        <v>0</v>
      </c>
      <c r="AP68" s="44">
        <f>IFERROR(_xlfn.IFS($C68="1",( 'Inputs-System'!$C$30*'Coincidence Factors'!$B$8*(1+'Inputs-System'!$C$18)*(1+'Inputs-System'!$C$41))*('Inputs-Proposals'!$M$17*'Inputs-Proposals'!$M$19*('Inputs-Proposals'!$M$20))*(VLOOKUP(AN$3,DRIPE!$A$54:$I$82,5,FALSE)+VLOOKUP(AN$3,DRIPE!$A$54:$I$82,9,FALSE))+ ('Inputs-System'!$C$26*'Coincidence Factors'!$B$8*(1+'Inputs-System'!$C$18)*(1+'Inputs-System'!$C$42))*'Inputs-Proposals'!$M$16*VLOOKUP(AN$3,DRIPE!$A$54:$I$82,8,FALSE), $C68 = "2",( 'Inputs-System'!$C$30*'Coincidence Factors'!$B$8*(1+'Inputs-System'!$C$18)*(1+'Inputs-System'!$C$41))*('Inputs-Proposals'!$M$23*'Inputs-Proposals'!$M$25*('Inputs-Proposals'!$M$26))*(VLOOKUP(AN$3,DRIPE!$A$54:$I$82,5,FALSE)+VLOOKUP(AN$3,DRIPE!$A$54:$I$82,9,FALSE))+  ('Inputs-System'!$C$26*'Coincidence Factors'!$B$8*(1+'Inputs-System'!$C$18)*(1+'Inputs-System'!$C$42))*'Inputs-Proposals'!$M$22*VLOOKUP(AN$3,DRIPE!$A$54:$I$82,8,FALSE), $C68= "3", ( 'Inputs-System'!$C$30*'Coincidence Factors'!$B$8*(1+'Inputs-System'!$C$18)*(1+'Inputs-System'!$C$41))*('Inputs-Proposals'!$M$29*'Inputs-Proposals'!$M$31*('Inputs-Proposals'!$M$32))*(VLOOKUP(AN$3,DRIPE!$A$54:$I$82,5,FALSE)+VLOOKUP(AN$3,DRIPE!$A$54:$I$82,9,FALSE))+  ('Inputs-System'!$C$26*'Coincidence Factors'!$B$8*(1+'Inputs-System'!$C$18)*(1+'Inputs-System'!$C$42))*'Inputs-Proposals'!$M$28*VLOOKUP(AN$3,DRIPE!$A$54:$I$82,8,FALSE), $C68 = "0", 0), 0)</f>
        <v>0</v>
      </c>
      <c r="AQ68" s="45">
        <f>IFERROR(_xlfn.IFS($C68="1",('Inputs-System'!$C$30*'Coincidence Factors'!$B$8*(1+'Inputs-System'!$C$18))*'Inputs-Proposals'!$M$16*(VLOOKUP(AN$3,Capacity!$A$53:$E$85,4,FALSE)*(1+'Inputs-System'!$C$42)+VLOOKUP(AN$3,Capacity!$A$53:$E$85,5,FALSE)*'Inputs-System'!$C$29*(1+'Inputs-System'!$C$43)), $C68 = "2", ('Inputs-System'!$C$30*'Coincidence Factors'!$B$8*(1+'Inputs-System'!$C$18))*'Inputs-Proposals'!$M$22*(VLOOKUP(AN$3,Capacity!$A$53:$E$85,4,FALSE)*(1+'Inputs-System'!$C$42)+VLOOKUP(AN$3,Capacity!$A$53:$E$85,5,FALSE)*'Inputs-System'!$C$29*(1+'Inputs-System'!$C$43)), $C68 = "3",('Inputs-System'!$C$30*'Coincidence Factors'!$B$8*(1+'Inputs-System'!$C$18))*'Inputs-Proposals'!$M$28*(VLOOKUP(AN$3,Capacity!$A$53:$E$85,4,FALSE)*(1+'Inputs-System'!$C$42)+VLOOKUP(AN$3,Capacity!$A$53:$E$85,5,FALSE)*'Inputs-System'!$C$29*(1+'Inputs-System'!$C$43)), $C68 = "0", 0), 0)</f>
        <v>0</v>
      </c>
      <c r="AR68" s="44">
        <v>0</v>
      </c>
      <c r="AS68" s="342">
        <f>IFERROR(_xlfn.IFS($C68="1", 'Inputs-System'!$C$30*'Coincidence Factors'!$B$8*'Inputs-Proposals'!$M$17*'Inputs-Proposals'!$M$19*(VLOOKUP(AN$3,'Non-Embedded Emissions'!$A$56:$D$90,2,FALSE)+VLOOKUP(AN$3,'Non-Embedded Emissions'!$A$143:$D$174,2,FALSE)+VLOOKUP(AN$3,'Non-Embedded Emissions'!$A$230:$D$259,2,FALSE)), $C68 = "2", 'Inputs-System'!$C$30*'Coincidence Factors'!$B$8*'Inputs-Proposals'!$M$23*'Inputs-Proposals'!$M$25*(VLOOKUP(AN$3,'Non-Embedded Emissions'!$A$56:$D$90,2,FALSE)+VLOOKUP(AN$3,'Non-Embedded Emissions'!$A$143:$D$174,2,FALSE)+VLOOKUP(AN$3,'Non-Embedded Emissions'!$A$230:$D$259,2,FALSE)), $C68 = "3", 'Inputs-System'!$C$30*'Coincidence Factors'!$B$8*'Inputs-Proposals'!$M$29*'Inputs-Proposals'!$M$31*(VLOOKUP(AN$3,'Non-Embedded Emissions'!$A$56:$D$90,2,FALSE)+VLOOKUP(AN$3,'Non-Embedded Emissions'!$A$143:$D$174,2,FALSE)+VLOOKUP(AN$3,'Non-Embedded Emissions'!$A$230:$D$259,2,FALSE)), $C68 = "0", 0), 0)</f>
        <v>0</v>
      </c>
      <c r="AT68" s="347">
        <f>IFERROR(_xlfn.IFS($C68="1",('Inputs-System'!$C$30*'Coincidence Factors'!$B$8*(1+'Inputs-System'!$C$18)*(1+'Inputs-System'!$C$41)*('Inputs-Proposals'!$M$17*'Inputs-Proposals'!$M$19*('Inputs-Proposals'!$M$20))*(VLOOKUP(AT$3,Energy!$A$51:$K$83,5,FALSE))), $C68 = "2",('Inputs-System'!$C$30*'Coincidence Factors'!$B$8)*(1+'Inputs-System'!$C$18)*(1+'Inputs-System'!$C$41)*('Inputs-Proposals'!$M$23*'Inputs-Proposals'!$M$25*('Inputs-Proposals'!$M$26))*(VLOOKUP(AT$3,Energy!$A$51:$K$83,5,FALSE)), $C68= "3", ('Inputs-System'!$C$30*'Coincidence Factors'!$B$8*(1+'Inputs-System'!$C$18)*(1+'Inputs-System'!$C$41)*('Inputs-Proposals'!$M$29*'Inputs-Proposals'!$M$31*('Inputs-Proposals'!$M$32))*(VLOOKUP(AT$3,Energy!$A$51:$K$83,5,FALSE))), $C68= "0", 0), 0)</f>
        <v>0</v>
      </c>
      <c r="AU68" s="44">
        <f>IFERROR(_xlfn.IFS($C68="1",'Inputs-System'!$C$30*'Coincidence Factors'!$B$8*(1+'Inputs-System'!$C$18)*(1+'Inputs-System'!$C$41)*'Inputs-Proposals'!$M$17*'Inputs-Proposals'!$M$19*('Inputs-Proposals'!$M$20)*(VLOOKUP(AT$3,'Embedded Emissions'!$A$47:$B$78,2,FALSE)+VLOOKUP(AT$3,'Embedded Emissions'!$A$129:$B$158,2,FALSE)), $C68 = "2", 'Inputs-System'!$C$30*'Coincidence Factors'!$B$8*(1+'Inputs-System'!$C$18)*(1+'Inputs-System'!$C$41)*'Inputs-Proposals'!$M$23*'Inputs-Proposals'!$M$25*('Inputs-Proposals'!$M$20)*(VLOOKUP(AT$3,'Embedded Emissions'!$A$47:$B$78,2,FALSE)+VLOOKUP(AT$3,'Embedded Emissions'!$A$129:$B$158,2,FALSE)), $C68 = "3",'Inputs-System'!$C$30*'Coincidence Factors'!$B$8*(1+'Inputs-System'!$C$18)*(1+'Inputs-System'!$C$41)*'Inputs-Proposals'!$M$29*'Inputs-Proposals'!$M$31*('Inputs-Proposals'!$M$20)*(VLOOKUP(AT$3,'Embedded Emissions'!$A$47:$B$78,2,FALSE)+VLOOKUP(AT$3,'Embedded Emissions'!$A$129:$B$158,2,FALSE)), $C68 = "0", 0), 0)</f>
        <v>0</v>
      </c>
      <c r="AV68" s="44">
        <f>IFERROR(_xlfn.IFS($C68="1",( 'Inputs-System'!$C$30*'Coincidence Factors'!$B$8*(1+'Inputs-System'!$C$18)*(1+'Inputs-System'!$C$41))*('Inputs-Proposals'!$M$17*'Inputs-Proposals'!$M$19*('Inputs-Proposals'!$M$20))*(VLOOKUP(AT$3,DRIPE!$A$54:$I$82,5,FALSE)+VLOOKUP(AT$3,DRIPE!$A$54:$I$82,9,FALSE))+ ('Inputs-System'!$C$26*'Coincidence Factors'!$B$8*(1+'Inputs-System'!$C$18)*(1+'Inputs-System'!$C$42))*'Inputs-Proposals'!$M$16*VLOOKUP(AT$3,DRIPE!$A$54:$I$82,8,FALSE), $C68 = "2",( 'Inputs-System'!$C$30*'Coincidence Factors'!$B$8*(1+'Inputs-System'!$C$18)*(1+'Inputs-System'!$C$41))*('Inputs-Proposals'!$M$23*'Inputs-Proposals'!$M$25*('Inputs-Proposals'!$M$26))*(VLOOKUP(AT$3,DRIPE!$A$54:$I$82,5,FALSE)+VLOOKUP(AT$3,DRIPE!$A$54:$I$82,9,FALSE))+  ('Inputs-System'!$C$26*'Coincidence Factors'!$B$8*(1+'Inputs-System'!$C$18)*(1+'Inputs-System'!$C$42))*'Inputs-Proposals'!$M$22*VLOOKUP(AT$3,DRIPE!$A$54:$I$82,8,FALSE), $C68= "3", ( 'Inputs-System'!$C$30*'Coincidence Factors'!$B$8*(1+'Inputs-System'!$C$18)*(1+'Inputs-System'!$C$41))*('Inputs-Proposals'!$M$29*'Inputs-Proposals'!$M$31*('Inputs-Proposals'!$M$32))*(VLOOKUP(AT$3,DRIPE!$A$54:$I$82,5,FALSE)+VLOOKUP(AT$3,DRIPE!$A$54:$I$82,9,FALSE))+  ('Inputs-System'!$C$26*'Coincidence Factors'!$B$8*(1+'Inputs-System'!$C$18)*(1+'Inputs-System'!$C$42))*'Inputs-Proposals'!$M$28*VLOOKUP(AT$3,DRIPE!$A$54:$I$82,8,FALSE), $C68 = "0", 0), 0)</f>
        <v>0</v>
      </c>
      <c r="AW68" s="45">
        <f>IFERROR(_xlfn.IFS($C68="1",('Inputs-System'!$C$30*'Coincidence Factors'!$B$8*(1+'Inputs-System'!$C$18))*'Inputs-Proposals'!$M$16*(VLOOKUP(AT$3,Capacity!$A$53:$E$85,4,FALSE)*(1+'Inputs-System'!$C$42)+VLOOKUP(AT$3,Capacity!$A$53:$E$85,5,FALSE)*'Inputs-System'!$C$29*(1+'Inputs-System'!$C$43)), $C68 = "2", ('Inputs-System'!$C$30*'Coincidence Factors'!$B$8*(1+'Inputs-System'!$C$18))*'Inputs-Proposals'!$M$22*(VLOOKUP(AT$3,Capacity!$A$53:$E$85,4,FALSE)*(1+'Inputs-System'!$C$42)+VLOOKUP(AT$3,Capacity!$A$53:$E$85,5,FALSE)*'Inputs-System'!$C$29*(1+'Inputs-System'!$C$43)), $C68 = "3",('Inputs-System'!$C$30*'Coincidence Factors'!$B$8*(1+'Inputs-System'!$C$18))*'Inputs-Proposals'!$M$28*(VLOOKUP(AT$3,Capacity!$A$53:$E$85,4,FALSE)*(1+'Inputs-System'!$C$42)+VLOOKUP(AT$3,Capacity!$A$53:$E$85,5,FALSE)*'Inputs-System'!$C$29*(1+'Inputs-System'!$C$43)), $C68 = "0", 0), 0)</f>
        <v>0</v>
      </c>
      <c r="AX68" s="44">
        <v>0</v>
      </c>
      <c r="AY68" s="342">
        <f>IFERROR(_xlfn.IFS($C68="1", 'Inputs-System'!$C$30*'Coincidence Factors'!$B$8*'Inputs-Proposals'!$M$17*'Inputs-Proposals'!$M$19*(VLOOKUP(AT$3,'Non-Embedded Emissions'!$A$56:$D$90,2,FALSE)+VLOOKUP(AT$3,'Non-Embedded Emissions'!$A$143:$D$174,2,FALSE)+VLOOKUP(AT$3,'Non-Embedded Emissions'!$A$230:$D$259,2,FALSE)), $C68 = "2", 'Inputs-System'!$C$30*'Coincidence Factors'!$B$8*'Inputs-Proposals'!$M$23*'Inputs-Proposals'!$M$25*(VLOOKUP(AT$3,'Non-Embedded Emissions'!$A$56:$D$90,2,FALSE)+VLOOKUP(AT$3,'Non-Embedded Emissions'!$A$143:$D$174,2,FALSE)+VLOOKUP(AT$3,'Non-Embedded Emissions'!$A$230:$D$259,2,FALSE)), $C68 = "3", 'Inputs-System'!$C$30*'Coincidence Factors'!$B$8*'Inputs-Proposals'!$M$29*'Inputs-Proposals'!$M$31*(VLOOKUP(AT$3,'Non-Embedded Emissions'!$A$56:$D$90,2,FALSE)+VLOOKUP(AT$3,'Non-Embedded Emissions'!$A$143:$D$174,2,FALSE)+VLOOKUP(AT$3,'Non-Embedded Emissions'!$A$230:$D$259,2,FALSE)), $C68 = "0", 0), 0)</f>
        <v>0</v>
      </c>
      <c r="AZ68" s="347">
        <f>IFERROR(_xlfn.IFS($C68="1",('Inputs-System'!$C$30*'Coincidence Factors'!$B$8*(1+'Inputs-System'!$C$18)*(1+'Inputs-System'!$C$41)*('Inputs-Proposals'!$M$17*'Inputs-Proposals'!$M$19*('Inputs-Proposals'!$M$20))*(VLOOKUP(AZ$3,Energy!$A$51:$K$83,5,FALSE))), $C68 = "2",('Inputs-System'!$C$30*'Coincidence Factors'!$B$8)*(1+'Inputs-System'!$C$18)*(1+'Inputs-System'!$C$41)*('Inputs-Proposals'!$M$23*'Inputs-Proposals'!$M$25*('Inputs-Proposals'!$M$26))*(VLOOKUP(AZ$3,Energy!$A$51:$K$83,5,FALSE)), $C68= "3", ('Inputs-System'!$C$30*'Coincidence Factors'!$B$8*(1+'Inputs-System'!$C$18)*(1+'Inputs-System'!$C$41)*('Inputs-Proposals'!$M$29*'Inputs-Proposals'!$M$31*('Inputs-Proposals'!$M$32))*(VLOOKUP(AZ$3,Energy!$A$51:$K$83,5,FALSE))), $C68= "0", 0), 0)</f>
        <v>0</v>
      </c>
      <c r="BA68" s="44">
        <f>IFERROR(_xlfn.IFS($C68="1",'Inputs-System'!$C$30*'Coincidence Factors'!$B$8*(1+'Inputs-System'!$C$18)*(1+'Inputs-System'!$C$41)*'Inputs-Proposals'!$M$17*'Inputs-Proposals'!$M$19*('Inputs-Proposals'!$M$20)*(VLOOKUP(AZ$3,'Embedded Emissions'!$A$47:$B$78,2,FALSE)+VLOOKUP(AZ$3,'Embedded Emissions'!$A$129:$B$158,2,FALSE)), $C68 = "2", 'Inputs-System'!$C$30*'Coincidence Factors'!$B$8*(1+'Inputs-System'!$C$18)*(1+'Inputs-System'!$C$41)*'Inputs-Proposals'!$M$23*'Inputs-Proposals'!$M$25*('Inputs-Proposals'!$M$20)*(VLOOKUP(AZ$3,'Embedded Emissions'!$A$47:$B$78,2,FALSE)+VLOOKUP(AZ$3,'Embedded Emissions'!$A$129:$B$158,2,FALSE)), $C68 = "3",'Inputs-System'!$C$30*'Coincidence Factors'!$B$8*(1+'Inputs-System'!$C$18)*(1+'Inputs-System'!$C$41)*'Inputs-Proposals'!$M$29*'Inputs-Proposals'!$M$31*('Inputs-Proposals'!$M$20)*(VLOOKUP(AZ$3,'Embedded Emissions'!$A$47:$B$78,2,FALSE)+VLOOKUP(AZ$3,'Embedded Emissions'!$A$129:$B$158,2,FALSE)), $C68 = "0", 0), 0)</f>
        <v>0</v>
      </c>
      <c r="BB68" s="44">
        <f>IFERROR(_xlfn.IFS($C68="1",( 'Inputs-System'!$C$30*'Coincidence Factors'!$B$8*(1+'Inputs-System'!$C$18)*(1+'Inputs-System'!$C$41))*('Inputs-Proposals'!$M$17*'Inputs-Proposals'!$M$19*('Inputs-Proposals'!$M$20))*(VLOOKUP(AZ$3,DRIPE!$A$54:$I$82,5,FALSE)+VLOOKUP(AZ$3,DRIPE!$A$54:$I$82,9,FALSE))+ ('Inputs-System'!$C$26*'Coincidence Factors'!$B$8*(1+'Inputs-System'!$C$18)*(1+'Inputs-System'!$C$42))*'Inputs-Proposals'!$M$16*VLOOKUP(AZ$3,DRIPE!$A$54:$I$82,8,FALSE), $C68 = "2",( 'Inputs-System'!$C$30*'Coincidence Factors'!$B$8*(1+'Inputs-System'!$C$18)*(1+'Inputs-System'!$C$41))*('Inputs-Proposals'!$M$23*'Inputs-Proposals'!$M$25*('Inputs-Proposals'!$M$26))*(VLOOKUP(AZ$3,DRIPE!$A$54:$I$82,5,FALSE)+VLOOKUP(AZ$3,DRIPE!$A$54:$I$82,9,FALSE))+  ('Inputs-System'!$C$26*'Coincidence Factors'!$B$8*(1+'Inputs-System'!$C$18)*(1+'Inputs-System'!$C$42))*'Inputs-Proposals'!$M$22*VLOOKUP(AZ$3,DRIPE!$A$54:$I$82,8,FALSE), $C68= "3", ( 'Inputs-System'!$C$30*'Coincidence Factors'!$B$8*(1+'Inputs-System'!$C$18)*(1+'Inputs-System'!$C$41))*('Inputs-Proposals'!$M$29*'Inputs-Proposals'!$M$31*('Inputs-Proposals'!$M$32))*(VLOOKUP(AZ$3,DRIPE!$A$54:$I$82,5,FALSE)+VLOOKUP(AZ$3,DRIPE!$A$54:$I$82,9,FALSE))+  ('Inputs-System'!$C$26*'Coincidence Factors'!$B$8*(1+'Inputs-System'!$C$18)*(1+'Inputs-System'!$C$42))*'Inputs-Proposals'!$M$28*VLOOKUP(AZ$3,DRIPE!$A$54:$I$82,8,FALSE), $C68 = "0", 0), 0)</f>
        <v>0</v>
      </c>
      <c r="BC68" s="45">
        <f>IFERROR(_xlfn.IFS($C68="1",('Inputs-System'!$C$30*'Coincidence Factors'!$B$8*(1+'Inputs-System'!$C$18))*'Inputs-Proposals'!$M$16*(VLOOKUP(AZ$3,Capacity!$A$53:$E$85,4,FALSE)*(1+'Inputs-System'!$C$42)+VLOOKUP(AZ$3,Capacity!$A$53:$E$85,5,FALSE)*'Inputs-System'!$C$29*(1+'Inputs-System'!$C$43)), $C68 = "2", ('Inputs-System'!$C$30*'Coincidence Factors'!$B$8*(1+'Inputs-System'!$C$18))*'Inputs-Proposals'!$M$22*(VLOOKUP(AZ$3,Capacity!$A$53:$E$85,4,FALSE)*(1+'Inputs-System'!$C$42)+VLOOKUP(AZ$3,Capacity!$A$53:$E$85,5,FALSE)*'Inputs-System'!$C$29*(1+'Inputs-System'!$C$43)), $C68 = "3",('Inputs-System'!$C$30*'Coincidence Factors'!$B$8*(1+'Inputs-System'!$C$18))*'Inputs-Proposals'!$M$28*(VLOOKUP(AZ$3,Capacity!$A$53:$E$85,4,FALSE)*(1+'Inputs-System'!$C$42)+VLOOKUP(AZ$3,Capacity!$A$53:$E$85,5,FALSE)*'Inputs-System'!$C$29*(1+'Inputs-System'!$C$43)), $C68 = "0", 0), 0)</f>
        <v>0</v>
      </c>
      <c r="BD68" s="44">
        <v>0</v>
      </c>
      <c r="BE68" s="342">
        <f>IFERROR(_xlfn.IFS($C68="1", 'Inputs-System'!$C$30*'Coincidence Factors'!$B$8*'Inputs-Proposals'!$M$17*'Inputs-Proposals'!$M$19*(VLOOKUP(AZ$3,'Non-Embedded Emissions'!$A$56:$D$90,2,FALSE)+VLOOKUP(AZ$3,'Non-Embedded Emissions'!$A$143:$D$174,2,FALSE)+VLOOKUP(AZ$3,'Non-Embedded Emissions'!$A$230:$D$259,2,FALSE)), $C68 = "2", 'Inputs-System'!$C$30*'Coincidence Factors'!$B$8*'Inputs-Proposals'!$M$23*'Inputs-Proposals'!$M$25*(VLOOKUP(AZ$3,'Non-Embedded Emissions'!$A$56:$D$90,2,FALSE)+VLOOKUP(AZ$3,'Non-Embedded Emissions'!$A$143:$D$174,2,FALSE)+VLOOKUP(AZ$3,'Non-Embedded Emissions'!$A$230:$D$259,2,FALSE)), $C68 = "3", 'Inputs-System'!$C$30*'Coincidence Factors'!$B$8*'Inputs-Proposals'!$M$29*'Inputs-Proposals'!$M$31*(VLOOKUP(AZ$3,'Non-Embedded Emissions'!$A$56:$D$90,2,FALSE)+VLOOKUP(AZ$3,'Non-Embedded Emissions'!$A$143:$D$174,2,FALSE)+VLOOKUP(AZ$3,'Non-Embedded Emissions'!$A$230:$D$259,2,FALSE)), $C68 = "0", 0), 0)</f>
        <v>0</v>
      </c>
      <c r="BF68" s="347">
        <f>IFERROR(_xlfn.IFS($C68="1",('Inputs-System'!$C$30*'Coincidence Factors'!$B$8*(1+'Inputs-System'!$C$18)*(1+'Inputs-System'!$C$41)*('Inputs-Proposals'!$M$17*'Inputs-Proposals'!$M$19*('Inputs-Proposals'!$M$20))*(VLOOKUP(BF$3,Energy!$A$51:$K$83,5,FALSE))), $C68 = "2",('Inputs-System'!$C$30*'Coincidence Factors'!$B$8)*(1+'Inputs-System'!$C$18)*(1+'Inputs-System'!$C$41)*('Inputs-Proposals'!$M$23*'Inputs-Proposals'!$M$25*('Inputs-Proposals'!$M$26))*(VLOOKUP(BF$3,Energy!$A$51:$K$83,5,FALSE)), $C68= "3", ('Inputs-System'!$C$30*'Coincidence Factors'!$B$8*(1+'Inputs-System'!$C$18)*(1+'Inputs-System'!$C$41)*('Inputs-Proposals'!$M$29*'Inputs-Proposals'!$M$31*('Inputs-Proposals'!$M$32))*(VLOOKUP(BF$3,Energy!$A$51:$K$83,5,FALSE))), $C68= "0", 0), 0)</f>
        <v>0</v>
      </c>
      <c r="BG68" s="44">
        <f>IFERROR(_xlfn.IFS($C68="1",'Inputs-System'!$C$30*'Coincidence Factors'!$B$8*(1+'Inputs-System'!$C$18)*(1+'Inputs-System'!$C$41)*'Inputs-Proposals'!$M$17*'Inputs-Proposals'!$M$19*('Inputs-Proposals'!$M$20)*(VLOOKUP(BF$3,'Embedded Emissions'!$A$47:$B$78,2,FALSE)+VLOOKUP(BF$3,'Embedded Emissions'!$A$129:$B$158,2,FALSE)), $C68 = "2", 'Inputs-System'!$C$30*'Coincidence Factors'!$B$8*(1+'Inputs-System'!$C$18)*(1+'Inputs-System'!$C$41)*'Inputs-Proposals'!$M$23*'Inputs-Proposals'!$M$25*('Inputs-Proposals'!$M$20)*(VLOOKUP(BF$3,'Embedded Emissions'!$A$47:$B$78,2,FALSE)+VLOOKUP(BF$3,'Embedded Emissions'!$A$129:$B$158,2,FALSE)), $C68 = "3",'Inputs-System'!$C$30*'Coincidence Factors'!$B$8*(1+'Inputs-System'!$C$18)*(1+'Inputs-System'!$C$41)*'Inputs-Proposals'!$M$29*'Inputs-Proposals'!$M$31*('Inputs-Proposals'!$M$20)*(VLOOKUP(BF$3,'Embedded Emissions'!$A$47:$B$78,2,FALSE)+VLOOKUP(BF$3,'Embedded Emissions'!$A$129:$B$158,2,FALSE)), $C68 = "0", 0), 0)</f>
        <v>0</v>
      </c>
      <c r="BH68" s="44">
        <f>IFERROR(_xlfn.IFS($C68="1",( 'Inputs-System'!$C$30*'Coincidence Factors'!$B$8*(1+'Inputs-System'!$C$18)*(1+'Inputs-System'!$C$41))*('Inputs-Proposals'!$M$17*'Inputs-Proposals'!$M$19*('Inputs-Proposals'!$M$20))*(VLOOKUP(BF$3,DRIPE!$A$54:$I$82,5,FALSE)+VLOOKUP(BF$3,DRIPE!$A$54:$I$82,9,FALSE))+ ('Inputs-System'!$C$26*'Coincidence Factors'!$B$8*(1+'Inputs-System'!$C$18)*(1+'Inputs-System'!$C$42))*'Inputs-Proposals'!$M$16*VLOOKUP(BF$3,DRIPE!$A$54:$I$82,8,FALSE), $C68 = "2",( 'Inputs-System'!$C$30*'Coincidence Factors'!$B$8*(1+'Inputs-System'!$C$18)*(1+'Inputs-System'!$C$41))*('Inputs-Proposals'!$M$23*'Inputs-Proposals'!$M$25*('Inputs-Proposals'!$M$26))*(VLOOKUP(BF$3,DRIPE!$A$54:$I$82,5,FALSE)+VLOOKUP(BF$3,DRIPE!$A$54:$I$82,9,FALSE))+  ('Inputs-System'!$C$26*'Coincidence Factors'!$B$8*(1+'Inputs-System'!$C$18)*(1+'Inputs-System'!$C$42))*'Inputs-Proposals'!$M$22*VLOOKUP(BF$3,DRIPE!$A$54:$I$82,8,FALSE), $C68= "3", ( 'Inputs-System'!$C$30*'Coincidence Factors'!$B$8*(1+'Inputs-System'!$C$18)*(1+'Inputs-System'!$C$41))*('Inputs-Proposals'!$M$29*'Inputs-Proposals'!$M$31*('Inputs-Proposals'!$M$32))*(VLOOKUP(BF$3,DRIPE!$A$54:$I$82,5,FALSE)+VLOOKUP(BF$3,DRIPE!$A$54:$I$82,9,FALSE))+  ('Inputs-System'!$C$26*'Coincidence Factors'!$B$8*(1+'Inputs-System'!$C$18)*(1+'Inputs-System'!$C$42))*'Inputs-Proposals'!$M$28*VLOOKUP(BF$3,DRIPE!$A$54:$I$82,8,FALSE), $C68 = "0", 0), 0)</f>
        <v>0</v>
      </c>
      <c r="BI68" s="45">
        <f>IFERROR(_xlfn.IFS($C68="1",('Inputs-System'!$C$30*'Coincidence Factors'!$B$8*(1+'Inputs-System'!$C$18))*'Inputs-Proposals'!$M$16*(VLOOKUP(BF$3,Capacity!$A$53:$E$85,4,FALSE)*(1+'Inputs-System'!$C$42)+VLOOKUP(BF$3,Capacity!$A$53:$E$85,5,FALSE)*'Inputs-System'!$C$29*(1+'Inputs-System'!$C$43)), $C68 = "2", ('Inputs-System'!$C$30*'Coincidence Factors'!$B$8*(1+'Inputs-System'!$C$18))*'Inputs-Proposals'!$M$22*(VLOOKUP(BF$3,Capacity!$A$53:$E$85,4,FALSE)*(1+'Inputs-System'!$C$42)+VLOOKUP(BF$3,Capacity!$A$53:$E$85,5,FALSE)*'Inputs-System'!$C$29*(1+'Inputs-System'!$C$43)), $C68 = "3",('Inputs-System'!$C$30*'Coincidence Factors'!$B$8*(1+'Inputs-System'!$C$18))*'Inputs-Proposals'!$M$28*(VLOOKUP(BF$3,Capacity!$A$53:$E$85,4,FALSE)*(1+'Inputs-System'!$C$42)+VLOOKUP(BF$3,Capacity!$A$53:$E$85,5,FALSE)*'Inputs-System'!$C$29*(1+'Inputs-System'!$C$43)), $C68 = "0", 0), 0)</f>
        <v>0</v>
      </c>
      <c r="BJ68" s="44">
        <v>0</v>
      </c>
      <c r="BK68" s="342">
        <f>IFERROR(_xlfn.IFS($C68="1", 'Inputs-System'!$C$30*'Coincidence Factors'!$B$8*'Inputs-Proposals'!$M$17*'Inputs-Proposals'!$M$19*(VLOOKUP(BF$3,'Non-Embedded Emissions'!$A$56:$D$90,2,FALSE)+VLOOKUP(BF$3,'Non-Embedded Emissions'!$A$143:$D$174,2,FALSE)+VLOOKUP(BF$3,'Non-Embedded Emissions'!$A$230:$D$259,2,FALSE)), $C68 = "2", 'Inputs-System'!$C$30*'Coincidence Factors'!$B$8*'Inputs-Proposals'!$M$23*'Inputs-Proposals'!$M$25*(VLOOKUP(BF$3,'Non-Embedded Emissions'!$A$56:$D$90,2,FALSE)+VLOOKUP(BF$3,'Non-Embedded Emissions'!$A$143:$D$174,2,FALSE)+VLOOKUP(BF$3,'Non-Embedded Emissions'!$A$230:$D$259,2,FALSE)), $C68 = "3", 'Inputs-System'!$C$30*'Coincidence Factors'!$B$8*'Inputs-Proposals'!$M$29*'Inputs-Proposals'!$M$31*(VLOOKUP(BF$3,'Non-Embedded Emissions'!$A$56:$D$90,2,FALSE)+VLOOKUP(BF$3,'Non-Embedded Emissions'!$A$143:$D$174,2,FALSE)+VLOOKUP(BF$3,'Non-Embedded Emissions'!$A$230:$D$259,2,FALSE)), $C68 = "0", 0), 0)</f>
        <v>0</v>
      </c>
      <c r="BL68" s="347">
        <f>IFERROR(_xlfn.IFS($C68="1",('Inputs-System'!$C$30*'Coincidence Factors'!$B$8*(1+'Inputs-System'!$C$18)*(1+'Inputs-System'!$C$41)*('Inputs-Proposals'!$M$17*'Inputs-Proposals'!$M$19*('Inputs-Proposals'!$M$20))*(VLOOKUP(BL$3,Energy!$A$51:$K$83,5,FALSE))), $C68 = "2",('Inputs-System'!$C$30*'Coincidence Factors'!$B$8)*(1+'Inputs-System'!$C$18)*(1+'Inputs-System'!$C$41)*('Inputs-Proposals'!$M$23*'Inputs-Proposals'!$M$25*('Inputs-Proposals'!$M$26))*(VLOOKUP(BL$3,Energy!$A$51:$K$83,5,FALSE)), $C68= "3", ('Inputs-System'!$C$30*'Coincidence Factors'!$B$8*(1+'Inputs-System'!$C$18)*(1+'Inputs-System'!$C$41)*('Inputs-Proposals'!$M$29*'Inputs-Proposals'!$M$31*('Inputs-Proposals'!$M$32))*(VLOOKUP(BL$3,Energy!$A$51:$K$83,5,FALSE))), $C68= "0", 0), 0)</f>
        <v>0</v>
      </c>
      <c r="BM68" s="44">
        <f>IFERROR(_xlfn.IFS($C68="1",'Inputs-System'!$C$30*'Coincidence Factors'!$B$8*(1+'Inputs-System'!$C$18)*(1+'Inputs-System'!$C$41)*'Inputs-Proposals'!$M$17*'Inputs-Proposals'!$M$19*('Inputs-Proposals'!$M$20)*(VLOOKUP(BL$3,'Embedded Emissions'!$A$47:$B$78,2,FALSE)+VLOOKUP(BL$3,'Embedded Emissions'!$A$129:$B$158,2,FALSE)), $C68 = "2", 'Inputs-System'!$C$30*'Coincidence Factors'!$B$8*(1+'Inputs-System'!$C$18)*(1+'Inputs-System'!$C$41)*'Inputs-Proposals'!$M$23*'Inputs-Proposals'!$M$25*('Inputs-Proposals'!$M$20)*(VLOOKUP(BL$3,'Embedded Emissions'!$A$47:$B$78,2,FALSE)+VLOOKUP(BL$3,'Embedded Emissions'!$A$129:$B$158,2,FALSE)), $C68 = "3",'Inputs-System'!$C$30*'Coincidence Factors'!$B$8*(1+'Inputs-System'!$C$18)*(1+'Inputs-System'!$C$41)*'Inputs-Proposals'!$M$29*'Inputs-Proposals'!$M$31*('Inputs-Proposals'!$M$20)*(VLOOKUP(BL$3,'Embedded Emissions'!$A$47:$B$78,2,FALSE)+VLOOKUP(BL$3,'Embedded Emissions'!$A$129:$B$158,2,FALSE)), $C68 = "0", 0), 0)</f>
        <v>0</v>
      </c>
      <c r="BN68" s="44">
        <f>IFERROR(_xlfn.IFS($C68="1",( 'Inputs-System'!$C$30*'Coincidence Factors'!$B$8*(1+'Inputs-System'!$C$18)*(1+'Inputs-System'!$C$41))*('Inputs-Proposals'!$M$17*'Inputs-Proposals'!$M$19*('Inputs-Proposals'!$M$20))*(VLOOKUP(BL$3,DRIPE!$A$54:$I$82,5,FALSE)+VLOOKUP(BL$3,DRIPE!$A$54:$I$82,9,FALSE))+ ('Inputs-System'!$C$26*'Coincidence Factors'!$B$8*(1+'Inputs-System'!$C$18)*(1+'Inputs-System'!$C$42))*'Inputs-Proposals'!$M$16*VLOOKUP(BL$3,DRIPE!$A$54:$I$82,8,FALSE), $C68 = "2",( 'Inputs-System'!$C$30*'Coincidence Factors'!$B$8*(1+'Inputs-System'!$C$18)*(1+'Inputs-System'!$C$41))*('Inputs-Proposals'!$M$23*'Inputs-Proposals'!$M$25*('Inputs-Proposals'!$M$26))*(VLOOKUP(BL$3,DRIPE!$A$54:$I$82,5,FALSE)+VLOOKUP(BL$3,DRIPE!$A$54:$I$82,9,FALSE))+  ('Inputs-System'!$C$26*'Coincidence Factors'!$B$8*(1+'Inputs-System'!$C$18)*(1+'Inputs-System'!$C$42))*'Inputs-Proposals'!$M$22*VLOOKUP(BL$3,DRIPE!$A$54:$I$82,8,FALSE), $C68= "3", ( 'Inputs-System'!$C$30*'Coincidence Factors'!$B$8*(1+'Inputs-System'!$C$18)*(1+'Inputs-System'!$C$41))*('Inputs-Proposals'!$M$29*'Inputs-Proposals'!$M$31*('Inputs-Proposals'!$M$32))*(VLOOKUP(BL$3,DRIPE!$A$54:$I$82,5,FALSE)+VLOOKUP(BL$3,DRIPE!$A$54:$I$82,9,FALSE))+  ('Inputs-System'!$C$26*'Coincidence Factors'!$B$8*(1+'Inputs-System'!$C$18)*(1+'Inputs-System'!$C$42))*'Inputs-Proposals'!$M$28*VLOOKUP(BL$3,DRIPE!$A$54:$I$82,8,FALSE), $C68 = "0", 0), 0)</f>
        <v>0</v>
      </c>
      <c r="BO68" s="45">
        <f>IFERROR(_xlfn.IFS($C68="1",('Inputs-System'!$C$30*'Coincidence Factors'!$B$8*(1+'Inputs-System'!$C$18))*'Inputs-Proposals'!$M$16*(VLOOKUP(BL$3,Capacity!$A$53:$E$85,4,FALSE)*(1+'Inputs-System'!$C$42)+VLOOKUP(BL$3,Capacity!$A$53:$E$85,5,FALSE)*'Inputs-System'!$C$29*(1+'Inputs-System'!$C$43)), $C68 = "2", ('Inputs-System'!$C$30*'Coincidence Factors'!$B$8*(1+'Inputs-System'!$C$18))*'Inputs-Proposals'!$M$22*(VLOOKUP(BL$3,Capacity!$A$53:$E$85,4,FALSE)*(1+'Inputs-System'!$C$42)+VLOOKUP(BL$3,Capacity!$A$53:$E$85,5,FALSE)*'Inputs-System'!$C$29*(1+'Inputs-System'!$C$43)), $C68 = "3",('Inputs-System'!$C$30*'Coincidence Factors'!$B$8*(1+'Inputs-System'!$C$18))*'Inputs-Proposals'!$M$28*(VLOOKUP(BL$3,Capacity!$A$53:$E$85,4,FALSE)*(1+'Inputs-System'!$C$42)+VLOOKUP(BL$3,Capacity!$A$53:$E$85,5,FALSE)*'Inputs-System'!$C$29*(1+'Inputs-System'!$C$43)), $C68 = "0", 0), 0)</f>
        <v>0</v>
      </c>
      <c r="BP68" s="44">
        <v>0</v>
      </c>
      <c r="BQ68" s="342">
        <f>IFERROR(_xlfn.IFS($C68="1", 'Inputs-System'!$C$30*'Coincidence Factors'!$B$8*'Inputs-Proposals'!$M$17*'Inputs-Proposals'!$M$19*(VLOOKUP(BL$3,'Non-Embedded Emissions'!$A$56:$D$90,2,FALSE)+VLOOKUP(BL$3,'Non-Embedded Emissions'!$A$143:$D$174,2,FALSE)+VLOOKUP(BL$3,'Non-Embedded Emissions'!$A$230:$D$259,2,FALSE)), $C68 = "2", 'Inputs-System'!$C$30*'Coincidence Factors'!$B$8*'Inputs-Proposals'!$M$23*'Inputs-Proposals'!$M$25*(VLOOKUP(BL$3,'Non-Embedded Emissions'!$A$56:$D$90,2,FALSE)+VLOOKUP(BL$3,'Non-Embedded Emissions'!$A$143:$D$174,2,FALSE)+VLOOKUP(BL$3,'Non-Embedded Emissions'!$A$230:$D$259,2,FALSE)), $C68 = "3", 'Inputs-System'!$C$30*'Coincidence Factors'!$B$8*'Inputs-Proposals'!$M$29*'Inputs-Proposals'!$M$31*(VLOOKUP(BL$3,'Non-Embedded Emissions'!$A$56:$D$90,2,FALSE)+VLOOKUP(BL$3,'Non-Embedded Emissions'!$A$143:$D$174,2,FALSE)+VLOOKUP(BL$3,'Non-Embedded Emissions'!$A$230:$D$259,2,FALSE)), $C68 = "0", 0), 0)</f>
        <v>0</v>
      </c>
      <c r="BR68" s="347">
        <f>IFERROR(_xlfn.IFS($C68="1",('Inputs-System'!$C$30*'Coincidence Factors'!$B$8*(1+'Inputs-System'!$C$18)*(1+'Inputs-System'!$C$41)*('Inputs-Proposals'!$M$17*'Inputs-Proposals'!$M$19*('Inputs-Proposals'!$M$20))*(VLOOKUP(BR$3,Energy!$A$51:$K$83,5,FALSE))), $C68 = "2",('Inputs-System'!$C$30*'Coincidence Factors'!$B$8)*(1+'Inputs-System'!$C$18)*(1+'Inputs-System'!$C$41)*('Inputs-Proposals'!$M$23*'Inputs-Proposals'!$M$25*('Inputs-Proposals'!$M$26))*(VLOOKUP(BR$3,Energy!$A$51:$K$83,5,FALSE)), $C68= "3", ('Inputs-System'!$C$30*'Coincidence Factors'!$B$8*(1+'Inputs-System'!$C$18)*(1+'Inputs-System'!$C$41)*('Inputs-Proposals'!$M$29*'Inputs-Proposals'!$M$31*('Inputs-Proposals'!$M$32))*(VLOOKUP(BR$3,Energy!$A$51:$K$83,5,FALSE))), $C68= "0", 0), 0)</f>
        <v>0</v>
      </c>
      <c r="BS68" s="44">
        <f>IFERROR(_xlfn.IFS($C68="1",'Inputs-System'!$C$30*'Coincidence Factors'!$B$8*(1+'Inputs-System'!$C$18)*(1+'Inputs-System'!$C$41)*'Inputs-Proposals'!$M$17*'Inputs-Proposals'!$M$19*('Inputs-Proposals'!$M$20)*(VLOOKUP(BR$3,'Embedded Emissions'!$A$47:$B$78,2,FALSE)+VLOOKUP(BR$3,'Embedded Emissions'!$A$129:$B$158,2,FALSE)), $C68 = "2", 'Inputs-System'!$C$30*'Coincidence Factors'!$B$8*(1+'Inputs-System'!$C$18)*(1+'Inputs-System'!$C$41)*'Inputs-Proposals'!$M$23*'Inputs-Proposals'!$M$25*('Inputs-Proposals'!$M$20)*(VLOOKUP(BR$3,'Embedded Emissions'!$A$47:$B$78,2,FALSE)+VLOOKUP(BR$3,'Embedded Emissions'!$A$129:$B$158,2,FALSE)), $C68 = "3",'Inputs-System'!$C$30*'Coincidence Factors'!$B$8*(1+'Inputs-System'!$C$18)*(1+'Inputs-System'!$C$41)*'Inputs-Proposals'!$M$29*'Inputs-Proposals'!$M$31*('Inputs-Proposals'!$M$20)*(VLOOKUP(BR$3,'Embedded Emissions'!$A$47:$B$78,2,FALSE)+VLOOKUP(BR$3,'Embedded Emissions'!$A$129:$B$158,2,FALSE)), $C68 = "0", 0), 0)</f>
        <v>0</v>
      </c>
      <c r="BT68" s="44">
        <f>IFERROR(_xlfn.IFS($C68="1",( 'Inputs-System'!$C$30*'Coincidence Factors'!$B$8*(1+'Inputs-System'!$C$18)*(1+'Inputs-System'!$C$41))*('Inputs-Proposals'!$M$17*'Inputs-Proposals'!$M$19*('Inputs-Proposals'!$M$20))*(VLOOKUP(BR$3,DRIPE!$A$54:$I$82,5,FALSE)+VLOOKUP(BR$3,DRIPE!$A$54:$I$82,9,FALSE))+ ('Inputs-System'!$C$26*'Coincidence Factors'!$B$8*(1+'Inputs-System'!$C$18)*(1+'Inputs-System'!$C$42))*'Inputs-Proposals'!$M$16*VLOOKUP(BR$3,DRIPE!$A$54:$I$82,8,FALSE), $C68 = "2",( 'Inputs-System'!$C$30*'Coincidence Factors'!$B$8*(1+'Inputs-System'!$C$18)*(1+'Inputs-System'!$C$41))*('Inputs-Proposals'!$M$23*'Inputs-Proposals'!$M$25*('Inputs-Proposals'!$M$26))*(VLOOKUP(BR$3,DRIPE!$A$54:$I$82,5,FALSE)+VLOOKUP(BR$3,DRIPE!$A$54:$I$82,9,FALSE))+  ('Inputs-System'!$C$26*'Coincidence Factors'!$B$8*(1+'Inputs-System'!$C$18)*(1+'Inputs-System'!$C$42))*'Inputs-Proposals'!$M$22*VLOOKUP(BR$3,DRIPE!$A$54:$I$82,8,FALSE), $C68= "3", ( 'Inputs-System'!$C$30*'Coincidence Factors'!$B$8*(1+'Inputs-System'!$C$18)*(1+'Inputs-System'!$C$41))*('Inputs-Proposals'!$M$29*'Inputs-Proposals'!$M$31*('Inputs-Proposals'!$M$32))*(VLOOKUP(BR$3,DRIPE!$A$54:$I$82,5,FALSE)+VLOOKUP(BR$3,DRIPE!$A$54:$I$82,9,FALSE))+  ('Inputs-System'!$C$26*'Coincidence Factors'!$B$8*(1+'Inputs-System'!$C$18)*(1+'Inputs-System'!$C$42))*'Inputs-Proposals'!$M$28*VLOOKUP(BR$3,DRIPE!$A$54:$I$82,8,FALSE), $C68 = "0", 0), 0)</f>
        <v>0</v>
      </c>
      <c r="BU68" s="45">
        <f>IFERROR(_xlfn.IFS($C68="1",('Inputs-System'!$C$30*'Coincidence Factors'!$B$8*(1+'Inputs-System'!$C$18))*'Inputs-Proposals'!$M$16*(VLOOKUP(BR$3,Capacity!$A$53:$E$85,4,FALSE)*(1+'Inputs-System'!$C$42)+VLOOKUP(BR$3,Capacity!$A$53:$E$85,5,FALSE)*'Inputs-System'!$C$29*(1+'Inputs-System'!$C$43)), $C68 = "2", ('Inputs-System'!$C$30*'Coincidence Factors'!$B$8*(1+'Inputs-System'!$C$18))*'Inputs-Proposals'!$M$22*(VLOOKUP(BR$3,Capacity!$A$53:$E$85,4,FALSE)*(1+'Inputs-System'!$C$42)+VLOOKUP(BR$3,Capacity!$A$53:$E$85,5,FALSE)*'Inputs-System'!$C$29*(1+'Inputs-System'!$C$43)), $C68 = "3",('Inputs-System'!$C$30*'Coincidence Factors'!$B$8*(1+'Inputs-System'!$C$18))*'Inputs-Proposals'!$M$28*(VLOOKUP(BR$3,Capacity!$A$53:$E$85,4,FALSE)*(1+'Inputs-System'!$C$42)+VLOOKUP(BR$3,Capacity!$A$53:$E$85,5,FALSE)*'Inputs-System'!$C$29*(1+'Inputs-System'!$C$43)), $C68 = "0", 0), 0)</f>
        <v>0</v>
      </c>
      <c r="BV68" s="44">
        <v>0</v>
      </c>
      <c r="BW68" s="342">
        <f>IFERROR(_xlfn.IFS($C68="1", 'Inputs-System'!$C$30*'Coincidence Factors'!$B$8*'Inputs-Proposals'!$M$17*'Inputs-Proposals'!$M$19*(VLOOKUP(BR$3,'Non-Embedded Emissions'!$A$56:$D$90,2,FALSE)+VLOOKUP(BR$3,'Non-Embedded Emissions'!$A$143:$D$174,2,FALSE)+VLOOKUP(BR$3,'Non-Embedded Emissions'!$A$230:$D$259,2,FALSE)), $C68 = "2", 'Inputs-System'!$C$30*'Coincidence Factors'!$B$8*'Inputs-Proposals'!$M$23*'Inputs-Proposals'!$M$25*(VLOOKUP(BR$3,'Non-Embedded Emissions'!$A$56:$D$90,2,FALSE)+VLOOKUP(BR$3,'Non-Embedded Emissions'!$A$143:$D$174,2,FALSE)+VLOOKUP(BR$3,'Non-Embedded Emissions'!$A$230:$D$259,2,FALSE)), $C68 = "3", 'Inputs-System'!$C$30*'Coincidence Factors'!$B$8*'Inputs-Proposals'!$M$29*'Inputs-Proposals'!$M$31*(VLOOKUP(BR$3,'Non-Embedded Emissions'!$A$56:$D$90,2,FALSE)+VLOOKUP(BR$3,'Non-Embedded Emissions'!$A$143:$D$174,2,FALSE)+VLOOKUP(BR$3,'Non-Embedded Emissions'!$A$230:$D$259,2,FALSE)), $C68 = "0", 0), 0)</f>
        <v>0</v>
      </c>
      <c r="BX68" s="347">
        <f>IFERROR(_xlfn.IFS($C68="1",('Inputs-System'!$C$30*'Coincidence Factors'!$B$8*(1+'Inputs-System'!$C$18)*(1+'Inputs-System'!$C$41)*('Inputs-Proposals'!$M$17*'Inputs-Proposals'!$M$19*('Inputs-Proposals'!$M$20))*(VLOOKUP(BX$3,Energy!$A$51:$K$83,5,FALSE))), $C68 = "2",('Inputs-System'!$C$30*'Coincidence Factors'!$B$8)*(1+'Inputs-System'!$C$18)*(1+'Inputs-System'!$C$41)*('Inputs-Proposals'!$M$23*'Inputs-Proposals'!$M$25*('Inputs-Proposals'!$M$26))*(VLOOKUP(BX$3,Energy!$A$51:$K$83,5,FALSE)), $C68= "3", ('Inputs-System'!$C$30*'Coincidence Factors'!$B$8*(1+'Inputs-System'!$C$18)*(1+'Inputs-System'!$C$41)*('Inputs-Proposals'!$M$29*'Inputs-Proposals'!$M$31*('Inputs-Proposals'!$M$32))*(VLOOKUP(BX$3,Energy!$A$51:$K$83,5,FALSE))), $C68= "0", 0), 0)</f>
        <v>0</v>
      </c>
      <c r="BY68" s="44">
        <f>IFERROR(_xlfn.IFS($C68="1",'Inputs-System'!$C$30*'Coincidence Factors'!$B$8*(1+'Inputs-System'!$C$18)*(1+'Inputs-System'!$C$41)*'Inputs-Proposals'!$M$17*'Inputs-Proposals'!$M$19*('Inputs-Proposals'!$M$20)*(VLOOKUP(BX$3,'Embedded Emissions'!$A$47:$B$78,2,FALSE)+VLOOKUP(BX$3,'Embedded Emissions'!$A$129:$B$158,2,FALSE)), $C68 = "2", 'Inputs-System'!$C$30*'Coincidence Factors'!$B$8*(1+'Inputs-System'!$C$18)*(1+'Inputs-System'!$C$41)*'Inputs-Proposals'!$M$23*'Inputs-Proposals'!$M$25*('Inputs-Proposals'!$M$20)*(VLOOKUP(BX$3,'Embedded Emissions'!$A$47:$B$78,2,FALSE)+VLOOKUP(BX$3,'Embedded Emissions'!$A$129:$B$158,2,FALSE)), $C68 = "3",'Inputs-System'!$C$30*'Coincidence Factors'!$B$8*(1+'Inputs-System'!$C$18)*(1+'Inputs-System'!$C$41)*'Inputs-Proposals'!$M$29*'Inputs-Proposals'!$M$31*('Inputs-Proposals'!$M$20)*(VLOOKUP(BX$3,'Embedded Emissions'!$A$47:$B$78,2,FALSE)+VLOOKUP(BX$3,'Embedded Emissions'!$A$129:$B$158,2,FALSE)), $C68 = "0", 0), 0)</f>
        <v>0</v>
      </c>
      <c r="BZ68" s="44">
        <f>IFERROR(_xlfn.IFS($C68="1",( 'Inputs-System'!$C$30*'Coincidence Factors'!$B$8*(1+'Inputs-System'!$C$18)*(1+'Inputs-System'!$C$41))*('Inputs-Proposals'!$M$17*'Inputs-Proposals'!$M$19*('Inputs-Proposals'!$M$20))*(VLOOKUP(BX$3,DRIPE!$A$54:$I$82,5,FALSE)+VLOOKUP(BX$3,DRIPE!$A$54:$I$82,9,FALSE))+ ('Inputs-System'!$C$26*'Coincidence Factors'!$B$8*(1+'Inputs-System'!$C$18)*(1+'Inputs-System'!$C$42))*'Inputs-Proposals'!$M$16*VLOOKUP(BX$3,DRIPE!$A$54:$I$82,8,FALSE), $C68 = "2",( 'Inputs-System'!$C$30*'Coincidence Factors'!$B$8*(1+'Inputs-System'!$C$18)*(1+'Inputs-System'!$C$41))*('Inputs-Proposals'!$M$23*'Inputs-Proposals'!$M$25*('Inputs-Proposals'!$M$26))*(VLOOKUP(BX$3,DRIPE!$A$54:$I$82,5,FALSE)+VLOOKUP(BX$3,DRIPE!$A$54:$I$82,9,FALSE))+  ('Inputs-System'!$C$26*'Coincidence Factors'!$B$8*(1+'Inputs-System'!$C$18)*(1+'Inputs-System'!$C$42))*'Inputs-Proposals'!$M$22*VLOOKUP(BX$3,DRIPE!$A$54:$I$82,8,FALSE), $C68= "3", ( 'Inputs-System'!$C$30*'Coincidence Factors'!$B$8*(1+'Inputs-System'!$C$18)*(1+'Inputs-System'!$C$41))*('Inputs-Proposals'!$M$29*'Inputs-Proposals'!$M$31*('Inputs-Proposals'!$M$32))*(VLOOKUP(BX$3,DRIPE!$A$54:$I$82,5,FALSE)+VLOOKUP(BX$3,DRIPE!$A$54:$I$82,9,FALSE))+  ('Inputs-System'!$C$26*'Coincidence Factors'!$B$8*(1+'Inputs-System'!$C$18)*(1+'Inputs-System'!$C$42))*'Inputs-Proposals'!$M$28*VLOOKUP(BX$3,DRIPE!$A$54:$I$82,8,FALSE), $C68 = "0", 0), 0)</f>
        <v>0</v>
      </c>
      <c r="CA68" s="45">
        <f>IFERROR(_xlfn.IFS($C68="1",('Inputs-System'!$C$30*'Coincidence Factors'!$B$8*(1+'Inputs-System'!$C$18))*'Inputs-Proposals'!$M$16*(VLOOKUP(BX$3,Capacity!$A$53:$E$85,4,FALSE)*(1+'Inputs-System'!$C$42)+VLOOKUP(BX$3,Capacity!$A$53:$E$85,5,FALSE)*'Inputs-System'!$C$29*(1+'Inputs-System'!$C$43)), $C68 = "2", ('Inputs-System'!$C$30*'Coincidence Factors'!$B$8*(1+'Inputs-System'!$C$18))*'Inputs-Proposals'!$M$22*(VLOOKUP(BX$3,Capacity!$A$53:$E$85,4,FALSE)*(1+'Inputs-System'!$C$42)+VLOOKUP(BX$3,Capacity!$A$53:$E$85,5,FALSE)*'Inputs-System'!$C$29*(1+'Inputs-System'!$C$43)), $C68 = "3",('Inputs-System'!$C$30*'Coincidence Factors'!$B$8*(1+'Inputs-System'!$C$18))*'Inputs-Proposals'!$M$28*(VLOOKUP(BX$3,Capacity!$A$53:$E$85,4,FALSE)*(1+'Inputs-System'!$C$42)+VLOOKUP(BX$3,Capacity!$A$53:$E$85,5,FALSE)*'Inputs-System'!$C$29*(1+'Inputs-System'!$C$43)), $C68 = "0", 0), 0)</f>
        <v>0</v>
      </c>
      <c r="CB68" s="44">
        <v>0</v>
      </c>
      <c r="CC68" s="342">
        <f>IFERROR(_xlfn.IFS($C68="1", 'Inputs-System'!$C$30*'Coincidence Factors'!$B$8*'Inputs-Proposals'!$M$17*'Inputs-Proposals'!$M$19*(VLOOKUP(BX$3,'Non-Embedded Emissions'!$A$56:$D$90,2,FALSE)+VLOOKUP(BX$3,'Non-Embedded Emissions'!$A$143:$D$174,2,FALSE)+VLOOKUP(BX$3,'Non-Embedded Emissions'!$A$230:$D$259,2,FALSE)), $C68 = "2", 'Inputs-System'!$C$30*'Coincidence Factors'!$B$8*'Inputs-Proposals'!$M$23*'Inputs-Proposals'!$M$25*(VLOOKUP(BX$3,'Non-Embedded Emissions'!$A$56:$D$90,2,FALSE)+VLOOKUP(BX$3,'Non-Embedded Emissions'!$A$143:$D$174,2,FALSE)+VLOOKUP(BX$3,'Non-Embedded Emissions'!$A$230:$D$259,2,FALSE)), $C68 = "3", 'Inputs-System'!$C$30*'Coincidence Factors'!$B$8*'Inputs-Proposals'!$M$29*'Inputs-Proposals'!$M$31*(VLOOKUP(BX$3,'Non-Embedded Emissions'!$A$56:$D$90,2,FALSE)+VLOOKUP(BX$3,'Non-Embedded Emissions'!$A$143:$D$174,2,FALSE)+VLOOKUP(BX$3,'Non-Embedded Emissions'!$A$230:$D$259,2,FALSE)), $C68 = "0", 0), 0)</f>
        <v>0</v>
      </c>
      <c r="CD68" s="347">
        <f>IFERROR(_xlfn.IFS($C68="1",('Inputs-System'!$C$30*'Coincidence Factors'!$B$8*(1+'Inputs-System'!$C$18)*(1+'Inputs-System'!$C$41)*('Inputs-Proposals'!$M$17*'Inputs-Proposals'!$M$19*('Inputs-Proposals'!$M$20))*(VLOOKUP(CD$3,Energy!$A$51:$K$83,5,FALSE))), $C68 = "2",('Inputs-System'!$C$30*'Coincidence Factors'!$B$8)*(1+'Inputs-System'!$C$18)*(1+'Inputs-System'!$C$41)*('Inputs-Proposals'!$M$23*'Inputs-Proposals'!$M$25*('Inputs-Proposals'!$M$26))*(VLOOKUP(CD$3,Energy!$A$51:$K$83,5,FALSE)), $C68= "3", ('Inputs-System'!$C$30*'Coincidence Factors'!$B$8*(1+'Inputs-System'!$C$18)*(1+'Inputs-System'!$C$41)*('Inputs-Proposals'!$M$29*'Inputs-Proposals'!$M$31*('Inputs-Proposals'!$M$32))*(VLOOKUP(CD$3,Energy!$A$51:$K$83,5,FALSE))), $C68= "0", 0), 0)</f>
        <v>0</v>
      </c>
      <c r="CE68" s="44">
        <f>IFERROR(_xlfn.IFS($C68="1",'Inputs-System'!$C$30*'Coincidence Factors'!$B$8*(1+'Inputs-System'!$C$18)*(1+'Inputs-System'!$C$41)*'Inputs-Proposals'!$M$17*'Inputs-Proposals'!$M$19*('Inputs-Proposals'!$M$20)*(VLOOKUP(CD$3,'Embedded Emissions'!$A$47:$B$78,2,FALSE)+VLOOKUP(CD$3,'Embedded Emissions'!$A$129:$B$158,2,FALSE)), $C68 = "2", 'Inputs-System'!$C$30*'Coincidence Factors'!$B$8*(1+'Inputs-System'!$C$18)*(1+'Inputs-System'!$C$41)*'Inputs-Proposals'!$M$23*'Inputs-Proposals'!$M$25*('Inputs-Proposals'!$M$20)*(VLOOKUP(CD$3,'Embedded Emissions'!$A$47:$B$78,2,FALSE)+VLOOKUP(CD$3,'Embedded Emissions'!$A$129:$B$158,2,FALSE)), $C68 = "3",'Inputs-System'!$C$30*'Coincidence Factors'!$B$8*(1+'Inputs-System'!$C$18)*(1+'Inputs-System'!$C$41)*'Inputs-Proposals'!$M$29*'Inputs-Proposals'!$M$31*('Inputs-Proposals'!$M$20)*(VLOOKUP(CD$3,'Embedded Emissions'!$A$47:$B$78,2,FALSE)+VLOOKUP(CD$3,'Embedded Emissions'!$A$129:$B$158,2,FALSE)), $C68 = "0", 0), 0)</f>
        <v>0</v>
      </c>
      <c r="CF68" s="44">
        <f>IFERROR(_xlfn.IFS($C68="1",( 'Inputs-System'!$C$30*'Coincidence Factors'!$B$8*(1+'Inputs-System'!$C$18)*(1+'Inputs-System'!$C$41))*('Inputs-Proposals'!$M$17*'Inputs-Proposals'!$M$19*('Inputs-Proposals'!$M$20))*(VLOOKUP(CD$3,DRIPE!$A$54:$I$82,5,FALSE)+VLOOKUP(CD$3,DRIPE!$A$54:$I$82,9,FALSE))+ ('Inputs-System'!$C$26*'Coincidence Factors'!$B$8*(1+'Inputs-System'!$C$18)*(1+'Inputs-System'!$C$42))*'Inputs-Proposals'!$M$16*VLOOKUP(CD$3,DRIPE!$A$54:$I$82,8,FALSE), $C68 = "2",( 'Inputs-System'!$C$30*'Coincidence Factors'!$B$8*(1+'Inputs-System'!$C$18)*(1+'Inputs-System'!$C$41))*('Inputs-Proposals'!$M$23*'Inputs-Proposals'!$M$25*('Inputs-Proposals'!$M$26))*(VLOOKUP(CD$3,DRIPE!$A$54:$I$82,5,FALSE)+VLOOKUP(CD$3,DRIPE!$A$54:$I$82,9,FALSE))+  ('Inputs-System'!$C$26*'Coincidence Factors'!$B$8*(1+'Inputs-System'!$C$18)*(1+'Inputs-System'!$C$42))*'Inputs-Proposals'!$M$22*VLOOKUP(CD$3,DRIPE!$A$54:$I$82,8,FALSE), $C68= "3", ( 'Inputs-System'!$C$30*'Coincidence Factors'!$B$8*(1+'Inputs-System'!$C$18)*(1+'Inputs-System'!$C$41))*('Inputs-Proposals'!$M$29*'Inputs-Proposals'!$M$31*('Inputs-Proposals'!$M$32))*(VLOOKUP(CD$3,DRIPE!$A$54:$I$82,5,FALSE)+VLOOKUP(CD$3,DRIPE!$A$54:$I$82,9,FALSE))+  ('Inputs-System'!$C$26*'Coincidence Factors'!$B$8*(1+'Inputs-System'!$C$18)*(1+'Inputs-System'!$C$42))*'Inputs-Proposals'!$M$28*VLOOKUP(CD$3,DRIPE!$A$54:$I$82,8,FALSE), $C68 = "0", 0), 0)</f>
        <v>0</v>
      </c>
      <c r="CG68" s="45">
        <f>IFERROR(_xlfn.IFS($C68="1",('Inputs-System'!$C$30*'Coincidence Factors'!$B$8*(1+'Inputs-System'!$C$18))*'Inputs-Proposals'!$M$16*(VLOOKUP(CD$3,Capacity!$A$53:$E$85,4,FALSE)*(1+'Inputs-System'!$C$42)+VLOOKUP(CD$3,Capacity!$A$53:$E$85,5,FALSE)*'Inputs-System'!$C$29*(1+'Inputs-System'!$C$43)), $C68 = "2", ('Inputs-System'!$C$30*'Coincidence Factors'!$B$8*(1+'Inputs-System'!$C$18))*'Inputs-Proposals'!$M$22*(VLOOKUP(CD$3,Capacity!$A$53:$E$85,4,FALSE)*(1+'Inputs-System'!$C$42)+VLOOKUP(CD$3,Capacity!$A$53:$E$85,5,FALSE)*'Inputs-System'!$C$29*(1+'Inputs-System'!$C$43)), $C68 = "3",('Inputs-System'!$C$30*'Coincidence Factors'!$B$8*(1+'Inputs-System'!$C$18))*'Inputs-Proposals'!$M$28*(VLOOKUP(CD$3,Capacity!$A$53:$E$85,4,FALSE)*(1+'Inputs-System'!$C$42)+VLOOKUP(CD$3,Capacity!$A$53:$E$85,5,FALSE)*'Inputs-System'!$C$29*(1+'Inputs-System'!$C$43)), $C68 = "0", 0), 0)</f>
        <v>0</v>
      </c>
      <c r="CH68" s="44">
        <v>0</v>
      </c>
      <c r="CI68" s="342">
        <f>IFERROR(_xlfn.IFS($C68="1", 'Inputs-System'!$C$30*'Coincidence Factors'!$B$8*'Inputs-Proposals'!$M$17*'Inputs-Proposals'!$M$19*(VLOOKUP(CD$3,'Non-Embedded Emissions'!$A$56:$D$90,2,FALSE)+VLOOKUP(CD$3,'Non-Embedded Emissions'!$A$143:$D$174,2,FALSE)+VLOOKUP(CD$3,'Non-Embedded Emissions'!$A$230:$D$259,2,FALSE)), $C68 = "2", 'Inputs-System'!$C$30*'Coincidence Factors'!$B$8*'Inputs-Proposals'!$M$23*'Inputs-Proposals'!$M$25*(VLOOKUP(CD$3,'Non-Embedded Emissions'!$A$56:$D$90,2,FALSE)+VLOOKUP(CD$3,'Non-Embedded Emissions'!$A$143:$D$174,2,FALSE)+VLOOKUP(CD$3,'Non-Embedded Emissions'!$A$230:$D$259,2,FALSE)), $C68 = "3", 'Inputs-System'!$C$30*'Coincidence Factors'!$B$8*'Inputs-Proposals'!$M$29*'Inputs-Proposals'!$M$31*(VLOOKUP(CD$3,'Non-Embedded Emissions'!$A$56:$D$90,2,FALSE)+VLOOKUP(CD$3,'Non-Embedded Emissions'!$A$143:$D$174,2,FALSE)+VLOOKUP(CD$3,'Non-Embedded Emissions'!$A$230:$D$259,2,FALSE)), $C68 = "0", 0), 0)</f>
        <v>0</v>
      </c>
      <c r="CJ68" s="347">
        <f>IFERROR(_xlfn.IFS($C68="1",('Inputs-System'!$C$30*'Coincidence Factors'!$B$8*(1+'Inputs-System'!$C$18)*(1+'Inputs-System'!$C$41)*('Inputs-Proposals'!$M$17*'Inputs-Proposals'!$M$19*('Inputs-Proposals'!$M$20))*(VLOOKUP(CJ$3,Energy!$A$51:$K$83,5,FALSE))), $C68 = "2",('Inputs-System'!$C$30*'Coincidence Factors'!$B$8)*(1+'Inputs-System'!$C$18)*(1+'Inputs-System'!$C$41)*('Inputs-Proposals'!$M$23*'Inputs-Proposals'!$M$25*('Inputs-Proposals'!$M$26))*(VLOOKUP(CJ$3,Energy!$A$51:$K$83,5,FALSE)), $C68= "3", ('Inputs-System'!$C$30*'Coincidence Factors'!$B$8*(1+'Inputs-System'!$C$18)*(1+'Inputs-System'!$C$41)*('Inputs-Proposals'!$M$29*'Inputs-Proposals'!$M$31*('Inputs-Proposals'!$M$32))*(VLOOKUP(CJ$3,Energy!$A$51:$K$83,5,FALSE))), $C68= "0", 0), 0)</f>
        <v>0</v>
      </c>
      <c r="CK68" s="44">
        <f>IFERROR(_xlfn.IFS($C68="1",'Inputs-System'!$C$30*'Coincidence Factors'!$B$8*(1+'Inputs-System'!$C$18)*(1+'Inputs-System'!$C$41)*'Inputs-Proposals'!$M$17*'Inputs-Proposals'!$M$19*('Inputs-Proposals'!$M$20)*(VLOOKUP(CJ$3,'Embedded Emissions'!$A$47:$B$78,2,FALSE)+VLOOKUP(CJ$3,'Embedded Emissions'!$A$129:$B$158,2,FALSE)), $C68 = "2", 'Inputs-System'!$C$30*'Coincidence Factors'!$B$8*(1+'Inputs-System'!$C$18)*(1+'Inputs-System'!$C$41)*'Inputs-Proposals'!$M$23*'Inputs-Proposals'!$M$25*('Inputs-Proposals'!$M$20)*(VLOOKUP(CJ$3,'Embedded Emissions'!$A$47:$B$78,2,FALSE)+VLOOKUP(CJ$3,'Embedded Emissions'!$A$129:$B$158,2,FALSE)), $C68 = "3",'Inputs-System'!$C$30*'Coincidence Factors'!$B$8*(1+'Inputs-System'!$C$18)*(1+'Inputs-System'!$C$41)*'Inputs-Proposals'!$M$29*'Inputs-Proposals'!$M$31*('Inputs-Proposals'!$M$20)*(VLOOKUP(CJ$3,'Embedded Emissions'!$A$47:$B$78,2,FALSE)+VLOOKUP(CJ$3,'Embedded Emissions'!$A$129:$B$158,2,FALSE)), $C68 = "0", 0), 0)</f>
        <v>0</v>
      </c>
      <c r="CL68" s="44">
        <f>IFERROR(_xlfn.IFS($C68="1",( 'Inputs-System'!$C$30*'Coincidence Factors'!$B$8*(1+'Inputs-System'!$C$18)*(1+'Inputs-System'!$C$41))*('Inputs-Proposals'!$M$17*'Inputs-Proposals'!$M$19*('Inputs-Proposals'!$M$20))*(VLOOKUP(CJ$3,DRIPE!$A$54:$I$82,5,FALSE)+VLOOKUP(CJ$3,DRIPE!$A$54:$I$82,9,FALSE))+ ('Inputs-System'!$C$26*'Coincidence Factors'!$B$8*(1+'Inputs-System'!$C$18)*(1+'Inputs-System'!$C$42))*'Inputs-Proposals'!$M$16*VLOOKUP(CJ$3,DRIPE!$A$54:$I$82,8,FALSE), $C68 = "2",( 'Inputs-System'!$C$30*'Coincidence Factors'!$B$8*(1+'Inputs-System'!$C$18)*(1+'Inputs-System'!$C$41))*('Inputs-Proposals'!$M$23*'Inputs-Proposals'!$M$25*('Inputs-Proposals'!$M$26))*(VLOOKUP(CJ$3,DRIPE!$A$54:$I$82,5,FALSE)+VLOOKUP(CJ$3,DRIPE!$A$54:$I$82,9,FALSE))+  ('Inputs-System'!$C$26*'Coincidence Factors'!$B$8*(1+'Inputs-System'!$C$18)*(1+'Inputs-System'!$C$42))*'Inputs-Proposals'!$M$22*VLOOKUP(CJ$3,DRIPE!$A$54:$I$82,8,FALSE), $C68= "3", ( 'Inputs-System'!$C$30*'Coincidence Factors'!$B$8*(1+'Inputs-System'!$C$18)*(1+'Inputs-System'!$C$41))*('Inputs-Proposals'!$M$29*'Inputs-Proposals'!$M$31*('Inputs-Proposals'!$M$32))*(VLOOKUP(CJ$3,DRIPE!$A$54:$I$82,5,FALSE)+VLOOKUP(CJ$3,DRIPE!$A$54:$I$82,9,FALSE))+  ('Inputs-System'!$C$26*'Coincidence Factors'!$B$8*(1+'Inputs-System'!$C$18)*(1+'Inputs-System'!$C$42))*'Inputs-Proposals'!$M$28*VLOOKUP(CJ$3,DRIPE!$A$54:$I$82,8,FALSE), $C68 = "0", 0), 0)</f>
        <v>0</v>
      </c>
      <c r="CM68" s="45">
        <f>IFERROR(_xlfn.IFS($C68="1",('Inputs-System'!$C$30*'Coincidence Factors'!$B$8*(1+'Inputs-System'!$C$18))*'Inputs-Proposals'!$M$16*(VLOOKUP(CJ$3,Capacity!$A$53:$E$85,4,FALSE)*(1+'Inputs-System'!$C$42)+VLOOKUP(CJ$3,Capacity!$A$53:$E$85,5,FALSE)*'Inputs-System'!$C$29*(1+'Inputs-System'!$C$43)), $C68 = "2", ('Inputs-System'!$C$30*'Coincidence Factors'!$B$8*(1+'Inputs-System'!$C$18))*'Inputs-Proposals'!$M$22*(VLOOKUP(CJ$3,Capacity!$A$53:$E$85,4,FALSE)*(1+'Inputs-System'!$C$42)+VLOOKUP(CJ$3,Capacity!$A$53:$E$85,5,FALSE)*'Inputs-System'!$C$29*(1+'Inputs-System'!$C$43)), $C68 = "3",('Inputs-System'!$C$30*'Coincidence Factors'!$B$8*(1+'Inputs-System'!$C$18))*'Inputs-Proposals'!$M$28*(VLOOKUP(CJ$3,Capacity!$A$53:$E$85,4,FALSE)*(1+'Inputs-System'!$C$42)+VLOOKUP(CJ$3,Capacity!$A$53:$E$85,5,FALSE)*'Inputs-System'!$C$29*(1+'Inputs-System'!$C$43)), $C68 = "0", 0), 0)</f>
        <v>0</v>
      </c>
      <c r="CN68" s="44">
        <v>0</v>
      </c>
      <c r="CO68" s="342">
        <f>IFERROR(_xlfn.IFS($C68="1", 'Inputs-System'!$C$30*'Coincidence Factors'!$B$8*'Inputs-Proposals'!$M$17*'Inputs-Proposals'!$M$19*(VLOOKUP(CJ$3,'Non-Embedded Emissions'!$A$56:$D$90,2,FALSE)+VLOOKUP(CJ$3,'Non-Embedded Emissions'!$A$143:$D$174,2,FALSE)+VLOOKUP(CJ$3,'Non-Embedded Emissions'!$A$230:$D$259,2,FALSE)), $C68 = "2", 'Inputs-System'!$C$30*'Coincidence Factors'!$B$8*'Inputs-Proposals'!$M$23*'Inputs-Proposals'!$M$25*(VLOOKUP(CJ$3,'Non-Embedded Emissions'!$A$56:$D$90,2,FALSE)+VLOOKUP(CJ$3,'Non-Embedded Emissions'!$A$143:$D$174,2,FALSE)+VLOOKUP(CJ$3,'Non-Embedded Emissions'!$A$230:$D$259,2,FALSE)), $C68 = "3", 'Inputs-System'!$C$30*'Coincidence Factors'!$B$8*'Inputs-Proposals'!$M$29*'Inputs-Proposals'!$M$31*(VLOOKUP(CJ$3,'Non-Embedded Emissions'!$A$56:$D$90,2,FALSE)+VLOOKUP(CJ$3,'Non-Embedded Emissions'!$A$143:$D$174,2,FALSE)+VLOOKUP(CJ$3,'Non-Embedded Emissions'!$A$230:$D$259,2,FALSE)), $C68 = "0", 0), 0)</f>
        <v>0</v>
      </c>
      <c r="CP68" s="347">
        <f>IFERROR(_xlfn.IFS($C68="1",('Inputs-System'!$C$30*'Coincidence Factors'!$B$8*(1+'Inputs-System'!$C$18)*(1+'Inputs-System'!$C$41)*('Inputs-Proposals'!$M$17*'Inputs-Proposals'!$M$19*('Inputs-Proposals'!$M$20))*(VLOOKUP(CP$3,Energy!$A$51:$K$83,5,FALSE))), $C68 = "2",('Inputs-System'!$C$30*'Coincidence Factors'!$B$8)*(1+'Inputs-System'!$C$18)*(1+'Inputs-System'!$C$41)*('Inputs-Proposals'!$M$23*'Inputs-Proposals'!$M$25*('Inputs-Proposals'!$M$26))*(VLOOKUP(CP$3,Energy!$A$51:$K$83,5,FALSE)), $C68= "3", ('Inputs-System'!$C$30*'Coincidence Factors'!$B$8*(1+'Inputs-System'!$C$18)*(1+'Inputs-System'!$C$41)*('Inputs-Proposals'!$M$29*'Inputs-Proposals'!$M$31*('Inputs-Proposals'!$M$32))*(VLOOKUP(CP$3,Energy!$A$51:$K$83,5,FALSE))), $C68= "0", 0), 0)</f>
        <v>0</v>
      </c>
      <c r="CQ68" s="44">
        <f>IFERROR(_xlfn.IFS($C68="1",'Inputs-System'!$C$30*'Coincidence Factors'!$B$8*(1+'Inputs-System'!$C$18)*(1+'Inputs-System'!$C$41)*'Inputs-Proposals'!$M$17*'Inputs-Proposals'!$M$19*('Inputs-Proposals'!$M$20)*(VLOOKUP(CP$3,'Embedded Emissions'!$A$47:$B$78,2,FALSE)+VLOOKUP(CP$3,'Embedded Emissions'!$A$129:$B$158,2,FALSE)), $C68 = "2", 'Inputs-System'!$C$30*'Coincidence Factors'!$B$8*(1+'Inputs-System'!$C$18)*(1+'Inputs-System'!$C$41)*'Inputs-Proposals'!$M$23*'Inputs-Proposals'!$M$25*('Inputs-Proposals'!$M$20)*(VLOOKUP(CP$3,'Embedded Emissions'!$A$47:$B$78,2,FALSE)+VLOOKUP(CP$3,'Embedded Emissions'!$A$129:$B$158,2,FALSE)), $C68 = "3",'Inputs-System'!$C$30*'Coincidence Factors'!$B$8*(1+'Inputs-System'!$C$18)*(1+'Inputs-System'!$C$41)*'Inputs-Proposals'!$M$29*'Inputs-Proposals'!$M$31*('Inputs-Proposals'!$M$20)*(VLOOKUP(CP$3,'Embedded Emissions'!$A$47:$B$78,2,FALSE)+VLOOKUP(CP$3,'Embedded Emissions'!$A$129:$B$158,2,FALSE)), $C68 = "0", 0), 0)</f>
        <v>0</v>
      </c>
      <c r="CR68" s="44">
        <f>IFERROR(_xlfn.IFS($C68="1",( 'Inputs-System'!$C$30*'Coincidence Factors'!$B$8*(1+'Inputs-System'!$C$18)*(1+'Inputs-System'!$C$41))*('Inputs-Proposals'!$M$17*'Inputs-Proposals'!$M$19*('Inputs-Proposals'!$M$20))*(VLOOKUP(CP$3,DRIPE!$A$54:$I$82,5,FALSE)+VLOOKUP(CP$3,DRIPE!$A$54:$I$82,9,FALSE))+ ('Inputs-System'!$C$26*'Coincidence Factors'!$B$8*(1+'Inputs-System'!$C$18)*(1+'Inputs-System'!$C$42))*'Inputs-Proposals'!$M$16*VLOOKUP(CP$3,DRIPE!$A$54:$I$82,8,FALSE), $C68 = "2",( 'Inputs-System'!$C$30*'Coincidence Factors'!$B$8*(1+'Inputs-System'!$C$18)*(1+'Inputs-System'!$C$41))*('Inputs-Proposals'!$M$23*'Inputs-Proposals'!$M$25*('Inputs-Proposals'!$M$26))*(VLOOKUP(CP$3,DRIPE!$A$54:$I$82,5,FALSE)+VLOOKUP(CP$3,DRIPE!$A$54:$I$82,9,FALSE))+  ('Inputs-System'!$C$26*'Coincidence Factors'!$B$8*(1+'Inputs-System'!$C$18)*(1+'Inputs-System'!$C$42))*'Inputs-Proposals'!$M$22*VLOOKUP(CP$3,DRIPE!$A$54:$I$82,8,FALSE), $C68= "3", ( 'Inputs-System'!$C$30*'Coincidence Factors'!$B$8*(1+'Inputs-System'!$C$18)*(1+'Inputs-System'!$C$41))*('Inputs-Proposals'!$M$29*'Inputs-Proposals'!$M$31*('Inputs-Proposals'!$M$32))*(VLOOKUP(CP$3,DRIPE!$A$54:$I$82,5,FALSE)+VLOOKUP(CP$3,DRIPE!$A$54:$I$82,9,FALSE))+  ('Inputs-System'!$C$26*'Coincidence Factors'!$B$8*(1+'Inputs-System'!$C$18)*(1+'Inputs-System'!$C$42))*'Inputs-Proposals'!$M$28*VLOOKUP(CP$3,DRIPE!$A$54:$I$82,8,FALSE), $C68 = "0", 0), 0)</f>
        <v>0</v>
      </c>
      <c r="CS68" s="45">
        <f>IFERROR(_xlfn.IFS($C68="1",('Inputs-System'!$C$30*'Coincidence Factors'!$B$8*(1+'Inputs-System'!$C$18))*'Inputs-Proposals'!$M$16*(VLOOKUP(CP$3,Capacity!$A$53:$E$85,4,FALSE)*(1+'Inputs-System'!$C$42)+VLOOKUP(CP$3,Capacity!$A$53:$E$85,5,FALSE)*'Inputs-System'!$C$29*(1+'Inputs-System'!$C$43)), $C68 = "2", ('Inputs-System'!$C$30*'Coincidence Factors'!$B$8*(1+'Inputs-System'!$C$18))*'Inputs-Proposals'!$M$22*(VLOOKUP(CP$3,Capacity!$A$53:$E$85,4,FALSE)*(1+'Inputs-System'!$C$42)+VLOOKUP(CP$3,Capacity!$A$53:$E$85,5,FALSE)*'Inputs-System'!$C$29*(1+'Inputs-System'!$C$43)), $C68 = "3",('Inputs-System'!$C$30*'Coincidence Factors'!$B$8*(1+'Inputs-System'!$C$18))*'Inputs-Proposals'!$M$28*(VLOOKUP(CP$3,Capacity!$A$53:$E$85,4,FALSE)*(1+'Inputs-System'!$C$42)+VLOOKUP(CP$3,Capacity!$A$53:$E$85,5,FALSE)*'Inputs-System'!$C$29*(1+'Inputs-System'!$C$43)), $C68 = "0", 0), 0)</f>
        <v>0</v>
      </c>
      <c r="CT68" s="44">
        <v>0</v>
      </c>
      <c r="CU68" s="342">
        <f>IFERROR(_xlfn.IFS($C68="1", 'Inputs-System'!$C$30*'Coincidence Factors'!$B$8*'Inputs-Proposals'!$M$17*'Inputs-Proposals'!$M$19*(VLOOKUP(CP$3,'Non-Embedded Emissions'!$A$56:$D$90,2,FALSE)+VLOOKUP(CP$3,'Non-Embedded Emissions'!$A$143:$D$174,2,FALSE)+VLOOKUP(CP$3,'Non-Embedded Emissions'!$A$230:$D$259,2,FALSE)), $C68 = "2", 'Inputs-System'!$C$30*'Coincidence Factors'!$B$8*'Inputs-Proposals'!$M$23*'Inputs-Proposals'!$M$25*(VLOOKUP(CP$3,'Non-Embedded Emissions'!$A$56:$D$90,2,FALSE)+VLOOKUP(CP$3,'Non-Embedded Emissions'!$A$143:$D$174,2,FALSE)+VLOOKUP(CP$3,'Non-Embedded Emissions'!$A$230:$D$259,2,FALSE)), $C68 = "3", 'Inputs-System'!$C$30*'Coincidence Factors'!$B$8*'Inputs-Proposals'!$M$29*'Inputs-Proposals'!$M$31*(VLOOKUP(CP$3,'Non-Embedded Emissions'!$A$56:$D$90,2,FALSE)+VLOOKUP(CP$3,'Non-Embedded Emissions'!$A$143:$D$174,2,FALSE)+VLOOKUP(CP$3,'Non-Embedded Emissions'!$A$230:$D$259,2,FALSE)), $C68 = "0", 0), 0)</f>
        <v>0</v>
      </c>
      <c r="CV68" s="347">
        <f>IFERROR(_xlfn.IFS($C68="1",('Inputs-System'!$C$30*'Coincidence Factors'!$B$8*(1+'Inputs-System'!$C$18)*(1+'Inputs-System'!$C$41)*('Inputs-Proposals'!$M$17*'Inputs-Proposals'!$M$19*('Inputs-Proposals'!$M$20))*(VLOOKUP(CV$3,Energy!$A$51:$K$83,5,FALSE))), $C68 = "2",('Inputs-System'!$C$30*'Coincidence Factors'!$B$8)*(1+'Inputs-System'!$C$18)*(1+'Inputs-System'!$C$41)*('Inputs-Proposals'!$M$23*'Inputs-Proposals'!$M$25*('Inputs-Proposals'!$M$26))*(VLOOKUP(CV$3,Energy!$A$51:$K$83,5,FALSE)), $C68= "3", ('Inputs-System'!$C$30*'Coincidence Factors'!$B$8*(1+'Inputs-System'!$C$18)*(1+'Inputs-System'!$C$41)*('Inputs-Proposals'!$M$29*'Inputs-Proposals'!$M$31*('Inputs-Proposals'!$M$32))*(VLOOKUP(CV$3,Energy!$A$51:$K$83,5,FALSE))), $C68= "0", 0), 0)</f>
        <v>0</v>
      </c>
      <c r="CW68" s="44">
        <f>IFERROR(_xlfn.IFS($C68="1",'Inputs-System'!$C$30*'Coincidence Factors'!$B$8*(1+'Inputs-System'!$C$18)*(1+'Inputs-System'!$C$41)*'Inputs-Proposals'!$M$17*'Inputs-Proposals'!$M$19*('Inputs-Proposals'!$M$20)*(VLOOKUP(CV$3,'Embedded Emissions'!$A$47:$B$78,2,FALSE)+VLOOKUP(CV$3,'Embedded Emissions'!$A$129:$B$158,2,FALSE)), $C68 = "2", 'Inputs-System'!$C$30*'Coincidence Factors'!$B$8*(1+'Inputs-System'!$C$18)*(1+'Inputs-System'!$C$41)*'Inputs-Proposals'!$M$23*'Inputs-Proposals'!$M$25*('Inputs-Proposals'!$M$20)*(VLOOKUP(CV$3,'Embedded Emissions'!$A$47:$B$78,2,FALSE)+VLOOKUP(CV$3,'Embedded Emissions'!$A$129:$B$158,2,FALSE)), $C68 = "3",'Inputs-System'!$C$30*'Coincidence Factors'!$B$8*(1+'Inputs-System'!$C$18)*(1+'Inputs-System'!$C$41)*'Inputs-Proposals'!$M$29*'Inputs-Proposals'!$M$31*('Inputs-Proposals'!$M$20)*(VLOOKUP(CV$3,'Embedded Emissions'!$A$47:$B$78,2,FALSE)+VLOOKUP(CV$3,'Embedded Emissions'!$A$129:$B$158,2,FALSE)), $C68 = "0", 0), 0)</f>
        <v>0</v>
      </c>
      <c r="CX68" s="44">
        <f>IFERROR(_xlfn.IFS($C68="1",( 'Inputs-System'!$C$30*'Coincidence Factors'!$B$8*(1+'Inputs-System'!$C$18)*(1+'Inputs-System'!$C$41))*('Inputs-Proposals'!$M$17*'Inputs-Proposals'!$M$19*('Inputs-Proposals'!$M$20))*(VLOOKUP(CV$3,DRIPE!$A$54:$I$82,5,FALSE)+VLOOKUP(CV$3,DRIPE!$A$54:$I$82,9,FALSE))+ ('Inputs-System'!$C$26*'Coincidence Factors'!$B$8*(1+'Inputs-System'!$C$18)*(1+'Inputs-System'!$C$42))*'Inputs-Proposals'!$M$16*VLOOKUP(CV$3,DRIPE!$A$54:$I$82,8,FALSE), $C68 = "2",( 'Inputs-System'!$C$30*'Coincidence Factors'!$B$8*(1+'Inputs-System'!$C$18)*(1+'Inputs-System'!$C$41))*('Inputs-Proposals'!$M$23*'Inputs-Proposals'!$M$25*('Inputs-Proposals'!$M$26))*(VLOOKUP(CV$3,DRIPE!$A$54:$I$82,5,FALSE)+VLOOKUP(CV$3,DRIPE!$A$54:$I$82,9,FALSE))+  ('Inputs-System'!$C$26*'Coincidence Factors'!$B$8*(1+'Inputs-System'!$C$18)*(1+'Inputs-System'!$C$42))*'Inputs-Proposals'!$M$22*VLOOKUP(CV$3,DRIPE!$A$54:$I$82,8,FALSE), $C68= "3", ( 'Inputs-System'!$C$30*'Coincidence Factors'!$B$8*(1+'Inputs-System'!$C$18)*(1+'Inputs-System'!$C$41))*('Inputs-Proposals'!$M$29*'Inputs-Proposals'!$M$31*('Inputs-Proposals'!$M$32))*(VLOOKUP(CV$3,DRIPE!$A$54:$I$82,5,FALSE)+VLOOKUP(CV$3,DRIPE!$A$54:$I$82,9,FALSE))+  ('Inputs-System'!$C$26*'Coincidence Factors'!$B$8*(1+'Inputs-System'!$C$18)*(1+'Inputs-System'!$C$42))*'Inputs-Proposals'!$M$28*VLOOKUP(CV$3,DRIPE!$A$54:$I$82,8,FALSE), $C68 = "0", 0), 0)</f>
        <v>0</v>
      </c>
      <c r="CY68" s="45">
        <f>IFERROR(_xlfn.IFS($C68="1",('Inputs-System'!$C$30*'Coincidence Factors'!$B$8*(1+'Inputs-System'!$C$18))*'Inputs-Proposals'!$M$16*(VLOOKUP(CV$3,Capacity!$A$53:$E$85,4,FALSE)*(1+'Inputs-System'!$C$42)+VLOOKUP(CV$3,Capacity!$A$53:$E$85,5,FALSE)*'Inputs-System'!$C$29*(1+'Inputs-System'!$C$43)), $C68 = "2", ('Inputs-System'!$C$30*'Coincidence Factors'!$B$8*(1+'Inputs-System'!$C$18))*'Inputs-Proposals'!$M$22*(VLOOKUP(CV$3,Capacity!$A$53:$E$85,4,FALSE)*(1+'Inputs-System'!$C$42)+VLOOKUP(CV$3,Capacity!$A$53:$E$85,5,FALSE)*'Inputs-System'!$C$29*(1+'Inputs-System'!$C$43)), $C68 = "3",('Inputs-System'!$C$30*'Coincidence Factors'!$B$8*(1+'Inputs-System'!$C$18))*'Inputs-Proposals'!$M$28*(VLOOKUP(CV$3,Capacity!$A$53:$E$85,4,FALSE)*(1+'Inputs-System'!$C$42)+VLOOKUP(CV$3,Capacity!$A$53:$E$85,5,FALSE)*'Inputs-System'!$C$29*(1+'Inputs-System'!$C$43)), $C68 = "0", 0), 0)</f>
        <v>0</v>
      </c>
      <c r="CZ68" s="44">
        <v>0</v>
      </c>
      <c r="DA68" s="342">
        <f>IFERROR(_xlfn.IFS($C68="1", 'Inputs-System'!$C$30*'Coincidence Factors'!$B$8*'Inputs-Proposals'!$M$17*'Inputs-Proposals'!$M$19*(VLOOKUP(CV$3,'Non-Embedded Emissions'!$A$56:$D$90,2,FALSE)+VLOOKUP(CV$3,'Non-Embedded Emissions'!$A$143:$D$174,2,FALSE)+VLOOKUP(CV$3,'Non-Embedded Emissions'!$A$230:$D$259,2,FALSE)), $C68 = "2", 'Inputs-System'!$C$30*'Coincidence Factors'!$B$8*'Inputs-Proposals'!$M$23*'Inputs-Proposals'!$M$25*(VLOOKUP(CV$3,'Non-Embedded Emissions'!$A$56:$D$90,2,FALSE)+VLOOKUP(CV$3,'Non-Embedded Emissions'!$A$143:$D$174,2,FALSE)+VLOOKUP(CV$3,'Non-Embedded Emissions'!$A$230:$D$259,2,FALSE)), $C68 = "3", 'Inputs-System'!$C$30*'Coincidence Factors'!$B$8*'Inputs-Proposals'!$M$29*'Inputs-Proposals'!$M$31*(VLOOKUP(CV$3,'Non-Embedded Emissions'!$A$56:$D$90,2,FALSE)+VLOOKUP(CV$3,'Non-Embedded Emissions'!$A$143:$D$174,2,FALSE)+VLOOKUP(CV$3,'Non-Embedded Emissions'!$A$230:$D$259,2,FALSE)), $C68 = "0", 0), 0)</f>
        <v>0</v>
      </c>
      <c r="DB68" s="347">
        <f>IFERROR(_xlfn.IFS($C68="1",('Inputs-System'!$C$30*'Coincidence Factors'!$B$8*(1+'Inputs-System'!$C$18)*(1+'Inputs-System'!$C$41)*('Inputs-Proposals'!$M$17*'Inputs-Proposals'!$M$19*('Inputs-Proposals'!$M$20))*(VLOOKUP(DB$3,Energy!$A$51:$K$83,5,FALSE))), $C68 = "2",('Inputs-System'!$C$30*'Coincidence Factors'!$B$8)*(1+'Inputs-System'!$C$18)*(1+'Inputs-System'!$C$41)*('Inputs-Proposals'!$M$23*'Inputs-Proposals'!$M$25*('Inputs-Proposals'!$M$26))*(VLOOKUP(DB$3,Energy!$A$51:$K$83,5,FALSE)), $C68= "3", ('Inputs-System'!$C$30*'Coincidence Factors'!$B$8*(1+'Inputs-System'!$C$18)*(1+'Inputs-System'!$C$41)*('Inputs-Proposals'!$M$29*'Inputs-Proposals'!$M$31*('Inputs-Proposals'!$M$32))*(VLOOKUP(DB$3,Energy!$A$51:$K$83,5,FALSE))), $C68= "0", 0), 0)</f>
        <v>0</v>
      </c>
      <c r="DC68" s="44">
        <f>IFERROR(_xlfn.IFS($C68="1",'Inputs-System'!$C$30*'Coincidence Factors'!$B$8*(1+'Inputs-System'!$C$18)*(1+'Inputs-System'!$C$41)*'Inputs-Proposals'!$M$17*'Inputs-Proposals'!$M$19*('Inputs-Proposals'!$M$20)*(VLOOKUP(DB$3,'Embedded Emissions'!$A$47:$B$78,2,FALSE)+VLOOKUP(DB$3,'Embedded Emissions'!$A$129:$B$158,2,FALSE)), $C68 = "2", 'Inputs-System'!$C$30*'Coincidence Factors'!$B$8*(1+'Inputs-System'!$C$18)*(1+'Inputs-System'!$C$41)*'Inputs-Proposals'!$M$23*'Inputs-Proposals'!$M$25*('Inputs-Proposals'!$M$20)*(VLOOKUP(DB$3,'Embedded Emissions'!$A$47:$B$78,2,FALSE)+VLOOKUP(DB$3,'Embedded Emissions'!$A$129:$B$158,2,FALSE)), $C68 = "3",'Inputs-System'!$C$30*'Coincidence Factors'!$B$8*(1+'Inputs-System'!$C$18)*(1+'Inputs-System'!$C$41)*'Inputs-Proposals'!$M$29*'Inputs-Proposals'!$M$31*('Inputs-Proposals'!$M$20)*(VLOOKUP(DB$3,'Embedded Emissions'!$A$47:$B$78,2,FALSE)+VLOOKUP(DB$3,'Embedded Emissions'!$A$129:$B$158,2,FALSE)), $C68 = "0", 0), 0)</f>
        <v>0</v>
      </c>
      <c r="DD68" s="44">
        <f>IFERROR(_xlfn.IFS($C68="1",( 'Inputs-System'!$C$30*'Coincidence Factors'!$B$8*(1+'Inputs-System'!$C$18)*(1+'Inputs-System'!$C$41))*('Inputs-Proposals'!$M$17*'Inputs-Proposals'!$M$19*('Inputs-Proposals'!$M$20))*(VLOOKUP(DB$3,DRIPE!$A$54:$I$82,5,FALSE)+VLOOKUP(DB$3,DRIPE!$A$54:$I$82,9,FALSE))+ ('Inputs-System'!$C$26*'Coincidence Factors'!$B$8*(1+'Inputs-System'!$C$18)*(1+'Inputs-System'!$C$42))*'Inputs-Proposals'!$M$16*VLOOKUP(DB$3,DRIPE!$A$54:$I$82,8,FALSE), $C68 = "2",( 'Inputs-System'!$C$30*'Coincidence Factors'!$B$8*(1+'Inputs-System'!$C$18)*(1+'Inputs-System'!$C$41))*('Inputs-Proposals'!$M$23*'Inputs-Proposals'!$M$25*('Inputs-Proposals'!$M$26))*(VLOOKUP(DB$3,DRIPE!$A$54:$I$82,5,FALSE)+VLOOKUP(DB$3,DRIPE!$A$54:$I$82,9,FALSE))+  ('Inputs-System'!$C$26*'Coincidence Factors'!$B$8*(1+'Inputs-System'!$C$18)*(1+'Inputs-System'!$C$42))*'Inputs-Proposals'!$M$22*VLOOKUP(DB$3,DRIPE!$A$54:$I$82,8,FALSE), $C68= "3", ( 'Inputs-System'!$C$30*'Coincidence Factors'!$B$8*(1+'Inputs-System'!$C$18)*(1+'Inputs-System'!$C$41))*('Inputs-Proposals'!$M$29*'Inputs-Proposals'!$M$31*('Inputs-Proposals'!$M$32))*(VLOOKUP(DB$3,DRIPE!$A$54:$I$82,5,FALSE)+VLOOKUP(DB$3,DRIPE!$A$54:$I$82,9,FALSE))+  ('Inputs-System'!$C$26*'Coincidence Factors'!$B$8*(1+'Inputs-System'!$C$18)*(1+'Inputs-System'!$C$42))*'Inputs-Proposals'!$M$28*VLOOKUP(DB$3,DRIPE!$A$54:$I$82,8,FALSE), $C68 = "0", 0), 0)</f>
        <v>0</v>
      </c>
      <c r="DE68" s="45">
        <f>IFERROR(_xlfn.IFS($C68="1",('Inputs-System'!$C$30*'Coincidence Factors'!$B$8*(1+'Inputs-System'!$C$18))*'Inputs-Proposals'!$M$16*(VLOOKUP(DB$3,Capacity!$A$53:$E$85,4,FALSE)*(1+'Inputs-System'!$C$42)+VLOOKUP(DB$3,Capacity!$A$53:$E$85,5,FALSE)*'Inputs-System'!$C$29*(1+'Inputs-System'!$C$43)), $C68 = "2", ('Inputs-System'!$C$30*'Coincidence Factors'!$B$8*(1+'Inputs-System'!$C$18))*'Inputs-Proposals'!$M$22*(VLOOKUP(DB$3,Capacity!$A$53:$E$85,4,FALSE)*(1+'Inputs-System'!$C$42)+VLOOKUP(DB$3,Capacity!$A$53:$E$85,5,FALSE)*'Inputs-System'!$C$29*(1+'Inputs-System'!$C$43)), $C68 = "3",('Inputs-System'!$C$30*'Coincidence Factors'!$B$8*(1+'Inputs-System'!$C$18))*'Inputs-Proposals'!$M$28*(VLOOKUP(DB$3,Capacity!$A$53:$E$85,4,FALSE)*(1+'Inputs-System'!$C$42)+VLOOKUP(DB$3,Capacity!$A$53:$E$85,5,FALSE)*'Inputs-System'!$C$29*(1+'Inputs-System'!$C$43)), $C68 = "0", 0), 0)</f>
        <v>0</v>
      </c>
      <c r="DF68" s="44">
        <v>0</v>
      </c>
      <c r="DG68" s="342">
        <f>IFERROR(_xlfn.IFS($C68="1", 'Inputs-System'!$C$30*'Coincidence Factors'!$B$8*'Inputs-Proposals'!$M$17*'Inputs-Proposals'!$M$19*(VLOOKUP(DB$3,'Non-Embedded Emissions'!$A$56:$D$90,2,FALSE)+VLOOKUP(DB$3,'Non-Embedded Emissions'!$A$143:$D$174,2,FALSE)+VLOOKUP(DB$3,'Non-Embedded Emissions'!$A$230:$D$259,2,FALSE)), $C68 = "2", 'Inputs-System'!$C$30*'Coincidence Factors'!$B$8*'Inputs-Proposals'!$M$23*'Inputs-Proposals'!$M$25*(VLOOKUP(DB$3,'Non-Embedded Emissions'!$A$56:$D$90,2,FALSE)+VLOOKUP(DB$3,'Non-Embedded Emissions'!$A$143:$D$174,2,FALSE)+VLOOKUP(DB$3,'Non-Embedded Emissions'!$A$230:$D$259,2,FALSE)), $C68 = "3", 'Inputs-System'!$C$30*'Coincidence Factors'!$B$8*'Inputs-Proposals'!$M$29*'Inputs-Proposals'!$M$31*(VLOOKUP(DB$3,'Non-Embedded Emissions'!$A$56:$D$90,2,FALSE)+VLOOKUP(DB$3,'Non-Embedded Emissions'!$A$143:$D$174,2,FALSE)+VLOOKUP(DB$3,'Non-Embedded Emissions'!$A$230:$D$259,2,FALSE)), $C68 = "0", 0), 0)</f>
        <v>0</v>
      </c>
      <c r="DH68" s="347">
        <f>IFERROR(_xlfn.IFS($C68="1",('Inputs-System'!$C$30*'Coincidence Factors'!$B$8*(1+'Inputs-System'!$C$18)*(1+'Inputs-System'!$C$41)*('Inputs-Proposals'!$M$17*'Inputs-Proposals'!$M$19*('Inputs-Proposals'!$M$20))*(VLOOKUP(DH$3,Energy!$A$51:$K$83,5,FALSE))), $C68 = "2",('Inputs-System'!$C$30*'Coincidence Factors'!$B$8)*(1+'Inputs-System'!$C$18)*(1+'Inputs-System'!$C$41)*('Inputs-Proposals'!$M$23*'Inputs-Proposals'!$M$25*('Inputs-Proposals'!$M$26))*(VLOOKUP(DH$3,Energy!$A$51:$K$83,5,FALSE)), $C68= "3", ('Inputs-System'!$C$30*'Coincidence Factors'!$B$8*(1+'Inputs-System'!$C$18)*(1+'Inputs-System'!$C$41)*('Inputs-Proposals'!$M$29*'Inputs-Proposals'!$M$31*('Inputs-Proposals'!$M$32))*(VLOOKUP(DH$3,Energy!$A$51:$K$83,5,FALSE))), $C68= "0", 0), 0)</f>
        <v>0</v>
      </c>
      <c r="DI68" s="44">
        <f>IFERROR(_xlfn.IFS($C68="1",'Inputs-System'!$C$30*'Coincidence Factors'!$B$8*(1+'Inputs-System'!$C$18)*(1+'Inputs-System'!$C$41)*'Inputs-Proposals'!$M$17*'Inputs-Proposals'!$M$19*('Inputs-Proposals'!$M$20)*(VLOOKUP(DH$3,'Embedded Emissions'!$A$47:$B$78,2,FALSE)+VLOOKUP(DH$3,'Embedded Emissions'!$A$129:$B$158,2,FALSE)), $C68 = "2", 'Inputs-System'!$C$30*'Coincidence Factors'!$B$8*(1+'Inputs-System'!$C$18)*(1+'Inputs-System'!$C$41)*'Inputs-Proposals'!$M$23*'Inputs-Proposals'!$M$25*('Inputs-Proposals'!$M$20)*(VLOOKUP(DH$3,'Embedded Emissions'!$A$47:$B$78,2,FALSE)+VLOOKUP(DH$3,'Embedded Emissions'!$A$129:$B$158,2,FALSE)), $C68 = "3",'Inputs-System'!$C$30*'Coincidence Factors'!$B$8*(1+'Inputs-System'!$C$18)*(1+'Inputs-System'!$C$41)*'Inputs-Proposals'!$M$29*'Inputs-Proposals'!$M$31*('Inputs-Proposals'!$M$20)*(VLOOKUP(DH$3,'Embedded Emissions'!$A$47:$B$78,2,FALSE)+VLOOKUP(DH$3,'Embedded Emissions'!$A$129:$B$158,2,FALSE)), $C68 = "0", 0), 0)</f>
        <v>0</v>
      </c>
      <c r="DJ68" s="44">
        <f>IFERROR(_xlfn.IFS($C68="1",( 'Inputs-System'!$C$30*'Coincidence Factors'!$B$8*(1+'Inputs-System'!$C$18)*(1+'Inputs-System'!$C$41))*('Inputs-Proposals'!$M$17*'Inputs-Proposals'!$M$19*('Inputs-Proposals'!$M$20))*(VLOOKUP(DH$3,DRIPE!$A$54:$I$82,5,FALSE)+VLOOKUP(DH$3,DRIPE!$A$54:$I$82,9,FALSE))+ ('Inputs-System'!$C$26*'Coincidence Factors'!$B$8*(1+'Inputs-System'!$C$18)*(1+'Inputs-System'!$C$42))*'Inputs-Proposals'!$M$16*VLOOKUP(DH$3,DRIPE!$A$54:$I$82,8,FALSE), $C68 = "2",( 'Inputs-System'!$C$30*'Coincidence Factors'!$B$8*(1+'Inputs-System'!$C$18)*(1+'Inputs-System'!$C$41))*('Inputs-Proposals'!$M$23*'Inputs-Proposals'!$M$25*('Inputs-Proposals'!$M$26))*(VLOOKUP(DH$3,DRIPE!$A$54:$I$82,5,FALSE)+VLOOKUP(DH$3,DRIPE!$A$54:$I$82,9,FALSE))+  ('Inputs-System'!$C$26*'Coincidence Factors'!$B$8*(1+'Inputs-System'!$C$18)*(1+'Inputs-System'!$C$42))*'Inputs-Proposals'!$M$22*VLOOKUP(DH$3,DRIPE!$A$54:$I$82,8,FALSE), $C68= "3", ( 'Inputs-System'!$C$30*'Coincidence Factors'!$B$8*(1+'Inputs-System'!$C$18)*(1+'Inputs-System'!$C$41))*('Inputs-Proposals'!$M$29*'Inputs-Proposals'!$M$31*('Inputs-Proposals'!$M$32))*(VLOOKUP(DH$3,DRIPE!$A$54:$I$82,5,FALSE)+VLOOKUP(DH$3,DRIPE!$A$54:$I$82,9,FALSE))+  ('Inputs-System'!$C$26*'Coincidence Factors'!$B$8*(1+'Inputs-System'!$C$18)*(1+'Inputs-System'!$C$42))*'Inputs-Proposals'!$M$28*VLOOKUP(DH$3,DRIPE!$A$54:$I$82,8,FALSE), $C68 = "0", 0), 0)</f>
        <v>0</v>
      </c>
      <c r="DK68" s="45">
        <f>IFERROR(_xlfn.IFS($C68="1",('Inputs-System'!$C$30*'Coincidence Factors'!$B$8*(1+'Inputs-System'!$C$18))*'Inputs-Proposals'!$M$16*(VLOOKUP(DH$3,Capacity!$A$53:$E$85,4,FALSE)*(1+'Inputs-System'!$C$42)+VLOOKUP(DH$3,Capacity!$A$53:$E$85,5,FALSE)*'Inputs-System'!$C$29*(1+'Inputs-System'!$C$43)), $C68 = "2", ('Inputs-System'!$C$30*'Coincidence Factors'!$B$8*(1+'Inputs-System'!$C$18))*'Inputs-Proposals'!$M$22*(VLOOKUP(DH$3,Capacity!$A$53:$E$85,4,FALSE)*(1+'Inputs-System'!$C$42)+VLOOKUP(DH$3,Capacity!$A$53:$E$85,5,FALSE)*'Inputs-System'!$C$29*(1+'Inputs-System'!$C$43)), $C68 = "3",('Inputs-System'!$C$30*'Coincidence Factors'!$B$8*(1+'Inputs-System'!$C$18))*'Inputs-Proposals'!$M$28*(VLOOKUP(DH$3,Capacity!$A$53:$E$85,4,FALSE)*(1+'Inputs-System'!$C$42)+VLOOKUP(DH$3,Capacity!$A$53:$E$85,5,FALSE)*'Inputs-System'!$C$29*(1+'Inputs-System'!$C$43)), $C68 = "0", 0), 0)</f>
        <v>0</v>
      </c>
      <c r="DL68" s="44">
        <v>0</v>
      </c>
      <c r="DM68" s="342">
        <f>IFERROR(_xlfn.IFS($C68="1", 'Inputs-System'!$C$30*'Coincidence Factors'!$B$8*'Inputs-Proposals'!$M$17*'Inputs-Proposals'!$M$19*(VLOOKUP(DH$3,'Non-Embedded Emissions'!$A$56:$D$90,2,FALSE)+VLOOKUP(DH$3,'Non-Embedded Emissions'!$A$143:$D$174,2,FALSE)+VLOOKUP(DH$3,'Non-Embedded Emissions'!$A$230:$D$259,2,FALSE)), $C68 = "2", 'Inputs-System'!$C$30*'Coincidence Factors'!$B$8*'Inputs-Proposals'!$M$23*'Inputs-Proposals'!$M$25*(VLOOKUP(DH$3,'Non-Embedded Emissions'!$A$56:$D$90,2,FALSE)+VLOOKUP(DH$3,'Non-Embedded Emissions'!$A$143:$D$174,2,FALSE)+VLOOKUP(DH$3,'Non-Embedded Emissions'!$A$230:$D$259,2,FALSE)), $C68 = "3", 'Inputs-System'!$C$30*'Coincidence Factors'!$B$8*'Inputs-Proposals'!$M$29*'Inputs-Proposals'!$M$31*(VLOOKUP(DH$3,'Non-Embedded Emissions'!$A$56:$D$90,2,FALSE)+VLOOKUP(DH$3,'Non-Embedded Emissions'!$A$143:$D$174,2,FALSE)+VLOOKUP(DH$3,'Non-Embedded Emissions'!$A$230:$D$259,2,FALSE)), $C68 = "0", 0), 0)</f>
        <v>0</v>
      </c>
      <c r="DN68" s="347">
        <f>IFERROR(_xlfn.IFS($C68="1",('Inputs-System'!$C$30*'Coincidence Factors'!$B$8*(1+'Inputs-System'!$C$18)*(1+'Inputs-System'!$C$41)*('Inputs-Proposals'!$M$17*'Inputs-Proposals'!$M$19*('Inputs-Proposals'!$M$20))*(VLOOKUP(DN$3,Energy!$A$51:$K$83,5,FALSE))), $C68 = "2",('Inputs-System'!$C$30*'Coincidence Factors'!$B$8)*(1+'Inputs-System'!$C$18)*(1+'Inputs-System'!$C$41)*('Inputs-Proposals'!$M$23*'Inputs-Proposals'!$M$25*('Inputs-Proposals'!$M$26))*(VLOOKUP(DN$3,Energy!$A$51:$K$83,5,FALSE)), $C68= "3", ('Inputs-System'!$C$30*'Coincidence Factors'!$B$8*(1+'Inputs-System'!$C$18)*(1+'Inputs-System'!$C$41)*('Inputs-Proposals'!$M$29*'Inputs-Proposals'!$M$31*('Inputs-Proposals'!$M$32))*(VLOOKUP(DN$3,Energy!$A$51:$K$83,5,FALSE))), $C68= "0", 0), 0)</f>
        <v>0</v>
      </c>
      <c r="DO68" s="44">
        <f>IFERROR(_xlfn.IFS($C68="1",'Inputs-System'!$C$30*'Coincidence Factors'!$B$8*(1+'Inputs-System'!$C$18)*(1+'Inputs-System'!$C$41)*'Inputs-Proposals'!$M$17*'Inputs-Proposals'!$M$19*('Inputs-Proposals'!$M$20)*(VLOOKUP(DN$3,'Embedded Emissions'!$A$47:$B$78,2,FALSE)+VLOOKUP(DN$3,'Embedded Emissions'!$A$129:$B$158,2,FALSE)), $C68 = "2", 'Inputs-System'!$C$30*'Coincidence Factors'!$B$8*(1+'Inputs-System'!$C$18)*(1+'Inputs-System'!$C$41)*'Inputs-Proposals'!$M$23*'Inputs-Proposals'!$M$25*('Inputs-Proposals'!$M$20)*(VLOOKUP(DN$3,'Embedded Emissions'!$A$47:$B$78,2,FALSE)+VLOOKUP(DN$3,'Embedded Emissions'!$A$129:$B$158,2,FALSE)), $C68 = "3",'Inputs-System'!$C$30*'Coincidence Factors'!$B$8*(1+'Inputs-System'!$C$18)*(1+'Inputs-System'!$C$41)*'Inputs-Proposals'!$M$29*'Inputs-Proposals'!$M$31*('Inputs-Proposals'!$M$20)*(VLOOKUP(DN$3,'Embedded Emissions'!$A$47:$B$78,2,FALSE)+VLOOKUP(DN$3,'Embedded Emissions'!$A$129:$B$158,2,FALSE)), $C68 = "0", 0), 0)</f>
        <v>0</v>
      </c>
      <c r="DP68" s="44">
        <f>IFERROR(_xlfn.IFS($C68="1",( 'Inputs-System'!$C$30*'Coincidence Factors'!$B$8*(1+'Inputs-System'!$C$18)*(1+'Inputs-System'!$C$41))*('Inputs-Proposals'!$M$17*'Inputs-Proposals'!$M$19*('Inputs-Proposals'!$M$20))*(VLOOKUP(DN$3,DRIPE!$A$54:$I$82,5,FALSE)+VLOOKUP(DN$3,DRIPE!$A$54:$I$82,9,FALSE))+ ('Inputs-System'!$C$26*'Coincidence Factors'!$B$8*(1+'Inputs-System'!$C$18)*(1+'Inputs-System'!$C$42))*'Inputs-Proposals'!$M$16*VLOOKUP(DN$3,DRIPE!$A$54:$I$82,8,FALSE), $C68 = "2",( 'Inputs-System'!$C$30*'Coincidence Factors'!$B$8*(1+'Inputs-System'!$C$18)*(1+'Inputs-System'!$C$41))*('Inputs-Proposals'!$M$23*'Inputs-Proposals'!$M$25*('Inputs-Proposals'!$M$26))*(VLOOKUP(DN$3,DRIPE!$A$54:$I$82,5,FALSE)+VLOOKUP(DN$3,DRIPE!$A$54:$I$82,9,FALSE))+  ('Inputs-System'!$C$26*'Coincidence Factors'!$B$8*(1+'Inputs-System'!$C$18)*(1+'Inputs-System'!$C$42))*'Inputs-Proposals'!$M$22*VLOOKUP(DN$3,DRIPE!$A$54:$I$82,8,FALSE), $C68= "3", ( 'Inputs-System'!$C$30*'Coincidence Factors'!$B$8*(1+'Inputs-System'!$C$18)*(1+'Inputs-System'!$C$41))*('Inputs-Proposals'!$M$29*'Inputs-Proposals'!$M$31*('Inputs-Proposals'!$M$32))*(VLOOKUP(DN$3,DRIPE!$A$54:$I$82,5,FALSE)+VLOOKUP(DN$3,DRIPE!$A$54:$I$82,9,FALSE))+  ('Inputs-System'!$C$26*'Coincidence Factors'!$B$8*(1+'Inputs-System'!$C$18)*(1+'Inputs-System'!$C$42))*'Inputs-Proposals'!$M$28*VLOOKUP(DN$3,DRIPE!$A$54:$I$82,8,FALSE), $C68 = "0", 0), 0)</f>
        <v>0</v>
      </c>
      <c r="DQ68" s="45">
        <f>IFERROR(_xlfn.IFS($C68="1",('Inputs-System'!$C$30*'Coincidence Factors'!$B$8*(1+'Inputs-System'!$C$18))*'Inputs-Proposals'!$M$16*(VLOOKUP(DN$3,Capacity!$A$53:$E$85,4,FALSE)*(1+'Inputs-System'!$C$42)+VLOOKUP(DN$3,Capacity!$A$53:$E$85,5,FALSE)*'Inputs-System'!$C$29*(1+'Inputs-System'!$C$43)), $C68 = "2", ('Inputs-System'!$C$30*'Coincidence Factors'!$B$8*(1+'Inputs-System'!$C$18))*'Inputs-Proposals'!$M$22*(VLOOKUP(DN$3,Capacity!$A$53:$E$85,4,FALSE)*(1+'Inputs-System'!$C$42)+VLOOKUP(DN$3,Capacity!$A$53:$E$85,5,FALSE)*'Inputs-System'!$C$29*(1+'Inputs-System'!$C$43)), $C68 = "3",('Inputs-System'!$C$30*'Coincidence Factors'!$B$8*(1+'Inputs-System'!$C$18))*'Inputs-Proposals'!$M$28*(VLOOKUP(DN$3,Capacity!$A$53:$E$85,4,FALSE)*(1+'Inputs-System'!$C$42)+VLOOKUP(DN$3,Capacity!$A$53:$E$85,5,FALSE)*'Inputs-System'!$C$29*(1+'Inputs-System'!$C$43)), $C68 = "0", 0), 0)</f>
        <v>0</v>
      </c>
      <c r="DR68" s="44">
        <v>0</v>
      </c>
      <c r="DS68" s="342">
        <f>IFERROR(_xlfn.IFS($C68="1", 'Inputs-System'!$C$30*'Coincidence Factors'!$B$8*'Inputs-Proposals'!$M$17*'Inputs-Proposals'!$M$19*(VLOOKUP(DN$3,'Non-Embedded Emissions'!$A$56:$D$90,2,FALSE)+VLOOKUP(DN$3,'Non-Embedded Emissions'!$A$143:$D$174,2,FALSE)+VLOOKUP(DN$3,'Non-Embedded Emissions'!$A$230:$D$259,2,FALSE)), $C68 = "2", 'Inputs-System'!$C$30*'Coincidence Factors'!$B$8*'Inputs-Proposals'!$M$23*'Inputs-Proposals'!$M$25*(VLOOKUP(DN$3,'Non-Embedded Emissions'!$A$56:$D$90,2,FALSE)+VLOOKUP(DN$3,'Non-Embedded Emissions'!$A$143:$D$174,2,FALSE)+VLOOKUP(DN$3,'Non-Embedded Emissions'!$A$230:$D$259,2,FALSE)), $C68 = "3", 'Inputs-System'!$C$30*'Coincidence Factors'!$B$8*'Inputs-Proposals'!$M$29*'Inputs-Proposals'!$M$31*(VLOOKUP(DN$3,'Non-Embedded Emissions'!$A$56:$D$90,2,FALSE)+VLOOKUP(DN$3,'Non-Embedded Emissions'!$A$143:$D$174,2,FALSE)+VLOOKUP(DN$3,'Non-Embedded Emissions'!$A$230:$D$259,2,FALSE)), $C68 = "0", 0), 0)</f>
        <v>0</v>
      </c>
      <c r="DT68" s="347">
        <f>IFERROR(_xlfn.IFS($C68="1",('Inputs-System'!$C$30*'Coincidence Factors'!$B$8*(1+'Inputs-System'!$C$18)*(1+'Inputs-System'!$C$41)*('Inputs-Proposals'!$M$17*'Inputs-Proposals'!$M$19*('Inputs-Proposals'!$M$20))*(VLOOKUP(DT$3,Energy!$A$51:$K$83,5,FALSE))), $C68 = "2",('Inputs-System'!$C$30*'Coincidence Factors'!$B$8)*(1+'Inputs-System'!$C$18)*(1+'Inputs-System'!$C$41)*('Inputs-Proposals'!$M$23*'Inputs-Proposals'!$M$25*('Inputs-Proposals'!$M$26))*(VLOOKUP(DT$3,Energy!$A$51:$K$83,5,FALSE)), $C68= "3", ('Inputs-System'!$C$30*'Coincidence Factors'!$B$8*(1+'Inputs-System'!$C$18)*(1+'Inputs-System'!$C$41)*('Inputs-Proposals'!$M$29*'Inputs-Proposals'!$M$31*('Inputs-Proposals'!$M$32))*(VLOOKUP(DT$3,Energy!$A$51:$K$83,5,FALSE))), $C68= "0", 0), 0)</f>
        <v>0</v>
      </c>
      <c r="DU68" s="44">
        <f>IFERROR(_xlfn.IFS($C68="1",'Inputs-System'!$C$30*'Coincidence Factors'!$B$8*(1+'Inputs-System'!$C$18)*(1+'Inputs-System'!$C$41)*'Inputs-Proposals'!$M$17*'Inputs-Proposals'!$M$19*('Inputs-Proposals'!$M$20)*(VLOOKUP(DT$3,'Embedded Emissions'!$A$47:$B$78,2,FALSE)+VLOOKUP(DT$3,'Embedded Emissions'!$A$129:$B$158,2,FALSE)), $C68 = "2", 'Inputs-System'!$C$30*'Coincidence Factors'!$B$8*(1+'Inputs-System'!$C$18)*(1+'Inputs-System'!$C$41)*'Inputs-Proposals'!$M$23*'Inputs-Proposals'!$M$25*('Inputs-Proposals'!$M$20)*(VLOOKUP(DT$3,'Embedded Emissions'!$A$47:$B$78,2,FALSE)+VLOOKUP(DT$3,'Embedded Emissions'!$A$129:$B$158,2,FALSE)), $C68 = "3",'Inputs-System'!$C$30*'Coincidence Factors'!$B$8*(1+'Inputs-System'!$C$18)*(1+'Inputs-System'!$C$41)*'Inputs-Proposals'!$M$29*'Inputs-Proposals'!$M$31*('Inputs-Proposals'!$M$20)*(VLOOKUP(DT$3,'Embedded Emissions'!$A$47:$B$78,2,FALSE)+VLOOKUP(DT$3,'Embedded Emissions'!$A$129:$B$158,2,FALSE)), $C68 = "0", 0), 0)</f>
        <v>0</v>
      </c>
      <c r="DV68" s="44">
        <f>IFERROR(_xlfn.IFS($C68="1",( 'Inputs-System'!$C$30*'Coincidence Factors'!$B$8*(1+'Inputs-System'!$C$18)*(1+'Inputs-System'!$C$41))*('Inputs-Proposals'!$M$17*'Inputs-Proposals'!$M$19*('Inputs-Proposals'!$M$20))*(VLOOKUP(DT$3,DRIPE!$A$54:$I$82,5,FALSE)+VLOOKUP(DT$3,DRIPE!$A$54:$I$82,9,FALSE))+ ('Inputs-System'!$C$26*'Coincidence Factors'!$B$8*(1+'Inputs-System'!$C$18)*(1+'Inputs-System'!$C$42))*'Inputs-Proposals'!$M$16*VLOOKUP(DT$3,DRIPE!$A$54:$I$82,8,FALSE), $C68 = "2",( 'Inputs-System'!$C$30*'Coincidence Factors'!$B$8*(1+'Inputs-System'!$C$18)*(1+'Inputs-System'!$C$41))*('Inputs-Proposals'!$M$23*'Inputs-Proposals'!$M$25*('Inputs-Proposals'!$M$26))*(VLOOKUP(DT$3,DRIPE!$A$54:$I$82,5,FALSE)+VLOOKUP(DT$3,DRIPE!$A$54:$I$82,9,FALSE))+  ('Inputs-System'!$C$26*'Coincidence Factors'!$B$8*(1+'Inputs-System'!$C$18)*(1+'Inputs-System'!$C$42))*'Inputs-Proposals'!$M$22*VLOOKUP(DT$3,DRIPE!$A$54:$I$82,8,FALSE), $C68= "3", ( 'Inputs-System'!$C$30*'Coincidence Factors'!$B$8*(1+'Inputs-System'!$C$18)*(1+'Inputs-System'!$C$41))*('Inputs-Proposals'!$M$29*'Inputs-Proposals'!$M$31*('Inputs-Proposals'!$M$32))*(VLOOKUP(DT$3,DRIPE!$A$54:$I$82,5,FALSE)+VLOOKUP(DT$3,DRIPE!$A$54:$I$82,9,FALSE))+  ('Inputs-System'!$C$26*'Coincidence Factors'!$B$8*(1+'Inputs-System'!$C$18)*(1+'Inputs-System'!$C$42))*'Inputs-Proposals'!$M$28*VLOOKUP(DT$3,DRIPE!$A$54:$I$82,8,FALSE), $C68 = "0", 0), 0)</f>
        <v>0</v>
      </c>
      <c r="DW68" s="45">
        <f>IFERROR(_xlfn.IFS($C68="1",('Inputs-System'!$C$30*'Coincidence Factors'!$B$8*(1+'Inputs-System'!$C$18))*'Inputs-Proposals'!$M$16*(VLOOKUP(DT$3,Capacity!$A$53:$E$85,4,FALSE)*(1+'Inputs-System'!$C$42)+VLOOKUP(DT$3,Capacity!$A$53:$E$85,5,FALSE)*'Inputs-System'!$C$29*(1+'Inputs-System'!$C$43)), $C68 = "2", ('Inputs-System'!$C$30*'Coincidence Factors'!$B$8*(1+'Inputs-System'!$C$18))*'Inputs-Proposals'!$M$22*(VLOOKUP(DT$3,Capacity!$A$53:$E$85,4,FALSE)*(1+'Inputs-System'!$C$42)+VLOOKUP(DT$3,Capacity!$A$53:$E$85,5,FALSE)*'Inputs-System'!$C$29*(1+'Inputs-System'!$C$43)), $C68 = "3",('Inputs-System'!$C$30*'Coincidence Factors'!$B$8*(1+'Inputs-System'!$C$18))*'Inputs-Proposals'!$M$28*(VLOOKUP(DT$3,Capacity!$A$53:$E$85,4,FALSE)*(1+'Inputs-System'!$C$42)+VLOOKUP(DT$3,Capacity!$A$53:$E$85,5,FALSE)*'Inputs-System'!$C$29*(1+'Inputs-System'!$C$43)), $C68 = "0", 0), 0)</f>
        <v>0</v>
      </c>
      <c r="DX68" s="44">
        <v>0</v>
      </c>
      <c r="DY68" s="342">
        <f>IFERROR(_xlfn.IFS($C68="1", 'Inputs-System'!$C$30*'Coincidence Factors'!$B$8*'Inputs-Proposals'!$M$17*'Inputs-Proposals'!$M$19*(VLOOKUP(DT$3,'Non-Embedded Emissions'!$A$56:$D$90,2,FALSE)+VLOOKUP(DT$3,'Non-Embedded Emissions'!$A$143:$D$174,2,FALSE)+VLOOKUP(DT$3,'Non-Embedded Emissions'!$A$230:$D$259,2,FALSE)), $C68 = "2", 'Inputs-System'!$C$30*'Coincidence Factors'!$B$8*'Inputs-Proposals'!$M$23*'Inputs-Proposals'!$M$25*(VLOOKUP(DT$3,'Non-Embedded Emissions'!$A$56:$D$90,2,FALSE)+VLOOKUP(DT$3,'Non-Embedded Emissions'!$A$143:$D$174,2,FALSE)+VLOOKUP(DT$3,'Non-Embedded Emissions'!$A$230:$D$259,2,FALSE)), $C68 = "3", 'Inputs-System'!$C$30*'Coincidence Factors'!$B$8*'Inputs-Proposals'!$M$29*'Inputs-Proposals'!$M$31*(VLOOKUP(DT$3,'Non-Embedded Emissions'!$A$56:$D$90,2,FALSE)+VLOOKUP(DT$3,'Non-Embedded Emissions'!$A$143:$D$174,2,FALSE)+VLOOKUP(DT$3,'Non-Embedded Emissions'!$A$230:$D$259,2,FALSE)), $C68 = "0", 0), 0)</f>
        <v>0</v>
      </c>
      <c r="DZ68" s="347">
        <f>IFERROR(_xlfn.IFS($C68="1",('Inputs-System'!$C$30*'Coincidence Factors'!$B$8*(1+'Inputs-System'!$C$18)*(1+'Inputs-System'!$C$41)*('Inputs-Proposals'!$M$17*'Inputs-Proposals'!$M$19*('Inputs-Proposals'!$M$20))*(VLOOKUP(DZ$3,Energy!$A$51:$K$83,5,FALSE))), $C68 = "2",('Inputs-System'!$C$30*'Coincidence Factors'!$B$8)*(1+'Inputs-System'!$C$18)*(1+'Inputs-System'!$C$41)*('Inputs-Proposals'!$M$23*'Inputs-Proposals'!$M$25*('Inputs-Proposals'!$M$26))*(VLOOKUP(DZ$3,Energy!$A$51:$K$83,5,FALSE)), $C68= "3", ('Inputs-System'!$C$30*'Coincidence Factors'!$B$8*(1+'Inputs-System'!$C$18)*(1+'Inputs-System'!$C$41)*('Inputs-Proposals'!$M$29*'Inputs-Proposals'!$M$31*('Inputs-Proposals'!$M$32))*(VLOOKUP(DZ$3,Energy!$A$51:$K$83,5,FALSE))), $C68= "0", 0), 0)</f>
        <v>0</v>
      </c>
      <c r="EA68" s="44">
        <f>IFERROR(_xlfn.IFS($C68="1",'Inputs-System'!$C$30*'Coincidence Factors'!$B$8*(1+'Inputs-System'!$C$18)*(1+'Inputs-System'!$C$41)*'Inputs-Proposals'!$M$17*'Inputs-Proposals'!$M$19*('Inputs-Proposals'!$M$20)*(VLOOKUP(DZ$3,'Embedded Emissions'!$A$47:$B$78,2,FALSE)+VLOOKUP(DZ$3,'Embedded Emissions'!$A$129:$B$158,2,FALSE)), $C68 = "2", 'Inputs-System'!$C$30*'Coincidence Factors'!$B$8*(1+'Inputs-System'!$C$18)*(1+'Inputs-System'!$C$41)*'Inputs-Proposals'!$M$23*'Inputs-Proposals'!$M$25*('Inputs-Proposals'!$M$20)*(VLOOKUP(DZ$3,'Embedded Emissions'!$A$47:$B$78,2,FALSE)+VLOOKUP(DZ$3,'Embedded Emissions'!$A$129:$B$158,2,FALSE)), $C68 = "3",'Inputs-System'!$C$30*'Coincidence Factors'!$B$8*(1+'Inputs-System'!$C$18)*(1+'Inputs-System'!$C$41)*'Inputs-Proposals'!$M$29*'Inputs-Proposals'!$M$31*('Inputs-Proposals'!$M$20)*(VLOOKUP(DZ$3,'Embedded Emissions'!$A$47:$B$78,2,FALSE)+VLOOKUP(DZ$3,'Embedded Emissions'!$A$129:$B$158,2,FALSE)), $C68 = "0", 0), 0)</f>
        <v>0</v>
      </c>
      <c r="EB68" s="44">
        <f>IFERROR(_xlfn.IFS($C68="1",( 'Inputs-System'!$C$30*'Coincidence Factors'!$B$8*(1+'Inputs-System'!$C$18)*(1+'Inputs-System'!$C$41))*('Inputs-Proposals'!$M$17*'Inputs-Proposals'!$M$19*('Inputs-Proposals'!$M$20))*(VLOOKUP(DZ$3,DRIPE!$A$54:$I$82,5,FALSE)+VLOOKUP(DZ$3,DRIPE!$A$54:$I$82,9,FALSE))+ ('Inputs-System'!$C$26*'Coincidence Factors'!$B$8*(1+'Inputs-System'!$C$18)*(1+'Inputs-System'!$C$42))*'Inputs-Proposals'!$M$16*VLOOKUP(DZ$3,DRIPE!$A$54:$I$82,8,FALSE), $C68 = "2",( 'Inputs-System'!$C$30*'Coincidence Factors'!$B$8*(1+'Inputs-System'!$C$18)*(1+'Inputs-System'!$C$41))*('Inputs-Proposals'!$M$23*'Inputs-Proposals'!$M$25*('Inputs-Proposals'!$M$26))*(VLOOKUP(DZ$3,DRIPE!$A$54:$I$82,5,FALSE)+VLOOKUP(DZ$3,DRIPE!$A$54:$I$82,9,FALSE))+  ('Inputs-System'!$C$26*'Coincidence Factors'!$B$8*(1+'Inputs-System'!$C$18)*(1+'Inputs-System'!$C$42))*'Inputs-Proposals'!$M$22*VLOOKUP(DZ$3,DRIPE!$A$54:$I$82,8,FALSE), $C68= "3", ( 'Inputs-System'!$C$30*'Coincidence Factors'!$B$8*(1+'Inputs-System'!$C$18)*(1+'Inputs-System'!$C$41))*('Inputs-Proposals'!$M$29*'Inputs-Proposals'!$M$31*('Inputs-Proposals'!$M$32))*(VLOOKUP(DZ$3,DRIPE!$A$54:$I$82,5,FALSE)+VLOOKUP(DZ$3,DRIPE!$A$54:$I$82,9,FALSE))+  ('Inputs-System'!$C$26*'Coincidence Factors'!$B$8*(1+'Inputs-System'!$C$18)*(1+'Inputs-System'!$C$42))*'Inputs-Proposals'!$M$28*VLOOKUP(DZ$3,DRIPE!$A$54:$I$82,8,FALSE), $C68 = "0", 0), 0)</f>
        <v>0</v>
      </c>
      <c r="EC68" s="45">
        <f>IFERROR(_xlfn.IFS($C68="1",('Inputs-System'!$C$30*'Coincidence Factors'!$B$8*(1+'Inputs-System'!$C$18))*'Inputs-Proposals'!$M$16*(VLOOKUP(DZ$3,Capacity!$A$53:$E$85,4,FALSE)*(1+'Inputs-System'!$C$42)+VLOOKUP(DZ$3,Capacity!$A$53:$E$85,5,FALSE)*'Inputs-System'!$C$29*(1+'Inputs-System'!$C$43)), $C68 = "2", ('Inputs-System'!$C$30*'Coincidence Factors'!$B$8*(1+'Inputs-System'!$C$18))*'Inputs-Proposals'!$M$22*(VLOOKUP(DZ$3,Capacity!$A$53:$E$85,4,FALSE)*(1+'Inputs-System'!$C$42)+VLOOKUP(DZ$3,Capacity!$A$53:$E$85,5,FALSE)*'Inputs-System'!$C$29*(1+'Inputs-System'!$C$43)), $C68 = "3",('Inputs-System'!$C$30*'Coincidence Factors'!$B$8*(1+'Inputs-System'!$C$18))*'Inputs-Proposals'!$M$28*(VLOOKUP(DZ$3,Capacity!$A$53:$E$85,4,FALSE)*(1+'Inputs-System'!$C$42)+VLOOKUP(DZ$3,Capacity!$A$53:$E$85,5,FALSE)*'Inputs-System'!$C$29*(1+'Inputs-System'!$C$43)), $C68 = "0", 0), 0)</f>
        <v>0</v>
      </c>
      <c r="ED68" s="44">
        <v>0</v>
      </c>
      <c r="EE68" s="342">
        <f>IFERROR(_xlfn.IFS($C68="1", 'Inputs-System'!$C$30*'Coincidence Factors'!$B$8*'Inputs-Proposals'!$M$17*'Inputs-Proposals'!$M$19*(VLOOKUP(DZ$3,'Non-Embedded Emissions'!$A$56:$D$90,2,FALSE)+VLOOKUP(DZ$3,'Non-Embedded Emissions'!$A$143:$D$174,2,FALSE)+VLOOKUP(DZ$3,'Non-Embedded Emissions'!$A$230:$D$259,2,FALSE)), $C68 = "2", 'Inputs-System'!$C$30*'Coincidence Factors'!$B$8*'Inputs-Proposals'!$M$23*'Inputs-Proposals'!$M$25*(VLOOKUP(DZ$3,'Non-Embedded Emissions'!$A$56:$D$90,2,FALSE)+VLOOKUP(DZ$3,'Non-Embedded Emissions'!$A$143:$D$174,2,FALSE)+VLOOKUP(DZ$3,'Non-Embedded Emissions'!$A$230:$D$259,2,FALSE)), $C68 = "3", 'Inputs-System'!$C$30*'Coincidence Factors'!$B$8*'Inputs-Proposals'!$M$29*'Inputs-Proposals'!$M$31*(VLOOKUP(DZ$3,'Non-Embedded Emissions'!$A$56:$D$90,2,FALSE)+VLOOKUP(DZ$3,'Non-Embedded Emissions'!$A$143:$D$174,2,FALSE)+VLOOKUP(DZ$3,'Non-Embedded Emissions'!$A$230:$D$259,2,FALSE)), $C68 = "0", 0), 0)</f>
        <v>0</v>
      </c>
    </row>
    <row r="69" spans="1:135" x14ac:dyDescent="0.35">
      <c r="A69" s="708"/>
      <c r="B69" s="3" t="str">
        <f>B63</f>
        <v>Diesel GenSet</v>
      </c>
      <c r="C69" s="3" t="str">
        <f>IFERROR(_xlfn.IFS('Benefits Calc'!B69='Inputs-Proposals'!$M$15, "1", 'Benefits Calc'!B69='Inputs-Proposals'!$M$21, "2", 'Benefits Calc'!B69='Inputs-Proposals'!$M$27, "3"), "0")</f>
        <v>0</v>
      </c>
      <c r="D69" s="323">
        <f t="shared" si="66"/>
        <v>0</v>
      </c>
      <c r="E69" s="44">
        <f t="shared" si="66"/>
        <v>0</v>
      </c>
      <c r="F69" s="44">
        <f t="shared" si="66"/>
        <v>0</v>
      </c>
      <c r="G69" s="44">
        <f t="shared" si="66"/>
        <v>0</v>
      </c>
      <c r="H69" s="44">
        <f t="shared" si="66"/>
        <v>0</v>
      </c>
      <c r="I69" s="44">
        <f t="shared" si="66"/>
        <v>0</v>
      </c>
      <c r="J69" s="323">
        <f>NPV('Inputs-System'!$C$20,P69+V69+AB69+AH69+AN69+AT69+AZ69+BF69+BL69+BR69+BX69+CD69+CJ69+CP69+CV69+DB69+DH69+DN69+DT69+DZ69)</f>
        <v>0</v>
      </c>
      <c r="K69" s="44">
        <f>NPV('Inputs-System'!$C$20,Q69+W69+AC69+AI69+AO69+AU69+BA69+BG69+BM69+BS69+BY69+CE69+CK69+CQ69+CW69+DC69+DI69+DO69+DU69+EA69)</f>
        <v>0</v>
      </c>
      <c r="L69" s="44">
        <f>NPV('Inputs-System'!$C$20,R69+X69+AD69+AJ69+AP69+AV69+BB69+BH69+BN69+BT69+BZ69+CF69+CL69+CR69+CX69+DD69+DJ69+DP69+DV69+EB69)</f>
        <v>0</v>
      </c>
      <c r="M69" s="44">
        <f>NPV('Inputs-System'!$C$20,S69+Y69+AE69+AK69+AQ69+AW69+BC69+BI69+BO69+BU69+CA69+CG69+CM69+CS69+CY69+DE69+DK69+DQ69+DW69+EC69)</f>
        <v>0</v>
      </c>
      <c r="N69" s="44">
        <f>NPV('Inputs-System'!$C$20,T69+Z69+AF69+AL69+AR69+AX69+BD69+BJ69+BP69+BV69+CB69+CH69+CN69+CT69+CZ69+DF69+DL69+DR69+DX69+ED69)</f>
        <v>0</v>
      </c>
      <c r="O69" s="119">
        <f>NPV('Inputs-System'!$C$20,U69+AA69+AG69+AM69+AS69+AY69+BE69+BK69+BQ69+BW69+CC69+CI69+CO69+CU69+DA69+DG69+DM69+DS69+DY69+EE69)</f>
        <v>0</v>
      </c>
      <c r="P69" s="366">
        <f>IFERROR(_xlfn.IFS($C69="1",('Inputs-System'!$C$30*'Coincidence Factors'!$B$9*(1+'Inputs-System'!$C$18)*(1+'Inputs-System'!$C$41)*('Inputs-Proposals'!$M$17*'Inputs-Proposals'!$M$19*(1-'Inputs-Proposals'!$M$20^(P$3-'Inputs-System'!$C$7+1)))*(VLOOKUP(P$3,Energy!$A$51:$K$83,5,FALSE))), $C69 = "2",('Inputs-System'!$C$30*'Coincidence Factors'!$B$9)*(1+'Inputs-System'!$C$18)*(1+'Inputs-System'!$C$41)*('Inputs-Proposals'!$M$23*'Inputs-Proposals'!$M$25*(1-'Inputs-Proposals'!$M$26^(P$3-'Inputs-System'!$C$7+1)))*(VLOOKUP(P$3,Energy!$A$51:$K$83,5,FALSE)), $C69= "3", ('Inputs-System'!$C$30*'Coincidence Factors'!$B$9*(1+'Inputs-System'!$C$18)*(1+'Inputs-System'!$C$41)*('Inputs-Proposals'!$M$29*'Inputs-Proposals'!$M$31*(1-'Inputs-Proposals'!$M$32^(P$3-'Inputs-System'!$C$7+1)))*(VLOOKUP(P$3,Energy!$A$51:$K$83,5,FALSE))), $C69= "0", 0), 0)</f>
        <v>0</v>
      </c>
      <c r="Q69" s="44">
        <f>IFERROR(_xlfn.IFS($C69="1",('Inputs-System'!$C$30*'Coincidence Factors'!$B$9*(1+'Inputs-System'!$C$18)*(1+'Inputs-System'!$C$41))*'Inputs-Proposals'!$M$17*'Inputs-Proposals'!$M$19*(1-'Inputs-Proposals'!$M$20^(P$3-'Inputs-System'!$C$7+1))*(VLOOKUP(P$3,'Embedded Emissions'!$A$47:$B$78,2,FALSE)+VLOOKUP(P$3,'Embedded Emissions'!$A$129:$B$158,2,FALSE)), $C69 = "2",('Inputs-System'!$C$30*'Coincidence Factors'!$B$9*(1+'Inputs-System'!$C$18)*(1+'Inputs-System'!$C$41))*'Inputs-Proposals'!$M$23*'Inputs-Proposals'!$M$25*(1-'Inputs-Proposals'!$M$20^(P$3-'Inputs-System'!$C$7+1))*(VLOOKUP(P$3,'Embedded Emissions'!$A$47:$B$78,2,FALSE)+VLOOKUP(P$3,'Embedded Emissions'!$A$129:$B$158,2,FALSE)), $C69 = "3", ('Inputs-System'!$C$30*'Coincidence Factors'!$B$9*(1+'Inputs-System'!$C$18)*(1+'Inputs-System'!$C$41))*'Inputs-Proposals'!$M$29*'Inputs-Proposals'!$M$31*(1-'Inputs-Proposals'!$M$20^(P$3-'Inputs-System'!$C$7+1))*(VLOOKUP(P$3,'Embedded Emissions'!$A$47:$B$78,2,FALSE)+VLOOKUP(P$3,'Embedded Emissions'!$A$129:$B$158,2,FALSE)), $C69 = "0", 0), 0)</f>
        <v>0</v>
      </c>
      <c r="R69" s="44">
        <f>IFERROR(_xlfn.IFS($C69="1",( 'Inputs-System'!$C$30*'Coincidence Factors'!$B$9*(1+'Inputs-System'!$C$18)*(1+'Inputs-System'!$C$41))*('Inputs-Proposals'!$M$17*'Inputs-Proposals'!$M$19*(1-'Inputs-Proposals'!$M$20)^(P$3-'Inputs-System'!$C$7))*(VLOOKUP(P$3,DRIPE!$A$54:$I$82,5,FALSE)+VLOOKUP(P$3,DRIPE!$A$54:$I$82,9,FALSE))+ ('Inputs-System'!$C$26*'Coincidence Factors'!$B$6*(1+'Inputs-System'!$C$18)*(1+'Inputs-System'!$C$42))*'Inputs-Proposals'!$M$16*VLOOKUP(P$3,DRIPE!$A$54:$I$82,8,FALSE), $C69 = "2",( 'Inputs-System'!$C$30*'Coincidence Factors'!$B$9*(1+'Inputs-System'!$C$18)*(1+'Inputs-System'!$C$41))*('Inputs-Proposals'!$M$23*'Inputs-Proposals'!$M$25*(1-'Inputs-Proposals'!$M$26)^(P$3-'Inputs-System'!$C$7))*(VLOOKUP(P$3,DRIPE!$A$54:$I$82,5,FALSE)+VLOOKUP(P$3,DRIPE!$A$54:$I$82,9,FALSE))+ ('Inputs-System'!$C$26*'Coincidence Factors'!$B$6*(1+'Inputs-System'!$C$18)*(1+'Inputs-System'!$C$42))*'Inputs-Proposals'!$M$22*VLOOKUP(P$3,DRIPE!$A$54:$I$82,8,FALSE), $C69= "3", ( 'Inputs-System'!$C$30*'Coincidence Factors'!$B$9*(1+'Inputs-System'!$C$18)*(1+'Inputs-System'!$C$41))*('Inputs-Proposals'!$M$29*'Inputs-Proposals'!$M$31*(1-'Inputs-Proposals'!$M$32)^(P$3-'Inputs-System'!$C$7))*(VLOOKUP(P$3,DRIPE!$A$54:$I$82,5,FALSE)+VLOOKUP(P$3,DRIPE!$A$54:$I$82,9,FALSE))+ ('Inputs-System'!$C$26*'Coincidence Factors'!$B$6*(1+'Inputs-System'!$C$18)*(1+'Inputs-System'!$C$42))*'Inputs-Proposals'!$M$28*VLOOKUP(P$3,DRIPE!$A$54:$I$82,8,FALSE), $C69 = "0", 0), 0)</f>
        <v>0</v>
      </c>
      <c r="S69" s="45">
        <f>IFERROR(_xlfn.IFS($C69="1",('Inputs-System'!$C$26*'Coincidence Factors'!$B$9*(1+'Inputs-System'!$C$18)*(1+'Inputs-System'!$C$42))*'Inputs-Proposals'!$D$16*(VLOOKUP(P$3,Capacity!$A$53:$E$85,4,FALSE)*(1+'Inputs-System'!$C$42)+VLOOKUP(P$3,Capacity!$A$53:$E$85,5,FALSE)*(1+'Inputs-System'!$C$43)*'Inputs-System'!$C$29), $C69 = "2", ('Inputs-System'!$C$26*'Coincidence Factors'!$B$9*(1+'Inputs-System'!$C$18))*'Inputs-Proposals'!$D$22*(VLOOKUP(P$3,Capacity!$A$53:$E$85,4,FALSE)*(1+'Inputs-System'!$C$42)+VLOOKUP(P$3,Capacity!$A$53:$E$85,5,FALSE)*'Inputs-System'!$C$29*(1+'Inputs-System'!$C$43)), $C69 = "3", ('Inputs-System'!$C$26*'Coincidence Factors'!$B$9*(1+'Inputs-System'!$C$18))*'Inputs-Proposals'!$D$28*(VLOOKUP(P$3,Capacity!$A$53:$E$85,4,FALSE)*(1+'Inputs-System'!$C$42)+VLOOKUP(P$3,Capacity!$A$53:$E$85,5,FALSE)*'Inputs-System'!$C$29*(1+'Inputs-System'!$C$43)), $C69 = "0", 0), 0)</f>
        <v>0</v>
      </c>
      <c r="T69" s="44">
        <v>0</v>
      </c>
      <c r="U69" s="342">
        <f>IFERROR(_xlfn.IFS($C69="1", 'Inputs-System'!$C$30*'Coincidence Factors'!$B$9*'Inputs-Proposals'!$M$17*'Inputs-Proposals'!$M$19*(VLOOKUP(P$3,'Non-Embedded Emissions'!$A$56:$D$90,2,FALSE)-VLOOKUP(P$3,'Non-Embedded Emissions'!$F$57:$H$88,2,FALSE)+VLOOKUP(P$3,'Non-Embedded Emissions'!$A$143:$D$174,2,FALSE)-VLOOKUP(P$3,'Non-Embedded Emissions'!$F$143:$H$174,2,FALSE)+VLOOKUP(P$3,'Non-Embedded Emissions'!$A$230:$D$259,2,FALSE)), $C69 = "2", 'Inputs-System'!$C$30*'Coincidence Factors'!$B$9*'Inputs-Proposals'!$M$23*'Inputs-Proposals'!$M$25*(VLOOKUP(P$3,'Non-Embedded Emissions'!$A$56:$D$90,2,FALSE)-VLOOKUP(P$3,'Non-Embedded Emissions'!$F$57:$H$88,2,FALSE)+VLOOKUP(P$3,'Non-Embedded Emissions'!$A$143:$D$174,2,FALSE)-VLOOKUP(P$3,'Non-Embedded Emissions'!$F$143:$H$174,2,FALSE)+VLOOKUP(P$3,'Non-Embedded Emissions'!$A$230:$D$259,2,FALSE)), $C69 = "3", 'Inputs-System'!$C$30*'Coincidence Factors'!$B$9*'Inputs-Proposals'!$M$29*'Inputs-Proposals'!$M$31*(VLOOKUP(P$3,'Non-Embedded Emissions'!$A$56:$D$90,2,FALSE)-VLOOKUP(P$3,'Non-Embedded Emissions'!$F$57:$H$88,2,FALSE)+VLOOKUP(P$3,'Non-Embedded Emissions'!$A$143:$D$174,2,FALSE)-VLOOKUP(P$3,'Non-Embedded Emissions'!$F$143:$H$174,2,FALSE)+VLOOKUP(P$3,'Non-Embedded Emissions'!$A$230:$D$259,2,FALSE)), $C69 = "0", 0), 0)</f>
        <v>0</v>
      </c>
      <c r="V69" s="45">
        <f>IFERROR(_xlfn.IFS($C69="1",('Inputs-System'!$C$30*'Coincidence Factors'!$B$9*(1+'Inputs-System'!$C$18)*(1+'Inputs-System'!$C$41)*('Inputs-Proposals'!$M$17*'Inputs-Proposals'!$M$19*(1-'Inputs-Proposals'!$M$20^(V$3-'Inputs-System'!$C$7)))*(VLOOKUP(V$3,Energy!$A$51:$K$83,5,FALSE))), $C69 = "2",('Inputs-System'!$C$30*'Coincidence Factors'!$B$9)*(1+'Inputs-System'!$C$18)*(1+'Inputs-System'!$C$41)*('Inputs-Proposals'!$M$23*'Inputs-Proposals'!$M$25*(1-'Inputs-Proposals'!$M$26^(V$3-'Inputs-System'!$C$7)))*(VLOOKUP(V$3,Energy!$A$51:$K$83,5,FALSE)), $C69= "3", ('Inputs-System'!$C$30*'Coincidence Factors'!$B$9*(1+'Inputs-System'!$C$18)*(1+'Inputs-System'!$C$41)*('Inputs-Proposals'!$M$29*'Inputs-Proposals'!$M$31*(1-'Inputs-Proposals'!$M$32^(V$3-'Inputs-System'!$C$7)))*(VLOOKUP(V$3,Energy!$A$51:$K$83,5,FALSE))), $C69= "0", 0), 0)</f>
        <v>0</v>
      </c>
      <c r="W69" s="44">
        <f>IFERROR(_xlfn.IFS($C69="1",('Inputs-System'!$C$30*'Coincidence Factors'!$B$9*(1+'Inputs-System'!$C$18)*(1+'Inputs-System'!$C$41))*'Inputs-Proposals'!$M$17*'Inputs-Proposals'!$M$19*(1-'Inputs-Proposals'!$M$20^(V$3-'Inputs-System'!$C$7))*(VLOOKUP(V$3,'Embedded Emissions'!$A$47:$B$78,2,FALSE)+VLOOKUP(V$3,'Embedded Emissions'!$A$129:$B$158,2,FALSE)), $C69 = "2",('Inputs-System'!$C$30*'Coincidence Factors'!$B$9*(1+'Inputs-System'!$C$18)*(1+'Inputs-System'!$C$41))*'Inputs-Proposals'!$M$23*'Inputs-Proposals'!$M$25*(1-'Inputs-Proposals'!$M$20^(V$3-'Inputs-System'!$C$7))*(VLOOKUP(V$3,'Embedded Emissions'!$A$47:$B$78,2,FALSE)+VLOOKUP(V$3,'Embedded Emissions'!$A$129:$B$158,2,FALSE)), $C69 = "3", ('Inputs-System'!$C$30*'Coincidence Factors'!$B$9*(1+'Inputs-System'!$C$18)*(1+'Inputs-System'!$C$41))*'Inputs-Proposals'!$M$29*'Inputs-Proposals'!$M$31*(1-'Inputs-Proposals'!$M$20^(V$3-'Inputs-System'!$C$7))*(VLOOKUP(V$3,'Embedded Emissions'!$A$47:$B$78,2,FALSE)+VLOOKUP(V$3,'Embedded Emissions'!$A$129:$B$158,2,FALSE)), $C69 = "0", 0), 0)</f>
        <v>0</v>
      </c>
      <c r="X69" s="44">
        <f>IFERROR(_xlfn.IFS($C69="1",( 'Inputs-System'!$C$30*'Coincidence Factors'!$B$9*(1+'Inputs-System'!$C$18)*(1+'Inputs-System'!$C$41))*('Inputs-Proposals'!$M$17*'Inputs-Proposals'!$M$19*(1-'Inputs-Proposals'!$M$20)^(V$3-'Inputs-System'!$C$7))*(VLOOKUP(V$3,DRIPE!$A$54:$I$82,5,FALSE)+VLOOKUP(V$3,DRIPE!$A$54:$I$82,9,FALSE))+ ('Inputs-System'!$C$26*'Coincidence Factors'!$B$6*(1+'Inputs-System'!$C$18)*(1+'Inputs-System'!$C$42))*'Inputs-Proposals'!$M$16*VLOOKUP(V$3,DRIPE!$A$54:$I$82,8,FALSE), $C69 = "2",( 'Inputs-System'!$C$30*'Coincidence Factors'!$B$9*(1+'Inputs-System'!$C$18)*(1+'Inputs-System'!$C$41))*('Inputs-Proposals'!$M$23*'Inputs-Proposals'!$M$25*(1-'Inputs-Proposals'!$M$26)^(V$3-'Inputs-System'!$C$7))*(VLOOKUP(V$3,DRIPE!$A$54:$I$82,5,FALSE)+VLOOKUP(V$3,DRIPE!$A$54:$I$82,9,FALSE))+ ('Inputs-System'!$C$26*'Coincidence Factors'!$B$6*(1+'Inputs-System'!$C$18)*(1+'Inputs-System'!$C$42))*'Inputs-Proposals'!$M$22*VLOOKUP(V$3,DRIPE!$A$54:$I$82,8,FALSE), $C69= "3", ( 'Inputs-System'!$C$30*'Coincidence Factors'!$B$9*(1+'Inputs-System'!$C$18)*(1+'Inputs-System'!$C$41))*('Inputs-Proposals'!$M$29*'Inputs-Proposals'!$M$31*(1-'Inputs-Proposals'!$M$32)^(V$3-'Inputs-System'!$C$7))*(VLOOKUP(V$3,DRIPE!$A$54:$I$82,5,FALSE)+VLOOKUP(V$3,DRIPE!$A$54:$I$82,9,FALSE))+ ('Inputs-System'!$C$26*'Coincidence Factors'!$B$6*(1+'Inputs-System'!$C$18)*(1+'Inputs-System'!$C$42))*'Inputs-Proposals'!$M$28*VLOOKUP(V$3,DRIPE!$A$54:$I$82,8,FALSE), $C69 = "0", 0), 0)</f>
        <v>0</v>
      </c>
      <c r="Y69" s="45">
        <f>IFERROR(_xlfn.IFS($C69="1",('Inputs-System'!$C$26*'Coincidence Factors'!$B$9*(1+'Inputs-System'!$C$18)*(1+'Inputs-System'!$C$42))*'Inputs-Proposals'!$D$16*(VLOOKUP(V$3,Capacity!$A$53:$E$85,4,FALSE)*(1+'Inputs-System'!$C$42)+VLOOKUP(V$3,Capacity!$A$53:$E$85,5,FALSE)*(1+'Inputs-System'!$C$43)*'Inputs-System'!$C$29), $C69 = "2", ('Inputs-System'!$C$26*'Coincidence Factors'!$B$9*(1+'Inputs-System'!$C$18))*'Inputs-Proposals'!$D$22*(VLOOKUP(V$3,Capacity!$A$53:$E$85,4,FALSE)*(1+'Inputs-System'!$C$42)+VLOOKUP(V$3,Capacity!$A$53:$E$85,5,FALSE)*'Inputs-System'!$C$29*(1+'Inputs-System'!$C$43)), $C69 = "3", ('Inputs-System'!$C$26*'Coincidence Factors'!$B$9*(1+'Inputs-System'!$C$18))*'Inputs-Proposals'!$D$28*(VLOOKUP(V$3,Capacity!$A$53:$E$85,4,FALSE)*(1+'Inputs-System'!$C$42)+VLOOKUP(V$3,Capacity!$A$53:$E$85,5,FALSE)*'Inputs-System'!$C$29*(1+'Inputs-System'!$C$43)), $C69 = "0", 0), 0)</f>
        <v>0</v>
      </c>
      <c r="Z69" s="44">
        <v>0</v>
      </c>
      <c r="AA69" s="342">
        <f>IFERROR(_xlfn.IFS($C69="1", 'Inputs-System'!$C$30*'Coincidence Factors'!$B$9*'Inputs-Proposals'!$M$17*'Inputs-Proposals'!$M$19*(VLOOKUP(V$3,'Non-Embedded Emissions'!$A$56:$D$90,2,FALSE)-VLOOKUP(V$3,'Non-Embedded Emissions'!$F$57:$H$88,2,FALSE)+VLOOKUP(V$3,'Non-Embedded Emissions'!$A$143:$D$174,2,FALSE)-VLOOKUP(V$3,'Non-Embedded Emissions'!$F$143:$H$174,2,FALSE)+VLOOKUP(V$3,'Non-Embedded Emissions'!$A$230:$D$259,2,FALSE)), $C69 = "2", 'Inputs-System'!$C$30*'Coincidence Factors'!$B$9*'Inputs-Proposals'!$M$23*'Inputs-Proposals'!$M$25*(VLOOKUP(V$3,'Non-Embedded Emissions'!$A$56:$D$90,2,FALSE)-VLOOKUP(V$3,'Non-Embedded Emissions'!$F$57:$H$88,2,FALSE)+VLOOKUP(V$3,'Non-Embedded Emissions'!$A$143:$D$174,2,FALSE)-VLOOKUP(V$3,'Non-Embedded Emissions'!$F$143:$H$174,2,FALSE)+VLOOKUP(V$3,'Non-Embedded Emissions'!$A$230:$D$259,2,FALSE)), $C69 = "3", 'Inputs-System'!$C$30*'Coincidence Factors'!$B$9*'Inputs-Proposals'!$M$29*'Inputs-Proposals'!$M$31*(VLOOKUP(V$3,'Non-Embedded Emissions'!$A$56:$D$90,2,FALSE)-VLOOKUP(V$3,'Non-Embedded Emissions'!$F$57:$H$88,2,FALSE)+VLOOKUP(V$3,'Non-Embedded Emissions'!$A$143:$D$174,2,FALSE)-VLOOKUP(V$3,'Non-Embedded Emissions'!$F$143:$H$174,2,FALSE)+VLOOKUP(V$3,'Non-Embedded Emissions'!$A$230:$D$259,2,FALSE)), $C69 = "0", 0), 0)</f>
        <v>0</v>
      </c>
      <c r="AB69" s="45">
        <f>IFERROR(_xlfn.IFS($C69="1",('Inputs-System'!$C$30*'Coincidence Factors'!$B$9*(1+'Inputs-System'!$C$18)*(1+'Inputs-System'!$C$41)*('Inputs-Proposals'!$M$17*'Inputs-Proposals'!$M$19*(1-'Inputs-Proposals'!$M$20^(AB$3-'Inputs-System'!$C$7)))*(VLOOKUP(AB$3,Energy!$A$51:$K$83,5,FALSE))), $C69 = "2",('Inputs-System'!$C$30*'Coincidence Factors'!$B$9)*(1+'Inputs-System'!$C$18)*(1+'Inputs-System'!$C$41)*('Inputs-Proposals'!$M$23*'Inputs-Proposals'!$M$25*(1-'Inputs-Proposals'!$M$26^(AB$3-'Inputs-System'!$C$7)))*(VLOOKUP(AB$3,Energy!$A$51:$K$83,5,FALSE)), $C69= "3", ('Inputs-System'!$C$30*'Coincidence Factors'!$B$9*(1+'Inputs-System'!$C$18)*(1+'Inputs-System'!$C$41)*('Inputs-Proposals'!$M$29*'Inputs-Proposals'!$M$31*(1-'Inputs-Proposals'!$M$32^(AB$3-'Inputs-System'!$C$7)))*(VLOOKUP(AB$3,Energy!$A$51:$K$83,5,FALSE))), $C69= "0", 0), 0)</f>
        <v>0</v>
      </c>
      <c r="AC69" s="44">
        <f>IFERROR(_xlfn.IFS($C69="1",('Inputs-System'!$C$30*'Coincidence Factors'!$B$9*(1+'Inputs-System'!$C$18)*(1+'Inputs-System'!$C$41))*'Inputs-Proposals'!$M$17*'Inputs-Proposals'!$M$19*(1-'Inputs-Proposals'!$M$20^(AB$3-'Inputs-System'!$C$7))*(VLOOKUP(AB$3,'Embedded Emissions'!$A$47:$B$78,2,FALSE)+VLOOKUP(AB$3,'Embedded Emissions'!$A$129:$B$158,2,FALSE)), $C69 = "2",('Inputs-System'!$C$30*'Coincidence Factors'!$B$9*(1+'Inputs-System'!$C$18)*(1+'Inputs-System'!$C$41))*'Inputs-Proposals'!$M$23*'Inputs-Proposals'!$M$25*(1-'Inputs-Proposals'!$M$20^(AB$3-'Inputs-System'!$C$7))*(VLOOKUP(AB$3,'Embedded Emissions'!$A$47:$B$78,2,FALSE)+VLOOKUP(AB$3,'Embedded Emissions'!$A$129:$B$158,2,FALSE)), $C69 = "3", ('Inputs-System'!$C$30*'Coincidence Factors'!$B$9*(1+'Inputs-System'!$C$18)*(1+'Inputs-System'!$C$41))*'Inputs-Proposals'!$M$29*'Inputs-Proposals'!$M$31*(1-'Inputs-Proposals'!$M$20^(AB$3-'Inputs-System'!$C$7))*(VLOOKUP(AB$3,'Embedded Emissions'!$A$47:$B$78,2,FALSE)+VLOOKUP(AB$3,'Embedded Emissions'!$A$129:$B$158,2,FALSE)), $C69 = "0", 0), 0)</f>
        <v>0</v>
      </c>
      <c r="AD69" s="44">
        <f>IFERROR(_xlfn.IFS($C69="1",( 'Inputs-System'!$C$30*'Coincidence Factors'!$B$9*(1+'Inputs-System'!$C$18)*(1+'Inputs-System'!$C$41))*('Inputs-Proposals'!$M$17*'Inputs-Proposals'!$M$19*(1-'Inputs-Proposals'!$M$20)^(AB$3-'Inputs-System'!$C$7))*(VLOOKUP(AB$3,DRIPE!$A$54:$I$82,5,FALSE)+VLOOKUP(AB$3,DRIPE!$A$54:$I$82,9,FALSE))+ ('Inputs-System'!$C$26*'Coincidence Factors'!$B$6*(1+'Inputs-System'!$C$18)*(1+'Inputs-System'!$C$42))*'Inputs-Proposals'!$M$16*VLOOKUP(AB$3,DRIPE!$A$54:$I$82,8,FALSE), $C69 = "2",( 'Inputs-System'!$C$30*'Coincidence Factors'!$B$9*(1+'Inputs-System'!$C$18)*(1+'Inputs-System'!$C$41))*('Inputs-Proposals'!$M$23*'Inputs-Proposals'!$M$25*(1-'Inputs-Proposals'!$M$26)^(AB$3-'Inputs-System'!$C$7))*(VLOOKUP(AB$3,DRIPE!$A$54:$I$82,5,FALSE)+VLOOKUP(AB$3,DRIPE!$A$54:$I$82,9,FALSE))+ ('Inputs-System'!$C$26*'Coincidence Factors'!$B$6*(1+'Inputs-System'!$C$18)*(1+'Inputs-System'!$C$42))*'Inputs-Proposals'!$M$22*VLOOKUP(AB$3,DRIPE!$A$54:$I$82,8,FALSE), $C69= "3", ( 'Inputs-System'!$C$30*'Coincidence Factors'!$B$9*(1+'Inputs-System'!$C$18)*(1+'Inputs-System'!$C$41))*('Inputs-Proposals'!$M$29*'Inputs-Proposals'!$M$31*(1-'Inputs-Proposals'!$M$32)^(AB$3-'Inputs-System'!$C$7))*(VLOOKUP(AB$3,DRIPE!$A$54:$I$82,5,FALSE)+VLOOKUP(AB$3,DRIPE!$A$54:$I$82,9,FALSE))+ ('Inputs-System'!$C$26*'Coincidence Factors'!$B$6*(1+'Inputs-System'!$C$18)*(1+'Inputs-System'!$C$42))*'Inputs-Proposals'!$M$28*VLOOKUP(AB$3,DRIPE!$A$54:$I$82,8,FALSE), $C69 = "0", 0), 0)</f>
        <v>0</v>
      </c>
      <c r="AE69" s="45">
        <f>IFERROR(_xlfn.IFS($C69="1",('Inputs-System'!$C$26*'Coincidence Factors'!$B$9*(1+'Inputs-System'!$C$18)*(1+'Inputs-System'!$C$42))*'Inputs-Proposals'!$D$16*(VLOOKUP(AB$3,Capacity!$A$53:$E$85,4,FALSE)*(1+'Inputs-System'!$C$42)+VLOOKUP(AB$3,Capacity!$A$53:$E$85,5,FALSE)*(1+'Inputs-System'!$C$43)*'Inputs-System'!$C$29), $C69 = "2", ('Inputs-System'!$C$26*'Coincidence Factors'!$B$9*(1+'Inputs-System'!$C$18))*'Inputs-Proposals'!$D$22*(VLOOKUP(AB$3,Capacity!$A$53:$E$85,4,FALSE)*(1+'Inputs-System'!$C$42)+VLOOKUP(AB$3,Capacity!$A$53:$E$85,5,FALSE)*'Inputs-System'!$C$29*(1+'Inputs-System'!$C$43)), $C69 = "3", ('Inputs-System'!$C$26*'Coincidence Factors'!$B$9*(1+'Inputs-System'!$C$18))*'Inputs-Proposals'!$D$28*(VLOOKUP(AB$3,Capacity!$A$53:$E$85,4,FALSE)*(1+'Inputs-System'!$C$42)+VLOOKUP(AB$3,Capacity!$A$53:$E$85,5,FALSE)*'Inputs-System'!$C$29*(1+'Inputs-System'!$C$43)), $C69 = "0", 0), 0)</f>
        <v>0</v>
      </c>
      <c r="AF69" s="44">
        <v>0</v>
      </c>
      <c r="AG69" s="342">
        <f>IFERROR(_xlfn.IFS($C69="1", 'Inputs-System'!$C$30*'Coincidence Factors'!$B$9*'Inputs-Proposals'!$M$17*'Inputs-Proposals'!$M$19*(VLOOKUP(AB$3,'Non-Embedded Emissions'!$A$56:$D$90,2,FALSE)-VLOOKUP(AB$3,'Non-Embedded Emissions'!$F$57:$H$88,2,FALSE)+VLOOKUP(AB$3,'Non-Embedded Emissions'!$A$143:$D$174,2,FALSE)-VLOOKUP(AB$3,'Non-Embedded Emissions'!$F$143:$H$174,2,FALSE)+VLOOKUP(AB$3,'Non-Embedded Emissions'!$A$230:$D$259,2,FALSE)), $C69 = "2", 'Inputs-System'!$C$30*'Coincidence Factors'!$B$9*'Inputs-Proposals'!$M$23*'Inputs-Proposals'!$M$25*(VLOOKUP(AB$3,'Non-Embedded Emissions'!$A$56:$D$90,2,FALSE)-VLOOKUP(AB$3,'Non-Embedded Emissions'!$F$57:$H$88,2,FALSE)+VLOOKUP(AB$3,'Non-Embedded Emissions'!$A$143:$D$174,2,FALSE)-VLOOKUP(AB$3,'Non-Embedded Emissions'!$F$143:$H$174,2,FALSE)+VLOOKUP(AB$3,'Non-Embedded Emissions'!$A$230:$D$259,2,FALSE)), $C69 = "3", 'Inputs-System'!$C$30*'Coincidence Factors'!$B$9*'Inputs-Proposals'!$M$29*'Inputs-Proposals'!$M$31*(VLOOKUP(AB$3,'Non-Embedded Emissions'!$A$56:$D$90,2,FALSE)-VLOOKUP(AB$3,'Non-Embedded Emissions'!$F$57:$H$88,2,FALSE)+VLOOKUP(AB$3,'Non-Embedded Emissions'!$A$143:$D$174,2,FALSE)-VLOOKUP(AB$3,'Non-Embedded Emissions'!$F$143:$H$174,2,FALSE)+VLOOKUP(AB$3,'Non-Embedded Emissions'!$A$230:$D$259,2,FALSE)), $C69 = "0", 0), 0)</f>
        <v>0</v>
      </c>
      <c r="AH69" s="45">
        <f>IFERROR(_xlfn.IFS($C69="1",('Inputs-System'!$C$30*'Coincidence Factors'!$B$9*(1+'Inputs-System'!$C$18)*(1+'Inputs-System'!$C$41)*('Inputs-Proposals'!$M$17*'Inputs-Proposals'!$M$19*(1-'Inputs-Proposals'!$M$20^(AH$3-'Inputs-System'!$C$7)))*(VLOOKUP(AH$3,Energy!$A$51:$K$83,5,FALSE))), $C69 = "2",('Inputs-System'!$C$30*'Coincidence Factors'!$B$9)*(1+'Inputs-System'!$C$18)*(1+'Inputs-System'!$C$41)*('Inputs-Proposals'!$M$23*'Inputs-Proposals'!$M$25*(1-'Inputs-Proposals'!$M$26^(AH$3-'Inputs-System'!$C$7)))*(VLOOKUP(AH$3,Energy!$A$51:$K$83,5,FALSE)), $C69= "3", ('Inputs-System'!$C$30*'Coincidence Factors'!$B$9*(1+'Inputs-System'!$C$18)*(1+'Inputs-System'!$C$41)*('Inputs-Proposals'!$M$29*'Inputs-Proposals'!$M$31*(1-'Inputs-Proposals'!$M$32^(AH$3-'Inputs-System'!$C$7)))*(VLOOKUP(AH$3,Energy!$A$51:$K$83,5,FALSE))), $C69= "0", 0), 0)</f>
        <v>0</v>
      </c>
      <c r="AI69" s="44">
        <f>IFERROR(_xlfn.IFS($C69="1",('Inputs-System'!$C$30*'Coincidence Factors'!$B$9*(1+'Inputs-System'!$C$18)*(1+'Inputs-System'!$C$41))*'Inputs-Proposals'!$M$17*'Inputs-Proposals'!$M$19*(1-'Inputs-Proposals'!$M$20^(AH$3-'Inputs-System'!$C$7))*(VLOOKUP(AH$3,'Embedded Emissions'!$A$47:$B$78,2,FALSE)+VLOOKUP(AH$3,'Embedded Emissions'!$A$129:$B$158,2,FALSE)), $C69 = "2",('Inputs-System'!$C$30*'Coincidence Factors'!$B$9*(1+'Inputs-System'!$C$18)*(1+'Inputs-System'!$C$41))*'Inputs-Proposals'!$M$23*'Inputs-Proposals'!$M$25*(1-'Inputs-Proposals'!$M$20^(AH$3-'Inputs-System'!$C$7))*(VLOOKUP(AH$3,'Embedded Emissions'!$A$47:$B$78,2,FALSE)+VLOOKUP(AH$3,'Embedded Emissions'!$A$129:$B$158,2,FALSE)), $C69 = "3", ('Inputs-System'!$C$30*'Coincidence Factors'!$B$9*(1+'Inputs-System'!$C$18)*(1+'Inputs-System'!$C$41))*'Inputs-Proposals'!$M$29*'Inputs-Proposals'!$M$31*(1-'Inputs-Proposals'!$M$20^(AH$3-'Inputs-System'!$C$7))*(VLOOKUP(AH$3,'Embedded Emissions'!$A$47:$B$78,2,FALSE)+VLOOKUP(AH$3,'Embedded Emissions'!$A$129:$B$158,2,FALSE)), $C69 = "0", 0), 0)</f>
        <v>0</v>
      </c>
      <c r="AJ69" s="44">
        <f>IFERROR(_xlfn.IFS($C69="1",( 'Inputs-System'!$C$30*'Coincidence Factors'!$B$9*(1+'Inputs-System'!$C$18)*(1+'Inputs-System'!$C$41))*('Inputs-Proposals'!$M$17*'Inputs-Proposals'!$M$19*(1-'Inputs-Proposals'!$M$20)^(AH$3-'Inputs-System'!$C$7))*(VLOOKUP(AH$3,DRIPE!$A$54:$I$82,5,FALSE)+VLOOKUP(AH$3,DRIPE!$A$54:$I$82,9,FALSE))+ ('Inputs-System'!$C$26*'Coincidence Factors'!$B$6*(1+'Inputs-System'!$C$18)*(1+'Inputs-System'!$C$42))*'Inputs-Proposals'!$M$16*VLOOKUP(AH$3,DRIPE!$A$54:$I$82,8,FALSE), $C69 = "2",( 'Inputs-System'!$C$30*'Coincidence Factors'!$B$9*(1+'Inputs-System'!$C$18)*(1+'Inputs-System'!$C$41))*('Inputs-Proposals'!$M$23*'Inputs-Proposals'!$M$25*(1-'Inputs-Proposals'!$M$26)^(AH$3-'Inputs-System'!$C$7))*(VLOOKUP(AH$3,DRIPE!$A$54:$I$82,5,FALSE)+VLOOKUP(AH$3,DRIPE!$A$54:$I$82,9,FALSE))+ ('Inputs-System'!$C$26*'Coincidence Factors'!$B$6*(1+'Inputs-System'!$C$18)*(1+'Inputs-System'!$C$42))*'Inputs-Proposals'!$M$22*VLOOKUP(AH$3,DRIPE!$A$54:$I$82,8,FALSE), $C69= "3", ( 'Inputs-System'!$C$30*'Coincidence Factors'!$B$9*(1+'Inputs-System'!$C$18)*(1+'Inputs-System'!$C$41))*('Inputs-Proposals'!$M$29*'Inputs-Proposals'!$M$31*(1-'Inputs-Proposals'!$M$32)^(AH$3-'Inputs-System'!$C$7))*(VLOOKUP(AH$3,DRIPE!$A$54:$I$82,5,FALSE)+VLOOKUP(AH$3,DRIPE!$A$54:$I$82,9,FALSE))+ ('Inputs-System'!$C$26*'Coincidence Factors'!$B$6*(1+'Inputs-System'!$C$18)*(1+'Inputs-System'!$C$42))*'Inputs-Proposals'!$M$28*VLOOKUP(AH$3,DRIPE!$A$54:$I$82,8,FALSE), $C69 = "0", 0), 0)</f>
        <v>0</v>
      </c>
      <c r="AK69" s="45">
        <f>IFERROR(_xlfn.IFS($C69="1",('Inputs-System'!$C$26*'Coincidence Factors'!$B$9*(1+'Inputs-System'!$C$18)*(1+'Inputs-System'!$C$42))*'Inputs-Proposals'!$D$16*(VLOOKUP(AH$3,Capacity!$A$53:$E$85,4,FALSE)*(1+'Inputs-System'!$C$42)+VLOOKUP(AH$3,Capacity!$A$53:$E$85,5,FALSE)*(1+'Inputs-System'!$C$43)*'Inputs-System'!$C$29), $C69 = "2", ('Inputs-System'!$C$26*'Coincidence Factors'!$B$9*(1+'Inputs-System'!$C$18))*'Inputs-Proposals'!$D$22*(VLOOKUP(AH$3,Capacity!$A$53:$E$85,4,FALSE)*(1+'Inputs-System'!$C$42)+VLOOKUP(AH$3,Capacity!$A$53:$E$85,5,FALSE)*'Inputs-System'!$C$29*(1+'Inputs-System'!$C$43)), $C69 = "3", ('Inputs-System'!$C$26*'Coincidence Factors'!$B$9*(1+'Inputs-System'!$C$18))*'Inputs-Proposals'!$D$28*(VLOOKUP(AH$3,Capacity!$A$53:$E$85,4,FALSE)*(1+'Inputs-System'!$C$42)+VLOOKUP(AH$3,Capacity!$A$53:$E$85,5,FALSE)*'Inputs-System'!$C$29*(1+'Inputs-System'!$C$43)), $C69 = "0", 0), 0)</f>
        <v>0</v>
      </c>
      <c r="AL69" s="44">
        <v>0</v>
      </c>
      <c r="AM69" s="342">
        <f>IFERROR(_xlfn.IFS($C69="1", 'Inputs-System'!$C$30*'Coincidence Factors'!$B$9*'Inputs-Proposals'!$M$17*'Inputs-Proposals'!$M$19*(VLOOKUP(AH$3,'Non-Embedded Emissions'!$A$56:$D$90,2,FALSE)-VLOOKUP(AH$3,'Non-Embedded Emissions'!$F$57:$H$88,2,FALSE)+VLOOKUP(AH$3,'Non-Embedded Emissions'!$A$143:$D$174,2,FALSE)-VLOOKUP(AH$3,'Non-Embedded Emissions'!$F$143:$H$174,2,FALSE)+VLOOKUP(AH$3,'Non-Embedded Emissions'!$A$230:$D$259,2,FALSE)), $C69 = "2", 'Inputs-System'!$C$30*'Coincidence Factors'!$B$9*'Inputs-Proposals'!$M$23*'Inputs-Proposals'!$M$25*(VLOOKUP(AH$3,'Non-Embedded Emissions'!$A$56:$D$90,2,FALSE)-VLOOKUP(AH$3,'Non-Embedded Emissions'!$F$57:$H$88,2,FALSE)+VLOOKUP(AH$3,'Non-Embedded Emissions'!$A$143:$D$174,2,FALSE)-VLOOKUP(AH$3,'Non-Embedded Emissions'!$F$143:$H$174,2,FALSE)+VLOOKUP(AH$3,'Non-Embedded Emissions'!$A$230:$D$259,2,FALSE)), $C69 = "3", 'Inputs-System'!$C$30*'Coincidence Factors'!$B$9*'Inputs-Proposals'!$M$29*'Inputs-Proposals'!$M$31*(VLOOKUP(AH$3,'Non-Embedded Emissions'!$A$56:$D$90,2,FALSE)-VLOOKUP(AH$3,'Non-Embedded Emissions'!$F$57:$H$88,2,FALSE)+VLOOKUP(AH$3,'Non-Embedded Emissions'!$A$143:$D$174,2,FALSE)-VLOOKUP(AH$3,'Non-Embedded Emissions'!$F$143:$H$174,2,FALSE)+VLOOKUP(AH$3,'Non-Embedded Emissions'!$A$230:$D$259,2,FALSE)), $C69 = "0", 0), 0)</f>
        <v>0</v>
      </c>
      <c r="AN69" s="45">
        <f>IFERROR(_xlfn.IFS($C69="1",('Inputs-System'!$C$30*'Coincidence Factors'!$B$9*(1+'Inputs-System'!$C$18)*(1+'Inputs-System'!$C$41)*('Inputs-Proposals'!$M$17*'Inputs-Proposals'!$M$19*(1-'Inputs-Proposals'!$M$20^(AN$3-'Inputs-System'!$C$7)))*(VLOOKUP(AN$3,Energy!$A$51:$K$83,5,FALSE))), $C69 = "2",('Inputs-System'!$C$30*'Coincidence Factors'!$B$9)*(1+'Inputs-System'!$C$18)*(1+'Inputs-System'!$C$41)*('Inputs-Proposals'!$M$23*'Inputs-Proposals'!$M$25*(1-'Inputs-Proposals'!$M$26^(AN$3-'Inputs-System'!$C$7)))*(VLOOKUP(AN$3,Energy!$A$51:$K$83,5,FALSE)), $C69= "3", ('Inputs-System'!$C$30*'Coincidence Factors'!$B$9*(1+'Inputs-System'!$C$18)*(1+'Inputs-System'!$C$41)*('Inputs-Proposals'!$M$29*'Inputs-Proposals'!$M$31*(1-'Inputs-Proposals'!$M$32^(AN$3-'Inputs-System'!$C$7)))*(VLOOKUP(AN$3,Energy!$A$51:$K$83,5,FALSE))), $C69= "0", 0), 0)</f>
        <v>0</v>
      </c>
      <c r="AO69" s="44">
        <f>IFERROR(_xlfn.IFS($C69="1",('Inputs-System'!$C$30*'Coincidence Factors'!$B$9*(1+'Inputs-System'!$C$18)*(1+'Inputs-System'!$C$41))*'Inputs-Proposals'!$M$17*'Inputs-Proposals'!$M$19*(1-'Inputs-Proposals'!$M$20^(AN$3-'Inputs-System'!$C$7))*(VLOOKUP(AN$3,'Embedded Emissions'!$A$47:$B$78,2,FALSE)+VLOOKUP(AN$3,'Embedded Emissions'!$A$129:$B$158,2,FALSE)), $C69 = "2",('Inputs-System'!$C$30*'Coincidence Factors'!$B$9*(1+'Inputs-System'!$C$18)*(1+'Inputs-System'!$C$41))*'Inputs-Proposals'!$M$23*'Inputs-Proposals'!$M$25*(1-'Inputs-Proposals'!$M$20^(AN$3-'Inputs-System'!$C$7))*(VLOOKUP(AN$3,'Embedded Emissions'!$A$47:$B$78,2,FALSE)+VLOOKUP(AN$3,'Embedded Emissions'!$A$129:$B$158,2,FALSE)), $C69 = "3", ('Inputs-System'!$C$30*'Coincidence Factors'!$B$9*(1+'Inputs-System'!$C$18)*(1+'Inputs-System'!$C$41))*'Inputs-Proposals'!$M$29*'Inputs-Proposals'!$M$31*(1-'Inputs-Proposals'!$M$20^(AN$3-'Inputs-System'!$C$7))*(VLOOKUP(AN$3,'Embedded Emissions'!$A$47:$B$78,2,FALSE)+VLOOKUP(AN$3,'Embedded Emissions'!$A$129:$B$158,2,FALSE)), $C69 = "0", 0), 0)</f>
        <v>0</v>
      </c>
      <c r="AP69" s="44">
        <f>IFERROR(_xlfn.IFS($C69="1",( 'Inputs-System'!$C$30*'Coincidence Factors'!$B$9*(1+'Inputs-System'!$C$18)*(1+'Inputs-System'!$C$41))*('Inputs-Proposals'!$M$17*'Inputs-Proposals'!$M$19*(1-'Inputs-Proposals'!$M$20)^(AN$3-'Inputs-System'!$C$7))*(VLOOKUP(AN$3,DRIPE!$A$54:$I$82,5,FALSE)+VLOOKUP(AN$3,DRIPE!$A$54:$I$82,9,FALSE))+ ('Inputs-System'!$C$26*'Coincidence Factors'!$B$6*(1+'Inputs-System'!$C$18)*(1+'Inputs-System'!$C$42))*'Inputs-Proposals'!$M$16*VLOOKUP(AN$3,DRIPE!$A$54:$I$82,8,FALSE), $C69 = "2",( 'Inputs-System'!$C$30*'Coincidence Factors'!$B$9*(1+'Inputs-System'!$C$18)*(1+'Inputs-System'!$C$41))*('Inputs-Proposals'!$M$23*'Inputs-Proposals'!$M$25*(1-'Inputs-Proposals'!$M$26)^(AN$3-'Inputs-System'!$C$7))*(VLOOKUP(AN$3,DRIPE!$A$54:$I$82,5,FALSE)+VLOOKUP(AN$3,DRIPE!$A$54:$I$82,9,FALSE))+ ('Inputs-System'!$C$26*'Coincidence Factors'!$B$6*(1+'Inputs-System'!$C$18)*(1+'Inputs-System'!$C$42))*'Inputs-Proposals'!$M$22*VLOOKUP(AN$3,DRIPE!$A$54:$I$82,8,FALSE), $C69= "3", ( 'Inputs-System'!$C$30*'Coincidence Factors'!$B$9*(1+'Inputs-System'!$C$18)*(1+'Inputs-System'!$C$41))*('Inputs-Proposals'!$M$29*'Inputs-Proposals'!$M$31*(1-'Inputs-Proposals'!$M$32)^(AN$3-'Inputs-System'!$C$7))*(VLOOKUP(AN$3,DRIPE!$A$54:$I$82,5,FALSE)+VLOOKUP(AN$3,DRIPE!$A$54:$I$82,9,FALSE))+ ('Inputs-System'!$C$26*'Coincidence Factors'!$B$6*(1+'Inputs-System'!$C$18)*(1+'Inputs-System'!$C$42))*'Inputs-Proposals'!$M$28*VLOOKUP(AN$3,DRIPE!$A$54:$I$82,8,FALSE), $C69 = "0", 0), 0)</f>
        <v>0</v>
      </c>
      <c r="AQ69" s="45">
        <f>IFERROR(_xlfn.IFS($C69="1",('Inputs-System'!$C$26*'Coincidence Factors'!$B$9*(1+'Inputs-System'!$C$18)*(1+'Inputs-System'!$C$42))*'Inputs-Proposals'!$D$16*(VLOOKUP(AN$3,Capacity!$A$53:$E$85,4,FALSE)*(1+'Inputs-System'!$C$42)+VLOOKUP(AN$3,Capacity!$A$53:$E$85,5,FALSE)*(1+'Inputs-System'!$C$43)*'Inputs-System'!$C$29), $C69 = "2", ('Inputs-System'!$C$26*'Coincidence Factors'!$B$9*(1+'Inputs-System'!$C$18))*'Inputs-Proposals'!$D$22*(VLOOKUP(AN$3,Capacity!$A$53:$E$85,4,FALSE)*(1+'Inputs-System'!$C$42)+VLOOKUP(AN$3,Capacity!$A$53:$E$85,5,FALSE)*'Inputs-System'!$C$29*(1+'Inputs-System'!$C$43)), $C69 = "3", ('Inputs-System'!$C$26*'Coincidence Factors'!$B$9*(1+'Inputs-System'!$C$18))*'Inputs-Proposals'!$D$28*(VLOOKUP(AN$3,Capacity!$A$53:$E$85,4,FALSE)*(1+'Inputs-System'!$C$42)+VLOOKUP(AN$3,Capacity!$A$53:$E$85,5,FALSE)*'Inputs-System'!$C$29*(1+'Inputs-System'!$C$43)), $C69 = "0", 0), 0)</f>
        <v>0</v>
      </c>
      <c r="AR69" s="44">
        <v>0</v>
      </c>
      <c r="AS69" s="342">
        <f>IFERROR(_xlfn.IFS($C69="1", 'Inputs-System'!$C$30*'Coincidence Factors'!$B$9*'Inputs-Proposals'!$M$17*'Inputs-Proposals'!$M$19*(VLOOKUP(AN$3,'Non-Embedded Emissions'!$A$56:$D$90,2,FALSE)-VLOOKUP(AN$3,'Non-Embedded Emissions'!$F$57:$H$88,2,FALSE)+VLOOKUP(AN$3,'Non-Embedded Emissions'!$A$143:$D$174,2,FALSE)-VLOOKUP(AN$3,'Non-Embedded Emissions'!$F$143:$H$174,2,FALSE)+VLOOKUP(AN$3,'Non-Embedded Emissions'!$A$230:$D$259,2,FALSE)), $C69 = "2", 'Inputs-System'!$C$30*'Coincidence Factors'!$B$9*'Inputs-Proposals'!$M$23*'Inputs-Proposals'!$M$25*(VLOOKUP(AN$3,'Non-Embedded Emissions'!$A$56:$D$90,2,FALSE)-VLOOKUP(AN$3,'Non-Embedded Emissions'!$F$57:$H$88,2,FALSE)+VLOOKUP(AN$3,'Non-Embedded Emissions'!$A$143:$D$174,2,FALSE)-VLOOKUP(AN$3,'Non-Embedded Emissions'!$F$143:$H$174,2,FALSE)+VLOOKUP(AN$3,'Non-Embedded Emissions'!$A$230:$D$259,2,FALSE)), $C69 = "3", 'Inputs-System'!$C$30*'Coincidence Factors'!$B$9*'Inputs-Proposals'!$M$29*'Inputs-Proposals'!$M$31*(VLOOKUP(AN$3,'Non-Embedded Emissions'!$A$56:$D$90,2,FALSE)-VLOOKUP(AN$3,'Non-Embedded Emissions'!$F$57:$H$88,2,FALSE)+VLOOKUP(AN$3,'Non-Embedded Emissions'!$A$143:$D$174,2,FALSE)-VLOOKUP(AN$3,'Non-Embedded Emissions'!$F$143:$H$174,2,FALSE)+VLOOKUP(AN$3,'Non-Embedded Emissions'!$A$230:$D$259,2,FALSE)), $C69 = "0", 0), 0)</f>
        <v>0</v>
      </c>
      <c r="AT69" s="45">
        <f>IFERROR(_xlfn.IFS($C69="1",('Inputs-System'!$C$30*'Coincidence Factors'!$B$9*(1+'Inputs-System'!$C$18)*(1+'Inputs-System'!$C$41)*('Inputs-Proposals'!$M$17*'Inputs-Proposals'!$M$19*(1-'Inputs-Proposals'!$M$20^(AT$3-'Inputs-System'!$C$7)))*(VLOOKUP(AT$3,Energy!$A$51:$K$83,5,FALSE))), $C69 = "2",('Inputs-System'!$C$30*'Coincidence Factors'!$B$9)*(1+'Inputs-System'!$C$18)*(1+'Inputs-System'!$C$41)*('Inputs-Proposals'!$M$23*'Inputs-Proposals'!$M$25*(1-'Inputs-Proposals'!$M$26^(AT$3-'Inputs-System'!$C$7)))*(VLOOKUP(AT$3,Energy!$A$51:$K$83,5,FALSE)), $C69= "3", ('Inputs-System'!$C$30*'Coincidence Factors'!$B$9*(1+'Inputs-System'!$C$18)*(1+'Inputs-System'!$C$41)*('Inputs-Proposals'!$M$29*'Inputs-Proposals'!$M$31*(1-'Inputs-Proposals'!$M$32^(AT$3-'Inputs-System'!$C$7)))*(VLOOKUP(AT$3,Energy!$A$51:$K$83,5,FALSE))), $C69= "0", 0), 0)</f>
        <v>0</v>
      </c>
      <c r="AU69" s="44">
        <f>IFERROR(_xlfn.IFS($C69="1",('Inputs-System'!$C$30*'Coincidence Factors'!$B$9*(1+'Inputs-System'!$C$18)*(1+'Inputs-System'!$C$41))*'Inputs-Proposals'!$M$17*'Inputs-Proposals'!$M$19*(1-'Inputs-Proposals'!$M$20^(AT$3-'Inputs-System'!$C$7))*(VLOOKUP(AT$3,'Embedded Emissions'!$A$47:$B$78,2,FALSE)+VLOOKUP(AT$3,'Embedded Emissions'!$A$129:$B$158,2,FALSE)), $C69 = "2",('Inputs-System'!$C$30*'Coincidence Factors'!$B$9*(1+'Inputs-System'!$C$18)*(1+'Inputs-System'!$C$41))*'Inputs-Proposals'!$M$23*'Inputs-Proposals'!$M$25*(1-'Inputs-Proposals'!$M$20^(AT$3-'Inputs-System'!$C$7))*(VLOOKUP(AT$3,'Embedded Emissions'!$A$47:$B$78,2,FALSE)+VLOOKUP(AT$3,'Embedded Emissions'!$A$129:$B$158,2,FALSE)), $C69 = "3", ('Inputs-System'!$C$30*'Coincidence Factors'!$B$9*(1+'Inputs-System'!$C$18)*(1+'Inputs-System'!$C$41))*'Inputs-Proposals'!$M$29*'Inputs-Proposals'!$M$31*(1-'Inputs-Proposals'!$M$20^(AT$3-'Inputs-System'!$C$7))*(VLOOKUP(AT$3,'Embedded Emissions'!$A$47:$B$78,2,FALSE)+VLOOKUP(AT$3,'Embedded Emissions'!$A$129:$B$158,2,FALSE)), $C69 = "0", 0), 0)</f>
        <v>0</v>
      </c>
      <c r="AV69" s="44">
        <f>IFERROR(_xlfn.IFS($C69="1",( 'Inputs-System'!$C$30*'Coincidence Factors'!$B$9*(1+'Inputs-System'!$C$18)*(1+'Inputs-System'!$C$41))*('Inputs-Proposals'!$M$17*'Inputs-Proposals'!$M$19*(1-'Inputs-Proposals'!$M$20)^(AT$3-'Inputs-System'!$C$7))*(VLOOKUP(AT$3,DRIPE!$A$54:$I$82,5,FALSE)+VLOOKUP(AT$3,DRIPE!$A$54:$I$82,9,FALSE))+ ('Inputs-System'!$C$26*'Coincidence Factors'!$B$6*(1+'Inputs-System'!$C$18)*(1+'Inputs-System'!$C$42))*'Inputs-Proposals'!$M$16*VLOOKUP(AT$3,DRIPE!$A$54:$I$82,8,FALSE), $C69 = "2",( 'Inputs-System'!$C$30*'Coincidence Factors'!$B$9*(1+'Inputs-System'!$C$18)*(1+'Inputs-System'!$C$41))*('Inputs-Proposals'!$M$23*'Inputs-Proposals'!$M$25*(1-'Inputs-Proposals'!$M$26)^(AT$3-'Inputs-System'!$C$7))*(VLOOKUP(AT$3,DRIPE!$A$54:$I$82,5,FALSE)+VLOOKUP(AT$3,DRIPE!$A$54:$I$82,9,FALSE))+ ('Inputs-System'!$C$26*'Coincidence Factors'!$B$6*(1+'Inputs-System'!$C$18)*(1+'Inputs-System'!$C$42))*'Inputs-Proposals'!$M$22*VLOOKUP(AT$3,DRIPE!$A$54:$I$82,8,FALSE), $C69= "3", ( 'Inputs-System'!$C$30*'Coincidence Factors'!$B$9*(1+'Inputs-System'!$C$18)*(1+'Inputs-System'!$C$41))*('Inputs-Proposals'!$M$29*'Inputs-Proposals'!$M$31*(1-'Inputs-Proposals'!$M$32)^(AT$3-'Inputs-System'!$C$7))*(VLOOKUP(AT$3,DRIPE!$A$54:$I$82,5,FALSE)+VLOOKUP(AT$3,DRIPE!$A$54:$I$82,9,FALSE))+ ('Inputs-System'!$C$26*'Coincidence Factors'!$B$6*(1+'Inputs-System'!$C$18)*(1+'Inputs-System'!$C$42))*'Inputs-Proposals'!$M$28*VLOOKUP(AT$3,DRIPE!$A$54:$I$82,8,FALSE), $C69 = "0", 0), 0)</f>
        <v>0</v>
      </c>
      <c r="AW69" s="45">
        <f>IFERROR(_xlfn.IFS($C69="1",('Inputs-System'!$C$26*'Coincidence Factors'!$B$9*(1+'Inputs-System'!$C$18)*(1+'Inputs-System'!$C$42))*'Inputs-Proposals'!$D$16*(VLOOKUP(AT$3,Capacity!$A$53:$E$85,4,FALSE)*(1+'Inputs-System'!$C$42)+VLOOKUP(AT$3,Capacity!$A$53:$E$85,5,FALSE)*(1+'Inputs-System'!$C$43)*'Inputs-System'!$C$29), $C69 = "2", ('Inputs-System'!$C$26*'Coincidence Factors'!$B$9*(1+'Inputs-System'!$C$18))*'Inputs-Proposals'!$D$22*(VLOOKUP(AT$3,Capacity!$A$53:$E$85,4,FALSE)*(1+'Inputs-System'!$C$42)+VLOOKUP(AT$3,Capacity!$A$53:$E$85,5,FALSE)*'Inputs-System'!$C$29*(1+'Inputs-System'!$C$43)), $C69 = "3", ('Inputs-System'!$C$26*'Coincidence Factors'!$B$9*(1+'Inputs-System'!$C$18))*'Inputs-Proposals'!$D$28*(VLOOKUP(AT$3,Capacity!$A$53:$E$85,4,FALSE)*(1+'Inputs-System'!$C$42)+VLOOKUP(AT$3,Capacity!$A$53:$E$85,5,FALSE)*'Inputs-System'!$C$29*(1+'Inputs-System'!$C$43)), $C69 = "0", 0), 0)</f>
        <v>0</v>
      </c>
      <c r="AX69" s="44">
        <v>0</v>
      </c>
      <c r="AY69" s="342">
        <f>IFERROR(_xlfn.IFS($C69="1", 'Inputs-System'!$C$30*'Coincidence Factors'!$B$9*'Inputs-Proposals'!$M$17*'Inputs-Proposals'!$M$19*(VLOOKUP(AT$3,'Non-Embedded Emissions'!$A$56:$D$90,2,FALSE)-VLOOKUP(AT$3,'Non-Embedded Emissions'!$F$57:$H$88,2,FALSE)+VLOOKUP(AT$3,'Non-Embedded Emissions'!$A$143:$D$174,2,FALSE)-VLOOKUP(AT$3,'Non-Embedded Emissions'!$F$143:$H$174,2,FALSE)+VLOOKUP(AT$3,'Non-Embedded Emissions'!$A$230:$D$259,2,FALSE)), $C69 = "2", 'Inputs-System'!$C$30*'Coincidence Factors'!$B$9*'Inputs-Proposals'!$M$23*'Inputs-Proposals'!$M$25*(VLOOKUP(AT$3,'Non-Embedded Emissions'!$A$56:$D$90,2,FALSE)-VLOOKUP(AT$3,'Non-Embedded Emissions'!$F$57:$H$88,2,FALSE)+VLOOKUP(AT$3,'Non-Embedded Emissions'!$A$143:$D$174,2,FALSE)-VLOOKUP(AT$3,'Non-Embedded Emissions'!$F$143:$H$174,2,FALSE)+VLOOKUP(AT$3,'Non-Embedded Emissions'!$A$230:$D$259,2,FALSE)), $C69 = "3", 'Inputs-System'!$C$30*'Coincidence Factors'!$B$9*'Inputs-Proposals'!$M$29*'Inputs-Proposals'!$M$31*(VLOOKUP(AT$3,'Non-Embedded Emissions'!$A$56:$D$90,2,FALSE)-VLOOKUP(AT$3,'Non-Embedded Emissions'!$F$57:$H$88,2,FALSE)+VLOOKUP(AT$3,'Non-Embedded Emissions'!$A$143:$D$174,2,FALSE)-VLOOKUP(AT$3,'Non-Embedded Emissions'!$F$143:$H$174,2,FALSE)+VLOOKUP(AT$3,'Non-Embedded Emissions'!$A$230:$D$259,2,FALSE)), $C69 = "0", 0), 0)</f>
        <v>0</v>
      </c>
      <c r="AZ69" s="45">
        <f>IFERROR(_xlfn.IFS($C69="1",('Inputs-System'!$C$30*'Coincidence Factors'!$B$9*(1+'Inputs-System'!$C$18)*(1+'Inputs-System'!$C$41)*('Inputs-Proposals'!$M$17*'Inputs-Proposals'!$M$19*(1-'Inputs-Proposals'!$M$20^(AZ$3-'Inputs-System'!$C$7)))*(VLOOKUP(AZ$3,Energy!$A$51:$K$83,5,FALSE))), $C69 = "2",('Inputs-System'!$C$30*'Coincidence Factors'!$B$9)*(1+'Inputs-System'!$C$18)*(1+'Inputs-System'!$C$41)*('Inputs-Proposals'!$M$23*'Inputs-Proposals'!$M$25*(1-'Inputs-Proposals'!$M$26^(AZ$3-'Inputs-System'!$C$7)))*(VLOOKUP(AZ$3,Energy!$A$51:$K$83,5,FALSE)), $C69= "3", ('Inputs-System'!$C$30*'Coincidence Factors'!$B$9*(1+'Inputs-System'!$C$18)*(1+'Inputs-System'!$C$41)*('Inputs-Proposals'!$M$29*'Inputs-Proposals'!$M$31*(1-'Inputs-Proposals'!$M$32^(AZ$3-'Inputs-System'!$C$7)))*(VLOOKUP(AZ$3,Energy!$A$51:$K$83,5,FALSE))), $C69= "0", 0), 0)</f>
        <v>0</v>
      </c>
      <c r="BA69" s="44">
        <f>IFERROR(_xlfn.IFS($C69="1",('Inputs-System'!$C$30*'Coincidence Factors'!$B$9*(1+'Inputs-System'!$C$18)*(1+'Inputs-System'!$C$41))*'Inputs-Proposals'!$M$17*'Inputs-Proposals'!$M$19*(1-'Inputs-Proposals'!$M$20^(AZ$3-'Inputs-System'!$C$7))*(VLOOKUP(AZ$3,'Embedded Emissions'!$A$47:$B$78,2,FALSE)+VLOOKUP(AZ$3,'Embedded Emissions'!$A$129:$B$158,2,FALSE)), $C69 = "2",('Inputs-System'!$C$30*'Coincidence Factors'!$B$9*(1+'Inputs-System'!$C$18)*(1+'Inputs-System'!$C$41))*'Inputs-Proposals'!$M$23*'Inputs-Proposals'!$M$25*(1-'Inputs-Proposals'!$M$20^(AZ$3-'Inputs-System'!$C$7))*(VLOOKUP(AZ$3,'Embedded Emissions'!$A$47:$B$78,2,FALSE)+VLOOKUP(AZ$3,'Embedded Emissions'!$A$129:$B$158,2,FALSE)), $C69 = "3", ('Inputs-System'!$C$30*'Coincidence Factors'!$B$9*(1+'Inputs-System'!$C$18)*(1+'Inputs-System'!$C$41))*'Inputs-Proposals'!$M$29*'Inputs-Proposals'!$M$31*(1-'Inputs-Proposals'!$M$20^(AZ$3-'Inputs-System'!$C$7))*(VLOOKUP(AZ$3,'Embedded Emissions'!$A$47:$B$78,2,FALSE)+VLOOKUP(AZ$3,'Embedded Emissions'!$A$129:$B$158,2,FALSE)), $C69 = "0", 0), 0)</f>
        <v>0</v>
      </c>
      <c r="BB69" s="44">
        <f>IFERROR(_xlfn.IFS($C69="1",( 'Inputs-System'!$C$30*'Coincidence Factors'!$B$9*(1+'Inputs-System'!$C$18)*(1+'Inputs-System'!$C$41))*('Inputs-Proposals'!$M$17*'Inputs-Proposals'!$M$19*(1-'Inputs-Proposals'!$M$20)^(AZ$3-'Inputs-System'!$C$7))*(VLOOKUP(AZ$3,DRIPE!$A$54:$I$82,5,FALSE)+VLOOKUP(AZ$3,DRIPE!$A$54:$I$82,9,FALSE))+ ('Inputs-System'!$C$26*'Coincidence Factors'!$B$6*(1+'Inputs-System'!$C$18)*(1+'Inputs-System'!$C$42))*'Inputs-Proposals'!$M$16*VLOOKUP(AZ$3,DRIPE!$A$54:$I$82,8,FALSE), $C69 = "2",( 'Inputs-System'!$C$30*'Coincidence Factors'!$B$9*(1+'Inputs-System'!$C$18)*(1+'Inputs-System'!$C$41))*('Inputs-Proposals'!$M$23*'Inputs-Proposals'!$M$25*(1-'Inputs-Proposals'!$M$26)^(AZ$3-'Inputs-System'!$C$7))*(VLOOKUP(AZ$3,DRIPE!$A$54:$I$82,5,FALSE)+VLOOKUP(AZ$3,DRIPE!$A$54:$I$82,9,FALSE))+ ('Inputs-System'!$C$26*'Coincidence Factors'!$B$6*(1+'Inputs-System'!$C$18)*(1+'Inputs-System'!$C$42))*'Inputs-Proposals'!$M$22*VLOOKUP(AZ$3,DRIPE!$A$54:$I$82,8,FALSE), $C69= "3", ( 'Inputs-System'!$C$30*'Coincidence Factors'!$B$9*(1+'Inputs-System'!$C$18)*(1+'Inputs-System'!$C$41))*('Inputs-Proposals'!$M$29*'Inputs-Proposals'!$M$31*(1-'Inputs-Proposals'!$M$32)^(AZ$3-'Inputs-System'!$C$7))*(VLOOKUP(AZ$3,DRIPE!$A$54:$I$82,5,FALSE)+VLOOKUP(AZ$3,DRIPE!$A$54:$I$82,9,FALSE))+ ('Inputs-System'!$C$26*'Coincidence Factors'!$B$6*(1+'Inputs-System'!$C$18)*(1+'Inputs-System'!$C$42))*'Inputs-Proposals'!$M$28*VLOOKUP(AZ$3,DRIPE!$A$54:$I$82,8,FALSE), $C69 = "0", 0), 0)</f>
        <v>0</v>
      </c>
      <c r="BC69" s="45">
        <f>IFERROR(_xlfn.IFS($C69="1",('Inputs-System'!$C$26*'Coincidence Factors'!$B$9*(1+'Inputs-System'!$C$18)*(1+'Inputs-System'!$C$42))*'Inputs-Proposals'!$D$16*(VLOOKUP(AZ$3,Capacity!$A$53:$E$85,4,FALSE)*(1+'Inputs-System'!$C$42)+VLOOKUP(AZ$3,Capacity!$A$53:$E$85,5,FALSE)*(1+'Inputs-System'!$C$43)*'Inputs-System'!$C$29), $C69 = "2", ('Inputs-System'!$C$26*'Coincidence Factors'!$B$9*(1+'Inputs-System'!$C$18))*'Inputs-Proposals'!$D$22*(VLOOKUP(AZ$3,Capacity!$A$53:$E$85,4,FALSE)*(1+'Inputs-System'!$C$42)+VLOOKUP(AZ$3,Capacity!$A$53:$E$85,5,FALSE)*'Inputs-System'!$C$29*(1+'Inputs-System'!$C$43)), $C69 = "3", ('Inputs-System'!$C$26*'Coincidence Factors'!$B$9*(1+'Inputs-System'!$C$18))*'Inputs-Proposals'!$D$28*(VLOOKUP(AZ$3,Capacity!$A$53:$E$85,4,FALSE)*(1+'Inputs-System'!$C$42)+VLOOKUP(AZ$3,Capacity!$A$53:$E$85,5,FALSE)*'Inputs-System'!$C$29*(1+'Inputs-System'!$C$43)), $C69 = "0", 0), 0)</f>
        <v>0</v>
      </c>
      <c r="BD69" s="44">
        <v>0</v>
      </c>
      <c r="BE69" s="342">
        <f>IFERROR(_xlfn.IFS($C69="1", 'Inputs-System'!$C$30*'Coincidence Factors'!$B$9*'Inputs-Proposals'!$M$17*'Inputs-Proposals'!$M$19*(VLOOKUP(AZ$3,'Non-Embedded Emissions'!$A$56:$D$90,2,FALSE)-VLOOKUP(AZ$3,'Non-Embedded Emissions'!$F$57:$H$88,2,FALSE)+VLOOKUP(AZ$3,'Non-Embedded Emissions'!$A$143:$D$174,2,FALSE)-VLOOKUP(AZ$3,'Non-Embedded Emissions'!$F$143:$H$174,2,FALSE)+VLOOKUP(AZ$3,'Non-Embedded Emissions'!$A$230:$D$259,2,FALSE)), $C69 = "2", 'Inputs-System'!$C$30*'Coincidence Factors'!$B$9*'Inputs-Proposals'!$M$23*'Inputs-Proposals'!$M$25*(VLOOKUP(AZ$3,'Non-Embedded Emissions'!$A$56:$D$90,2,FALSE)-VLOOKUP(AZ$3,'Non-Embedded Emissions'!$F$57:$H$88,2,FALSE)+VLOOKUP(AZ$3,'Non-Embedded Emissions'!$A$143:$D$174,2,FALSE)-VLOOKUP(AZ$3,'Non-Embedded Emissions'!$F$143:$H$174,2,FALSE)+VLOOKUP(AZ$3,'Non-Embedded Emissions'!$A$230:$D$259,2,FALSE)), $C69 = "3", 'Inputs-System'!$C$30*'Coincidence Factors'!$B$9*'Inputs-Proposals'!$M$29*'Inputs-Proposals'!$M$31*(VLOOKUP(AZ$3,'Non-Embedded Emissions'!$A$56:$D$90,2,FALSE)-VLOOKUP(AZ$3,'Non-Embedded Emissions'!$F$57:$H$88,2,FALSE)+VLOOKUP(AZ$3,'Non-Embedded Emissions'!$A$143:$D$174,2,FALSE)-VLOOKUP(AZ$3,'Non-Embedded Emissions'!$F$143:$H$174,2,FALSE)+VLOOKUP(AZ$3,'Non-Embedded Emissions'!$A$230:$D$259,2,FALSE)), $C69 = "0", 0), 0)</f>
        <v>0</v>
      </c>
      <c r="BF69" s="45">
        <f>IFERROR(_xlfn.IFS($C69="1",('Inputs-System'!$C$30*'Coincidence Factors'!$B$9*(1+'Inputs-System'!$C$18)*(1+'Inputs-System'!$C$41)*('Inputs-Proposals'!$M$17*'Inputs-Proposals'!$M$19*(1-'Inputs-Proposals'!$M$20^(BF$3-'Inputs-System'!$C$7)))*(VLOOKUP(BF$3,Energy!$A$51:$K$83,5,FALSE))), $C69 = "2",('Inputs-System'!$C$30*'Coincidence Factors'!$B$9)*(1+'Inputs-System'!$C$18)*(1+'Inputs-System'!$C$41)*('Inputs-Proposals'!$M$23*'Inputs-Proposals'!$M$25*(1-'Inputs-Proposals'!$M$26^(BF$3-'Inputs-System'!$C$7)))*(VLOOKUP(BF$3,Energy!$A$51:$K$83,5,FALSE)), $C69= "3", ('Inputs-System'!$C$30*'Coincidence Factors'!$B$9*(1+'Inputs-System'!$C$18)*(1+'Inputs-System'!$C$41)*('Inputs-Proposals'!$M$29*'Inputs-Proposals'!$M$31*(1-'Inputs-Proposals'!$M$32^(BF$3-'Inputs-System'!$C$7)))*(VLOOKUP(BF$3,Energy!$A$51:$K$83,5,FALSE))), $C69= "0", 0), 0)</f>
        <v>0</v>
      </c>
      <c r="BG69" s="44">
        <f>IFERROR(_xlfn.IFS($C69="1",('Inputs-System'!$C$30*'Coincidence Factors'!$B$9*(1+'Inputs-System'!$C$18)*(1+'Inputs-System'!$C$41))*'Inputs-Proposals'!$M$17*'Inputs-Proposals'!$M$19*(1-'Inputs-Proposals'!$M$20^(BF$3-'Inputs-System'!$C$7))*(VLOOKUP(BF$3,'Embedded Emissions'!$A$47:$B$78,2,FALSE)+VLOOKUP(BF$3,'Embedded Emissions'!$A$129:$B$158,2,FALSE)), $C69 = "2",('Inputs-System'!$C$30*'Coincidence Factors'!$B$9*(1+'Inputs-System'!$C$18)*(1+'Inputs-System'!$C$41))*'Inputs-Proposals'!$M$23*'Inputs-Proposals'!$M$25*(1-'Inputs-Proposals'!$M$20^(BF$3-'Inputs-System'!$C$7))*(VLOOKUP(BF$3,'Embedded Emissions'!$A$47:$B$78,2,FALSE)+VLOOKUP(BF$3,'Embedded Emissions'!$A$129:$B$158,2,FALSE)), $C69 = "3", ('Inputs-System'!$C$30*'Coincidence Factors'!$B$9*(1+'Inputs-System'!$C$18)*(1+'Inputs-System'!$C$41))*'Inputs-Proposals'!$M$29*'Inputs-Proposals'!$M$31*(1-'Inputs-Proposals'!$M$20^(BF$3-'Inputs-System'!$C$7))*(VLOOKUP(BF$3,'Embedded Emissions'!$A$47:$B$78,2,FALSE)+VLOOKUP(BF$3,'Embedded Emissions'!$A$129:$B$158,2,FALSE)), $C69 = "0", 0), 0)</f>
        <v>0</v>
      </c>
      <c r="BH69" s="44">
        <f>IFERROR(_xlfn.IFS($C69="1",( 'Inputs-System'!$C$30*'Coincidence Factors'!$B$9*(1+'Inputs-System'!$C$18)*(1+'Inputs-System'!$C$41))*('Inputs-Proposals'!$M$17*'Inputs-Proposals'!$M$19*(1-'Inputs-Proposals'!$M$20)^(BF$3-'Inputs-System'!$C$7))*(VLOOKUP(BF$3,DRIPE!$A$54:$I$82,5,FALSE)+VLOOKUP(BF$3,DRIPE!$A$54:$I$82,9,FALSE))+ ('Inputs-System'!$C$26*'Coincidence Factors'!$B$6*(1+'Inputs-System'!$C$18)*(1+'Inputs-System'!$C$42))*'Inputs-Proposals'!$M$16*VLOOKUP(BF$3,DRIPE!$A$54:$I$82,8,FALSE), $C69 = "2",( 'Inputs-System'!$C$30*'Coincidence Factors'!$B$9*(1+'Inputs-System'!$C$18)*(1+'Inputs-System'!$C$41))*('Inputs-Proposals'!$M$23*'Inputs-Proposals'!$M$25*(1-'Inputs-Proposals'!$M$26)^(BF$3-'Inputs-System'!$C$7))*(VLOOKUP(BF$3,DRIPE!$A$54:$I$82,5,FALSE)+VLOOKUP(BF$3,DRIPE!$A$54:$I$82,9,FALSE))+ ('Inputs-System'!$C$26*'Coincidence Factors'!$B$6*(1+'Inputs-System'!$C$18)*(1+'Inputs-System'!$C$42))*'Inputs-Proposals'!$M$22*VLOOKUP(BF$3,DRIPE!$A$54:$I$82,8,FALSE), $C69= "3", ( 'Inputs-System'!$C$30*'Coincidence Factors'!$B$9*(1+'Inputs-System'!$C$18)*(1+'Inputs-System'!$C$41))*('Inputs-Proposals'!$M$29*'Inputs-Proposals'!$M$31*(1-'Inputs-Proposals'!$M$32)^(BF$3-'Inputs-System'!$C$7))*(VLOOKUP(BF$3,DRIPE!$A$54:$I$82,5,FALSE)+VLOOKUP(BF$3,DRIPE!$A$54:$I$82,9,FALSE))+ ('Inputs-System'!$C$26*'Coincidence Factors'!$B$6*(1+'Inputs-System'!$C$18)*(1+'Inputs-System'!$C$42))*'Inputs-Proposals'!$M$28*VLOOKUP(BF$3,DRIPE!$A$54:$I$82,8,FALSE), $C69 = "0", 0), 0)</f>
        <v>0</v>
      </c>
      <c r="BI69" s="45">
        <f>IFERROR(_xlfn.IFS($C69="1",('Inputs-System'!$C$26*'Coincidence Factors'!$B$9*(1+'Inputs-System'!$C$18)*(1+'Inputs-System'!$C$42))*'Inputs-Proposals'!$D$16*(VLOOKUP(BF$3,Capacity!$A$53:$E$85,4,FALSE)*(1+'Inputs-System'!$C$42)+VLOOKUP(BF$3,Capacity!$A$53:$E$85,5,FALSE)*(1+'Inputs-System'!$C$43)*'Inputs-System'!$C$29), $C69 = "2", ('Inputs-System'!$C$26*'Coincidence Factors'!$B$9*(1+'Inputs-System'!$C$18))*'Inputs-Proposals'!$D$22*(VLOOKUP(BF$3,Capacity!$A$53:$E$85,4,FALSE)*(1+'Inputs-System'!$C$42)+VLOOKUP(BF$3,Capacity!$A$53:$E$85,5,FALSE)*'Inputs-System'!$C$29*(1+'Inputs-System'!$C$43)), $C69 = "3", ('Inputs-System'!$C$26*'Coincidence Factors'!$B$9*(1+'Inputs-System'!$C$18))*'Inputs-Proposals'!$D$28*(VLOOKUP(BF$3,Capacity!$A$53:$E$85,4,FALSE)*(1+'Inputs-System'!$C$42)+VLOOKUP(BF$3,Capacity!$A$53:$E$85,5,FALSE)*'Inputs-System'!$C$29*(1+'Inputs-System'!$C$43)), $C69 = "0", 0), 0)</f>
        <v>0</v>
      </c>
      <c r="BJ69" s="44">
        <v>0</v>
      </c>
      <c r="BK69" s="342">
        <f>IFERROR(_xlfn.IFS($C69="1", 'Inputs-System'!$C$30*'Coincidence Factors'!$B$9*'Inputs-Proposals'!$M$17*'Inputs-Proposals'!$M$19*(VLOOKUP(BF$3,'Non-Embedded Emissions'!$A$56:$D$90,2,FALSE)-VLOOKUP(BF$3,'Non-Embedded Emissions'!$F$57:$H$88,2,FALSE)+VLOOKUP(BF$3,'Non-Embedded Emissions'!$A$143:$D$174,2,FALSE)-VLOOKUP(BF$3,'Non-Embedded Emissions'!$F$143:$H$174,2,FALSE)+VLOOKUP(BF$3,'Non-Embedded Emissions'!$A$230:$D$259,2,FALSE)), $C69 = "2", 'Inputs-System'!$C$30*'Coincidence Factors'!$B$9*'Inputs-Proposals'!$M$23*'Inputs-Proposals'!$M$25*(VLOOKUP(BF$3,'Non-Embedded Emissions'!$A$56:$D$90,2,FALSE)-VLOOKUP(BF$3,'Non-Embedded Emissions'!$F$57:$H$88,2,FALSE)+VLOOKUP(BF$3,'Non-Embedded Emissions'!$A$143:$D$174,2,FALSE)-VLOOKUP(BF$3,'Non-Embedded Emissions'!$F$143:$H$174,2,FALSE)+VLOOKUP(BF$3,'Non-Embedded Emissions'!$A$230:$D$259,2,FALSE)), $C69 = "3", 'Inputs-System'!$C$30*'Coincidence Factors'!$B$9*'Inputs-Proposals'!$M$29*'Inputs-Proposals'!$M$31*(VLOOKUP(BF$3,'Non-Embedded Emissions'!$A$56:$D$90,2,FALSE)-VLOOKUP(BF$3,'Non-Embedded Emissions'!$F$57:$H$88,2,FALSE)+VLOOKUP(BF$3,'Non-Embedded Emissions'!$A$143:$D$174,2,FALSE)-VLOOKUP(BF$3,'Non-Embedded Emissions'!$F$143:$H$174,2,FALSE)+VLOOKUP(BF$3,'Non-Embedded Emissions'!$A$230:$D$259,2,FALSE)), $C69 = "0", 0), 0)</f>
        <v>0</v>
      </c>
      <c r="BL69" s="45">
        <f>IFERROR(_xlfn.IFS($C69="1",('Inputs-System'!$C$30*'Coincidence Factors'!$B$9*(1+'Inputs-System'!$C$18)*(1+'Inputs-System'!$C$41)*('Inputs-Proposals'!$M$17*'Inputs-Proposals'!$M$19*(1-'Inputs-Proposals'!$M$20^(BL$3-'Inputs-System'!$C$7)))*(VLOOKUP(BL$3,Energy!$A$51:$K$83,5,FALSE))), $C69 = "2",('Inputs-System'!$C$30*'Coincidence Factors'!$B$9)*(1+'Inputs-System'!$C$18)*(1+'Inputs-System'!$C$41)*('Inputs-Proposals'!$M$23*'Inputs-Proposals'!$M$25*(1-'Inputs-Proposals'!$M$26^(BL$3-'Inputs-System'!$C$7)))*(VLOOKUP(BL$3,Energy!$A$51:$K$83,5,FALSE)), $C69= "3", ('Inputs-System'!$C$30*'Coincidence Factors'!$B$9*(1+'Inputs-System'!$C$18)*(1+'Inputs-System'!$C$41)*('Inputs-Proposals'!$M$29*'Inputs-Proposals'!$M$31*(1-'Inputs-Proposals'!$M$32^(BL$3-'Inputs-System'!$C$7)))*(VLOOKUP(BL$3,Energy!$A$51:$K$83,5,FALSE))), $C69= "0", 0), 0)</f>
        <v>0</v>
      </c>
      <c r="BM69" s="44">
        <f>IFERROR(_xlfn.IFS($C69="1",('Inputs-System'!$C$30*'Coincidence Factors'!$B$9*(1+'Inputs-System'!$C$18)*(1+'Inputs-System'!$C$41))*'Inputs-Proposals'!$M$17*'Inputs-Proposals'!$M$19*(1-'Inputs-Proposals'!$M$20^(BL$3-'Inputs-System'!$C$7))*(VLOOKUP(BL$3,'Embedded Emissions'!$A$47:$B$78,2,FALSE)+VLOOKUP(BL$3,'Embedded Emissions'!$A$129:$B$158,2,FALSE)), $C69 = "2",('Inputs-System'!$C$30*'Coincidence Factors'!$B$9*(1+'Inputs-System'!$C$18)*(1+'Inputs-System'!$C$41))*'Inputs-Proposals'!$M$23*'Inputs-Proposals'!$M$25*(1-'Inputs-Proposals'!$M$20^(BL$3-'Inputs-System'!$C$7))*(VLOOKUP(BL$3,'Embedded Emissions'!$A$47:$B$78,2,FALSE)+VLOOKUP(BL$3,'Embedded Emissions'!$A$129:$B$158,2,FALSE)), $C69 = "3", ('Inputs-System'!$C$30*'Coincidence Factors'!$B$9*(1+'Inputs-System'!$C$18)*(1+'Inputs-System'!$C$41))*'Inputs-Proposals'!$M$29*'Inputs-Proposals'!$M$31*(1-'Inputs-Proposals'!$M$20^(BL$3-'Inputs-System'!$C$7))*(VLOOKUP(BL$3,'Embedded Emissions'!$A$47:$B$78,2,FALSE)+VLOOKUP(BL$3,'Embedded Emissions'!$A$129:$B$158,2,FALSE)), $C69 = "0", 0), 0)</f>
        <v>0</v>
      </c>
      <c r="BN69" s="44">
        <f>IFERROR(_xlfn.IFS($C69="1",( 'Inputs-System'!$C$30*'Coincidence Factors'!$B$9*(1+'Inputs-System'!$C$18)*(1+'Inputs-System'!$C$41))*('Inputs-Proposals'!$M$17*'Inputs-Proposals'!$M$19*(1-'Inputs-Proposals'!$M$20)^(BL$3-'Inputs-System'!$C$7))*(VLOOKUP(BL$3,DRIPE!$A$54:$I$82,5,FALSE)+VLOOKUP(BL$3,DRIPE!$A$54:$I$82,9,FALSE))+ ('Inputs-System'!$C$26*'Coincidence Factors'!$B$6*(1+'Inputs-System'!$C$18)*(1+'Inputs-System'!$C$42))*'Inputs-Proposals'!$M$16*VLOOKUP(BL$3,DRIPE!$A$54:$I$82,8,FALSE), $C69 = "2",( 'Inputs-System'!$C$30*'Coincidence Factors'!$B$9*(1+'Inputs-System'!$C$18)*(1+'Inputs-System'!$C$41))*('Inputs-Proposals'!$M$23*'Inputs-Proposals'!$M$25*(1-'Inputs-Proposals'!$M$26)^(BL$3-'Inputs-System'!$C$7))*(VLOOKUP(BL$3,DRIPE!$A$54:$I$82,5,FALSE)+VLOOKUP(BL$3,DRIPE!$A$54:$I$82,9,FALSE))+ ('Inputs-System'!$C$26*'Coincidence Factors'!$B$6*(1+'Inputs-System'!$C$18)*(1+'Inputs-System'!$C$42))*'Inputs-Proposals'!$M$22*VLOOKUP(BL$3,DRIPE!$A$54:$I$82,8,FALSE), $C69= "3", ( 'Inputs-System'!$C$30*'Coincidence Factors'!$B$9*(1+'Inputs-System'!$C$18)*(1+'Inputs-System'!$C$41))*('Inputs-Proposals'!$M$29*'Inputs-Proposals'!$M$31*(1-'Inputs-Proposals'!$M$32)^(BL$3-'Inputs-System'!$C$7))*(VLOOKUP(BL$3,DRIPE!$A$54:$I$82,5,FALSE)+VLOOKUP(BL$3,DRIPE!$A$54:$I$82,9,FALSE))+ ('Inputs-System'!$C$26*'Coincidence Factors'!$B$6*(1+'Inputs-System'!$C$18)*(1+'Inputs-System'!$C$42))*'Inputs-Proposals'!$M$28*VLOOKUP(BL$3,DRIPE!$A$54:$I$82,8,FALSE), $C69 = "0", 0), 0)</f>
        <v>0</v>
      </c>
      <c r="BO69" s="45">
        <f>IFERROR(_xlfn.IFS($C69="1",('Inputs-System'!$C$26*'Coincidence Factors'!$B$9*(1+'Inputs-System'!$C$18)*(1+'Inputs-System'!$C$42))*'Inputs-Proposals'!$D$16*(VLOOKUP(BL$3,Capacity!$A$53:$E$85,4,FALSE)*(1+'Inputs-System'!$C$42)+VLOOKUP(BL$3,Capacity!$A$53:$E$85,5,FALSE)*(1+'Inputs-System'!$C$43)*'Inputs-System'!$C$29), $C69 = "2", ('Inputs-System'!$C$26*'Coincidence Factors'!$B$9*(1+'Inputs-System'!$C$18))*'Inputs-Proposals'!$D$22*(VLOOKUP(BL$3,Capacity!$A$53:$E$85,4,FALSE)*(1+'Inputs-System'!$C$42)+VLOOKUP(BL$3,Capacity!$A$53:$E$85,5,FALSE)*'Inputs-System'!$C$29*(1+'Inputs-System'!$C$43)), $C69 = "3", ('Inputs-System'!$C$26*'Coincidence Factors'!$B$9*(1+'Inputs-System'!$C$18))*'Inputs-Proposals'!$D$28*(VLOOKUP(BL$3,Capacity!$A$53:$E$85,4,FALSE)*(1+'Inputs-System'!$C$42)+VLOOKUP(BL$3,Capacity!$A$53:$E$85,5,FALSE)*'Inputs-System'!$C$29*(1+'Inputs-System'!$C$43)), $C69 = "0", 0), 0)</f>
        <v>0</v>
      </c>
      <c r="BP69" s="44">
        <v>0</v>
      </c>
      <c r="BQ69" s="342">
        <f>IFERROR(_xlfn.IFS($C69="1", 'Inputs-System'!$C$30*'Coincidence Factors'!$B$9*'Inputs-Proposals'!$M$17*'Inputs-Proposals'!$M$19*(VLOOKUP(BL$3,'Non-Embedded Emissions'!$A$56:$D$90,2,FALSE)-VLOOKUP(BL$3,'Non-Embedded Emissions'!$F$57:$H$88,2,FALSE)+VLOOKUP(BL$3,'Non-Embedded Emissions'!$A$143:$D$174,2,FALSE)-VLOOKUP(BL$3,'Non-Embedded Emissions'!$F$143:$H$174,2,FALSE)+VLOOKUP(BL$3,'Non-Embedded Emissions'!$A$230:$D$259,2,FALSE)), $C69 = "2", 'Inputs-System'!$C$30*'Coincidence Factors'!$B$9*'Inputs-Proposals'!$M$23*'Inputs-Proposals'!$M$25*(VLOOKUP(BL$3,'Non-Embedded Emissions'!$A$56:$D$90,2,FALSE)-VLOOKUP(BL$3,'Non-Embedded Emissions'!$F$57:$H$88,2,FALSE)+VLOOKUP(BL$3,'Non-Embedded Emissions'!$A$143:$D$174,2,FALSE)-VLOOKUP(BL$3,'Non-Embedded Emissions'!$F$143:$H$174,2,FALSE)+VLOOKUP(BL$3,'Non-Embedded Emissions'!$A$230:$D$259,2,FALSE)), $C69 = "3", 'Inputs-System'!$C$30*'Coincidence Factors'!$B$9*'Inputs-Proposals'!$M$29*'Inputs-Proposals'!$M$31*(VLOOKUP(BL$3,'Non-Embedded Emissions'!$A$56:$D$90,2,FALSE)-VLOOKUP(BL$3,'Non-Embedded Emissions'!$F$57:$H$88,2,FALSE)+VLOOKUP(BL$3,'Non-Embedded Emissions'!$A$143:$D$174,2,FALSE)-VLOOKUP(BL$3,'Non-Embedded Emissions'!$F$143:$H$174,2,FALSE)+VLOOKUP(BL$3,'Non-Embedded Emissions'!$A$230:$D$259,2,FALSE)), $C69 = "0", 0), 0)</f>
        <v>0</v>
      </c>
      <c r="BR69" s="45">
        <f>IFERROR(_xlfn.IFS($C69="1",('Inputs-System'!$C$30*'Coincidence Factors'!$B$9*(1+'Inputs-System'!$C$18)*(1+'Inputs-System'!$C$41)*('Inputs-Proposals'!$M$17*'Inputs-Proposals'!$M$19*(1-'Inputs-Proposals'!$M$20^(BR$3-'Inputs-System'!$C$7)))*(VLOOKUP(BR$3,Energy!$A$51:$K$83,5,FALSE))), $C69 = "2",('Inputs-System'!$C$30*'Coincidence Factors'!$B$9)*(1+'Inputs-System'!$C$18)*(1+'Inputs-System'!$C$41)*('Inputs-Proposals'!$M$23*'Inputs-Proposals'!$M$25*(1-'Inputs-Proposals'!$M$26^(BR$3-'Inputs-System'!$C$7)))*(VLOOKUP(BR$3,Energy!$A$51:$K$83,5,FALSE)), $C69= "3", ('Inputs-System'!$C$30*'Coincidence Factors'!$B$9*(1+'Inputs-System'!$C$18)*(1+'Inputs-System'!$C$41)*('Inputs-Proposals'!$M$29*'Inputs-Proposals'!$M$31*(1-'Inputs-Proposals'!$M$32^(BR$3-'Inputs-System'!$C$7)))*(VLOOKUP(BR$3,Energy!$A$51:$K$83,5,FALSE))), $C69= "0", 0), 0)</f>
        <v>0</v>
      </c>
      <c r="BS69" s="44">
        <f>IFERROR(_xlfn.IFS($C69="1",('Inputs-System'!$C$30*'Coincidence Factors'!$B$9*(1+'Inputs-System'!$C$18)*(1+'Inputs-System'!$C$41))*'Inputs-Proposals'!$M$17*'Inputs-Proposals'!$M$19*(1-'Inputs-Proposals'!$M$20^(BR$3-'Inputs-System'!$C$7))*(VLOOKUP(BR$3,'Embedded Emissions'!$A$47:$B$78,2,FALSE)+VLOOKUP(BR$3,'Embedded Emissions'!$A$129:$B$158,2,FALSE)), $C69 = "2",('Inputs-System'!$C$30*'Coincidence Factors'!$B$9*(1+'Inputs-System'!$C$18)*(1+'Inputs-System'!$C$41))*'Inputs-Proposals'!$M$23*'Inputs-Proposals'!$M$25*(1-'Inputs-Proposals'!$M$20^(BR$3-'Inputs-System'!$C$7))*(VLOOKUP(BR$3,'Embedded Emissions'!$A$47:$B$78,2,FALSE)+VLOOKUP(BR$3,'Embedded Emissions'!$A$129:$B$158,2,FALSE)), $C69 = "3", ('Inputs-System'!$C$30*'Coincidence Factors'!$B$9*(1+'Inputs-System'!$C$18)*(1+'Inputs-System'!$C$41))*'Inputs-Proposals'!$M$29*'Inputs-Proposals'!$M$31*(1-'Inputs-Proposals'!$M$20^(BR$3-'Inputs-System'!$C$7))*(VLOOKUP(BR$3,'Embedded Emissions'!$A$47:$B$78,2,FALSE)+VLOOKUP(BR$3,'Embedded Emissions'!$A$129:$B$158,2,FALSE)), $C69 = "0", 0), 0)</f>
        <v>0</v>
      </c>
      <c r="BT69" s="44">
        <f>IFERROR(_xlfn.IFS($C69="1",( 'Inputs-System'!$C$30*'Coincidence Factors'!$B$9*(1+'Inputs-System'!$C$18)*(1+'Inputs-System'!$C$41))*('Inputs-Proposals'!$M$17*'Inputs-Proposals'!$M$19*(1-'Inputs-Proposals'!$M$20)^(BR$3-'Inputs-System'!$C$7))*(VLOOKUP(BR$3,DRIPE!$A$54:$I$82,5,FALSE)+VLOOKUP(BR$3,DRIPE!$A$54:$I$82,9,FALSE))+ ('Inputs-System'!$C$26*'Coincidence Factors'!$B$6*(1+'Inputs-System'!$C$18)*(1+'Inputs-System'!$C$42))*'Inputs-Proposals'!$M$16*VLOOKUP(BR$3,DRIPE!$A$54:$I$82,8,FALSE), $C69 = "2",( 'Inputs-System'!$C$30*'Coincidence Factors'!$B$9*(1+'Inputs-System'!$C$18)*(1+'Inputs-System'!$C$41))*('Inputs-Proposals'!$M$23*'Inputs-Proposals'!$M$25*(1-'Inputs-Proposals'!$M$26)^(BR$3-'Inputs-System'!$C$7))*(VLOOKUP(BR$3,DRIPE!$A$54:$I$82,5,FALSE)+VLOOKUP(BR$3,DRIPE!$A$54:$I$82,9,FALSE))+ ('Inputs-System'!$C$26*'Coincidence Factors'!$B$6*(1+'Inputs-System'!$C$18)*(1+'Inputs-System'!$C$42))*'Inputs-Proposals'!$M$22*VLOOKUP(BR$3,DRIPE!$A$54:$I$82,8,FALSE), $C69= "3", ( 'Inputs-System'!$C$30*'Coincidence Factors'!$B$9*(1+'Inputs-System'!$C$18)*(1+'Inputs-System'!$C$41))*('Inputs-Proposals'!$M$29*'Inputs-Proposals'!$M$31*(1-'Inputs-Proposals'!$M$32)^(BR$3-'Inputs-System'!$C$7))*(VLOOKUP(BR$3,DRIPE!$A$54:$I$82,5,FALSE)+VLOOKUP(BR$3,DRIPE!$A$54:$I$82,9,FALSE))+ ('Inputs-System'!$C$26*'Coincidence Factors'!$B$6*(1+'Inputs-System'!$C$18)*(1+'Inputs-System'!$C$42))*'Inputs-Proposals'!$M$28*VLOOKUP(BR$3,DRIPE!$A$54:$I$82,8,FALSE), $C69 = "0", 0), 0)</f>
        <v>0</v>
      </c>
      <c r="BU69" s="45">
        <f>IFERROR(_xlfn.IFS($C69="1",('Inputs-System'!$C$26*'Coincidence Factors'!$B$9*(1+'Inputs-System'!$C$18)*(1+'Inputs-System'!$C$42))*'Inputs-Proposals'!$D$16*(VLOOKUP(BR$3,Capacity!$A$53:$E$85,4,FALSE)*(1+'Inputs-System'!$C$42)+VLOOKUP(BR$3,Capacity!$A$53:$E$85,5,FALSE)*(1+'Inputs-System'!$C$43)*'Inputs-System'!$C$29), $C69 = "2", ('Inputs-System'!$C$26*'Coincidence Factors'!$B$9*(1+'Inputs-System'!$C$18))*'Inputs-Proposals'!$D$22*(VLOOKUP(BR$3,Capacity!$A$53:$E$85,4,FALSE)*(1+'Inputs-System'!$C$42)+VLOOKUP(BR$3,Capacity!$A$53:$E$85,5,FALSE)*'Inputs-System'!$C$29*(1+'Inputs-System'!$C$43)), $C69 = "3", ('Inputs-System'!$C$26*'Coincidence Factors'!$B$9*(1+'Inputs-System'!$C$18))*'Inputs-Proposals'!$D$28*(VLOOKUP(BR$3,Capacity!$A$53:$E$85,4,FALSE)*(1+'Inputs-System'!$C$42)+VLOOKUP(BR$3,Capacity!$A$53:$E$85,5,FALSE)*'Inputs-System'!$C$29*(1+'Inputs-System'!$C$43)), $C69 = "0", 0), 0)</f>
        <v>0</v>
      </c>
      <c r="BV69" s="44">
        <v>0</v>
      </c>
      <c r="BW69" s="342">
        <f>IFERROR(_xlfn.IFS($C69="1", 'Inputs-System'!$C$30*'Coincidence Factors'!$B$9*'Inputs-Proposals'!$M$17*'Inputs-Proposals'!$M$19*(VLOOKUP(BR$3,'Non-Embedded Emissions'!$A$56:$D$90,2,FALSE)-VLOOKUP(BR$3,'Non-Embedded Emissions'!$F$57:$H$88,2,FALSE)+VLOOKUP(BR$3,'Non-Embedded Emissions'!$A$143:$D$174,2,FALSE)-VLOOKUP(BR$3,'Non-Embedded Emissions'!$F$143:$H$174,2,FALSE)+VLOOKUP(BR$3,'Non-Embedded Emissions'!$A$230:$D$259,2,FALSE)), $C69 = "2", 'Inputs-System'!$C$30*'Coincidence Factors'!$B$9*'Inputs-Proposals'!$M$23*'Inputs-Proposals'!$M$25*(VLOOKUP(BR$3,'Non-Embedded Emissions'!$A$56:$D$90,2,FALSE)-VLOOKUP(BR$3,'Non-Embedded Emissions'!$F$57:$H$88,2,FALSE)+VLOOKUP(BR$3,'Non-Embedded Emissions'!$A$143:$D$174,2,FALSE)-VLOOKUP(BR$3,'Non-Embedded Emissions'!$F$143:$H$174,2,FALSE)+VLOOKUP(BR$3,'Non-Embedded Emissions'!$A$230:$D$259,2,FALSE)), $C69 = "3", 'Inputs-System'!$C$30*'Coincidence Factors'!$B$9*'Inputs-Proposals'!$M$29*'Inputs-Proposals'!$M$31*(VLOOKUP(BR$3,'Non-Embedded Emissions'!$A$56:$D$90,2,FALSE)-VLOOKUP(BR$3,'Non-Embedded Emissions'!$F$57:$H$88,2,FALSE)+VLOOKUP(BR$3,'Non-Embedded Emissions'!$A$143:$D$174,2,FALSE)-VLOOKUP(BR$3,'Non-Embedded Emissions'!$F$143:$H$174,2,FALSE)+VLOOKUP(BR$3,'Non-Embedded Emissions'!$A$230:$D$259,2,FALSE)), $C69 = "0", 0), 0)</f>
        <v>0</v>
      </c>
      <c r="BX69" s="45">
        <f>IFERROR(_xlfn.IFS($C69="1",('Inputs-System'!$C$30*'Coincidence Factors'!$B$9*(1+'Inputs-System'!$C$18)*(1+'Inputs-System'!$C$41)*('Inputs-Proposals'!$M$17*'Inputs-Proposals'!$M$19*(1-'Inputs-Proposals'!$M$20^(BX$3-'Inputs-System'!$C$7)))*(VLOOKUP(BX$3,Energy!$A$51:$K$83,5,FALSE))), $C69 = "2",('Inputs-System'!$C$30*'Coincidence Factors'!$B$9)*(1+'Inputs-System'!$C$18)*(1+'Inputs-System'!$C$41)*('Inputs-Proposals'!$M$23*'Inputs-Proposals'!$M$25*(1-'Inputs-Proposals'!$M$26^(BX$3-'Inputs-System'!$C$7)))*(VLOOKUP(BX$3,Energy!$A$51:$K$83,5,FALSE)), $C69= "3", ('Inputs-System'!$C$30*'Coincidence Factors'!$B$9*(1+'Inputs-System'!$C$18)*(1+'Inputs-System'!$C$41)*('Inputs-Proposals'!$M$29*'Inputs-Proposals'!$M$31*(1-'Inputs-Proposals'!$M$32^(BX$3-'Inputs-System'!$C$7)))*(VLOOKUP(BX$3,Energy!$A$51:$K$83,5,FALSE))), $C69= "0", 0), 0)</f>
        <v>0</v>
      </c>
      <c r="BY69" s="44">
        <f>IFERROR(_xlfn.IFS($C69="1",('Inputs-System'!$C$30*'Coincidence Factors'!$B$9*(1+'Inputs-System'!$C$18)*(1+'Inputs-System'!$C$41))*'Inputs-Proposals'!$M$17*'Inputs-Proposals'!$M$19*(1-'Inputs-Proposals'!$M$20^(BX$3-'Inputs-System'!$C$7))*(VLOOKUP(BX$3,'Embedded Emissions'!$A$47:$B$78,2,FALSE)+VLOOKUP(BX$3,'Embedded Emissions'!$A$129:$B$158,2,FALSE)), $C69 = "2",('Inputs-System'!$C$30*'Coincidence Factors'!$B$9*(1+'Inputs-System'!$C$18)*(1+'Inputs-System'!$C$41))*'Inputs-Proposals'!$M$23*'Inputs-Proposals'!$M$25*(1-'Inputs-Proposals'!$M$20^(BX$3-'Inputs-System'!$C$7))*(VLOOKUP(BX$3,'Embedded Emissions'!$A$47:$B$78,2,FALSE)+VLOOKUP(BX$3,'Embedded Emissions'!$A$129:$B$158,2,FALSE)), $C69 = "3", ('Inputs-System'!$C$30*'Coincidence Factors'!$B$9*(1+'Inputs-System'!$C$18)*(1+'Inputs-System'!$C$41))*'Inputs-Proposals'!$M$29*'Inputs-Proposals'!$M$31*(1-'Inputs-Proposals'!$M$20^(BX$3-'Inputs-System'!$C$7))*(VLOOKUP(BX$3,'Embedded Emissions'!$A$47:$B$78,2,FALSE)+VLOOKUP(BX$3,'Embedded Emissions'!$A$129:$B$158,2,FALSE)), $C69 = "0", 0), 0)</f>
        <v>0</v>
      </c>
      <c r="BZ69" s="44">
        <f>IFERROR(_xlfn.IFS($C69="1",( 'Inputs-System'!$C$30*'Coincidence Factors'!$B$9*(1+'Inputs-System'!$C$18)*(1+'Inputs-System'!$C$41))*('Inputs-Proposals'!$M$17*'Inputs-Proposals'!$M$19*(1-'Inputs-Proposals'!$M$20)^(BX$3-'Inputs-System'!$C$7))*(VLOOKUP(BX$3,DRIPE!$A$54:$I$82,5,FALSE)+VLOOKUP(BX$3,DRIPE!$A$54:$I$82,9,FALSE))+ ('Inputs-System'!$C$26*'Coincidence Factors'!$B$6*(1+'Inputs-System'!$C$18)*(1+'Inputs-System'!$C$42))*'Inputs-Proposals'!$M$16*VLOOKUP(BX$3,DRIPE!$A$54:$I$82,8,FALSE), $C69 = "2",( 'Inputs-System'!$C$30*'Coincidence Factors'!$B$9*(1+'Inputs-System'!$C$18)*(1+'Inputs-System'!$C$41))*('Inputs-Proposals'!$M$23*'Inputs-Proposals'!$M$25*(1-'Inputs-Proposals'!$M$26)^(BX$3-'Inputs-System'!$C$7))*(VLOOKUP(BX$3,DRIPE!$A$54:$I$82,5,FALSE)+VLOOKUP(BX$3,DRIPE!$A$54:$I$82,9,FALSE))+ ('Inputs-System'!$C$26*'Coincidence Factors'!$B$6*(1+'Inputs-System'!$C$18)*(1+'Inputs-System'!$C$42))*'Inputs-Proposals'!$M$22*VLOOKUP(BX$3,DRIPE!$A$54:$I$82,8,FALSE), $C69= "3", ( 'Inputs-System'!$C$30*'Coincidence Factors'!$B$9*(1+'Inputs-System'!$C$18)*(1+'Inputs-System'!$C$41))*('Inputs-Proposals'!$M$29*'Inputs-Proposals'!$M$31*(1-'Inputs-Proposals'!$M$32)^(BX$3-'Inputs-System'!$C$7))*(VLOOKUP(BX$3,DRIPE!$A$54:$I$82,5,FALSE)+VLOOKUP(BX$3,DRIPE!$A$54:$I$82,9,FALSE))+ ('Inputs-System'!$C$26*'Coincidence Factors'!$B$6*(1+'Inputs-System'!$C$18)*(1+'Inputs-System'!$C$42))*'Inputs-Proposals'!$M$28*VLOOKUP(BX$3,DRIPE!$A$54:$I$82,8,FALSE), $C69 = "0", 0), 0)</f>
        <v>0</v>
      </c>
      <c r="CA69" s="45">
        <f>IFERROR(_xlfn.IFS($C69="1",('Inputs-System'!$C$26*'Coincidence Factors'!$B$9*(1+'Inputs-System'!$C$18)*(1+'Inputs-System'!$C$42))*'Inputs-Proposals'!$D$16*(VLOOKUP(BX$3,Capacity!$A$53:$E$85,4,FALSE)*(1+'Inputs-System'!$C$42)+VLOOKUP(BX$3,Capacity!$A$53:$E$85,5,FALSE)*(1+'Inputs-System'!$C$43)*'Inputs-System'!$C$29), $C69 = "2", ('Inputs-System'!$C$26*'Coincidence Factors'!$B$9*(1+'Inputs-System'!$C$18))*'Inputs-Proposals'!$D$22*(VLOOKUP(BX$3,Capacity!$A$53:$E$85,4,FALSE)*(1+'Inputs-System'!$C$42)+VLOOKUP(BX$3,Capacity!$A$53:$E$85,5,FALSE)*'Inputs-System'!$C$29*(1+'Inputs-System'!$C$43)), $C69 = "3", ('Inputs-System'!$C$26*'Coincidence Factors'!$B$9*(1+'Inputs-System'!$C$18))*'Inputs-Proposals'!$D$28*(VLOOKUP(BX$3,Capacity!$A$53:$E$85,4,FALSE)*(1+'Inputs-System'!$C$42)+VLOOKUP(BX$3,Capacity!$A$53:$E$85,5,FALSE)*'Inputs-System'!$C$29*(1+'Inputs-System'!$C$43)), $C69 = "0", 0), 0)</f>
        <v>0</v>
      </c>
      <c r="CB69" s="44">
        <v>0</v>
      </c>
      <c r="CC69" s="342">
        <f>IFERROR(_xlfn.IFS($C69="1", 'Inputs-System'!$C$30*'Coincidence Factors'!$B$9*'Inputs-Proposals'!$M$17*'Inputs-Proposals'!$M$19*(VLOOKUP(BX$3,'Non-Embedded Emissions'!$A$56:$D$90,2,FALSE)-VLOOKUP(BX$3,'Non-Embedded Emissions'!$F$57:$H$88,2,FALSE)+VLOOKUP(BX$3,'Non-Embedded Emissions'!$A$143:$D$174,2,FALSE)-VLOOKUP(BX$3,'Non-Embedded Emissions'!$F$143:$H$174,2,FALSE)+VLOOKUP(BX$3,'Non-Embedded Emissions'!$A$230:$D$259,2,FALSE)), $C69 = "2", 'Inputs-System'!$C$30*'Coincidence Factors'!$B$9*'Inputs-Proposals'!$M$23*'Inputs-Proposals'!$M$25*(VLOOKUP(BX$3,'Non-Embedded Emissions'!$A$56:$D$90,2,FALSE)-VLOOKUP(BX$3,'Non-Embedded Emissions'!$F$57:$H$88,2,FALSE)+VLOOKUP(BX$3,'Non-Embedded Emissions'!$A$143:$D$174,2,FALSE)-VLOOKUP(BX$3,'Non-Embedded Emissions'!$F$143:$H$174,2,FALSE)+VLOOKUP(BX$3,'Non-Embedded Emissions'!$A$230:$D$259,2,FALSE)), $C69 = "3", 'Inputs-System'!$C$30*'Coincidence Factors'!$B$9*'Inputs-Proposals'!$M$29*'Inputs-Proposals'!$M$31*(VLOOKUP(BX$3,'Non-Embedded Emissions'!$A$56:$D$90,2,FALSE)-VLOOKUP(BX$3,'Non-Embedded Emissions'!$F$57:$H$88,2,FALSE)+VLOOKUP(BX$3,'Non-Embedded Emissions'!$A$143:$D$174,2,FALSE)-VLOOKUP(BX$3,'Non-Embedded Emissions'!$F$143:$H$174,2,FALSE)+VLOOKUP(BX$3,'Non-Embedded Emissions'!$A$230:$D$259,2,FALSE)), $C69 = "0", 0), 0)</f>
        <v>0</v>
      </c>
      <c r="CD69" s="45">
        <f>IFERROR(_xlfn.IFS($C69="1",('Inputs-System'!$C$30*'Coincidence Factors'!$B$9*(1+'Inputs-System'!$C$18)*(1+'Inputs-System'!$C$41)*('Inputs-Proposals'!$M$17*'Inputs-Proposals'!$M$19*(1-'Inputs-Proposals'!$M$20^(CD$3-'Inputs-System'!$C$7)))*(VLOOKUP(CD$3,Energy!$A$51:$K$83,5,FALSE))), $C69 = "2",('Inputs-System'!$C$30*'Coincidence Factors'!$B$9)*(1+'Inputs-System'!$C$18)*(1+'Inputs-System'!$C$41)*('Inputs-Proposals'!$M$23*'Inputs-Proposals'!$M$25*(1-'Inputs-Proposals'!$M$26^(CD$3-'Inputs-System'!$C$7)))*(VLOOKUP(CD$3,Energy!$A$51:$K$83,5,FALSE)), $C69= "3", ('Inputs-System'!$C$30*'Coincidence Factors'!$B$9*(1+'Inputs-System'!$C$18)*(1+'Inputs-System'!$C$41)*('Inputs-Proposals'!$M$29*'Inputs-Proposals'!$M$31*(1-'Inputs-Proposals'!$M$32^(CD$3-'Inputs-System'!$C$7)))*(VLOOKUP(CD$3,Energy!$A$51:$K$83,5,FALSE))), $C69= "0", 0), 0)</f>
        <v>0</v>
      </c>
      <c r="CE69" s="44">
        <f>IFERROR(_xlfn.IFS($C69="1",('Inputs-System'!$C$30*'Coincidence Factors'!$B$9*(1+'Inputs-System'!$C$18)*(1+'Inputs-System'!$C$41))*'Inputs-Proposals'!$M$17*'Inputs-Proposals'!$M$19*(1-'Inputs-Proposals'!$M$20^(CD$3-'Inputs-System'!$C$7))*(VLOOKUP(CD$3,'Embedded Emissions'!$A$47:$B$78,2,FALSE)+VLOOKUP(CD$3,'Embedded Emissions'!$A$129:$B$158,2,FALSE)), $C69 = "2",('Inputs-System'!$C$30*'Coincidence Factors'!$B$9*(1+'Inputs-System'!$C$18)*(1+'Inputs-System'!$C$41))*'Inputs-Proposals'!$M$23*'Inputs-Proposals'!$M$25*(1-'Inputs-Proposals'!$M$20^(CD$3-'Inputs-System'!$C$7))*(VLOOKUP(CD$3,'Embedded Emissions'!$A$47:$B$78,2,FALSE)+VLOOKUP(CD$3,'Embedded Emissions'!$A$129:$B$158,2,FALSE)), $C69 = "3", ('Inputs-System'!$C$30*'Coincidence Factors'!$B$9*(1+'Inputs-System'!$C$18)*(1+'Inputs-System'!$C$41))*'Inputs-Proposals'!$M$29*'Inputs-Proposals'!$M$31*(1-'Inputs-Proposals'!$M$20^(CD$3-'Inputs-System'!$C$7))*(VLOOKUP(CD$3,'Embedded Emissions'!$A$47:$B$78,2,FALSE)+VLOOKUP(CD$3,'Embedded Emissions'!$A$129:$B$158,2,FALSE)), $C69 = "0", 0), 0)</f>
        <v>0</v>
      </c>
      <c r="CF69" s="44">
        <f>IFERROR(_xlfn.IFS($C69="1",( 'Inputs-System'!$C$30*'Coincidence Factors'!$B$9*(1+'Inputs-System'!$C$18)*(1+'Inputs-System'!$C$41))*('Inputs-Proposals'!$M$17*'Inputs-Proposals'!$M$19*(1-'Inputs-Proposals'!$M$20)^(CD$3-'Inputs-System'!$C$7))*(VLOOKUP(CD$3,DRIPE!$A$54:$I$82,5,FALSE)+VLOOKUP(CD$3,DRIPE!$A$54:$I$82,9,FALSE))+ ('Inputs-System'!$C$26*'Coincidence Factors'!$B$6*(1+'Inputs-System'!$C$18)*(1+'Inputs-System'!$C$42))*'Inputs-Proposals'!$M$16*VLOOKUP(CD$3,DRIPE!$A$54:$I$82,8,FALSE), $C69 = "2",( 'Inputs-System'!$C$30*'Coincidence Factors'!$B$9*(1+'Inputs-System'!$C$18)*(1+'Inputs-System'!$C$41))*('Inputs-Proposals'!$M$23*'Inputs-Proposals'!$M$25*(1-'Inputs-Proposals'!$M$26)^(CD$3-'Inputs-System'!$C$7))*(VLOOKUP(CD$3,DRIPE!$A$54:$I$82,5,FALSE)+VLOOKUP(CD$3,DRIPE!$A$54:$I$82,9,FALSE))+ ('Inputs-System'!$C$26*'Coincidence Factors'!$B$6*(1+'Inputs-System'!$C$18)*(1+'Inputs-System'!$C$42))*'Inputs-Proposals'!$M$22*VLOOKUP(CD$3,DRIPE!$A$54:$I$82,8,FALSE), $C69= "3", ( 'Inputs-System'!$C$30*'Coincidence Factors'!$B$9*(1+'Inputs-System'!$C$18)*(1+'Inputs-System'!$C$41))*('Inputs-Proposals'!$M$29*'Inputs-Proposals'!$M$31*(1-'Inputs-Proposals'!$M$32)^(CD$3-'Inputs-System'!$C$7))*(VLOOKUP(CD$3,DRIPE!$A$54:$I$82,5,FALSE)+VLOOKUP(CD$3,DRIPE!$A$54:$I$82,9,FALSE))+ ('Inputs-System'!$C$26*'Coincidence Factors'!$B$6*(1+'Inputs-System'!$C$18)*(1+'Inputs-System'!$C$42))*'Inputs-Proposals'!$M$28*VLOOKUP(CD$3,DRIPE!$A$54:$I$82,8,FALSE), $C69 = "0", 0), 0)</f>
        <v>0</v>
      </c>
      <c r="CG69" s="45">
        <f>IFERROR(_xlfn.IFS($C69="1",('Inputs-System'!$C$26*'Coincidence Factors'!$B$9*(1+'Inputs-System'!$C$18)*(1+'Inputs-System'!$C$42))*'Inputs-Proposals'!$D$16*(VLOOKUP(CD$3,Capacity!$A$53:$E$85,4,FALSE)*(1+'Inputs-System'!$C$42)+VLOOKUP(CD$3,Capacity!$A$53:$E$85,5,FALSE)*(1+'Inputs-System'!$C$43)*'Inputs-System'!$C$29), $C69 = "2", ('Inputs-System'!$C$26*'Coincidence Factors'!$B$9*(1+'Inputs-System'!$C$18))*'Inputs-Proposals'!$D$22*(VLOOKUP(CD$3,Capacity!$A$53:$E$85,4,FALSE)*(1+'Inputs-System'!$C$42)+VLOOKUP(CD$3,Capacity!$A$53:$E$85,5,FALSE)*'Inputs-System'!$C$29*(1+'Inputs-System'!$C$43)), $C69 = "3", ('Inputs-System'!$C$26*'Coincidence Factors'!$B$9*(1+'Inputs-System'!$C$18))*'Inputs-Proposals'!$D$28*(VLOOKUP(CD$3,Capacity!$A$53:$E$85,4,FALSE)*(1+'Inputs-System'!$C$42)+VLOOKUP(CD$3,Capacity!$A$53:$E$85,5,FALSE)*'Inputs-System'!$C$29*(1+'Inputs-System'!$C$43)), $C69 = "0", 0), 0)</f>
        <v>0</v>
      </c>
      <c r="CH69" s="44">
        <v>0</v>
      </c>
      <c r="CI69" s="342">
        <f>IFERROR(_xlfn.IFS($C69="1", 'Inputs-System'!$C$30*'Coincidence Factors'!$B$9*'Inputs-Proposals'!$M$17*'Inputs-Proposals'!$M$19*(VLOOKUP(CD$3,'Non-Embedded Emissions'!$A$56:$D$90,2,FALSE)-VLOOKUP(CD$3,'Non-Embedded Emissions'!$F$57:$H$88,2,FALSE)+VLOOKUP(CD$3,'Non-Embedded Emissions'!$A$143:$D$174,2,FALSE)-VLOOKUP(CD$3,'Non-Embedded Emissions'!$F$143:$H$174,2,FALSE)+VLOOKUP(CD$3,'Non-Embedded Emissions'!$A$230:$D$259,2,FALSE)), $C69 = "2", 'Inputs-System'!$C$30*'Coincidence Factors'!$B$9*'Inputs-Proposals'!$M$23*'Inputs-Proposals'!$M$25*(VLOOKUP(CD$3,'Non-Embedded Emissions'!$A$56:$D$90,2,FALSE)-VLOOKUP(CD$3,'Non-Embedded Emissions'!$F$57:$H$88,2,FALSE)+VLOOKUP(CD$3,'Non-Embedded Emissions'!$A$143:$D$174,2,FALSE)-VLOOKUP(CD$3,'Non-Embedded Emissions'!$F$143:$H$174,2,FALSE)+VLOOKUP(CD$3,'Non-Embedded Emissions'!$A$230:$D$259,2,FALSE)), $C69 = "3", 'Inputs-System'!$C$30*'Coincidence Factors'!$B$9*'Inputs-Proposals'!$M$29*'Inputs-Proposals'!$M$31*(VLOOKUP(CD$3,'Non-Embedded Emissions'!$A$56:$D$90,2,FALSE)-VLOOKUP(CD$3,'Non-Embedded Emissions'!$F$57:$H$88,2,FALSE)+VLOOKUP(CD$3,'Non-Embedded Emissions'!$A$143:$D$174,2,FALSE)-VLOOKUP(CD$3,'Non-Embedded Emissions'!$F$143:$H$174,2,FALSE)+VLOOKUP(CD$3,'Non-Embedded Emissions'!$A$230:$D$259,2,FALSE)), $C69 = "0", 0), 0)</f>
        <v>0</v>
      </c>
      <c r="CJ69" s="45">
        <f>IFERROR(_xlfn.IFS($C69="1",('Inputs-System'!$C$30*'Coincidence Factors'!$B$9*(1+'Inputs-System'!$C$18)*(1+'Inputs-System'!$C$41)*('Inputs-Proposals'!$M$17*'Inputs-Proposals'!$M$19*(1-'Inputs-Proposals'!$M$20^(CJ$3-'Inputs-System'!$C$7)))*(VLOOKUP(CJ$3,Energy!$A$51:$K$83,5,FALSE))), $C69 = "2",('Inputs-System'!$C$30*'Coincidence Factors'!$B$9)*(1+'Inputs-System'!$C$18)*(1+'Inputs-System'!$C$41)*('Inputs-Proposals'!$M$23*'Inputs-Proposals'!$M$25*(1-'Inputs-Proposals'!$M$26^(CJ$3-'Inputs-System'!$C$7)))*(VLOOKUP(CJ$3,Energy!$A$51:$K$83,5,FALSE)), $C69= "3", ('Inputs-System'!$C$30*'Coincidence Factors'!$B$9*(1+'Inputs-System'!$C$18)*(1+'Inputs-System'!$C$41)*('Inputs-Proposals'!$M$29*'Inputs-Proposals'!$M$31*(1-'Inputs-Proposals'!$M$32^(CJ$3-'Inputs-System'!$C$7)))*(VLOOKUP(CJ$3,Energy!$A$51:$K$83,5,FALSE))), $C69= "0", 0), 0)</f>
        <v>0</v>
      </c>
      <c r="CK69" s="44">
        <f>IFERROR(_xlfn.IFS($C69="1",('Inputs-System'!$C$30*'Coincidence Factors'!$B$9*(1+'Inputs-System'!$C$18)*(1+'Inputs-System'!$C$41))*'Inputs-Proposals'!$M$17*'Inputs-Proposals'!$M$19*(1-'Inputs-Proposals'!$M$20^(CJ$3-'Inputs-System'!$C$7))*(VLOOKUP(CJ$3,'Embedded Emissions'!$A$47:$B$78,2,FALSE)+VLOOKUP(CJ$3,'Embedded Emissions'!$A$129:$B$158,2,FALSE)), $C69 = "2",('Inputs-System'!$C$30*'Coincidence Factors'!$B$9*(1+'Inputs-System'!$C$18)*(1+'Inputs-System'!$C$41))*'Inputs-Proposals'!$M$23*'Inputs-Proposals'!$M$25*(1-'Inputs-Proposals'!$M$20^(CJ$3-'Inputs-System'!$C$7))*(VLOOKUP(CJ$3,'Embedded Emissions'!$A$47:$B$78,2,FALSE)+VLOOKUP(CJ$3,'Embedded Emissions'!$A$129:$B$158,2,FALSE)), $C69 = "3", ('Inputs-System'!$C$30*'Coincidence Factors'!$B$9*(1+'Inputs-System'!$C$18)*(1+'Inputs-System'!$C$41))*'Inputs-Proposals'!$M$29*'Inputs-Proposals'!$M$31*(1-'Inputs-Proposals'!$M$20^(CJ$3-'Inputs-System'!$C$7))*(VLOOKUP(CJ$3,'Embedded Emissions'!$A$47:$B$78,2,FALSE)+VLOOKUP(CJ$3,'Embedded Emissions'!$A$129:$B$158,2,FALSE)), $C69 = "0", 0), 0)</f>
        <v>0</v>
      </c>
      <c r="CL69" s="44">
        <f>IFERROR(_xlfn.IFS($C69="1",( 'Inputs-System'!$C$30*'Coincidence Factors'!$B$9*(1+'Inputs-System'!$C$18)*(1+'Inputs-System'!$C$41))*('Inputs-Proposals'!$M$17*'Inputs-Proposals'!$M$19*(1-'Inputs-Proposals'!$M$20)^(CJ$3-'Inputs-System'!$C$7))*(VLOOKUP(CJ$3,DRIPE!$A$54:$I$82,5,FALSE)+VLOOKUP(CJ$3,DRIPE!$A$54:$I$82,9,FALSE))+ ('Inputs-System'!$C$26*'Coincidence Factors'!$B$6*(1+'Inputs-System'!$C$18)*(1+'Inputs-System'!$C$42))*'Inputs-Proposals'!$M$16*VLOOKUP(CJ$3,DRIPE!$A$54:$I$82,8,FALSE), $C69 = "2",( 'Inputs-System'!$C$30*'Coincidence Factors'!$B$9*(1+'Inputs-System'!$C$18)*(1+'Inputs-System'!$C$41))*('Inputs-Proposals'!$M$23*'Inputs-Proposals'!$M$25*(1-'Inputs-Proposals'!$M$26)^(CJ$3-'Inputs-System'!$C$7))*(VLOOKUP(CJ$3,DRIPE!$A$54:$I$82,5,FALSE)+VLOOKUP(CJ$3,DRIPE!$A$54:$I$82,9,FALSE))+ ('Inputs-System'!$C$26*'Coincidence Factors'!$B$6*(1+'Inputs-System'!$C$18)*(1+'Inputs-System'!$C$42))*'Inputs-Proposals'!$M$22*VLOOKUP(CJ$3,DRIPE!$A$54:$I$82,8,FALSE), $C69= "3", ( 'Inputs-System'!$C$30*'Coincidence Factors'!$B$9*(1+'Inputs-System'!$C$18)*(1+'Inputs-System'!$C$41))*('Inputs-Proposals'!$M$29*'Inputs-Proposals'!$M$31*(1-'Inputs-Proposals'!$M$32)^(CJ$3-'Inputs-System'!$C$7))*(VLOOKUP(CJ$3,DRIPE!$A$54:$I$82,5,FALSE)+VLOOKUP(CJ$3,DRIPE!$A$54:$I$82,9,FALSE))+ ('Inputs-System'!$C$26*'Coincidence Factors'!$B$6*(1+'Inputs-System'!$C$18)*(1+'Inputs-System'!$C$42))*'Inputs-Proposals'!$M$28*VLOOKUP(CJ$3,DRIPE!$A$54:$I$82,8,FALSE), $C69 = "0", 0), 0)</f>
        <v>0</v>
      </c>
      <c r="CM69" s="45">
        <f>IFERROR(_xlfn.IFS($C69="1",('Inputs-System'!$C$26*'Coincidence Factors'!$B$9*(1+'Inputs-System'!$C$18)*(1+'Inputs-System'!$C$42))*'Inputs-Proposals'!$D$16*(VLOOKUP(CJ$3,Capacity!$A$53:$E$85,4,FALSE)*(1+'Inputs-System'!$C$42)+VLOOKUP(CJ$3,Capacity!$A$53:$E$85,5,FALSE)*(1+'Inputs-System'!$C$43)*'Inputs-System'!$C$29), $C69 = "2", ('Inputs-System'!$C$26*'Coincidence Factors'!$B$9*(1+'Inputs-System'!$C$18))*'Inputs-Proposals'!$D$22*(VLOOKUP(CJ$3,Capacity!$A$53:$E$85,4,FALSE)*(1+'Inputs-System'!$C$42)+VLOOKUP(CJ$3,Capacity!$A$53:$E$85,5,FALSE)*'Inputs-System'!$C$29*(1+'Inputs-System'!$C$43)), $C69 = "3", ('Inputs-System'!$C$26*'Coincidence Factors'!$B$9*(1+'Inputs-System'!$C$18))*'Inputs-Proposals'!$D$28*(VLOOKUP(CJ$3,Capacity!$A$53:$E$85,4,FALSE)*(1+'Inputs-System'!$C$42)+VLOOKUP(CJ$3,Capacity!$A$53:$E$85,5,FALSE)*'Inputs-System'!$C$29*(1+'Inputs-System'!$C$43)), $C69 = "0", 0), 0)</f>
        <v>0</v>
      </c>
      <c r="CN69" s="44">
        <v>0</v>
      </c>
      <c r="CO69" s="342">
        <f>IFERROR(_xlfn.IFS($C69="1", 'Inputs-System'!$C$30*'Coincidence Factors'!$B$9*'Inputs-Proposals'!$M$17*'Inputs-Proposals'!$M$19*(VLOOKUP(CJ$3,'Non-Embedded Emissions'!$A$56:$D$90,2,FALSE)-VLOOKUP(CJ$3,'Non-Embedded Emissions'!$F$57:$H$88,2,FALSE)+VLOOKUP(CJ$3,'Non-Embedded Emissions'!$A$143:$D$174,2,FALSE)-VLOOKUP(CJ$3,'Non-Embedded Emissions'!$F$143:$H$174,2,FALSE)+VLOOKUP(CJ$3,'Non-Embedded Emissions'!$A$230:$D$259,2,FALSE)), $C69 = "2", 'Inputs-System'!$C$30*'Coincidence Factors'!$B$9*'Inputs-Proposals'!$M$23*'Inputs-Proposals'!$M$25*(VLOOKUP(CJ$3,'Non-Embedded Emissions'!$A$56:$D$90,2,FALSE)-VLOOKUP(CJ$3,'Non-Embedded Emissions'!$F$57:$H$88,2,FALSE)+VLOOKUP(CJ$3,'Non-Embedded Emissions'!$A$143:$D$174,2,FALSE)-VLOOKUP(CJ$3,'Non-Embedded Emissions'!$F$143:$H$174,2,FALSE)+VLOOKUP(CJ$3,'Non-Embedded Emissions'!$A$230:$D$259,2,FALSE)), $C69 = "3", 'Inputs-System'!$C$30*'Coincidence Factors'!$B$9*'Inputs-Proposals'!$M$29*'Inputs-Proposals'!$M$31*(VLOOKUP(CJ$3,'Non-Embedded Emissions'!$A$56:$D$90,2,FALSE)-VLOOKUP(CJ$3,'Non-Embedded Emissions'!$F$57:$H$88,2,FALSE)+VLOOKUP(CJ$3,'Non-Embedded Emissions'!$A$143:$D$174,2,FALSE)-VLOOKUP(CJ$3,'Non-Embedded Emissions'!$F$143:$H$174,2,FALSE)+VLOOKUP(CJ$3,'Non-Embedded Emissions'!$A$230:$D$259,2,FALSE)), $C69 = "0", 0), 0)</f>
        <v>0</v>
      </c>
      <c r="CP69" s="45">
        <f>IFERROR(_xlfn.IFS($C69="1",('Inputs-System'!$C$30*'Coincidence Factors'!$B$9*(1+'Inputs-System'!$C$18)*(1+'Inputs-System'!$C$41)*('Inputs-Proposals'!$M$17*'Inputs-Proposals'!$M$19*(1-'Inputs-Proposals'!$M$20^(CP$3-'Inputs-System'!$C$7)))*(VLOOKUP(CP$3,Energy!$A$51:$K$83,5,FALSE))), $C69 = "2",('Inputs-System'!$C$30*'Coincidence Factors'!$B$9)*(1+'Inputs-System'!$C$18)*(1+'Inputs-System'!$C$41)*('Inputs-Proposals'!$M$23*'Inputs-Proposals'!$M$25*(1-'Inputs-Proposals'!$M$26^(CP$3-'Inputs-System'!$C$7)))*(VLOOKUP(CP$3,Energy!$A$51:$K$83,5,FALSE)), $C69= "3", ('Inputs-System'!$C$30*'Coincidence Factors'!$B$9*(1+'Inputs-System'!$C$18)*(1+'Inputs-System'!$C$41)*('Inputs-Proposals'!$M$29*'Inputs-Proposals'!$M$31*(1-'Inputs-Proposals'!$M$32^(CP$3-'Inputs-System'!$C$7)))*(VLOOKUP(CP$3,Energy!$A$51:$K$83,5,FALSE))), $C69= "0", 0), 0)</f>
        <v>0</v>
      </c>
      <c r="CQ69" s="44">
        <f>IFERROR(_xlfn.IFS($C69="1",('Inputs-System'!$C$30*'Coincidence Factors'!$B$9*(1+'Inputs-System'!$C$18)*(1+'Inputs-System'!$C$41))*'Inputs-Proposals'!$M$17*'Inputs-Proposals'!$M$19*(1-'Inputs-Proposals'!$M$20^(CP$3-'Inputs-System'!$C$7))*(VLOOKUP(CP$3,'Embedded Emissions'!$A$47:$B$78,2,FALSE)+VLOOKUP(CP$3,'Embedded Emissions'!$A$129:$B$158,2,FALSE)), $C69 = "2",('Inputs-System'!$C$30*'Coincidence Factors'!$B$9*(1+'Inputs-System'!$C$18)*(1+'Inputs-System'!$C$41))*'Inputs-Proposals'!$M$23*'Inputs-Proposals'!$M$25*(1-'Inputs-Proposals'!$M$20^(CP$3-'Inputs-System'!$C$7))*(VLOOKUP(CP$3,'Embedded Emissions'!$A$47:$B$78,2,FALSE)+VLOOKUP(CP$3,'Embedded Emissions'!$A$129:$B$158,2,FALSE)), $C69 = "3", ('Inputs-System'!$C$30*'Coincidence Factors'!$B$9*(1+'Inputs-System'!$C$18)*(1+'Inputs-System'!$C$41))*'Inputs-Proposals'!$M$29*'Inputs-Proposals'!$M$31*(1-'Inputs-Proposals'!$M$20^(CP$3-'Inputs-System'!$C$7))*(VLOOKUP(CP$3,'Embedded Emissions'!$A$47:$B$78,2,FALSE)+VLOOKUP(CP$3,'Embedded Emissions'!$A$129:$B$158,2,FALSE)), $C69 = "0", 0), 0)</f>
        <v>0</v>
      </c>
      <c r="CR69" s="44">
        <f>IFERROR(_xlfn.IFS($C69="1",( 'Inputs-System'!$C$30*'Coincidence Factors'!$B$9*(1+'Inputs-System'!$C$18)*(1+'Inputs-System'!$C$41))*('Inputs-Proposals'!$M$17*'Inputs-Proposals'!$M$19*(1-'Inputs-Proposals'!$M$20)^(CP$3-'Inputs-System'!$C$7))*(VLOOKUP(CP$3,DRIPE!$A$54:$I$82,5,FALSE)+VLOOKUP(CP$3,DRIPE!$A$54:$I$82,9,FALSE))+ ('Inputs-System'!$C$26*'Coincidence Factors'!$B$6*(1+'Inputs-System'!$C$18)*(1+'Inputs-System'!$C$42))*'Inputs-Proposals'!$M$16*VLOOKUP(CP$3,DRIPE!$A$54:$I$82,8,FALSE), $C69 = "2",( 'Inputs-System'!$C$30*'Coincidence Factors'!$B$9*(1+'Inputs-System'!$C$18)*(1+'Inputs-System'!$C$41))*('Inputs-Proposals'!$M$23*'Inputs-Proposals'!$M$25*(1-'Inputs-Proposals'!$M$26)^(CP$3-'Inputs-System'!$C$7))*(VLOOKUP(CP$3,DRIPE!$A$54:$I$82,5,FALSE)+VLOOKUP(CP$3,DRIPE!$A$54:$I$82,9,FALSE))+ ('Inputs-System'!$C$26*'Coincidence Factors'!$B$6*(1+'Inputs-System'!$C$18)*(1+'Inputs-System'!$C$42))*'Inputs-Proposals'!$M$22*VLOOKUP(CP$3,DRIPE!$A$54:$I$82,8,FALSE), $C69= "3", ( 'Inputs-System'!$C$30*'Coincidence Factors'!$B$9*(1+'Inputs-System'!$C$18)*(1+'Inputs-System'!$C$41))*('Inputs-Proposals'!$M$29*'Inputs-Proposals'!$M$31*(1-'Inputs-Proposals'!$M$32)^(CP$3-'Inputs-System'!$C$7))*(VLOOKUP(CP$3,DRIPE!$A$54:$I$82,5,FALSE)+VLOOKUP(CP$3,DRIPE!$A$54:$I$82,9,FALSE))+ ('Inputs-System'!$C$26*'Coincidence Factors'!$B$6*(1+'Inputs-System'!$C$18)*(1+'Inputs-System'!$C$42))*'Inputs-Proposals'!$M$28*VLOOKUP(CP$3,DRIPE!$A$54:$I$82,8,FALSE), $C69 = "0", 0), 0)</f>
        <v>0</v>
      </c>
      <c r="CS69" s="45">
        <f>IFERROR(_xlfn.IFS($C69="1",('Inputs-System'!$C$26*'Coincidence Factors'!$B$9*(1+'Inputs-System'!$C$18)*(1+'Inputs-System'!$C$42))*'Inputs-Proposals'!$D$16*(VLOOKUP(CP$3,Capacity!$A$53:$E$85,4,FALSE)*(1+'Inputs-System'!$C$42)+VLOOKUP(CP$3,Capacity!$A$53:$E$85,5,FALSE)*(1+'Inputs-System'!$C$43)*'Inputs-System'!$C$29), $C69 = "2", ('Inputs-System'!$C$26*'Coincidence Factors'!$B$9*(1+'Inputs-System'!$C$18))*'Inputs-Proposals'!$D$22*(VLOOKUP(CP$3,Capacity!$A$53:$E$85,4,FALSE)*(1+'Inputs-System'!$C$42)+VLOOKUP(CP$3,Capacity!$A$53:$E$85,5,FALSE)*'Inputs-System'!$C$29*(1+'Inputs-System'!$C$43)), $C69 = "3", ('Inputs-System'!$C$26*'Coincidence Factors'!$B$9*(1+'Inputs-System'!$C$18))*'Inputs-Proposals'!$D$28*(VLOOKUP(CP$3,Capacity!$A$53:$E$85,4,FALSE)*(1+'Inputs-System'!$C$42)+VLOOKUP(CP$3,Capacity!$A$53:$E$85,5,FALSE)*'Inputs-System'!$C$29*(1+'Inputs-System'!$C$43)), $C69 = "0", 0), 0)</f>
        <v>0</v>
      </c>
      <c r="CT69" s="44">
        <v>0</v>
      </c>
      <c r="CU69" s="342">
        <f>IFERROR(_xlfn.IFS($C69="1", 'Inputs-System'!$C$30*'Coincidence Factors'!$B$9*'Inputs-Proposals'!$M$17*'Inputs-Proposals'!$M$19*(VLOOKUP(CP$3,'Non-Embedded Emissions'!$A$56:$D$90,2,FALSE)-VLOOKUP(CP$3,'Non-Embedded Emissions'!$F$57:$H$88,2,FALSE)+VLOOKUP(CP$3,'Non-Embedded Emissions'!$A$143:$D$174,2,FALSE)-VLOOKUP(CP$3,'Non-Embedded Emissions'!$F$143:$H$174,2,FALSE)+VLOOKUP(CP$3,'Non-Embedded Emissions'!$A$230:$D$259,2,FALSE)), $C69 = "2", 'Inputs-System'!$C$30*'Coincidence Factors'!$B$9*'Inputs-Proposals'!$M$23*'Inputs-Proposals'!$M$25*(VLOOKUP(CP$3,'Non-Embedded Emissions'!$A$56:$D$90,2,FALSE)-VLOOKUP(CP$3,'Non-Embedded Emissions'!$F$57:$H$88,2,FALSE)+VLOOKUP(CP$3,'Non-Embedded Emissions'!$A$143:$D$174,2,FALSE)-VLOOKUP(CP$3,'Non-Embedded Emissions'!$F$143:$H$174,2,FALSE)+VLOOKUP(CP$3,'Non-Embedded Emissions'!$A$230:$D$259,2,FALSE)), $C69 = "3", 'Inputs-System'!$C$30*'Coincidence Factors'!$B$9*'Inputs-Proposals'!$M$29*'Inputs-Proposals'!$M$31*(VLOOKUP(CP$3,'Non-Embedded Emissions'!$A$56:$D$90,2,FALSE)-VLOOKUP(CP$3,'Non-Embedded Emissions'!$F$57:$H$88,2,FALSE)+VLOOKUP(CP$3,'Non-Embedded Emissions'!$A$143:$D$174,2,FALSE)-VLOOKUP(CP$3,'Non-Embedded Emissions'!$F$143:$H$174,2,FALSE)+VLOOKUP(CP$3,'Non-Embedded Emissions'!$A$230:$D$259,2,FALSE)), $C69 = "0", 0), 0)</f>
        <v>0</v>
      </c>
      <c r="CV69" s="45">
        <f>IFERROR(_xlfn.IFS($C69="1",('Inputs-System'!$C$30*'Coincidence Factors'!$B$9*(1+'Inputs-System'!$C$18)*(1+'Inputs-System'!$C$41)*('Inputs-Proposals'!$M$17*'Inputs-Proposals'!$M$19*(1-'Inputs-Proposals'!$M$20^(CV$3-'Inputs-System'!$C$7)))*(VLOOKUP(CV$3,Energy!$A$51:$K$83,5,FALSE))), $C69 = "2",('Inputs-System'!$C$30*'Coincidence Factors'!$B$9)*(1+'Inputs-System'!$C$18)*(1+'Inputs-System'!$C$41)*('Inputs-Proposals'!$M$23*'Inputs-Proposals'!$M$25*(1-'Inputs-Proposals'!$M$26^(CV$3-'Inputs-System'!$C$7)))*(VLOOKUP(CV$3,Energy!$A$51:$K$83,5,FALSE)), $C69= "3", ('Inputs-System'!$C$30*'Coincidence Factors'!$B$9*(1+'Inputs-System'!$C$18)*(1+'Inputs-System'!$C$41)*('Inputs-Proposals'!$M$29*'Inputs-Proposals'!$M$31*(1-'Inputs-Proposals'!$M$32^(CV$3-'Inputs-System'!$C$7)))*(VLOOKUP(CV$3,Energy!$A$51:$K$83,5,FALSE))), $C69= "0", 0), 0)</f>
        <v>0</v>
      </c>
      <c r="CW69" s="44">
        <f>IFERROR(_xlfn.IFS($C69="1",('Inputs-System'!$C$30*'Coincidence Factors'!$B$9*(1+'Inputs-System'!$C$18)*(1+'Inputs-System'!$C$41))*'Inputs-Proposals'!$M$17*'Inputs-Proposals'!$M$19*(1-'Inputs-Proposals'!$M$20^(CV$3-'Inputs-System'!$C$7))*(VLOOKUP(CV$3,'Embedded Emissions'!$A$47:$B$78,2,FALSE)+VLOOKUP(CV$3,'Embedded Emissions'!$A$129:$B$158,2,FALSE)), $C69 = "2",('Inputs-System'!$C$30*'Coincidence Factors'!$B$9*(1+'Inputs-System'!$C$18)*(1+'Inputs-System'!$C$41))*'Inputs-Proposals'!$M$23*'Inputs-Proposals'!$M$25*(1-'Inputs-Proposals'!$M$20^(CV$3-'Inputs-System'!$C$7))*(VLOOKUP(CV$3,'Embedded Emissions'!$A$47:$B$78,2,FALSE)+VLOOKUP(CV$3,'Embedded Emissions'!$A$129:$B$158,2,FALSE)), $C69 = "3", ('Inputs-System'!$C$30*'Coincidence Factors'!$B$9*(1+'Inputs-System'!$C$18)*(1+'Inputs-System'!$C$41))*'Inputs-Proposals'!$M$29*'Inputs-Proposals'!$M$31*(1-'Inputs-Proposals'!$M$20^(CV$3-'Inputs-System'!$C$7))*(VLOOKUP(CV$3,'Embedded Emissions'!$A$47:$B$78,2,FALSE)+VLOOKUP(CV$3,'Embedded Emissions'!$A$129:$B$158,2,FALSE)), $C69 = "0", 0), 0)</f>
        <v>0</v>
      </c>
      <c r="CX69" s="44">
        <f>IFERROR(_xlfn.IFS($C69="1",( 'Inputs-System'!$C$30*'Coincidence Factors'!$B$9*(1+'Inputs-System'!$C$18)*(1+'Inputs-System'!$C$41))*('Inputs-Proposals'!$M$17*'Inputs-Proposals'!$M$19*(1-'Inputs-Proposals'!$M$20)^(CV$3-'Inputs-System'!$C$7))*(VLOOKUP(CV$3,DRIPE!$A$54:$I$82,5,FALSE)+VLOOKUP(CV$3,DRIPE!$A$54:$I$82,9,FALSE))+ ('Inputs-System'!$C$26*'Coincidence Factors'!$B$6*(1+'Inputs-System'!$C$18)*(1+'Inputs-System'!$C$42))*'Inputs-Proposals'!$M$16*VLOOKUP(CV$3,DRIPE!$A$54:$I$82,8,FALSE), $C69 = "2",( 'Inputs-System'!$C$30*'Coincidence Factors'!$B$9*(1+'Inputs-System'!$C$18)*(1+'Inputs-System'!$C$41))*('Inputs-Proposals'!$M$23*'Inputs-Proposals'!$M$25*(1-'Inputs-Proposals'!$M$26)^(CV$3-'Inputs-System'!$C$7))*(VLOOKUP(CV$3,DRIPE!$A$54:$I$82,5,FALSE)+VLOOKUP(CV$3,DRIPE!$A$54:$I$82,9,FALSE))+ ('Inputs-System'!$C$26*'Coincidence Factors'!$B$6*(1+'Inputs-System'!$C$18)*(1+'Inputs-System'!$C$42))*'Inputs-Proposals'!$M$22*VLOOKUP(CV$3,DRIPE!$A$54:$I$82,8,FALSE), $C69= "3", ( 'Inputs-System'!$C$30*'Coincidence Factors'!$B$9*(1+'Inputs-System'!$C$18)*(1+'Inputs-System'!$C$41))*('Inputs-Proposals'!$M$29*'Inputs-Proposals'!$M$31*(1-'Inputs-Proposals'!$M$32)^(CV$3-'Inputs-System'!$C$7))*(VLOOKUP(CV$3,DRIPE!$A$54:$I$82,5,FALSE)+VLOOKUP(CV$3,DRIPE!$A$54:$I$82,9,FALSE))+ ('Inputs-System'!$C$26*'Coincidence Factors'!$B$6*(1+'Inputs-System'!$C$18)*(1+'Inputs-System'!$C$42))*'Inputs-Proposals'!$M$28*VLOOKUP(CV$3,DRIPE!$A$54:$I$82,8,FALSE), $C69 = "0", 0), 0)</f>
        <v>0</v>
      </c>
      <c r="CY69" s="45">
        <f>IFERROR(_xlfn.IFS($C69="1",('Inputs-System'!$C$26*'Coincidence Factors'!$B$9*(1+'Inputs-System'!$C$18)*(1+'Inputs-System'!$C$42))*'Inputs-Proposals'!$D$16*(VLOOKUP(CV$3,Capacity!$A$53:$E$85,4,FALSE)*(1+'Inputs-System'!$C$42)+VLOOKUP(CV$3,Capacity!$A$53:$E$85,5,FALSE)*(1+'Inputs-System'!$C$43)*'Inputs-System'!$C$29), $C69 = "2", ('Inputs-System'!$C$26*'Coincidence Factors'!$B$9*(1+'Inputs-System'!$C$18))*'Inputs-Proposals'!$D$22*(VLOOKUP(CV$3,Capacity!$A$53:$E$85,4,FALSE)*(1+'Inputs-System'!$C$42)+VLOOKUP(CV$3,Capacity!$A$53:$E$85,5,FALSE)*'Inputs-System'!$C$29*(1+'Inputs-System'!$C$43)), $C69 = "3", ('Inputs-System'!$C$26*'Coincidence Factors'!$B$9*(1+'Inputs-System'!$C$18))*'Inputs-Proposals'!$D$28*(VLOOKUP(CV$3,Capacity!$A$53:$E$85,4,FALSE)*(1+'Inputs-System'!$C$42)+VLOOKUP(CV$3,Capacity!$A$53:$E$85,5,FALSE)*'Inputs-System'!$C$29*(1+'Inputs-System'!$C$43)), $C69 = "0", 0), 0)</f>
        <v>0</v>
      </c>
      <c r="CZ69" s="44">
        <v>0</v>
      </c>
      <c r="DA69" s="342">
        <f>IFERROR(_xlfn.IFS($C69="1", 'Inputs-System'!$C$30*'Coincidence Factors'!$B$9*'Inputs-Proposals'!$M$17*'Inputs-Proposals'!$M$19*(VLOOKUP(CV$3,'Non-Embedded Emissions'!$A$56:$D$90,2,FALSE)-VLOOKUP(CV$3,'Non-Embedded Emissions'!$F$57:$H$88,2,FALSE)+VLOOKUP(CV$3,'Non-Embedded Emissions'!$A$143:$D$174,2,FALSE)-VLOOKUP(CV$3,'Non-Embedded Emissions'!$F$143:$H$174,2,FALSE)+VLOOKUP(CV$3,'Non-Embedded Emissions'!$A$230:$D$259,2,FALSE)), $C69 = "2", 'Inputs-System'!$C$30*'Coincidence Factors'!$B$9*'Inputs-Proposals'!$M$23*'Inputs-Proposals'!$M$25*(VLOOKUP(CV$3,'Non-Embedded Emissions'!$A$56:$D$90,2,FALSE)-VLOOKUP(CV$3,'Non-Embedded Emissions'!$F$57:$H$88,2,FALSE)+VLOOKUP(CV$3,'Non-Embedded Emissions'!$A$143:$D$174,2,FALSE)-VLOOKUP(CV$3,'Non-Embedded Emissions'!$F$143:$H$174,2,FALSE)+VLOOKUP(CV$3,'Non-Embedded Emissions'!$A$230:$D$259,2,FALSE)), $C69 = "3", 'Inputs-System'!$C$30*'Coincidence Factors'!$B$9*'Inputs-Proposals'!$M$29*'Inputs-Proposals'!$M$31*(VLOOKUP(CV$3,'Non-Embedded Emissions'!$A$56:$D$90,2,FALSE)-VLOOKUP(CV$3,'Non-Embedded Emissions'!$F$57:$H$88,2,FALSE)+VLOOKUP(CV$3,'Non-Embedded Emissions'!$A$143:$D$174,2,FALSE)-VLOOKUP(CV$3,'Non-Embedded Emissions'!$F$143:$H$174,2,FALSE)+VLOOKUP(CV$3,'Non-Embedded Emissions'!$A$230:$D$259,2,FALSE)), $C69 = "0", 0), 0)</f>
        <v>0</v>
      </c>
      <c r="DB69" s="45">
        <f>IFERROR(_xlfn.IFS($C69="1",('Inputs-System'!$C$30*'Coincidence Factors'!$B$9*(1+'Inputs-System'!$C$18)*(1+'Inputs-System'!$C$41)*('Inputs-Proposals'!$M$17*'Inputs-Proposals'!$M$19*(1-'Inputs-Proposals'!$M$20^(DB$3-'Inputs-System'!$C$7)))*(VLOOKUP(DB$3,Energy!$A$51:$K$83,5,FALSE))), $C69 = "2",('Inputs-System'!$C$30*'Coincidence Factors'!$B$9)*(1+'Inputs-System'!$C$18)*(1+'Inputs-System'!$C$41)*('Inputs-Proposals'!$M$23*'Inputs-Proposals'!$M$25*(1-'Inputs-Proposals'!$M$26^(DB$3-'Inputs-System'!$C$7)))*(VLOOKUP(DB$3,Energy!$A$51:$K$83,5,FALSE)), $C69= "3", ('Inputs-System'!$C$30*'Coincidence Factors'!$B$9*(1+'Inputs-System'!$C$18)*(1+'Inputs-System'!$C$41)*('Inputs-Proposals'!$M$29*'Inputs-Proposals'!$M$31*(1-'Inputs-Proposals'!$M$32^(DB$3-'Inputs-System'!$C$7)))*(VLOOKUP(DB$3,Energy!$A$51:$K$83,5,FALSE))), $C69= "0", 0), 0)</f>
        <v>0</v>
      </c>
      <c r="DC69" s="44">
        <f>IFERROR(_xlfn.IFS($C69="1",('Inputs-System'!$C$30*'Coincidence Factors'!$B$9*(1+'Inputs-System'!$C$18)*(1+'Inputs-System'!$C$41))*'Inputs-Proposals'!$M$17*'Inputs-Proposals'!$M$19*(1-'Inputs-Proposals'!$M$20^(DB$3-'Inputs-System'!$C$7))*(VLOOKUP(DB$3,'Embedded Emissions'!$A$47:$B$78,2,FALSE)+VLOOKUP(DB$3,'Embedded Emissions'!$A$129:$B$158,2,FALSE)), $C69 = "2",('Inputs-System'!$C$30*'Coincidence Factors'!$B$9*(1+'Inputs-System'!$C$18)*(1+'Inputs-System'!$C$41))*'Inputs-Proposals'!$M$23*'Inputs-Proposals'!$M$25*(1-'Inputs-Proposals'!$M$20^(DB$3-'Inputs-System'!$C$7))*(VLOOKUP(DB$3,'Embedded Emissions'!$A$47:$B$78,2,FALSE)+VLOOKUP(DB$3,'Embedded Emissions'!$A$129:$B$158,2,FALSE)), $C69 = "3", ('Inputs-System'!$C$30*'Coincidence Factors'!$B$9*(1+'Inputs-System'!$C$18)*(1+'Inputs-System'!$C$41))*'Inputs-Proposals'!$M$29*'Inputs-Proposals'!$M$31*(1-'Inputs-Proposals'!$M$20^(DB$3-'Inputs-System'!$C$7))*(VLOOKUP(DB$3,'Embedded Emissions'!$A$47:$B$78,2,FALSE)+VLOOKUP(DB$3,'Embedded Emissions'!$A$129:$B$158,2,FALSE)), $C69 = "0", 0), 0)</f>
        <v>0</v>
      </c>
      <c r="DD69" s="44">
        <f>IFERROR(_xlfn.IFS($C69="1",( 'Inputs-System'!$C$30*'Coincidence Factors'!$B$9*(1+'Inputs-System'!$C$18)*(1+'Inputs-System'!$C$41))*('Inputs-Proposals'!$M$17*'Inputs-Proposals'!$M$19*(1-'Inputs-Proposals'!$M$20)^(DB$3-'Inputs-System'!$C$7))*(VLOOKUP(DB$3,DRIPE!$A$54:$I$82,5,FALSE)+VLOOKUP(DB$3,DRIPE!$A$54:$I$82,9,FALSE))+ ('Inputs-System'!$C$26*'Coincidence Factors'!$B$6*(1+'Inputs-System'!$C$18)*(1+'Inputs-System'!$C$42))*'Inputs-Proposals'!$M$16*VLOOKUP(DB$3,DRIPE!$A$54:$I$82,8,FALSE), $C69 = "2",( 'Inputs-System'!$C$30*'Coincidence Factors'!$B$9*(1+'Inputs-System'!$C$18)*(1+'Inputs-System'!$C$41))*('Inputs-Proposals'!$M$23*'Inputs-Proposals'!$M$25*(1-'Inputs-Proposals'!$M$26)^(DB$3-'Inputs-System'!$C$7))*(VLOOKUP(DB$3,DRIPE!$A$54:$I$82,5,FALSE)+VLOOKUP(DB$3,DRIPE!$A$54:$I$82,9,FALSE))+ ('Inputs-System'!$C$26*'Coincidence Factors'!$B$6*(1+'Inputs-System'!$C$18)*(1+'Inputs-System'!$C$42))*'Inputs-Proposals'!$M$22*VLOOKUP(DB$3,DRIPE!$A$54:$I$82,8,FALSE), $C69= "3", ( 'Inputs-System'!$C$30*'Coincidence Factors'!$B$9*(1+'Inputs-System'!$C$18)*(1+'Inputs-System'!$C$41))*('Inputs-Proposals'!$M$29*'Inputs-Proposals'!$M$31*(1-'Inputs-Proposals'!$M$32)^(DB$3-'Inputs-System'!$C$7))*(VLOOKUP(DB$3,DRIPE!$A$54:$I$82,5,FALSE)+VLOOKUP(DB$3,DRIPE!$A$54:$I$82,9,FALSE))+ ('Inputs-System'!$C$26*'Coincidence Factors'!$B$6*(1+'Inputs-System'!$C$18)*(1+'Inputs-System'!$C$42))*'Inputs-Proposals'!$M$28*VLOOKUP(DB$3,DRIPE!$A$54:$I$82,8,FALSE), $C69 = "0", 0), 0)</f>
        <v>0</v>
      </c>
      <c r="DE69" s="45">
        <f>IFERROR(_xlfn.IFS($C69="1",('Inputs-System'!$C$26*'Coincidence Factors'!$B$9*(1+'Inputs-System'!$C$18)*(1+'Inputs-System'!$C$42))*'Inputs-Proposals'!$D$16*(VLOOKUP(DB$3,Capacity!$A$53:$E$85,4,FALSE)*(1+'Inputs-System'!$C$42)+VLOOKUP(DB$3,Capacity!$A$53:$E$85,5,FALSE)*(1+'Inputs-System'!$C$43)*'Inputs-System'!$C$29), $C69 = "2", ('Inputs-System'!$C$26*'Coincidence Factors'!$B$9*(1+'Inputs-System'!$C$18))*'Inputs-Proposals'!$D$22*(VLOOKUP(DB$3,Capacity!$A$53:$E$85,4,FALSE)*(1+'Inputs-System'!$C$42)+VLOOKUP(DB$3,Capacity!$A$53:$E$85,5,FALSE)*'Inputs-System'!$C$29*(1+'Inputs-System'!$C$43)), $C69 = "3", ('Inputs-System'!$C$26*'Coincidence Factors'!$B$9*(1+'Inputs-System'!$C$18))*'Inputs-Proposals'!$D$28*(VLOOKUP(DB$3,Capacity!$A$53:$E$85,4,FALSE)*(1+'Inputs-System'!$C$42)+VLOOKUP(DB$3,Capacity!$A$53:$E$85,5,FALSE)*'Inputs-System'!$C$29*(1+'Inputs-System'!$C$43)), $C69 = "0", 0), 0)</f>
        <v>0</v>
      </c>
      <c r="DF69" s="44">
        <v>0</v>
      </c>
      <c r="DG69" s="342">
        <f>IFERROR(_xlfn.IFS($C69="1", 'Inputs-System'!$C$30*'Coincidence Factors'!$B$9*'Inputs-Proposals'!$M$17*'Inputs-Proposals'!$M$19*(VLOOKUP(DB$3,'Non-Embedded Emissions'!$A$56:$D$90,2,FALSE)-VLOOKUP(DB$3,'Non-Embedded Emissions'!$F$57:$H$88,2,FALSE)+VLOOKUP(DB$3,'Non-Embedded Emissions'!$A$143:$D$174,2,FALSE)-VLOOKUP(DB$3,'Non-Embedded Emissions'!$F$143:$H$174,2,FALSE)+VLOOKUP(DB$3,'Non-Embedded Emissions'!$A$230:$D$259,2,FALSE)), $C69 = "2", 'Inputs-System'!$C$30*'Coincidence Factors'!$B$9*'Inputs-Proposals'!$M$23*'Inputs-Proposals'!$M$25*(VLOOKUP(DB$3,'Non-Embedded Emissions'!$A$56:$D$90,2,FALSE)-VLOOKUP(DB$3,'Non-Embedded Emissions'!$F$57:$H$88,2,FALSE)+VLOOKUP(DB$3,'Non-Embedded Emissions'!$A$143:$D$174,2,FALSE)-VLOOKUP(DB$3,'Non-Embedded Emissions'!$F$143:$H$174,2,FALSE)+VLOOKUP(DB$3,'Non-Embedded Emissions'!$A$230:$D$259,2,FALSE)), $C69 = "3", 'Inputs-System'!$C$30*'Coincidence Factors'!$B$9*'Inputs-Proposals'!$M$29*'Inputs-Proposals'!$M$31*(VLOOKUP(DB$3,'Non-Embedded Emissions'!$A$56:$D$90,2,FALSE)-VLOOKUP(DB$3,'Non-Embedded Emissions'!$F$57:$H$88,2,FALSE)+VLOOKUP(DB$3,'Non-Embedded Emissions'!$A$143:$D$174,2,FALSE)-VLOOKUP(DB$3,'Non-Embedded Emissions'!$F$143:$H$174,2,FALSE)+VLOOKUP(DB$3,'Non-Embedded Emissions'!$A$230:$D$259,2,FALSE)), $C69 = "0", 0), 0)</f>
        <v>0</v>
      </c>
      <c r="DH69" s="45">
        <f>IFERROR(_xlfn.IFS($C69="1",('Inputs-System'!$C$30*'Coincidence Factors'!$B$9*(1+'Inputs-System'!$C$18)*(1+'Inputs-System'!$C$41)*('Inputs-Proposals'!$M$17*'Inputs-Proposals'!$M$19*(1-'Inputs-Proposals'!$M$20^(DH$3-'Inputs-System'!$C$7)))*(VLOOKUP(DH$3,Energy!$A$51:$K$83,5,FALSE))), $C69 = "2",('Inputs-System'!$C$30*'Coincidence Factors'!$B$9)*(1+'Inputs-System'!$C$18)*(1+'Inputs-System'!$C$41)*('Inputs-Proposals'!$M$23*'Inputs-Proposals'!$M$25*(1-'Inputs-Proposals'!$M$26^(DH$3-'Inputs-System'!$C$7)))*(VLOOKUP(DH$3,Energy!$A$51:$K$83,5,FALSE)), $C69= "3", ('Inputs-System'!$C$30*'Coincidence Factors'!$B$9*(1+'Inputs-System'!$C$18)*(1+'Inputs-System'!$C$41)*('Inputs-Proposals'!$M$29*'Inputs-Proposals'!$M$31*(1-'Inputs-Proposals'!$M$32^(DH$3-'Inputs-System'!$C$7)))*(VLOOKUP(DH$3,Energy!$A$51:$K$83,5,FALSE))), $C69= "0", 0), 0)</f>
        <v>0</v>
      </c>
      <c r="DI69" s="44">
        <f>IFERROR(_xlfn.IFS($C69="1",('Inputs-System'!$C$30*'Coincidence Factors'!$B$9*(1+'Inputs-System'!$C$18)*(1+'Inputs-System'!$C$41))*'Inputs-Proposals'!$M$17*'Inputs-Proposals'!$M$19*(1-'Inputs-Proposals'!$M$20^(DH$3-'Inputs-System'!$C$7))*(VLOOKUP(DH$3,'Embedded Emissions'!$A$47:$B$78,2,FALSE)+VLOOKUP(DH$3,'Embedded Emissions'!$A$129:$B$158,2,FALSE)), $C69 = "2",('Inputs-System'!$C$30*'Coincidence Factors'!$B$9*(1+'Inputs-System'!$C$18)*(1+'Inputs-System'!$C$41))*'Inputs-Proposals'!$M$23*'Inputs-Proposals'!$M$25*(1-'Inputs-Proposals'!$M$20^(DH$3-'Inputs-System'!$C$7))*(VLOOKUP(DH$3,'Embedded Emissions'!$A$47:$B$78,2,FALSE)+VLOOKUP(DH$3,'Embedded Emissions'!$A$129:$B$158,2,FALSE)), $C69 = "3", ('Inputs-System'!$C$30*'Coincidence Factors'!$B$9*(1+'Inputs-System'!$C$18)*(1+'Inputs-System'!$C$41))*'Inputs-Proposals'!$M$29*'Inputs-Proposals'!$M$31*(1-'Inputs-Proposals'!$M$20^(DH$3-'Inputs-System'!$C$7))*(VLOOKUP(DH$3,'Embedded Emissions'!$A$47:$B$78,2,FALSE)+VLOOKUP(DH$3,'Embedded Emissions'!$A$129:$B$158,2,FALSE)), $C69 = "0", 0), 0)</f>
        <v>0</v>
      </c>
      <c r="DJ69" s="44">
        <f>IFERROR(_xlfn.IFS($C69="1",( 'Inputs-System'!$C$30*'Coincidence Factors'!$B$9*(1+'Inputs-System'!$C$18)*(1+'Inputs-System'!$C$41))*('Inputs-Proposals'!$M$17*'Inputs-Proposals'!$M$19*(1-'Inputs-Proposals'!$M$20)^(DH$3-'Inputs-System'!$C$7))*(VLOOKUP(DH$3,DRIPE!$A$54:$I$82,5,FALSE)+VLOOKUP(DH$3,DRIPE!$A$54:$I$82,9,FALSE))+ ('Inputs-System'!$C$26*'Coincidence Factors'!$B$6*(1+'Inputs-System'!$C$18)*(1+'Inputs-System'!$C$42))*'Inputs-Proposals'!$M$16*VLOOKUP(DH$3,DRIPE!$A$54:$I$82,8,FALSE), $C69 = "2",( 'Inputs-System'!$C$30*'Coincidence Factors'!$B$9*(1+'Inputs-System'!$C$18)*(1+'Inputs-System'!$C$41))*('Inputs-Proposals'!$M$23*'Inputs-Proposals'!$M$25*(1-'Inputs-Proposals'!$M$26)^(DH$3-'Inputs-System'!$C$7))*(VLOOKUP(DH$3,DRIPE!$A$54:$I$82,5,FALSE)+VLOOKUP(DH$3,DRIPE!$A$54:$I$82,9,FALSE))+ ('Inputs-System'!$C$26*'Coincidence Factors'!$B$6*(1+'Inputs-System'!$C$18)*(1+'Inputs-System'!$C$42))*'Inputs-Proposals'!$M$22*VLOOKUP(DH$3,DRIPE!$A$54:$I$82,8,FALSE), $C69= "3", ( 'Inputs-System'!$C$30*'Coincidence Factors'!$B$9*(1+'Inputs-System'!$C$18)*(1+'Inputs-System'!$C$41))*('Inputs-Proposals'!$M$29*'Inputs-Proposals'!$M$31*(1-'Inputs-Proposals'!$M$32)^(DH$3-'Inputs-System'!$C$7))*(VLOOKUP(DH$3,DRIPE!$A$54:$I$82,5,FALSE)+VLOOKUP(DH$3,DRIPE!$A$54:$I$82,9,FALSE))+ ('Inputs-System'!$C$26*'Coincidence Factors'!$B$6*(1+'Inputs-System'!$C$18)*(1+'Inputs-System'!$C$42))*'Inputs-Proposals'!$M$28*VLOOKUP(DH$3,DRIPE!$A$54:$I$82,8,FALSE), $C69 = "0", 0), 0)</f>
        <v>0</v>
      </c>
      <c r="DK69" s="45">
        <f>IFERROR(_xlfn.IFS($C69="1",('Inputs-System'!$C$26*'Coincidence Factors'!$B$9*(1+'Inputs-System'!$C$18)*(1+'Inputs-System'!$C$42))*'Inputs-Proposals'!$D$16*(VLOOKUP(DH$3,Capacity!$A$53:$E$85,4,FALSE)*(1+'Inputs-System'!$C$42)+VLOOKUP(DH$3,Capacity!$A$53:$E$85,5,FALSE)*(1+'Inputs-System'!$C$43)*'Inputs-System'!$C$29), $C69 = "2", ('Inputs-System'!$C$26*'Coincidence Factors'!$B$9*(1+'Inputs-System'!$C$18))*'Inputs-Proposals'!$D$22*(VLOOKUP(DH$3,Capacity!$A$53:$E$85,4,FALSE)*(1+'Inputs-System'!$C$42)+VLOOKUP(DH$3,Capacity!$A$53:$E$85,5,FALSE)*'Inputs-System'!$C$29*(1+'Inputs-System'!$C$43)), $C69 = "3", ('Inputs-System'!$C$26*'Coincidence Factors'!$B$9*(1+'Inputs-System'!$C$18))*'Inputs-Proposals'!$D$28*(VLOOKUP(DH$3,Capacity!$A$53:$E$85,4,FALSE)*(1+'Inputs-System'!$C$42)+VLOOKUP(DH$3,Capacity!$A$53:$E$85,5,FALSE)*'Inputs-System'!$C$29*(1+'Inputs-System'!$C$43)), $C69 = "0", 0), 0)</f>
        <v>0</v>
      </c>
      <c r="DL69" s="44">
        <v>0</v>
      </c>
      <c r="DM69" s="342">
        <f>IFERROR(_xlfn.IFS($C69="1", 'Inputs-System'!$C$30*'Coincidence Factors'!$B$9*'Inputs-Proposals'!$M$17*'Inputs-Proposals'!$M$19*(VLOOKUP(DH$3,'Non-Embedded Emissions'!$A$56:$D$90,2,FALSE)-VLOOKUP(DH$3,'Non-Embedded Emissions'!$F$57:$H$88,2,FALSE)+VLOOKUP(DH$3,'Non-Embedded Emissions'!$A$143:$D$174,2,FALSE)-VLOOKUP(DH$3,'Non-Embedded Emissions'!$F$143:$H$174,2,FALSE)+VLOOKUP(DH$3,'Non-Embedded Emissions'!$A$230:$D$259,2,FALSE)), $C69 = "2", 'Inputs-System'!$C$30*'Coincidence Factors'!$B$9*'Inputs-Proposals'!$M$23*'Inputs-Proposals'!$M$25*(VLOOKUP(DH$3,'Non-Embedded Emissions'!$A$56:$D$90,2,FALSE)-VLOOKUP(DH$3,'Non-Embedded Emissions'!$F$57:$H$88,2,FALSE)+VLOOKUP(DH$3,'Non-Embedded Emissions'!$A$143:$D$174,2,FALSE)-VLOOKUP(DH$3,'Non-Embedded Emissions'!$F$143:$H$174,2,FALSE)+VLOOKUP(DH$3,'Non-Embedded Emissions'!$A$230:$D$259,2,FALSE)), $C69 = "3", 'Inputs-System'!$C$30*'Coincidence Factors'!$B$9*'Inputs-Proposals'!$M$29*'Inputs-Proposals'!$M$31*(VLOOKUP(DH$3,'Non-Embedded Emissions'!$A$56:$D$90,2,FALSE)-VLOOKUP(DH$3,'Non-Embedded Emissions'!$F$57:$H$88,2,FALSE)+VLOOKUP(DH$3,'Non-Embedded Emissions'!$A$143:$D$174,2,FALSE)-VLOOKUP(DH$3,'Non-Embedded Emissions'!$F$143:$H$174,2,FALSE)+VLOOKUP(DH$3,'Non-Embedded Emissions'!$A$230:$D$259,2,FALSE)), $C69 = "0", 0), 0)</f>
        <v>0</v>
      </c>
      <c r="DN69" s="45">
        <f>IFERROR(_xlfn.IFS($C69="1",('Inputs-System'!$C$30*'Coincidence Factors'!$B$9*(1+'Inputs-System'!$C$18)*(1+'Inputs-System'!$C$41)*('Inputs-Proposals'!$M$17*'Inputs-Proposals'!$M$19*(1-'Inputs-Proposals'!$M$20^(DN$3-'Inputs-System'!$C$7)))*(VLOOKUP(DN$3,Energy!$A$51:$K$83,5,FALSE))), $C69 = "2",('Inputs-System'!$C$30*'Coincidence Factors'!$B$9)*(1+'Inputs-System'!$C$18)*(1+'Inputs-System'!$C$41)*('Inputs-Proposals'!$M$23*'Inputs-Proposals'!$M$25*(1-'Inputs-Proposals'!$M$26^(DN$3-'Inputs-System'!$C$7)))*(VLOOKUP(DN$3,Energy!$A$51:$K$83,5,FALSE)), $C69= "3", ('Inputs-System'!$C$30*'Coincidence Factors'!$B$9*(1+'Inputs-System'!$C$18)*(1+'Inputs-System'!$C$41)*('Inputs-Proposals'!$M$29*'Inputs-Proposals'!$M$31*(1-'Inputs-Proposals'!$M$32^(DN$3-'Inputs-System'!$C$7)))*(VLOOKUP(DN$3,Energy!$A$51:$K$83,5,FALSE))), $C69= "0", 0), 0)</f>
        <v>0</v>
      </c>
      <c r="DO69" s="44">
        <f>IFERROR(_xlfn.IFS($C69="1",('Inputs-System'!$C$30*'Coincidence Factors'!$B$9*(1+'Inputs-System'!$C$18)*(1+'Inputs-System'!$C$41))*'Inputs-Proposals'!$M$17*'Inputs-Proposals'!$M$19*(1-'Inputs-Proposals'!$M$20^(DN$3-'Inputs-System'!$C$7))*(VLOOKUP(DN$3,'Embedded Emissions'!$A$47:$B$78,2,FALSE)+VLOOKUP(DN$3,'Embedded Emissions'!$A$129:$B$158,2,FALSE)), $C69 = "2",('Inputs-System'!$C$30*'Coincidence Factors'!$B$9*(1+'Inputs-System'!$C$18)*(1+'Inputs-System'!$C$41))*'Inputs-Proposals'!$M$23*'Inputs-Proposals'!$M$25*(1-'Inputs-Proposals'!$M$20^(DN$3-'Inputs-System'!$C$7))*(VLOOKUP(DN$3,'Embedded Emissions'!$A$47:$B$78,2,FALSE)+VLOOKUP(DN$3,'Embedded Emissions'!$A$129:$B$158,2,FALSE)), $C69 = "3", ('Inputs-System'!$C$30*'Coincidence Factors'!$B$9*(1+'Inputs-System'!$C$18)*(1+'Inputs-System'!$C$41))*'Inputs-Proposals'!$M$29*'Inputs-Proposals'!$M$31*(1-'Inputs-Proposals'!$M$20^(DN$3-'Inputs-System'!$C$7))*(VLOOKUP(DN$3,'Embedded Emissions'!$A$47:$B$78,2,FALSE)+VLOOKUP(DN$3,'Embedded Emissions'!$A$129:$B$158,2,FALSE)), $C69 = "0", 0), 0)</f>
        <v>0</v>
      </c>
      <c r="DP69" s="44">
        <f>IFERROR(_xlfn.IFS($C69="1",( 'Inputs-System'!$C$30*'Coincidence Factors'!$B$9*(1+'Inputs-System'!$C$18)*(1+'Inputs-System'!$C$41))*('Inputs-Proposals'!$M$17*'Inputs-Proposals'!$M$19*(1-'Inputs-Proposals'!$M$20)^(DN$3-'Inputs-System'!$C$7))*(VLOOKUP(DN$3,DRIPE!$A$54:$I$82,5,FALSE)+VLOOKUP(DN$3,DRIPE!$A$54:$I$82,9,FALSE))+ ('Inputs-System'!$C$26*'Coincidence Factors'!$B$6*(1+'Inputs-System'!$C$18)*(1+'Inputs-System'!$C$42))*'Inputs-Proposals'!$M$16*VLOOKUP(DN$3,DRIPE!$A$54:$I$82,8,FALSE), $C69 = "2",( 'Inputs-System'!$C$30*'Coincidence Factors'!$B$9*(1+'Inputs-System'!$C$18)*(1+'Inputs-System'!$C$41))*('Inputs-Proposals'!$M$23*'Inputs-Proposals'!$M$25*(1-'Inputs-Proposals'!$M$26)^(DN$3-'Inputs-System'!$C$7))*(VLOOKUP(DN$3,DRIPE!$A$54:$I$82,5,FALSE)+VLOOKUP(DN$3,DRIPE!$A$54:$I$82,9,FALSE))+ ('Inputs-System'!$C$26*'Coincidence Factors'!$B$6*(1+'Inputs-System'!$C$18)*(1+'Inputs-System'!$C$42))*'Inputs-Proposals'!$M$22*VLOOKUP(DN$3,DRIPE!$A$54:$I$82,8,FALSE), $C69= "3", ( 'Inputs-System'!$C$30*'Coincidence Factors'!$B$9*(1+'Inputs-System'!$C$18)*(1+'Inputs-System'!$C$41))*('Inputs-Proposals'!$M$29*'Inputs-Proposals'!$M$31*(1-'Inputs-Proposals'!$M$32)^(DN$3-'Inputs-System'!$C$7))*(VLOOKUP(DN$3,DRIPE!$A$54:$I$82,5,FALSE)+VLOOKUP(DN$3,DRIPE!$A$54:$I$82,9,FALSE))+ ('Inputs-System'!$C$26*'Coincidence Factors'!$B$6*(1+'Inputs-System'!$C$18)*(1+'Inputs-System'!$C$42))*'Inputs-Proposals'!$M$28*VLOOKUP(DN$3,DRIPE!$A$54:$I$82,8,FALSE), $C69 = "0", 0), 0)</f>
        <v>0</v>
      </c>
      <c r="DQ69" s="45">
        <f>IFERROR(_xlfn.IFS($C69="1",('Inputs-System'!$C$26*'Coincidence Factors'!$B$9*(1+'Inputs-System'!$C$18)*(1+'Inputs-System'!$C$42))*'Inputs-Proposals'!$D$16*(VLOOKUP(DN$3,Capacity!$A$53:$E$85,4,FALSE)*(1+'Inputs-System'!$C$42)+VLOOKUP(DN$3,Capacity!$A$53:$E$85,5,FALSE)*(1+'Inputs-System'!$C$43)*'Inputs-System'!$C$29), $C69 = "2", ('Inputs-System'!$C$26*'Coincidence Factors'!$B$9*(1+'Inputs-System'!$C$18))*'Inputs-Proposals'!$D$22*(VLOOKUP(DN$3,Capacity!$A$53:$E$85,4,FALSE)*(1+'Inputs-System'!$C$42)+VLOOKUP(DN$3,Capacity!$A$53:$E$85,5,FALSE)*'Inputs-System'!$C$29*(1+'Inputs-System'!$C$43)), $C69 = "3", ('Inputs-System'!$C$26*'Coincidence Factors'!$B$9*(1+'Inputs-System'!$C$18))*'Inputs-Proposals'!$D$28*(VLOOKUP(DN$3,Capacity!$A$53:$E$85,4,FALSE)*(1+'Inputs-System'!$C$42)+VLOOKUP(DN$3,Capacity!$A$53:$E$85,5,FALSE)*'Inputs-System'!$C$29*(1+'Inputs-System'!$C$43)), $C69 = "0", 0), 0)</f>
        <v>0</v>
      </c>
      <c r="DR69" s="44">
        <v>0</v>
      </c>
      <c r="DS69" s="342">
        <f>IFERROR(_xlfn.IFS($C69="1", 'Inputs-System'!$C$30*'Coincidence Factors'!$B$9*'Inputs-Proposals'!$M$17*'Inputs-Proposals'!$M$19*(VLOOKUP(DN$3,'Non-Embedded Emissions'!$A$56:$D$90,2,FALSE)-VLOOKUP(DN$3,'Non-Embedded Emissions'!$F$57:$H$88,2,FALSE)+VLOOKUP(DN$3,'Non-Embedded Emissions'!$A$143:$D$174,2,FALSE)-VLOOKUP(DN$3,'Non-Embedded Emissions'!$F$143:$H$174,2,FALSE)+VLOOKUP(DN$3,'Non-Embedded Emissions'!$A$230:$D$259,2,FALSE)), $C69 = "2", 'Inputs-System'!$C$30*'Coincidence Factors'!$B$9*'Inputs-Proposals'!$M$23*'Inputs-Proposals'!$M$25*(VLOOKUP(DN$3,'Non-Embedded Emissions'!$A$56:$D$90,2,FALSE)-VLOOKUP(DN$3,'Non-Embedded Emissions'!$F$57:$H$88,2,FALSE)+VLOOKUP(DN$3,'Non-Embedded Emissions'!$A$143:$D$174,2,FALSE)-VLOOKUP(DN$3,'Non-Embedded Emissions'!$F$143:$H$174,2,FALSE)+VLOOKUP(DN$3,'Non-Embedded Emissions'!$A$230:$D$259,2,FALSE)), $C69 = "3", 'Inputs-System'!$C$30*'Coincidence Factors'!$B$9*'Inputs-Proposals'!$M$29*'Inputs-Proposals'!$M$31*(VLOOKUP(DN$3,'Non-Embedded Emissions'!$A$56:$D$90,2,FALSE)-VLOOKUP(DN$3,'Non-Embedded Emissions'!$F$57:$H$88,2,FALSE)+VLOOKUP(DN$3,'Non-Embedded Emissions'!$A$143:$D$174,2,FALSE)-VLOOKUP(DN$3,'Non-Embedded Emissions'!$F$143:$H$174,2,FALSE)+VLOOKUP(DN$3,'Non-Embedded Emissions'!$A$230:$D$259,2,FALSE)), $C69 = "0", 0), 0)</f>
        <v>0</v>
      </c>
      <c r="DT69" s="45">
        <f>IFERROR(_xlfn.IFS($C69="1",('Inputs-System'!$C$30*'Coincidence Factors'!$B$9*(1+'Inputs-System'!$C$18)*(1+'Inputs-System'!$C$41)*('Inputs-Proposals'!$M$17*'Inputs-Proposals'!$M$19*(1-'Inputs-Proposals'!$M$20^(DT$3-'Inputs-System'!$C$7)))*(VLOOKUP(DT$3,Energy!$A$51:$K$83,5,FALSE))), $C69 = "2",('Inputs-System'!$C$30*'Coincidence Factors'!$B$9)*(1+'Inputs-System'!$C$18)*(1+'Inputs-System'!$C$41)*('Inputs-Proposals'!$M$23*'Inputs-Proposals'!$M$25*(1-'Inputs-Proposals'!$M$26^(DT$3-'Inputs-System'!$C$7)))*(VLOOKUP(DT$3,Energy!$A$51:$K$83,5,FALSE)), $C69= "3", ('Inputs-System'!$C$30*'Coincidence Factors'!$B$9*(1+'Inputs-System'!$C$18)*(1+'Inputs-System'!$C$41)*('Inputs-Proposals'!$M$29*'Inputs-Proposals'!$M$31*(1-'Inputs-Proposals'!$M$32^(DT$3-'Inputs-System'!$C$7)))*(VLOOKUP(DT$3,Energy!$A$51:$K$83,5,FALSE))), $C69= "0", 0), 0)</f>
        <v>0</v>
      </c>
      <c r="DU69" s="44">
        <f>IFERROR(_xlfn.IFS($C69="1",('Inputs-System'!$C$30*'Coincidence Factors'!$B$9*(1+'Inputs-System'!$C$18)*(1+'Inputs-System'!$C$41))*'Inputs-Proposals'!$M$17*'Inputs-Proposals'!$M$19*(1-'Inputs-Proposals'!$M$20^(DT$3-'Inputs-System'!$C$7))*(VLOOKUP(DT$3,'Embedded Emissions'!$A$47:$B$78,2,FALSE)+VLOOKUP(DT$3,'Embedded Emissions'!$A$129:$B$158,2,FALSE)), $C69 = "2",('Inputs-System'!$C$30*'Coincidence Factors'!$B$9*(1+'Inputs-System'!$C$18)*(1+'Inputs-System'!$C$41))*'Inputs-Proposals'!$M$23*'Inputs-Proposals'!$M$25*(1-'Inputs-Proposals'!$M$20^(DT$3-'Inputs-System'!$C$7))*(VLOOKUP(DT$3,'Embedded Emissions'!$A$47:$B$78,2,FALSE)+VLOOKUP(DT$3,'Embedded Emissions'!$A$129:$B$158,2,FALSE)), $C69 = "3", ('Inputs-System'!$C$30*'Coincidence Factors'!$B$9*(1+'Inputs-System'!$C$18)*(1+'Inputs-System'!$C$41))*'Inputs-Proposals'!$M$29*'Inputs-Proposals'!$M$31*(1-'Inputs-Proposals'!$M$20^(DT$3-'Inputs-System'!$C$7))*(VLOOKUP(DT$3,'Embedded Emissions'!$A$47:$B$78,2,FALSE)+VLOOKUP(DT$3,'Embedded Emissions'!$A$129:$B$158,2,FALSE)), $C69 = "0", 0), 0)</f>
        <v>0</v>
      </c>
      <c r="DV69" s="44">
        <f>IFERROR(_xlfn.IFS($C69="1",( 'Inputs-System'!$C$30*'Coincidence Factors'!$B$9*(1+'Inputs-System'!$C$18)*(1+'Inputs-System'!$C$41))*('Inputs-Proposals'!$M$17*'Inputs-Proposals'!$M$19*(1-'Inputs-Proposals'!$M$20)^(DT$3-'Inputs-System'!$C$7))*(VLOOKUP(DT$3,DRIPE!$A$54:$I$82,5,FALSE)+VLOOKUP(DT$3,DRIPE!$A$54:$I$82,9,FALSE))+ ('Inputs-System'!$C$26*'Coincidence Factors'!$B$6*(1+'Inputs-System'!$C$18)*(1+'Inputs-System'!$C$42))*'Inputs-Proposals'!$M$16*VLOOKUP(DT$3,DRIPE!$A$54:$I$82,8,FALSE), $C69 = "2",( 'Inputs-System'!$C$30*'Coincidence Factors'!$B$9*(1+'Inputs-System'!$C$18)*(1+'Inputs-System'!$C$41))*('Inputs-Proposals'!$M$23*'Inputs-Proposals'!$M$25*(1-'Inputs-Proposals'!$M$26)^(DT$3-'Inputs-System'!$C$7))*(VLOOKUP(DT$3,DRIPE!$A$54:$I$82,5,FALSE)+VLOOKUP(DT$3,DRIPE!$A$54:$I$82,9,FALSE))+ ('Inputs-System'!$C$26*'Coincidence Factors'!$B$6*(1+'Inputs-System'!$C$18)*(1+'Inputs-System'!$C$42))*'Inputs-Proposals'!$M$22*VLOOKUP(DT$3,DRIPE!$A$54:$I$82,8,FALSE), $C69= "3", ( 'Inputs-System'!$C$30*'Coincidence Factors'!$B$9*(1+'Inputs-System'!$C$18)*(1+'Inputs-System'!$C$41))*('Inputs-Proposals'!$M$29*'Inputs-Proposals'!$M$31*(1-'Inputs-Proposals'!$M$32)^(DT$3-'Inputs-System'!$C$7))*(VLOOKUP(DT$3,DRIPE!$A$54:$I$82,5,FALSE)+VLOOKUP(DT$3,DRIPE!$A$54:$I$82,9,FALSE))+ ('Inputs-System'!$C$26*'Coincidence Factors'!$B$6*(1+'Inputs-System'!$C$18)*(1+'Inputs-System'!$C$42))*'Inputs-Proposals'!$M$28*VLOOKUP(DT$3,DRIPE!$A$54:$I$82,8,FALSE), $C69 = "0", 0), 0)</f>
        <v>0</v>
      </c>
      <c r="DW69" s="45">
        <f>IFERROR(_xlfn.IFS($C69="1",('Inputs-System'!$C$26*'Coincidence Factors'!$B$9*(1+'Inputs-System'!$C$18)*(1+'Inputs-System'!$C$42))*'Inputs-Proposals'!$D$16*(VLOOKUP(DT$3,Capacity!$A$53:$E$85,4,FALSE)*(1+'Inputs-System'!$C$42)+VLOOKUP(DT$3,Capacity!$A$53:$E$85,5,FALSE)*(1+'Inputs-System'!$C$43)*'Inputs-System'!$C$29), $C69 = "2", ('Inputs-System'!$C$26*'Coincidence Factors'!$B$9*(1+'Inputs-System'!$C$18))*'Inputs-Proposals'!$D$22*(VLOOKUP(DT$3,Capacity!$A$53:$E$85,4,FALSE)*(1+'Inputs-System'!$C$42)+VLOOKUP(DT$3,Capacity!$A$53:$E$85,5,FALSE)*'Inputs-System'!$C$29*(1+'Inputs-System'!$C$43)), $C69 = "3", ('Inputs-System'!$C$26*'Coincidence Factors'!$B$9*(1+'Inputs-System'!$C$18))*'Inputs-Proposals'!$D$28*(VLOOKUP(DT$3,Capacity!$A$53:$E$85,4,FALSE)*(1+'Inputs-System'!$C$42)+VLOOKUP(DT$3,Capacity!$A$53:$E$85,5,FALSE)*'Inputs-System'!$C$29*(1+'Inputs-System'!$C$43)), $C69 = "0", 0), 0)</f>
        <v>0</v>
      </c>
      <c r="DX69" s="44">
        <v>0</v>
      </c>
      <c r="DY69" s="342">
        <f>IFERROR(_xlfn.IFS($C69="1", 'Inputs-System'!$C$30*'Coincidence Factors'!$B$9*'Inputs-Proposals'!$M$17*'Inputs-Proposals'!$M$19*(VLOOKUP(DT$3,'Non-Embedded Emissions'!$A$56:$D$90,2,FALSE)-VLOOKUP(DT$3,'Non-Embedded Emissions'!$F$57:$H$88,2,FALSE)+VLOOKUP(DT$3,'Non-Embedded Emissions'!$A$143:$D$174,2,FALSE)-VLOOKUP(DT$3,'Non-Embedded Emissions'!$F$143:$H$174,2,FALSE)+VLOOKUP(DT$3,'Non-Embedded Emissions'!$A$230:$D$259,2,FALSE)), $C69 = "2", 'Inputs-System'!$C$30*'Coincidence Factors'!$B$9*'Inputs-Proposals'!$M$23*'Inputs-Proposals'!$M$25*(VLOOKUP(DT$3,'Non-Embedded Emissions'!$A$56:$D$90,2,FALSE)-VLOOKUP(DT$3,'Non-Embedded Emissions'!$F$57:$H$88,2,FALSE)+VLOOKUP(DT$3,'Non-Embedded Emissions'!$A$143:$D$174,2,FALSE)-VLOOKUP(DT$3,'Non-Embedded Emissions'!$F$143:$H$174,2,FALSE)+VLOOKUP(DT$3,'Non-Embedded Emissions'!$A$230:$D$259,2,FALSE)), $C69 = "3", 'Inputs-System'!$C$30*'Coincidence Factors'!$B$9*'Inputs-Proposals'!$M$29*'Inputs-Proposals'!$M$31*(VLOOKUP(DT$3,'Non-Embedded Emissions'!$A$56:$D$90,2,FALSE)-VLOOKUP(DT$3,'Non-Embedded Emissions'!$F$57:$H$88,2,FALSE)+VLOOKUP(DT$3,'Non-Embedded Emissions'!$A$143:$D$174,2,FALSE)-VLOOKUP(DT$3,'Non-Embedded Emissions'!$F$143:$H$174,2,FALSE)+VLOOKUP(DT$3,'Non-Embedded Emissions'!$A$230:$D$259,2,FALSE)), $C69 = "0", 0), 0)</f>
        <v>0</v>
      </c>
      <c r="DZ69" s="45">
        <f>IFERROR(_xlfn.IFS($C69="1",('Inputs-System'!$C$30*'Coincidence Factors'!$B$9*(1+'Inputs-System'!$C$18)*(1+'Inputs-System'!$C$41)*('Inputs-Proposals'!$M$17*'Inputs-Proposals'!$M$19*(1-'Inputs-Proposals'!$M$20^(DZ$3-'Inputs-System'!$C$7)))*(VLOOKUP(DZ$3,Energy!$A$51:$K$83,5,FALSE))), $C69 = "2",('Inputs-System'!$C$30*'Coincidence Factors'!$B$9)*(1+'Inputs-System'!$C$18)*(1+'Inputs-System'!$C$41)*('Inputs-Proposals'!$M$23*'Inputs-Proposals'!$M$25*(1-'Inputs-Proposals'!$M$26^(DZ$3-'Inputs-System'!$C$7)))*(VLOOKUP(DZ$3,Energy!$A$51:$K$83,5,FALSE)), $C69= "3", ('Inputs-System'!$C$30*'Coincidence Factors'!$B$9*(1+'Inputs-System'!$C$18)*(1+'Inputs-System'!$C$41)*('Inputs-Proposals'!$M$29*'Inputs-Proposals'!$M$31*(1-'Inputs-Proposals'!$M$32^(DZ$3-'Inputs-System'!$C$7)))*(VLOOKUP(DZ$3,Energy!$A$51:$K$83,5,FALSE))), $C69= "0", 0), 0)</f>
        <v>0</v>
      </c>
      <c r="EA69" s="44">
        <f>IFERROR(_xlfn.IFS($C69="1",('Inputs-System'!$C$30*'Coincidence Factors'!$B$9*(1+'Inputs-System'!$C$18)*(1+'Inputs-System'!$C$41))*'Inputs-Proposals'!$M$17*'Inputs-Proposals'!$M$19*(1-'Inputs-Proposals'!$M$20^(DZ$3-'Inputs-System'!$C$7))*(VLOOKUP(DZ$3,'Embedded Emissions'!$A$47:$B$78,2,FALSE)+VLOOKUP(DZ$3,'Embedded Emissions'!$A$129:$B$158,2,FALSE)), $C69 = "2",('Inputs-System'!$C$30*'Coincidence Factors'!$B$9*(1+'Inputs-System'!$C$18)*(1+'Inputs-System'!$C$41))*'Inputs-Proposals'!$M$23*'Inputs-Proposals'!$M$25*(1-'Inputs-Proposals'!$M$20^(DZ$3-'Inputs-System'!$C$7))*(VLOOKUP(DZ$3,'Embedded Emissions'!$A$47:$B$78,2,FALSE)+VLOOKUP(DZ$3,'Embedded Emissions'!$A$129:$B$158,2,FALSE)), $C69 = "3", ('Inputs-System'!$C$30*'Coincidence Factors'!$B$9*(1+'Inputs-System'!$C$18)*(1+'Inputs-System'!$C$41))*'Inputs-Proposals'!$M$29*'Inputs-Proposals'!$M$31*(1-'Inputs-Proposals'!$M$20^(DZ$3-'Inputs-System'!$C$7))*(VLOOKUP(DZ$3,'Embedded Emissions'!$A$47:$B$78,2,FALSE)+VLOOKUP(DZ$3,'Embedded Emissions'!$A$129:$B$158,2,FALSE)), $C69 = "0", 0), 0)</f>
        <v>0</v>
      </c>
      <c r="EB69" s="44">
        <f>IFERROR(_xlfn.IFS($C69="1",( 'Inputs-System'!$C$30*'Coincidence Factors'!$B$9*(1+'Inputs-System'!$C$18)*(1+'Inputs-System'!$C$41))*('Inputs-Proposals'!$M$17*'Inputs-Proposals'!$M$19*(1-'Inputs-Proposals'!$M$20)^(DZ$3-'Inputs-System'!$C$7))*(VLOOKUP(DZ$3,DRIPE!$A$54:$I$82,5,FALSE)+VLOOKUP(DZ$3,DRIPE!$A$54:$I$82,9,FALSE))+ ('Inputs-System'!$C$26*'Coincidence Factors'!$B$6*(1+'Inputs-System'!$C$18)*(1+'Inputs-System'!$C$42))*'Inputs-Proposals'!$M$16*VLOOKUP(DZ$3,DRIPE!$A$54:$I$82,8,FALSE), $C69 = "2",( 'Inputs-System'!$C$30*'Coincidence Factors'!$B$9*(1+'Inputs-System'!$C$18)*(1+'Inputs-System'!$C$41))*('Inputs-Proposals'!$M$23*'Inputs-Proposals'!$M$25*(1-'Inputs-Proposals'!$M$26)^(DZ$3-'Inputs-System'!$C$7))*(VLOOKUP(DZ$3,DRIPE!$A$54:$I$82,5,FALSE)+VLOOKUP(DZ$3,DRIPE!$A$54:$I$82,9,FALSE))+ ('Inputs-System'!$C$26*'Coincidence Factors'!$B$6*(1+'Inputs-System'!$C$18)*(1+'Inputs-System'!$C$42))*'Inputs-Proposals'!$M$22*VLOOKUP(DZ$3,DRIPE!$A$54:$I$82,8,FALSE), $C69= "3", ( 'Inputs-System'!$C$30*'Coincidence Factors'!$B$9*(1+'Inputs-System'!$C$18)*(1+'Inputs-System'!$C$41))*('Inputs-Proposals'!$M$29*'Inputs-Proposals'!$M$31*(1-'Inputs-Proposals'!$M$32)^(DZ$3-'Inputs-System'!$C$7))*(VLOOKUP(DZ$3,DRIPE!$A$54:$I$82,5,FALSE)+VLOOKUP(DZ$3,DRIPE!$A$54:$I$82,9,FALSE))+ ('Inputs-System'!$C$26*'Coincidence Factors'!$B$6*(1+'Inputs-System'!$C$18)*(1+'Inputs-System'!$C$42))*'Inputs-Proposals'!$M$28*VLOOKUP(DZ$3,DRIPE!$A$54:$I$82,8,FALSE), $C69 = "0", 0), 0)</f>
        <v>0</v>
      </c>
      <c r="EC69" s="45">
        <f>IFERROR(_xlfn.IFS($C69="1",('Inputs-System'!$C$26*'Coincidence Factors'!$B$9*(1+'Inputs-System'!$C$18)*(1+'Inputs-System'!$C$42))*'Inputs-Proposals'!$D$16*(VLOOKUP(DZ$3,Capacity!$A$53:$E$85,4,FALSE)*(1+'Inputs-System'!$C$42)+VLOOKUP(DZ$3,Capacity!$A$53:$E$85,5,FALSE)*(1+'Inputs-System'!$C$43)*'Inputs-System'!$C$29), $C69 = "2", ('Inputs-System'!$C$26*'Coincidence Factors'!$B$9*(1+'Inputs-System'!$C$18))*'Inputs-Proposals'!$D$22*(VLOOKUP(DZ$3,Capacity!$A$53:$E$85,4,FALSE)*(1+'Inputs-System'!$C$42)+VLOOKUP(DZ$3,Capacity!$A$53:$E$85,5,FALSE)*'Inputs-System'!$C$29*(1+'Inputs-System'!$C$43)), $C69 = "3", ('Inputs-System'!$C$26*'Coincidence Factors'!$B$9*(1+'Inputs-System'!$C$18))*'Inputs-Proposals'!$D$28*(VLOOKUP(DZ$3,Capacity!$A$53:$E$85,4,FALSE)*(1+'Inputs-System'!$C$42)+VLOOKUP(DZ$3,Capacity!$A$53:$E$85,5,FALSE)*'Inputs-System'!$C$29*(1+'Inputs-System'!$C$43)), $C69 = "0", 0), 0)</f>
        <v>0</v>
      </c>
      <c r="ED69" s="44">
        <v>0</v>
      </c>
      <c r="EE69" s="342">
        <f>IFERROR(_xlfn.IFS($C69="1", 'Inputs-System'!$C$30*'Coincidence Factors'!$B$9*'Inputs-Proposals'!$M$17*'Inputs-Proposals'!$M$19*(VLOOKUP(DZ$3,'Non-Embedded Emissions'!$A$56:$D$90,2,FALSE)-VLOOKUP(DZ$3,'Non-Embedded Emissions'!$F$57:$H$88,2,FALSE)+VLOOKUP(DZ$3,'Non-Embedded Emissions'!$A$143:$D$174,2,FALSE)-VLOOKUP(DZ$3,'Non-Embedded Emissions'!$F$143:$H$174,2,FALSE)+VLOOKUP(DZ$3,'Non-Embedded Emissions'!$A$230:$D$259,2,FALSE)), $C69 = "2", 'Inputs-System'!$C$30*'Coincidence Factors'!$B$9*'Inputs-Proposals'!$M$23*'Inputs-Proposals'!$M$25*(VLOOKUP(DZ$3,'Non-Embedded Emissions'!$A$56:$D$90,2,FALSE)-VLOOKUP(DZ$3,'Non-Embedded Emissions'!$F$57:$H$88,2,FALSE)+VLOOKUP(DZ$3,'Non-Embedded Emissions'!$A$143:$D$174,2,FALSE)-VLOOKUP(DZ$3,'Non-Embedded Emissions'!$F$143:$H$174,2,FALSE)+VLOOKUP(DZ$3,'Non-Embedded Emissions'!$A$230:$D$259,2,FALSE)), $C69 = "3", 'Inputs-System'!$C$30*'Coincidence Factors'!$B$9*'Inputs-Proposals'!$M$29*'Inputs-Proposals'!$M$31*(VLOOKUP(DZ$3,'Non-Embedded Emissions'!$A$56:$D$90,2,FALSE)-VLOOKUP(DZ$3,'Non-Embedded Emissions'!$F$57:$H$88,2,FALSE)+VLOOKUP(DZ$3,'Non-Embedded Emissions'!$A$143:$D$174,2,FALSE)-VLOOKUP(DZ$3,'Non-Embedded Emissions'!$F$143:$H$174,2,FALSE)+VLOOKUP(DZ$3,'Non-Embedded Emissions'!$A$230:$D$259,2,FALSE)), $C69 = "0", 0), 0)</f>
        <v>0</v>
      </c>
    </row>
    <row r="70" spans="1:135" x14ac:dyDescent="0.35">
      <c r="A70" s="709"/>
      <c r="B70" s="53" t="str">
        <f>B64</f>
        <v>LNG GenSet</v>
      </c>
      <c r="C70" s="357" t="str">
        <f>IFERROR(_xlfn.IFS('Benefits Calc'!B70='Inputs-Proposals'!$M$15, "1", 'Benefits Calc'!B70='Inputs-Proposals'!$M$21, "2", 'Benefits Calc'!B70='Inputs-Proposals'!$M$27, "3"), "0")</f>
        <v>0</v>
      </c>
      <c r="D70" s="324">
        <f t="shared" ref="D70" si="67">P70+V70+AB70+AH70+AN70+AT70+AZ70+BF70+BL70+BR70+BX70+CD70+CJ70+CP70+CV70+DB70+DH70+DN70+DT70+DZ70</f>
        <v>0</v>
      </c>
      <c r="E70" s="320">
        <f t="shared" ref="E70" si="68">Q70+W70+AC70+AI70+AO70+AU70+BA70+BG70+BM70+BS70+BY70+CE70+CK70+CQ70+CW70+DC70+DI70+DO70+DU70+EA70</f>
        <v>0</v>
      </c>
      <c r="F70" s="320">
        <f t="shared" ref="F70" si="69">R70+X70+AD70+AJ70+AP70+AV70+BB70+BH70+BN70+BT70+BZ70+CF70+CL70+CR70+CX70+DD70+DJ70+DP70+DV70+EB70</f>
        <v>0</v>
      </c>
      <c r="G70" s="320">
        <f t="shared" ref="G70" si="70">S70+Y70+AE70+AK70+AQ70+AW70+BC70+BI70+BO70+BU70+CA70+CG70+CM70+CS70+CY70+DE70+DK70+DQ70+DW70+EC70</f>
        <v>0</v>
      </c>
      <c r="H70" s="320">
        <f t="shared" ref="H70" si="71">T70+Z70+AF70+AL70+AR70+AX70+BD70+BJ70+BP70+BV70+CB70+CH70+CN70+CT70+CZ70+DF70+DL70+DR70+DX70+ED70</f>
        <v>0</v>
      </c>
      <c r="I70" s="320">
        <f t="shared" ref="I70" si="72">U70+AA70+AG70+AM70+AS70+AY70+BE70+BK70+BQ70+BW70+CC70+CI70+CO70+CU70+DA70+DG70+DM70+DS70+DY70+EE70</f>
        <v>0</v>
      </c>
      <c r="J70" s="324">
        <f>NPV('Inputs-System'!$C$20,P70+V70+AB70+AH70+AN70+AT70+AZ70+BF70+BL70+BR70+BX70+CD70+CJ70+CP70+CV70+DB70+DH70+DN70+DT70+DZ70)</f>
        <v>0</v>
      </c>
      <c r="K70" s="320">
        <f>NPV('Inputs-System'!$C$20,Q70+W70+AC70+AI70+AO70+AU70+BA70+BG70+BM70+BS70+BY70+CE70+CK70+CQ70+CW70+DC70+DI70+DO70+DU70+EA70)</f>
        <v>0</v>
      </c>
      <c r="L70" s="320">
        <f>NPV('Inputs-System'!$C$20,R70+X70+AD70+AJ70+AP70+AV70+BB70+BH70+BN70+BT70+BZ70+CF70+CL70+CR70+CX70+DD70+DJ70+DP70+DV70+EB70)</f>
        <v>0</v>
      </c>
      <c r="M70" s="320">
        <f>NPV('Inputs-System'!$C$20,S70+Y70+AE70+AK70+AQ70+AW70+BC70+BI70+BO70+BU70+CA70+CG70+CM70+CS70+CY70+DE70+DK70+DQ70+DW70+EC70)</f>
        <v>0</v>
      </c>
      <c r="N70" s="320">
        <f>NPV('Inputs-System'!$C$20,T70+Z70+AF70+AL70+AR70+AX70+BD70+BJ70+BP70+BV70+CB70+CH70+CN70+CT70+CZ70+DF70+DL70+DR70+DX70+ED70)</f>
        <v>0</v>
      </c>
      <c r="O70" s="321">
        <f>NPV('Inputs-System'!$C$20,U70+AA70+AG70+AM70+AS70+AY70+BE70+BK70+BQ70+BW70+CC70+CI70+CO70+CU70+DA70+DG70+DM70+DS70+DY70+EE70)</f>
        <v>0</v>
      </c>
      <c r="P70" s="368">
        <f>IFERROR(_xlfn.IFS($C70="1",('Inputs-System'!$C$30*'Coincidence Factors'!$B$10*(1+'Inputs-System'!$C$18)*(1+'Inputs-System'!$C$41)*('Inputs-Proposals'!$M$17*'Inputs-Proposals'!$M$19*(1-'Inputs-Proposals'!$M$20^(P$3-'Inputs-System'!$C$7+1)))*(VLOOKUP(P$3,Energy!$A$51:$K$83,5,FALSE))), $C70 = "2",('Inputs-System'!$C$30*'Coincidence Factors'!$B$10)*(1+'Inputs-System'!$C$18)*(1+'Inputs-System'!$C$41)*('Inputs-Proposals'!$M$23*'Inputs-Proposals'!$M$25*(1-'Inputs-Proposals'!$M$26^(P$3-'Inputs-System'!$C$7+1)))*(VLOOKUP(P$3,Energy!$A$51:$K$83,5,FALSE)), $C70= "3", ('Inputs-System'!$C$30*'Coincidence Factors'!$B$10*(1+'Inputs-System'!$C$18)*(1+'Inputs-System'!$C$41)*('Inputs-Proposals'!$M$29*'Inputs-Proposals'!$M$31*(1-'Inputs-Proposals'!$M$32^(P$3-'Inputs-System'!$C$7+1)))*(VLOOKUP(P$3,Energy!$A$51:$K$83,5,FALSE))), $C70= "0", 0), 0)</f>
        <v>0</v>
      </c>
      <c r="Q70" s="320">
        <f>IFERROR(_xlfn.IFS($C70="1",('Inputs-System'!$C$30*'Coincidence Factors'!$B$10*(1+'Inputs-System'!$C$18)*(1+'Inputs-System'!$C$41))*'Inputs-Proposals'!$M$17*'Inputs-Proposals'!$M$19*(1-'Inputs-Proposals'!$M$20^(P$3-'Inputs-System'!$C$7+1))*(VLOOKUP(P$3,'Embedded Emissions'!$A$47:$B$78,2,FALSE)+VLOOKUP(P$3,'Embedded Emissions'!$A$129:$B$158,2,FALSE)), $C70 = "2",('Inputs-System'!$C$30*'Coincidence Factors'!$B$10*(1+'Inputs-System'!$C$18)*(1+'Inputs-System'!$C$41))*'Inputs-Proposals'!$M$23*'Inputs-Proposals'!$M$25*(1-'Inputs-Proposals'!$M$20^(P$3-'Inputs-System'!$C$7+1))*(VLOOKUP(P$3,'Embedded Emissions'!$A$47:$B$78,2,FALSE)+VLOOKUP(P$3,'Embedded Emissions'!$A$129:$B$158,2,FALSE)), $C70 = "3", ('Inputs-System'!$C$30*'Coincidence Factors'!$B$10*(1+'Inputs-System'!$C$18)*(1+'Inputs-System'!$C$41))*'Inputs-Proposals'!$M$29*'Inputs-Proposals'!$M$31*(1-'Inputs-Proposals'!$M$20^(P$3-'Inputs-System'!$C$7+1))*(VLOOKUP(P$3,'Embedded Emissions'!$A$47:$B$78,2,FALSE)+VLOOKUP(P$3,'Embedded Emissions'!$A$129:$B$158,2,FALSE)), $C70 = "0", 0), 0)</f>
        <v>0</v>
      </c>
      <c r="R70" s="320">
        <f>IFERROR(_xlfn.IFS($C70="1",( 'Inputs-System'!$C$30*'Coincidence Factors'!$B$10*(1+'Inputs-System'!$C$18)*(1+'Inputs-System'!$C$41))*('Inputs-Proposals'!$M$17*'Inputs-Proposals'!$M$19*(1-'Inputs-Proposals'!$M$20)^(P$3-'Inputs-System'!$C$7))*(VLOOKUP(P$3,DRIPE!$A$54:$I$82,5,FALSE)+VLOOKUP(P$3,DRIPE!$A$54:$I$82,9,FALSE))+ ('Inputs-System'!$C$26*'Coincidence Factors'!$B$6*(1+'Inputs-System'!$C$18)*(1+'Inputs-System'!$C$42))*'Inputs-Proposals'!$M$16*VLOOKUP(P$3,DRIPE!$A$54:$I$82,8,FALSE), $C70 = "2",( 'Inputs-System'!$C$30*'Coincidence Factors'!$B$10*(1+'Inputs-System'!$C$18)*(1+'Inputs-System'!$C$41))*('Inputs-Proposals'!$M$23*'Inputs-Proposals'!$M$25*(1-'Inputs-Proposals'!$M$26)^(P$3-'Inputs-System'!$C$7))*(VLOOKUP(P$3,DRIPE!$A$54:$I$82,5,FALSE)+VLOOKUP(P$3,DRIPE!$A$54:$I$82,9,FALSE))+ ('Inputs-System'!$C$26*'Coincidence Factors'!$B$6*(1+'Inputs-System'!$C$18)*(1+'Inputs-System'!$C$42))*'Inputs-Proposals'!$M$22*VLOOKUP(P$3,DRIPE!$A$54:$I$82,8,FALSE), $C70= "3", ( 'Inputs-System'!$C$30*'Coincidence Factors'!$B$10*(1+'Inputs-System'!$C$18)*(1+'Inputs-System'!$C$41))*('Inputs-Proposals'!$M$29*'Inputs-Proposals'!$M$31*(1-'Inputs-Proposals'!$M$32)^(P$3-'Inputs-System'!$C$7))*(VLOOKUP(P$3,DRIPE!$A$54:$I$82,5,FALSE)+VLOOKUP(P$3,DRIPE!$A$54:$I$82,9,FALSE))+ ('Inputs-System'!$C$26*'Coincidence Factors'!$B$6*(1+'Inputs-System'!$C$18)*(1+'Inputs-System'!$C$42))*'Inputs-Proposals'!$M$28*VLOOKUP(P$3,DRIPE!$A$54:$I$82,8,FALSE), $C70 = "0", 0), 0)</f>
        <v>0</v>
      </c>
      <c r="S70" s="352">
        <f>IFERROR(_xlfn.IFS($C70="1",('Inputs-System'!$C$26*'Coincidence Factors'!$B$10*(1+'Inputs-System'!$C$18)*(1+'Inputs-System'!$C$42))*'Inputs-Proposals'!$D$16*(VLOOKUP(P$3,Capacity!$A$53:$E$85,4,FALSE)*(1+'Inputs-System'!$C$42)+VLOOKUP(P$3,Capacity!$A$53:$E$85,5,FALSE)*(1+'Inputs-System'!$C$43)*'Inputs-System'!$C$29), $C70 = "2", ('Inputs-System'!$C$26*'Coincidence Factors'!$B$10*(1+'Inputs-System'!$C$18))*'Inputs-Proposals'!$D$22*(VLOOKUP(P$3,Capacity!$A$53:$E$85,4,FALSE)*(1+'Inputs-System'!$C$42)+VLOOKUP(P$3,Capacity!$A$53:$E$85,5,FALSE)*'Inputs-System'!$C$29*(1+'Inputs-System'!$C$43)), $C70 = "3", ('Inputs-System'!$C$26*'Coincidence Factors'!$B$10*(1+'Inputs-System'!$C$18))*'Inputs-Proposals'!$D$28*(VLOOKUP(P$3,Capacity!$A$53:$E$85,4,FALSE)*(1+'Inputs-System'!$C$42)+VLOOKUP(P$3,Capacity!$A$53:$E$85,5,FALSE)*'Inputs-System'!$C$29*(1+'Inputs-System'!$C$43)), $C70 = "0", 0), 0)</f>
        <v>0</v>
      </c>
      <c r="T70" s="320">
        <v>0</v>
      </c>
      <c r="U70" s="353">
        <f>IFERROR(_xlfn.IFS($C70="1", 'Inputs-System'!$C$30*'Coincidence Factors'!$B$10*'Inputs-Proposals'!$M$17*'Inputs-Proposals'!$M$19*(VLOOKUP(P$3,'Non-Embedded Emissions'!$A$56:$D$90,2,FALSE)-VLOOKUP(P$3,'Non-Embedded Emissions'!$F$57:$H$88,3,FALSE)+VLOOKUP(P$3,'Non-Embedded Emissions'!$A$143:$D$174,2,FALSE)-VLOOKUP(P$3,'Non-Embedded Emissions'!$F$143:$H$174,3,FALSE)+VLOOKUP(P$3,'Non-Embedded Emissions'!$A$230:$D$259,2,FALSE)), $C70 = "2", 'Inputs-System'!$C$30*'Coincidence Factors'!$B$10*'Inputs-Proposals'!$M$23*'Inputs-Proposals'!$M$25*(VLOOKUP(P$3,'Non-Embedded Emissions'!$A$56:$D$90,2,FALSE)-VLOOKUP(P$3,'Non-Embedded Emissions'!$F$57:$H$88,3,FALSE)+VLOOKUP(P$3,'Non-Embedded Emissions'!$A$143:$D$174,2,FALSE)-VLOOKUP(P$3,'Non-Embedded Emissions'!$F$143:$H$174,3,FALSE)+VLOOKUP(P$3,'Non-Embedded Emissions'!$A$230:$D$259,2,FALSE)), $C70 = "3", 'Inputs-System'!$C$30*'Coincidence Factors'!$B$10*'Inputs-Proposals'!$M$29*'Inputs-Proposals'!$M$31*(VLOOKUP(P$3,'Non-Embedded Emissions'!$A$56:$D$90,2,FALSE)-VLOOKUP(P$3,'Non-Embedded Emissions'!$F$57:$H$88,3,FALSE)+VLOOKUP(P$3,'Non-Embedded Emissions'!$A$143:$D$174,2,FALSE)-VLOOKUP(P$3,'Non-Embedded Emissions'!$F$143:$H$174,3,FALSE)+VLOOKUP(P$3,'Non-Embedded Emissions'!$A$230:$D$259,2,FALSE)), $C70 = "0", 0), 0)</f>
        <v>0</v>
      </c>
      <c r="V70" s="352">
        <f>IFERROR(_xlfn.IFS($C70="1",('Inputs-System'!$C$30*'Coincidence Factors'!$B$10*(1+'Inputs-System'!$C$18)*(1+'Inputs-System'!$C$41)*('Inputs-Proposals'!$M$17*'Inputs-Proposals'!$M$19*(1-'Inputs-Proposals'!$M$20^(V$3-'Inputs-System'!$C$7)))*(VLOOKUP(V$3,Energy!$A$51:$K$83,5,FALSE))), $C70 = "2",('Inputs-System'!$C$30*'Coincidence Factors'!$B$10)*(1+'Inputs-System'!$C$18)*(1+'Inputs-System'!$C$41)*('Inputs-Proposals'!$M$23*'Inputs-Proposals'!$M$25*(1-'Inputs-Proposals'!$M$26^(V$3-'Inputs-System'!$C$7)))*(VLOOKUP(V$3,Energy!$A$51:$K$83,5,FALSE)), $C70= "3", ('Inputs-System'!$C$30*'Coincidence Factors'!$B$10*(1+'Inputs-System'!$C$18)*(1+'Inputs-System'!$C$41)*('Inputs-Proposals'!$M$29*'Inputs-Proposals'!$M$31*(1-'Inputs-Proposals'!$M$32^(V$3-'Inputs-System'!$C$7)))*(VLOOKUP(V$3,Energy!$A$51:$K$83,5,FALSE))), $C70= "0", 0), 0)</f>
        <v>0</v>
      </c>
      <c r="W70" s="320">
        <f>IFERROR(_xlfn.IFS($C70="1",('Inputs-System'!$C$30*'Coincidence Factors'!$B$10*(1+'Inputs-System'!$C$18)*(1+'Inputs-System'!$C$41))*'Inputs-Proposals'!$M$17*'Inputs-Proposals'!$M$19*(1-'Inputs-Proposals'!$M$20^(V$3-'Inputs-System'!$C$7))*(VLOOKUP(V$3,'Embedded Emissions'!$A$47:$B$78,2,FALSE)+VLOOKUP(V$3,'Embedded Emissions'!$A$129:$B$158,2,FALSE)), $C70 = "2",('Inputs-System'!$C$30*'Coincidence Factors'!$B$10*(1+'Inputs-System'!$C$18)*(1+'Inputs-System'!$C$41))*'Inputs-Proposals'!$M$23*'Inputs-Proposals'!$M$25*(1-'Inputs-Proposals'!$M$20^(V$3-'Inputs-System'!$C$7))*(VLOOKUP(V$3,'Embedded Emissions'!$A$47:$B$78,2,FALSE)+VLOOKUP(V$3,'Embedded Emissions'!$A$129:$B$158,2,FALSE)), $C70 = "3", ('Inputs-System'!$C$30*'Coincidence Factors'!$B$10*(1+'Inputs-System'!$C$18)*(1+'Inputs-System'!$C$41))*'Inputs-Proposals'!$M$29*'Inputs-Proposals'!$M$31*(1-'Inputs-Proposals'!$M$20^(V$3-'Inputs-System'!$C$7))*(VLOOKUP(V$3,'Embedded Emissions'!$A$47:$B$78,2,FALSE)+VLOOKUP(V$3,'Embedded Emissions'!$A$129:$B$158,2,FALSE)), $C70 = "0", 0), 0)</f>
        <v>0</v>
      </c>
      <c r="X70" s="320">
        <f>IFERROR(_xlfn.IFS($C70="1",( 'Inputs-System'!$C$30*'Coincidence Factors'!$B$10*(1+'Inputs-System'!$C$18)*(1+'Inputs-System'!$C$41))*('Inputs-Proposals'!$M$17*'Inputs-Proposals'!$M$19*(1-'Inputs-Proposals'!$M$20)^(V$3-'Inputs-System'!$C$7))*(VLOOKUP(V$3,DRIPE!$A$54:$I$82,5,FALSE)+VLOOKUP(V$3,DRIPE!$A$54:$I$82,9,FALSE))+ ('Inputs-System'!$C$26*'Coincidence Factors'!$B$6*(1+'Inputs-System'!$C$18)*(1+'Inputs-System'!$C$42))*'Inputs-Proposals'!$M$16*VLOOKUP(V$3,DRIPE!$A$54:$I$82,8,FALSE), $C70 = "2",( 'Inputs-System'!$C$30*'Coincidence Factors'!$B$10*(1+'Inputs-System'!$C$18)*(1+'Inputs-System'!$C$41))*('Inputs-Proposals'!$M$23*'Inputs-Proposals'!$M$25*(1-'Inputs-Proposals'!$M$26)^(V$3-'Inputs-System'!$C$7))*(VLOOKUP(V$3,DRIPE!$A$54:$I$82,5,FALSE)+VLOOKUP(V$3,DRIPE!$A$54:$I$82,9,FALSE))+ ('Inputs-System'!$C$26*'Coincidence Factors'!$B$6*(1+'Inputs-System'!$C$18)*(1+'Inputs-System'!$C$42))*'Inputs-Proposals'!$M$22*VLOOKUP(V$3,DRIPE!$A$54:$I$82,8,FALSE), $C70= "3", ( 'Inputs-System'!$C$30*'Coincidence Factors'!$B$10*(1+'Inputs-System'!$C$18)*(1+'Inputs-System'!$C$41))*('Inputs-Proposals'!$M$29*'Inputs-Proposals'!$M$31*(1-'Inputs-Proposals'!$M$32)^(V$3-'Inputs-System'!$C$7))*(VLOOKUP(V$3,DRIPE!$A$54:$I$82,5,FALSE)+VLOOKUP(V$3,DRIPE!$A$54:$I$82,9,FALSE))+ ('Inputs-System'!$C$26*'Coincidence Factors'!$B$6*(1+'Inputs-System'!$C$18)*(1+'Inputs-System'!$C$42))*'Inputs-Proposals'!$M$28*VLOOKUP(V$3,DRIPE!$A$54:$I$82,8,FALSE), $C70 = "0", 0), 0)</f>
        <v>0</v>
      </c>
      <c r="Y70" s="352">
        <f>IFERROR(_xlfn.IFS($C70="1",('Inputs-System'!$C$26*'Coincidence Factors'!$B$10*(1+'Inputs-System'!$C$18)*(1+'Inputs-System'!$C$42))*'Inputs-Proposals'!$D$16*(VLOOKUP(V$3,Capacity!$A$53:$E$85,4,FALSE)*(1+'Inputs-System'!$C$42)+VLOOKUP(V$3,Capacity!$A$53:$E$85,5,FALSE)*(1+'Inputs-System'!$C$43)*'Inputs-System'!$C$29), $C70 = "2", ('Inputs-System'!$C$26*'Coincidence Factors'!$B$10*(1+'Inputs-System'!$C$18))*'Inputs-Proposals'!$D$22*(VLOOKUP(V$3,Capacity!$A$53:$E$85,4,FALSE)*(1+'Inputs-System'!$C$42)+VLOOKUP(V$3,Capacity!$A$53:$E$85,5,FALSE)*'Inputs-System'!$C$29*(1+'Inputs-System'!$C$43)), $C70 = "3", ('Inputs-System'!$C$26*'Coincidence Factors'!$B$10*(1+'Inputs-System'!$C$18))*'Inputs-Proposals'!$D$28*(VLOOKUP(V$3,Capacity!$A$53:$E$85,4,FALSE)*(1+'Inputs-System'!$C$42)+VLOOKUP(V$3,Capacity!$A$53:$E$85,5,FALSE)*'Inputs-System'!$C$29*(1+'Inputs-System'!$C$43)), $C70 = "0", 0), 0)</f>
        <v>0</v>
      </c>
      <c r="Z70" s="320">
        <v>0</v>
      </c>
      <c r="AA70" s="353">
        <f>IFERROR(_xlfn.IFS($C70="1", 'Inputs-System'!$C$30*'Coincidence Factors'!$B$10*'Inputs-Proposals'!$M$17*'Inputs-Proposals'!$M$19*(VLOOKUP(V$3,'Non-Embedded Emissions'!$A$56:$D$90,2,FALSE)-VLOOKUP(V$3,'Non-Embedded Emissions'!$F$57:$H$88,3,FALSE)+VLOOKUP(V$3,'Non-Embedded Emissions'!$A$143:$D$174,2,FALSE)-VLOOKUP(V$3,'Non-Embedded Emissions'!$F$143:$H$174,3,FALSE)+VLOOKUP(V$3,'Non-Embedded Emissions'!$A$230:$D$259,2,FALSE)), $C70 = "2", 'Inputs-System'!$C$30*'Coincidence Factors'!$B$10*'Inputs-Proposals'!$M$23*'Inputs-Proposals'!$M$25*(VLOOKUP(V$3,'Non-Embedded Emissions'!$A$56:$D$90,2,FALSE)-VLOOKUP(V$3,'Non-Embedded Emissions'!$F$57:$H$88,3,FALSE)+VLOOKUP(V$3,'Non-Embedded Emissions'!$A$143:$D$174,2,FALSE)-VLOOKUP(V$3,'Non-Embedded Emissions'!$F$143:$H$174,3,FALSE)+VLOOKUP(V$3,'Non-Embedded Emissions'!$A$230:$D$259,2,FALSE)), $C70 = "3", 'Inputs-System'!$C$30*'Coincidence Factors'!$B$10*'Inputs-Proposals'!$M$29*'Inputs-Proposals'!$M$31*(VLOOKUP(V$3,'Non-Embedded Emissions'!$A$56:$D$90,2,FALSE)-VLOOKUP(V$3,'Non-Embedded Emissions'!$F$57:$H$88,3,FALSE)+VLOOKUP(V$3,'Non-Embedded Emissions'!$A$143:$D$174,2,FALSE)-VLOOKUP(V$3,'Non-Embedded Emissions'!$F$143:$H$174,3,FALSE)+VLOOKUP(V$3,'Non-Embedded Emissions'!$A$230:$D$259,2,FALSE)), $C70 = "0", 0), 0)</f>
        <v>0</v>
      </c>
      <c r="AB70" s="352">
        <f>IFERROR(_xlfn.IFS($C70="1",('Inputs-System'!$C$30*'Coincidence Factors'!$B$10*(1+'Inputs-System'!$C$18)*(1+'Inputs-System'!$C$41)*('Inputs-Proposals'!$M$17*'Inputs-Proposals'!$M$19*(1-'Inputs-Proposals'!$M$20^(AB$3-'Inputs-System'!$C$7)))*(VLOOKUP(AB$3,Energy!$A$51:$K$83,5,FALSE))), $C70 = "2",('Inputs-System'!$C$30*'Coincidence Factors'!$B$10)*(1+'Inputs-System'!$C$18)*(1+'Inputs-System'!$C$41)*('Inputs-Proposals'!$M$23*'Inputs-Proposals'!$M$25*(1-'Inputs-Proposals'!$M$26^(AB$3-'Inputs-System'!$C$7)))*(VLOOKUP(AB$3,Energy!$A$51:$K$83,5,FALSE)), $C70= "3", ('Inputs-System'!$C$30*'Coincidence Factors'!$B$10*(1+'Inputs-System'!$C$18)*(1+'Inputs-System'!$C$41)*('Inputs-Proposals'!$M$29*'Inputs-Proposals'!$M$31*(1-'Inputs-Proposals'!$M$32^(AB$3-'Inputs-System'!$C$7)))*(VLOOKUP(AB$3,Energy!$A$51:$K$83,5,FALSE))), $C70= "0", 0), 0)</f>
        <v>0</v>
      </c>
      <c r="AC70" s="320">
        <f>IFERROR(_xlfn.IFS($C70="1",('Inputs-System'!$C$30*'Coincidence Factors'!$B$10*(1+'Inputs-System'!$C$18)*(1+'Inputs-System'!$C$41))*'Inputs-Proposals'!$M$17*'Inputs-Proposals'!$M$19*(1-'Inputs-Proposals'!$M$20^(AB$3-'Inputs-System'!$C$7))*(VLOOKUP(AB$3,'Embedded Emissions'!$A$47:$B$78,2,FALSE)+VLOOKUP(AB$3,'Embedded Emissions'!$A$129:$B$158,2,FALSE)), $C70 = "2",('Inputs-System'!$C$30*'Coincidence Factors'!$B$10*(1+'Inputs-System'!$C$18)*(1+'Inputs-System'!$C$41))*'Inputs-Proposals'!$M$23*'Inputs-Proposals'!$M$25*(1-'Inputs-Proposals'!$M$20^(AB$3-'Inputs-System'!$C$7))*(VLOOKUP(AB$3,'Embedded Emissions'!$A$47:$B$78,2,FALSE)+VLOOKUP(AB$3,'Embedded Emissions'!$A$129:$B$158,2,FALSE)), $C70 = "3", ('Inputs-System'!$C$30*'Coincidence Factors'!$B$10*(1+'Inputs-System'!$C$18)*(1+'Inputs-System'!$C$41))*'Inputs-Proposals'!$M$29*'Inputs-Proposals'!$M$31*(1-'Inputs-Proposals'!$M$20^(AB$3-'Inputs-System'!$C$7))*(VLOOKUP(AB$3,'Embedded Emissions'!$A$47:$B$78,2,FALSE)+VLOOKUP(AB$3,'Embedded Emissions'!$A$129:$B$158,2,FALSE)), $C70 = "0", 0), 0)</f>
        <v>0</v>
      </c>
      <c r="AD70" s="320">
        <f>IFERROR(_xlfn.IFS($C70="1",( 'Inputs-System'!$C$30*'Coincidence Factors'!$B$10*(1+'Inputs-System'!$C$18)*(1+'Inputs-System'!$C$41))*('Inputs-Proposals'!$M$17*'Inputs-Proposals'!$M$19*(1-'Inputs-Proposals'!$M$20)^(AB$3-'Inputs-System'!$C$7))*(VLOOKUP(AB$3,DRIPE!$A$54:$I$82,5,FALSE)+VLOOKUP(AB$3,DRIPE!$A$54:$I$82,9,FALSE))+ ('Inputs-System'!$C$26*'Coincidence Factors'!$B$6*(1+'Inputs-System'!$C$18)*(1+'Inputs-System'!$C$42))*'Inputs-Proposals'!$M$16*VLOOKUP(AB$3,DRIPE!$A$54:$I$82,8,FALSE), $C70 = "2",( 'Inputs-System'!$C$30*'Coincidence Factors'!$B$10*(1+'Inputs-System'!$C$18)*(1+'Inputs-System'!$C$41))*('Inputs-Proposals'!$M$23*'Inputs-Proposals'!$M$25*(1-'Inputs-Proposals'!$M$26)^(AB$3-'Inputs-System'!$C$7))*(VLOOKUP(AB$3,DRIPE!$A$54:$I$82,5,FALSE)+VLOOKUP(AB$3,DRIPE!$A$54:$I$82,9,FALSE))+ ('Inputs-System'!$C$26*'Coincidence Factors'!$B$6*(1+'Inputs-System'!$C$18)*(1+'Inputs-System'!$C$42))*'Inputs-Proposals'!$M$22*VLOOKUP(AB$3,DRIPE!$A$54:$I$82,8,FALSE), $C70= "3", ( 'Inputs-System'!$C$30*'Coincidence Factors'!$B$10*(1+'Inputs-System'!$C$18)*(1+'Inputs-System'!$C$41))*('Inputs-Proposals'!$M$29*'Inputs-Proposals'!$M$31*(1-'Inputs-Proposals'!$M$32)^(AB$3-'Inputs-System'!$C$7))*(VLOOKUP(AB$3,DRIPE!$A$54:$I$82,5,FALSE)+VLOOKUP(AB$3,DRIPE!$A$54:$I$82,9,FALSE))+ ('Inputs-System'!$C$26*'Coincidence Factors'!$B$6*(1+'Inputs-System'!$C$18)*(1+'Inputs-System'!$C$42))*'Inputs-Proposals'!$M$28*VLOOKUP(AB$3,DRIPE!$A$54:$I$82,8,FALSE), $C70 = "0", 0), 0)</f>
        <v>0</v>
      </c>
      <c r="AE70" s="352">
        <f>IFERROR(_xlfn.IFS($C70="1",('Inputs-System'!$C$26*'Coincidence Factors'!$B$10*(1+'Inputs-System'!$C$18)*(1+'Inputs-System'!$C$42))*'Inputs-Proposals'!$D$16*(VLOOKUP(AB$3,Capacity!$A$53:$E$85,4,FALSE)*(1+'Inputs-System'!$C$42)+VLOOKUP(AB$3,Capacity!$A$53:$E$85,5,FALSE)*(1+'Inputs-System'!$C$43)*'Inputs-System'!$C$29), $C70 = "2", ('Inputs-System'!$C$26*'Coincidence Factors'!$B$10*(1+'Inputs-System'!$C$18))*'Inputs-Proposals'!$D$22*(VLOOKUP(AB$3,Capacity!$A$53:$E$85,4,FALSE)*(1+'Inputs-System'!$C$42)+VLOOKUP(AB$3,Capacity!$A$53:$E$85,5,FALSE)*'Inputs-System'!$C$29*(1+'Inputs-System'!$C$43)), $C70 = "3", ('Inputs-System'!$C$26*'Coincidence Factors'!$B$10*(1+'Inputs-System'!$C$18))*'Inputs-Proposals'!$D$28*(VLOOKUP(AB$3,Capacity!$A$53:$E$85,4,FALSE)*(1+'Inputs-System'!$C$42)+VLOOKUP(AB$3,Capacity!$A$53:$E$85,5,FALSE)*'Inputs-System'!$C$29*(1+'Inputs-System'!$C$43)), $C70 = "0", 0), 0)</f>
        <v>0</v>
      </c>
      <c r="AF70" s="320">
        <v>0</v>
      </c>
      <c r="AG70" s="353">
        <f>IFERROR(_xlfn.IFS($C70="1", 'Inputs-System'!$C$30*'Coincidence Factors'!$B$10*'Inputs-Proposals'!$M$17*'Inputs-Proposals'!$M$19*(VLOOKUP(AB$3,'Non-Embedded Emissions'!$A$56:$D$90,2,FALSE)-VLOOKUP(AB$3,'Non-Embedded Emissions'!$F$57:$H$88,3,FALSE)+VLOOKUP(AB$3,'Non-Embedded Emissions'!$A$143:$D$174,2,FALSE)-VLOOKUP(AB$3,'Non-Embedded Emissions'!$F$143:$H$174,3,FALSE)+VLOOKUP(AB$3,'Non-Embedded Emissions'!$A$230:$D$259,2,FALSE)), $C70 = "2", 'Inputs-System'!$C$30*'Coincidence Factors'!$B$10*'Inputs-Proposals'!$M$23*'Inputs-Proposals'!$M$25*(VLOOKUP(AB$3,'Non-Embedded Emissions'!$A$56:$D$90,2,FALSE)-VLOOKUP(AB$3,'Non-Embedded Emissions'!$F$57:$H$88,3,FALSE)+VLOOKUP(AB$3,'Non-Embedded Emissions'!$A$143:$D$174,2,FALSE)-VLOOKUP(AB$3,'Non-Embedded Emissions'!$F$143:$H$174,3,FALSE)+VLOOKUP(AB$3,'Non-Embedded Emissions'!$A$230:$D$259,2,FALSE)), $C70 = "3", 'Inputs-System'!$C$30*'Coincidence Factors'!$B$10*'Inputs-Proposals'!$M$29*'Inputs-Proposals'!$M$31*(VLOOKUP(AB$3,'Non-Embedded Emissions'!$A$56:$D$90,2,FALSE)-VLOOKUP(AB$3,'Non-Embedded Emissions'!$F$57:$H$88,3,FALSE)+VLOOKUP(AB$3,'Non-Embedded Emissions'!$A$143:$D$174,2,FALSE)-VLOOKUP(AB$3,'Non-Embedded Emissions'!$F$143:$H$174,3,FALSE)+VLOOKUP(AB$3,'Non-Embedded Emissions'!$A$230:$D$259,2,FALSE)), $C70 = "0", 0), 0)</f>
        <v>0</v>
      </c>
      <c r="AH70" s="352">
        <f>IFERROR(_xlfn.IFS($C70="1",('Inputs-System'!$C$30*'Coincidence Factors'!$B$10*(1+'Inputs-System'!$C$18)*(1+'Inputs-System'!$C$41)*('Inputs-Proposals'!$M$17*'Inputs-Proposals'!$M$19*(1-'Inputs-Proposals'!$M$20^(AH$3-'Inputs-System'!$C$7)))*(VLOOKUP(AH$3,Energy!$A$51:$K$83,5,FALSE))), $C70 = "2",('Inputs-System'!$C$30*'Coincidence Factors'!$B$10)*(1+'Inputs-System'!$C$18)*(1+'Inputs-System'!$C$41)*('Inputs-Proposals'!$M$23*'Inputs-Proposals'!$M$25*(1-'Inputs-Proposals'!$M$26^(AH$3-'Inputs-System'!$C$7)))*(VLOOKUP(AH$3,Energy!$A$51:$K$83,5,FALSE)), $C70= "3", ('Inputs-System'!$C$30*'Coincidence Factors'!$B$10*(1+'Inputs-System'!$C$18)*(1+'Inputs-System'!$C$41)*('Inputs-Proposals'!$M$29*'Inputs-Proposals'!$M$31*(1-'Inputs-Proposals'!$M$32^(AH$3-'Inputs-System'!$C$7)))*(VLOOKUP(AH$3,Energy!$A$51:$K$83,5,FALSE))), $C70= "0", 0), 0)</f>
        <v>0</v>
      </c>
      <c r="AI70" s="320">
        <f>IFERROR(_xlfn.IFS($C70="1",('Inputs-System'!$C$30*'Coincidence Factors'!$B$10*(1+'Inputs-System'!$C$18)*(1+'Inputs-System'!$C$41))*'Inputs-Proposals'!$M$17*'Inputs-Proposals'!$M$19*(1-'Inputs-Proposals'!$M$20^(AH$3-'Inputs-System'!$C$7))*(VLOOKUP(AH$3,'Embedded Emissions'!$A$47:$B$78,2,FALSE)+VLOOKUP(AH$3,'Embedded Emissions'!$A$129:$B$158,2,FALSE)), $C70 = "2",('Inputs-System'!$C$30*'Coincidence Factors'!$B$10*(1+'Inputs-System'!$C$18)*(1+'Inputs-System'!$C$41))*'Inputs-Proposals'!$M$23*'Inputs-Proposals'!$M$25*(1-'Inputs-Proposals'!$M$20^(AH$3-'Inputs-System'!$C$7))*(VLOOKUP(AH$3,'Embedded Emissions'!$A$47:$B$78,2,FALSE)+VLOOKUP(AH$3,'Embedded Emissions'!$A$129:$B$158,2,FALSE)), $C70 = "3", ('Inputs-System'!$C$30*'Coincidence Factors'!$B$10*(1+'Inputs-System'!$C$18)*(1+'Inputs-System'!$C$41))*'Inputs-Proposals'!$M$29*'Inputs-Proposals'!$M$31*(1-'Inputs-Proposals'!$M$20^(AH$3-'Inputs-System'!$C$7))*(VLOOKUP(AH$3,'Embedded Emissions'!$A$47:$B$78,2,FALSE)+VLOOKUP(AH$3,'Embedded Emissions'!$A$129:$B$158,2,FALSE)), $C70 = "0", 0), 0)</f>
        <v>0</v>
      </c>
      <c r="AJ70" s="320">
        <f>IFERROR(_xlfn.IFS($C70="1",( 'Inputs-System'!$C$30*'Coincidence Factors'!$B$10*(1+'Inputs-System'!$C$18)*(1+'Inputs-System'!$C$41))*('Inputs-Proposals'!$M$17*'Inputs-Proposals'!$M$19*(1-'Inputs-Proposals'!$M$20)^(AH$3-'Inputs-System'!$C$7))*(VLOOKUP(AH$3,DRIPE!$A$54:$I$82,5,FALSE)+VLOOKUP(AH$3,DRIPE!$A$54:$I$82,9,FALSE))+ ('Inputs-System'!$C$26*'Coincidence Factors'!$B$6*(1+'Inputs-System'!$C$18)*(1+'Inputs-System'!$C$42))*'Inputs-Proposals'!$M$16*VLOOKUP(AH$3,DRIPE!$A$54:$I$82,8,FALSE), $C70 = "2",( 'Inputs-System'!$C$30*'Coincidence Factors'!$B$10*(1+'Inputs-System'!$C$18)*(1+'Inputs-System'!$C$41))*('Inputs-Proposals'!$M$23*'Inputs-Proposals'!$M$25*(1-'Inputs-Proposals'!$M$26)^(AH$3-'Inputs-System'!$C$7))*(VLOOKUP(AH$3,DRIPE!$A$54:$I$82,5,FALSE)+VLOOKUP(AH$3,DRIPE!$A$54:$I$82,9,FALSE))+ ('Inputs-System'!$C$26*'Coincidence Factors'!$B$6*(1+'Inputs-System'!$C$18)*(1+'Inputs-System'!$C$42))*'Inputs-Proposals'!$M$22*VLOOKUP(AH$3,DRIPE!$A$54:$I$82,8,FALSE), $C70= "3", ( 'Inputs-System'!$C$30*'Coincidence Factors'!$B$10*(1+'Inputs-System'!$C$18)*(1+'Inputs-System'!$C$41))*('Inputs-Proposals'!$M$29*'Inputs-Proposals'!$M$31*(1-'Inputs-Proposals'!$M$32)^(AH$3-'Inputs-System'!$C$7))*(VLOOKUP(AH$3,DRIPE!$A$54:$I$82,5,FALSE)+VLOOKUP(AH$3,DRIPE!$A$54:$I$82,9,FALSE))+ ('Inputs-System'!$C$26*'Coincidence Factors'!$B$6*(1+'Inputs-System'!$C$18)*(1+'Inputs-System'!$C$42))*'Inputs-Proposals'!$M$28*VLOOKUP(AH$3,DRIPE!$A$54:$I$82,8,FALSE), $C70 = "0", 0), 0)</f>
        <v>0</v>
      </c>
      <c r="AK70" s="352">
        <f>IFERROR(_xlfn.IFS($C70="1",('Inputs-System'!$C$26*'Coincidence Factors'!$B$10*(1+'Inputs-System'!$C$18)*(1+'Inputs-System'!$C$42))*'Inputs-Proposals'!$D$16*(VLOOKUP(AH$3,Capacity!$A$53:$E$85,4,FALSE)*(1+'Inputs-System'!$C$42)+VLOOKUP(AH$3,Capacity!$A$53:$E$85,5,FALSE)*(1+'Inputs-System'!$C$43)*'Inputs-System'!$C$29), $C70 = "2", ('Inputs-System'!$C$26*'Coincidence Factors'!$B$10*(1+'Inputs-System'!$C$18))*'Inputs-Proposals'!$D$22*(VLOOKUP(AH$3,Capacity!$A$53:$E$85,4,FALSE)*(1+'Inputs-System'!$C$42)+VLOOKUP(AH$3,Capacity!$A$53:$E$85,5,FALSE)*'Inputs-System'!$C$29*(1+'Inputs-System'!$C$43)), $C70 = "3", ('Inputs-System'!$C$26*'Coincidence Factors'!$B$10*(1+'Inputs-System'!$C$18))*'Inputs-Proposals'!$D$28*(VLOOKUP(AH$3,Capacity!$A$53:$E$85,4,FALSE)*(1+'Inputs-System'!$C$42)+VLOOKUP(AH$3,Capacity!$A$53:$E$85,5,FALSE)*'Inputs-System'!$C$29*(1+'Inputs-System'!$C$43)), $C70 = "0", 0), 0)</f>
        <v>0</v>
      </c>
      <c r="AL70" s="320">
        <v>0</v>
      </c>
      <c r="AM70" s="353">
        <f>IFERROR(_xlfn.IFS($C70="1", 'Inputs-System'!$C$30*'Coincidence Factors'!$B$10*'Inputs-Proposals'!$M$17*'Inputs-Proposals'!$M$19*(VLOOKUP(AH$3,'Non-Embedded Emissions'!$A$56:$D$90,2,FALSE)-VLOOKUP(AH$3,'Non-Embedded Emissions'!$F$57:$H$88,3,FALSE)+VLOOKUP(AH$3,'Non-Embedded Emissions'!$A$143:$D$174,2,FALSE)-VLOOKUP(AH$3,'Non-Embedded Emissions'!$F$143:$H$174,3,FALSE)+VLOOKUP(AH$3,'Non-Embedded Emissions'!$A$230:$D$259,2,FALSE)), $C70 = "2", 'Inputs-System'!$C$30*'Coincidence Factors'!$B$10*'Inputs-Proposals'!$M$23*'Inputs-Proposals'!$M$25*(VLOOKUP(AH$3,'Non-Embedded Emissions'!$A$56:$D$90,2,FALSE)-VLOOKUP(AH$3,'Non-Embedded Emissions'!$F$57:$H$88,3,FALSE)+VLOOKUP(AH$3,'Non-Embedded Emissions'!$A$143:$D$174,2,FALSE)-VLOOKUP(AH$3,'Non-Embedded Emissions'!$F$143:$H$174,3,FALSE)+VLOOKUP(AH$3,'Non-Embedded Emissions'!$A$230:$D$259,2,FALSE)), $C70 = "3", 'Inputs-System'!$C$30*'Coincidence Factors'!$B$10*'Inputs-Proposals'!$M$29*'Inputs-Proposals'!$M$31*(VLOOKUP(AH$3,'Non-Embedded Emissions'!$A$56:$D$90,2,FALSE)-VLOOKUP(AH$3,'Non-Embedded Emissions'!$F$57:$H$88,3,FALSE)+VLOOKUP(AH$3,'Non-Embedded Emissions'!$A$143:$D$174,2,FALSE)-VLOOKUP(AH$3,'Non-Embedded Emissions'!$F$143:$H$174,3,FALSE)+VLOOKUP(AH$3,'Non-Embedded Emissions'!$A$230:$D$259,2,FALSE)), $C70 = "0", 0), 0)</f>
        <v>0</v>
      </c>
      <c r="AN70" s="352">
        <f>IFERROR(_xlfn.IFS($C70="1",('Inputs-System'!$C$30*'Coincidence Factors'!$B$10*(1+'Inputs-System'!$C$18)*(1+'Inputs-System'!$C$41)*('Inputs-Proposals'!$M$17*'Inputs-Proposals'!$M$19*(1-'Inputs-Proposals'!$M$20^(AN$3-'Inputs-System'!$C$7)))*(VLOOKUP(AN$3,Energy!$A$51:$K$83,5,FALSE))), $C70 = "2",('Inputs-System'!$C$30*'Coincidence Factors'!$B$10)*(1+'Inputs-System'!$C$18)*(1+'Inputs-System'!$C$41)*('Inputs-Proposals'!$M$23*'Inputs-Proposals'!$M$25*(1-'Inputs-Proposals'!$M$26^(AN$3-'Inputs-System'!$C$7)))*(VLOOKUP(AN$3,Energy!$A$51:$K$83,5,FALSE)), $C70= "3", ('Inputs-System'!$C$30*'Coincidence Factors'!$B$10*(1+'Inputs-System'!$C$18)*(1+'Inputs-System'!$C$41)*('Inputs-Proposals'!$M$29*'Inputs-Proposals'!$M$31*(1-'Inputs-Proposals'!$M$32^(AN$3-'Inputs-System'!$C$7)))*(VLOOKUP(AN$3,Energy!$A$51:$K$83,5,FALSE))), $C70= "0", 0), 0)</f>
        <v>0</v>
      </c>
      <c r="AO70" s="320">
        <f>IFERROR(_xlfn.IFS($C70="1",('Inputs-System'!$C$30*'Coincidence Factors'!$B$10*(1+'Inputs-System'!$C$18)*(1+'Inputs-System'!$C$41))*'Inputs-Proposals'!$M$17*'Inputs-Proposals'!$M$19*(1-'Inputs-Proposals'!$M$20^(AN$3-'Inputs-System'!$C$7))*(VLOOKUP(AN$3,'Embedded Emissions'!$A$47:$B$78,2,FALSE)+VLOOKUP(AN$3,'Embedded Emissions'!$A$129:$B$158,2,FALSE)), $C70 = "2",('Inputs-System'!$C$30*'Coincidence Factors'!$B$10*(1+'Inputs-System'!$C$18)*(1+'Inputs-System'!$C$41))*'Inputs-Proposals'!$M$23*'Inputs-Proposals'!$M$25*(1-'Inputs-Proposals'!$M$20^(AN$3-'Inputs-System'!$C$7))*(VLOOKUP(AN$3,'Embedded Emissions'!$A$47:$B$78,2,FALSE)+VLOOKUP(AN$3,'Embedded Emissions'!$A$129:$B$158,2,FALSE)), $C70 = "3", ('Inputs-System'!$C$30*'Coincidence Factors'!$B$10*(1+'Inputs-System'!$C$18)*(1+'Inputs-System'!$C$41))*'Inputs-Proposals'!$M$29*'Inputs-Proposals'!$M$31*(1-'Inputs-Proposals'!$M$20^(AN$3-'Inputs-System'!$C$7))*(VLOOKUP(AN$3,'Embedded Emissions'!$A$47:$B$78,2,FALSE)+VLOOKUP(AN$3,'Embedded Emissions'!$A$129:$B$158,2,FALSE)), $C70 = "0", 0), 0)</f>
        <v>0</v>
      </c>
      <c r="AP70" s="320">
        <f>IFERROR(_xlfn.IFS($C70="1",( 'Inputs-System'!$C$30*'Coincidence Factors'!$B$10*(1+'Inputs-System'!$C$18)*(1+'Inputs-System'!$C$41))*('Inputs-Proposals'!$M$17*'Inputs-Proposals'!$M$19*(1-'Inputs-Proposals'!$M$20)^(AN$3-'Inputs-System'!$C$7))*(VLOOKUP(AN$3,DRIPE!$A$54:$I$82,5,FALSE)+VLOOKUP(AN$3,DRIPE!$A$54:$I$82,9,FALSE))+ ('Inputs-System'!$C$26*'Coincidence Factors'!$B$6*(1+'Inputs-System'!$C$18)*(1+'Inputs-System'!$C$42))*'Inputs-Proposals'!$M$16*VLOOKUP(AN$3,DRIPE!$A$54:$I$82,8,FALSE), $C70 = "2",( 'Inputs-System'!$C$30*'Coincidence Factors'!$B$10*(1+'Inputs-System'!$C$18)*(1+'Inputs-System'!$C$41))*('Inputs-Proposals'!$M$23*'Inputs-Proposals'!$M$25*(1-'Inputs-Proposals'!$M$26)^(AN$3-'Inputs-System'!$C$7))*(VLOOKUP(AN$3,DRIPE!$A$54:$I$82,5,FALSE)+VLOOKUP(AN$3,DRIPE!$A$54:$I$82,9,FALSE))+ ('Inputs-System'!$C$26*'Coincidence Factors'!$B$6*(1+'Inputs-System'!$C$18)*(1+'Inputs-System'!$C$42))*'Inputs-Proposals'!$M$22*VLOOKUP(AN$3,DRIPE!$A$54:$I$82,8,FALSE), $C70= "3", ( 'Inputs-System'!$C$30*'Coincidence Factors'!$B$10*(1+'Inputs-System'!$C$18)*(1+'Inputs-System'!$C$41))*('Inputs-Proposals'!$M$29*'Inputs-Proposals'!$M$31*(1-'Inputs-Proposals'!$M$32)^(AN$3-'Inputs-System'!$C$7))*(VLOOKUP(AN$3,DRIPE!$A$54:$I$82,5,FALSE)+VLOOKUP(AN$3,DRIPE!$A$54:$I$82,9,FALSE))+ ('Inputs-System'!$C$26*'Coincidence Factors'!$B$6*(1+'Inputs-System'!$C$18)*(1+'Inputs-System'!$C$42))*'Inputs-Proposals'!$M$28*VLOOKUP(AN$3,DRIPE!$A$54:$I$82,8,FALSE), $C70 = "0", 0), 0)</f>
        <v>0</v>
      </c>
      <c r="AQ70" s="352">
        <f>IFERROR(_xlfn.IFS($C70="1",('Inputs-System'!$C$26*'Coincidence Factors'!$B$10*(1+'Inputs-System'!$C$18)*(1+'Inputs-System'!$C$42))*'Inputs-Proposals'!$D$16*(VLOOKUP(AN$3,Capacity!$A$53:$E$85,4,FALSE)*(1+'Inputs-System'!$C$42)+VLOOKUP(AN$3,Capacity!$A$53:$E$85,5,FALSE)*(1+'Inputs-System'!$C$43)*'Inputs-System'!$C$29), $C70 = "2", ('Inputs-System'!$C$26*'Coincidence Factors'!$B$10*(1+'Inputs-System'!$C$18))*'Inputs-Proposals'!$D$22*(VLOOKUP(AN$3,Capacity!$A$53:$E$85,4,FALSE)*(1+'Inputs-System'!$C$42)+VLOOKUP(AN$3,Capacity!$A$53:$E$85,5,FALSE)*'Inputs-System'!$C$29*(1+'Inputs-System'!$C$43)), $C70 = "3", ('Inputs-System'!$C$26*'Coincidence Factors'!$B$10*(1+'Inputs-System'!$C$18))*'Inputs-Proposals'!$D$28*(VLOOKUP(AN$3,Capacity!$A$53:$E$85,4,FALSE)*(1+'Inputs-System'!$C$42)+VLOOKUP(AN$3,Capacity!$A$53:$E$85,5,FALSE)*'Inputs-System'!$C$29*(1+'Inputs-System'!$C$43)), $C70 = "0", 0), 0)</f>
        <v>0</v>
      </c>
      <c r="AR70" s="320">
        <v>0</v>
      </c>
      <c r="AS70" s="353">
        <f>IFERROR(_xlfn.IFS($C70="1", 'Inputs-System'!$C$30*'Coincidence Factors'!$B$10*'Inputs-Proposals'!$M$17*'Inputs-Proposals'!$M$19*(VLOOKUP(AN$3,'Non-Embedded Emissions'!$A$56:$D$90,2,FALSE)-VLOOKUP(AN$3,'Non-Embedded Emissions'!$F$57:$H$88,3,FALSE)+VLOOKUP(AN$3,'Non-Embedded Emissions'!$A$143:$D$174,2,FALSE)-VLOOKUP(AN$3,'Non-Embedded Emissions'!$F$143:$H$174,3,FALSE)+VLOOKUP(AN$3,'Non-Embedded Emissions'!$A$230:$D$259,2,FALSE)), $C70 = "2", 'Inputs-System'!$C$30*'Coincidence Factors'!$B$10*'Inputs-Proposals'!$M$23*'Inputs-Proposals'!$M$25*(VLOOKUP(AN$3,'Non-Embedded Emissions'!$A$56:$D$90,2,FALSE)-VLOOKUP(AN$3,'Non-Embedded Emissions'!$F$57:$H$88,3,FALSE)+VLOOKUP(AN$3,'Non-Embedded Emissions'!$A$143:$D$174,2,FALSE)-VLOOKUP(AN$3,'Non-Embedded Emissions'!$F$143:$H$174,3,FALSE)+VLOOKUP(AN$3,'Non-Embedded Emissions'!$A$230:$D$259,2,FALSE)), $C70 = "3", 'Inputs-System'!$C$30*'Coincidence Factors'!$B$10*'Inputs-Proposals'!$M$29*'Inputs-Proposals'!$M$31*(VLOOKUP(AN$3,'Non-Embedded Emissions'!$A$56:$D$90,2,FALSE)-VLOOKUP(AN$3,'Non-Embedded Emissions'!$F$57:$H$88,3,FALSE)+VLOOKUP(AN$3,'Non-Embedded Emissions'!$A$143:$D$174,2,FALSE)-VLOOKUP(AN$3,'Non-Embedded Emissions'!$F$143:$H$174,3,FALSE)+VLOOKUP(AN$3,'Non-Embedded Emissions'!$A$230:$D$259,2,FALSE)), $C70 = "0", 0), 0)</f>
        <v>0</v>
      </c>
      <c r="AT70" s="352">
        <f>IFERROR(_xlfn.IFS($C70="1",('Inputs-System'!$C$30*'Coincidence Factors'!$B$10*(1+'Inputs-System'!$C$18)*(1+'Inputs-System'!$C$41)*('Inputs-Proposals'!$M$17*'Inputs-Proposals'!$M$19*(1-'Inputs-Proposals'!$M$20^(AT$3-'Inputs-System'!$C$7)))*(VLOOKUP(AT$3,Energy!$A$51:$K$83,5,FALSE))), $C70 = "2",('Inputs-System'!$C$30*'Coincidence Factors'!$B$10)*(1+'Inputs-System'!$C$18)*(1+'Inputs-System'!$C$41)*('Inputs-Proposals'!$M$23*'Inputs-Proposals'!$M$25*(1-'Inputs-Proposals'!$M$26^(AT$3-'Inputs-System'!$C$7)))*(VLOOKUP(AT$3,Energy!$A$51:$K$83,5,FALSE)), $C70= "3", ('Inputs-System'!$C$30*'Coincidence Factors'!$B$10*(1+'Inputs-System'!$C$18)*(1+'Inputs-System'!$C$41)*('Inputs-Proposals'!$M$29*'Inputs-Proposals'!$M$31*(1-'Inputs-Proposals'!$M$32^(AT$3-'Inputs-System'!$C$7)))*(VLOOKUP(AT$3,Energy!$A$51:$K$83,5,FALSE))), $C70= "0", 0), 0)</f>
        <v>0</v>
      </c>
      <c r="AU70" s="320">
        <f>IFERROR(_xlfn.IFS($C70="1",('Inputs-System'!$C$30*'Coincidence Factors'!$B$10*(1+'Inputs-System'!$C$18)*(1+'Inputs-System'!$C$41))*'Inputs-Proposals'!$M$17*'Inputs-Proposals'!$M$19*(1-'Inputs-Proposals'!$M$20^(AT$3-'Inputs-System'!$C$7))*(VLOOKUP(AT$3,'Embedded Emissions'!$A$47:$B$78,2,FALSE)+VLOOKUP(AT$3,'Embedded Emissions'!$A$129:$B$158,2,FALSE)), $C70 = "2",('Inputs-System'!$C$30*'Coincidence Factors'!$B$10*(1+'Inputs-System'!$C$18)*(1+'Inputs-System'!$C$41))*'Inputs-Proposals'!$M$23*'Inputs-Proposals'!$M$25*(1-'Inputs-Proposals'!$M$20^(AT$3-'Inputs-System'!$C$7))*(VLOOKUP(AT$3,'Embedded Emissions'!$A$47:$B$78,2,FALSE)+VLOOKUP(AT$3,'Embedded Emissions'!$A$129:$B$158,2,FALSE)), $C70 = "3", ('Inputs-System'!$C$30*'Coincidence Factors'!$B$10*(1+'Inputs-System'!$C$18)*(1+'Inputs-System'!$C$41))*'Inputs-Proposals'!$M$29*'Inputs-Proposals'!$M$31*(1-'Inputs-Proposals'!$M$20^(AT$3-'Inputs-System'!$C$7))*(VLOOKUP(AT$3,'Embedded Emissions'!$A$47:$B$78,2,FALSE)+VLOOKUP(AT$3,'Embedded Emissions'!$A$129:$B$158,2,FALSE)), $C70 = "0", 0), 0)</f>
        <v>0</v>
      </c>
      <c r="AV70" s="320">
        <f>IFERROR(_xlfn.IFS($C70="1",( 'Inputs-System'!$C$30*'Coincidence Factors'!$B$10*(1+'Inputs-System'!$C$18)*(1+'Inputs-System'!$C$41))*('Inputs-Proposals'!$M$17*'Inputs-Proposals'!$M$19*(1-'Inputs-Proposals'!$M$20)^(AT$3-'Inputs-System'!$C$7))*(VLOOKUP(AT$3,DRIPE!$A$54:$I$82,5,FALSE)+VLOOKUP(AT$3,DRIPE!$A$54:$I$82,9,FALSE))+ ('Inputs-System'!$C$26*'Coincidence Factors'!$B$6*(1+'Inputs-System'!$C$18)*(1+'Inputs-System'!$C$42))*'Inputs-Proposals'!$M$16*VLOOKUP(AT$3,DRIPE!$A$54:$I$82,8,FALSE), $C70 = "2",( 'Inputs-System'!$C$30*'Coincidence Factors'!$B$10*(1+'Inputs-System'!$C$18)*(1+'Inputs-System'!$C$41))*('Inputs-Proposals'!$M$23*'Inputs-Proposals'!$M$25*(1-'Inputs-Proposals'!$M$26)^(AT$3-'Inputs-System'!$C$7))*(VLOOKUP(AT$3,DRIPE!$A$54:$I$82,5,FALSE)+VLOOKUP(AT$3,DRIPE!$A$54:$I$82,9,FALSE))+ ('Inputs-System'!$C$26*'Coincidence Factors'!$B$6*(1+'Inputs-System'!$C$18)*(1+'Inputs-System'!$C$42))*'Inputs-Proposals'!$M$22*VLOOKUP(AT$3,DRIPE!$A$54:$I$82,8,FALSE), $C70= "3", ( 'Inputs-System'!$C$30*'Coincidence Factors'!$B$10*(1+'Inputs-System'!$C$18)*(1+'Inputs-System'!$C$41))*('Inputs-Proposals'!$M$29*'Inputs-Proposals'!$M$31*(1-'Inputs-Proposals'!$M$32)^(AT$3-'Inputs-System'!$C$7))*(VLOOKUP(AT$3,DRIPE!$A$54:$I$82,5,FALSE)+VLOOKUP(AT$3,DRIPE!$A$54:$I$82,9,FALSE))+ ('Inputs-System'!$C$26*'Coincidence Factors'!$B$6*(1+'Inputs-System'!$C$18)*(1+'Inputs-System'!$C$42))*'Inputs-Proposals'!$M$28*VLOOKUP(AT$3,DRIPE!$A$54:$I$82,8,FALSE), $C70 = "0", 0), 0)</f>
        <v>0</v>
      </c>
      <c r="AW70" s="352">
        <f>IFERROR(_xlfn.IFS($C70="1",('Inputs-System'!$C$26*'Coincidence Factors'!$B$10*(1+'Inputs-System'!$C$18)*(1+'Inputs-System'!$C$42))*'Inputs-Proposals'!$D$16*(VLOOKUP(AT$3,Capacity!$A$53:$E$85,4,FALSE)*(1+'Inputs-System'!$C$42)+VLOOKUP(AT$3,Capacity!$A$53:$E$85,5,FALSE)*(1+'Inputs-System'!$C$43)*'Inputs-System'!$C$29), $C70 = "2", ('Inputs-System'!$C$26*'Coincidence Factors'!$B$10*(1+'Inputs-System'!$C$18))*'Inputs-Proposals'!$D$22*(VLOOKUP(AT$3,Capacity!$A$53:$E$85,4,FALSE)*(1+'Inputs-System'!$C$42)+VLOOKUP(AT$3,Capacity!$A$53:$E$85,5,FALSE)*'Inputs-System'!$C$29*(1+'Inputs-System'!$C$43)), $C70 = "3", ('Inputs-System'!$C$26*'Coincidence Factors'!$B$10*(1+'Inputs-System'!$C$18))*'Inputs-Proposals'!$D$28*(VLOOKUP(AT$3,Capacity!$A$53:$E$85,4,FALSE)*(1+'Inputs-System'!$C$42)+VLOOKUP(AT$3,Capacity!$A$53:$E$85,5,FALSE)*'Inputs-System'!$C$29*(1+'Inputs-System'!$C$43)), $C70 = "0", 0), 0)</f>
        <v>0</v>
      </c>
      <c r="AX70" s="320">
        <v>0</v>
      </c>
      <c r="AY70" s="353">
        <f>IFERROR(_xlfn.IFS($C70="1", 'Inputs-System'!$C$30*'Coincidence Factors'!$B$10*'Inputs-Proposals'!$M$17*'Inputs-Proposals'!$M$19*(VLOOKUP(AT$3,'Non-Embedded Emissions'!$A$56:$D$90,2,FALSE)-VLOOKUP(AT$3,'Non-Embedded Emissions'!$F$57:$H$88,3,FALSE)+VLOOKUP(AT$3,'Non-Embedded Emissions'!$A$143:$D$174,2,FALSE)-VLOOKUP(AT$3,'Non-Embedded Emissions'!$F$143:$H$174,3,FALSE)+VLOOKUP(AT$3,'Non-Embedded Emissions'!$A$230:$D$259,2,FALSE)), $C70 = "2", 'Inputs-System'!$C$30*'Coincidence Factors'!$B$10*'Inputs-Proposals'!$M$23*'Inputs-Proposals'!$M$25*(VLOOKUP(AT$3,'Non-Embedded Emissions'!$A$56:$D$90,2,FALSE)-VLOOKUP(AT$3,'Non-Embedded Emissions'!$F$57:$H$88,3,FALSE)+VLOOKUP(AT$3,'Non-Embedded Emissions'!$A$143:$D$174,2,FALSE)-VLOOKUP(AT$3,'Non-Embedded Emissions'!$F$143:$H$174,3,FALSE)+VLOOKUP(AT$3,'Non-Embedded Emissions'!$A$230:$D$259,2,FALSE)), $C70 = "3", 'Inputs-System'!$C$30*'Coincidence Factors'!$B$10*'Inputs-Proposals'!$M$29*'Inputs-Proposals'!$M$31*(VLOOKUP(AT$3,'Non-Embedded Emissions'!$A$56:$D$90,2,FALSE)-VLOOKUP(AT$3,'Non-Embedded Emissions'!$F$57:$H$88,3,FALSE)+VLOOKUP(AT$3,'Non-Embedded Emissions'!$A$143:$D$174,2,FALSE)-VLOOKUP(AT$3,'Non-Embedded Emissions'!$F$143:$H$174,3,FALSE)+VLOOKUP(AT$3,'Non-Embedded Emissions'!$A$230:$D$259,2,FALSE)), $C70 = "0", 0), 0)</f>
        <v>0</v>
      </c>
      <c r="AZ70" s="352">
        <f>IFERROR(_xlfn.IFS($C70="1",('Inputs-System'!$C$30*'Coincidence Factors'!$B$10*(1+'Inputs-System'!$C$18)*(1+'Inputs-System'!$C$41)*('Inputs-Proposals'!$M$17*'Inputs-Proposals'!$M$19*(1-'Inputs-Proposals'!$M$20^(AZ$3-'Inputs-System'!$C$7)))*(VLOOKUP(AZ$3,Energy!$A$51:$K$83,5,FALSE))), $C70 = "2",('Inputs-System'!$C$30*'Coincidence Factors'!$B$10)*(1+'Inputs-System'!$C$18)*(1+'Inputs-System'!$C$41)*('Inputs-Proposals'!$M$23*'Inputs-Proposals'!$M$25*(1-'Inputs-Proposals'!$M$26^(AZ$3-'Inputs-System'!$C$7)))*(VLOOKUP(AZ$3,Energy!$A$51:$K$83,5,FALSE)), $C70= "3", ('Inputs-System'!$C$30*'Coincidence Factors'!$B$10*(1+'Inputs-System'!$C$18)*(1+'Inputs-System'!$C$41)*('Inputs-Proposals'!$M$29*'Inputs-Proposals'!$M$31*(1-'Inputs-Proposals'!$M$32^(AZ$3-'Inputs-System'!$C$7)))*(VLOOKUP(AZ$3,Energy!$A$51:$K$83,5,FALSE))), $C70= "0", 0), 0)</f>
        <v>0</v>
      </c>
      <c r="BA70" s="320">
        <f>IFERROR(_xlfn.IFS($C70="1",('Inputs-System'!$C$30*'Coincidence Factors'!$B$10*(1+'Inputs-System'!$C$18)*(1+'Inputs-System'!$C$41))*'Inputs-Proposals'!$M$17*'Inputs-Proposals'!$M$19*(1-'Inputs-Proposals'!$M$20^(AZ$3-'Inputs-System'!$C$7))*(VLOOKUP(AZ$3,'Embedded Emissions'!$A$47:$B$78,2,FALSE)+VLOOKUP(AZ$3,'Embedded Emissions'!$A$129:$B$158,2,FALSE)), $C70 = "2",('Inputs-System'!$C$30*'Coincidence Factors'!$B$10*(1+'Inputs-System'!$C$18)*(1+'Inputs-System'!$C$41))*'Inputs-Proposals'!$M$23*'Inputs-Proposals'!$M$25*(1-'Inputs-Proposals'!$M$20^(AZ$3-'Inputs-System'!$C$7))*(VLOOKUP(AZ$3,'Embedded Emissions'!$A$47:$B$78,2,FALSE)+VLOOKUP(AZ$3,'Embedded Emissions'!$A$129:$B$158,2,FALSE)), $C70 = "3", ('Inputs-System'!$C$30*'Coincidence Factors'!$B$10*(1+'Inputs-System'!$C$18)*(1+'Inputs-System'!$C$41))*'Inputs-Proposals'!$M$29*'Inputs-Proposals'!$M$31*(1-'Inputs-Proposals'!$M$20^(AZ$3-'Inputs-System'!$C$7))*(VLOOKUP(AZ$3,'Embedded Emissions'!$A$47:$B$78,2,FALSE)+VLOOKUP(AZ$3,'Embedded Emissions'!$A$129:$B$158,2,FALSE)), $C70 = "0", 0), 0)</f>
        <v>0</v>
      </c>
      <c r="BB70" s="320">
        <f>IFERROR(_xlfn.IFS($C70="1",( 'Inputs-System'!$C$30*'Coincidence Factors'!$B$10*(1+'Inputs-System'!$C$18)*(1+'Inputs-System'!$C$41))*('Inputs-Proposals'!$M$17*'Inputs-Proposals'!$M$19*(1-'Inputs-Proposals'!$M$20)^(AZ$3-'Inputs-System'!$C$7))*(VLOOKUP(AZ$3,DRIPE!$A$54:$I$82,5,FALSE)+VLOOKUP(AZ$3,DRIPE!$A$54:$I$82,9,FALSE))+ ('Inputs-System'!$C$26*'Coincidence Factors'!$B$6*(1+'Inputs-System'!$C$18)*(1+'Inputs-System'!$C$42))*'Inputs-Proposals'!$M$16*VLOOKUP(AZ$3,DRIPE!$A$54:$I$82,8,FALSE), $C70 = "2",( 'Inputs-System'!$C$30*'Coincidence Factors'!$B$10*(1+'Inputs-System'!$C$18)*(1+'Inputs-System'!$C$41))*('Inputs-Proposals'!$M$23*'Inputs-Proposals'!$M$25*(1-'Inputs-Proposals'!$M$26)^(AZ$3-'Inputs-System'!$C$7))*(VLOOKUP(AZ$3,DRIPE!$A$54:$I$82,5,FALSE)+VLOOKUP(AZ$3,DRIPE!$A$54:$I$82,9,FALSE))+ ('Inputs-System'!$C$26*'Coincidence Factors'!$B$6*(1+'Inputs-System'!$C$18)*(1+'Inputs-System'!$C$42))*'Inputs-Proposals'!$M$22*VLOOKUP(AZ$3,DRIPE!$A$54:$I$82,8,FALSE), $C70= "3", ( 'Inputs-System'!$C$30*'Coincidence Factors'!$B$10*(1+'Inputs-System'!$C$18)*(1+'Inputs-System'!$C$41))*('Inputs-Proposals'!$M$29*'Inputs-Proposals'!$M$31*(1-'Inputs-Proposals'!$M$32)^(AZ$3-'Inputs-System'!$C$7))*(VLOOKUP(AZ$3,DRIPE!$A$54:$I$82,5,FALSE)+VLOOKUP(AZ$3,DRIPE!$A$54:$I$82,9,FALSE))+ ('Inputs-System'!$C$26*'Coincidence Factors'!$B$6*(1+'Inputs-System'!$C$18)*(1+'Inputs-System'!$C$42))*'Inputs-Proposals'!$M$28*VLOOKUP(AZ$3,DRIPE!$A$54:$I$82,8,FALSE), $C70 = "0", 0), 0)</f>
        <v>0</v>
      </c>
      <c r="BC70" s="352">
        <f>IFERROR(_xlfn.IFS($C70="1",('Inputs-System'!$C$26*'Coincidence Factors'!$B$10*(1+'Inputs-System'!$C$18)*(1+'Inputs-System'!$C$42))*'Inputs-Proposals'!$D$16*(VLOOKUP(AZ$3,Capacity!$A$53:$E$85,4,FALSE)*(1+'Inputs-System'!$C$42)+VLOOKUP(AZ$3,Capacity!$A$53:$E$85,5,FALSE)*(1+'Inputs-System'!$C$43)*'Inputs-System'!$C$29), $C70 = "2", ('Inputs-System'!$C$26*'Coincidence Factors'!$B$10*(1+'Inputs-System'!$C$18))*'Inputs-Proposals'!$D$22*(VLOOKUP(AZ$3,Capacity!$A$53:$E$85,4,FALSE)*(1+'Inputs-System'!$C$42)+VLOOKUP(AZ$3,Capacity!$A$53:$E$85,5,FALSE)*'Inputs-System'!$C$29*(1+'Inputs-System'!$C$43)), $C70 = "3", ('Inputs-System'!$C$26*'Coincidence Factors'!$B$10*(1+'Inputs-System'!$C$18))*'Inputs-Proposals'!$D$28*(VLOOKUP(AZ$3,Capacity!$A$53:$E$85,4,FALSE)*(1+'Inputs-System'!$C$42)+VLOOKUP(AZ$3,Capacity!$A$53:$E$85,5,FALSE)*'Inputs-System'!$C$29*(1+'Inputs-System'!$C$43)), $C70 = "0", 0), 0)</f>
        <v>0</v>
      </c>
      <c r="BD70" s="320">
        <v>0</v>
      </c>
      <c r="BE70" s="353">
        <f>IFERROR(_xlfn.IFS($C70="1", 'Inputs-System'!$C$30*'Coincidence Factors'!$B$10*'Inputs-Proposals'!$M$17*'Inputs-Proposals'!$M$19*(VLOOKUP(AZ$3,'Non-Embedded Emissions'!$A$56:$D$90,2,FALSE)-VLOOKUP(AZ$3,'Non-Embedded Emissions'!$F$57:$H$88,3,FALSE)+VLOOKUP(AZ$3,'Non-Embedded Emissions'!$A$143:$D$174,2,FALSE)-VLOOKUP(AZ$3,'Non-Embedded Emissions'!$F$143:$H$174,3,FALSE)+VLOOKUP(AZ$3,'Non-Embedded Emissions'!$A$230:$D$259,2,FALSE)), $C70 = "2", 'Inputs-System'!$C$30*'Coincidence Factors'!$B$10*'Inputs-Proposals'!$M$23*'Inputs-Proposals'!$M$25*(VLOOKUP(AZ$3,'Non-Embedded Emissions'!$A$56:$D$90,2,FALSE)-VLOOKUP(AZ$3,'Non-Embedded Emissions'!$F$57:$H$88,3,FALSE)+VLOOKUP(AZ$3,'Non-Embedded Emissions'!$A$143:$D$174,2,FALSE)-VLOOKUP(AZ$3,'Non-Embedded Emissions'!$F$143:$H$174,3,FALSE)+VLOOKUP(AZ$3,'Non-Embedded Emissions'!$A$230:$D$259,2,FALSE)), $C70 = "3", 'Inputs-System'!$C$30*'Coincidence Factors'!$B$10*'Inputs-Proposals'!$M$29*'Inputs-Proposals'!$M$31*(VLOOKUP(AZ$3,'Non-Embedded Emissions'!$A$56:$D$90,2,FALSE)-VLOOKUP(AZ$3,'Non-Embedded Emissions'!$F$57:$H$88,3,FALSE)+VLOOKUP(AZ$3,'Non-Embedded Emissions'!$A$143:$D$174,2,FALSE)-VLOOKUP(AZ$3,'Non-Embedded Emissions'!$F$143:$H$174,3,FALSE)+VLOOKUP(AZ$3,'Non-Embedded Emissions'!$A$230:$D$259,2,FALSE)), $C70 = "0", 0), 0)</f>
        <v>0</v>
      </c>
      <c r="BF70" s="352">
        <f>IFERROR(_xlfn.IFS($C70="1",('Inputs-System'!$C$30*'Coincidence Factors'!$B$10*(1+'Inputs-System'!$C$18)*(1+'Inputs-System'!$C$41)*('Inputs-Proposals'!$M$17*'Inputs-Proposals'!$M$19*(1-'Inputs-Proposals'!$M$20^(BF$3-'Inputs-System'!$C$7)))*(VLOOKUP(BF$3,Energy!$A$51:$K$83,5,FALSE))), $C70 = "2",('Inputs-System'!$C$30*'Coincidence Factors'!$B$10)*(1+'Inputs-System'!$C$18)*(1+'Inputs-System'!$C$41)*('Inputs-Proposals'!$M$23*'Inputs-Proposals'!$M$25*(1-'Inputs-Proposals'!$M$26^(BF$3-'Inputs-System'!$C$7)))*(VLOOKUP(BF$3,Energy!$A$51:$K$83,5,FALSE)), $C70= "3", ('Inputs-System'!$C$30*'Coincidence Factors'!$B$10*(1+'Inputs-System'!$C$18)*(1+'Inputs-System'!$C$41)*('Inputs-Proposals'!$M$29*'Inputs-Proposals'!$M$31*(1-'Inputs-Proposals'!$M$32^(BF$3-'Inputs-System'!$C$7)))*(VLOOKUP(BF$3,Energy!$A$51:$K$83,5,FALSE))), $C70= "0", 0), 0)</f>
        <v>0</v>
      </c>
      <c r="BG70" s="320">
        <f>IFERROR(_xlfn.IFS($C70="1",('Inputs-System'!$C$30*'Coincidence Factors'!$B$10*(1+'Inputs-System'!$C$18)*(1+'Inputs-System'!$C$41))*'Inputs-Proposals'!$M$17*'Inputs-Proposals'!$M$19*(1-'Inputs-Proposals'!$M$20^(BF$3-'Inputs-System'!$C$7))*(VLOOKUP(BF$3,'Embedded Emissions'!$A$47:$B$78,2,FALSE)+VLOOKUP(BF$3,'Embedded Emissions'!$A$129:$B$158,2,FALSE)), $C70 = "2",('Inputs-System'!$C$30*'Coincidence Factors'!$B$10*(1+'Inputs-System'!$C$18)*(1+'Inputs-System'!$C$41))*'Inputs-Proposals'!$M$23*'Inputs-Proposals'!$M$25*(1-'Inputs-Proposals'!$M$20^(BF$3-'Inputs-System'!$C$7))*(VLOOKUP(BF$3,'Embedded Emissions'!$A$47:$B$78,2,FALSE)+VLOOKUP(BF$3,'Embedded Emissions'!$A$129:$B$158,2,FALSE)), $C70 = "3", ('Inputs-System'!$C$30*'Coincidence Factors'!$B$10*(1+'Inputs-System'!$C$18)*(1+'Inputs-System'!$C$41))*'Inputs-Proposals'!$M$29*'Inputs-Proposals'!$M$31*(1-'Inputs-Proposals'!$M$20^(BF$3-'Inputs-System'!$C$7))*(VLOOKUP(BF$3,'Embedded Emissions'!$A$47:$B$78,2,FALSE)+VLOOKUP(BF$3,'Embedded Emissions'!$A$129:$B$158,2,FALSE)), $C70 = "0", 0), 0)</f>
        <v>0</v>
      </c>
      <c r="BH70" s="320">
        <f>IFERROR(_xlfn.IFS($C70="1",( 'Inputs-System'!$C$30*'Coincidence Factors'!$B$10*(1+'Inputs-System'!$C$18)*(1+'Inputs-System'!$C$41))*('Inputs-Proposals'!$M$17*'Inputs-Proposals'!$M$19*(1-'Inputs-Proposals'!$M$20)^(BF$3-'Inputs-System'!$C$7))*(VLOOKUP(BF$3,DRIPE!$A$54:$I$82,5,FALSE)+VLOOKUP(BF$3,DRIPE!$A$54:$I$82,9,FALSE))+ ('Inputs-System'!$C$26*'Coincidence Factors'!$B$6*(1+'Inputs-System'!$C$18)*(1+'Inputs-System'!$C$42))*'Inputs-Proposals'!$M$16*VLOOKUP(BF$3,DRIPE!$A$54:$I$82,8,FALSE), $C70 = "2",( 'Inputs-System'!$C$30*'Coincidence Factors'!$B$10*(1+'Inputs-System'!$C$18)*(1+'Inputs-System'!$C$41))*('Inputs-Proposals'!$M$23*'Inputs-Proposals'!$M$25*(1-'Inputs-Proposals'!$M$26)^(BF$3-'Inputs-System'!$C$7))*(VLOOKUP(BF$3,DRIPE!$A$54:$I$82,5,FALSE)+VLOOKUP(BF$3,DRIPE!$A$54:$I$82,9,FALSE))+ ('Inputs-System'!$C$26*'Coincidence Factors'!$B$6*(1+'Inputs-System'!$C$18)*(1+'Inputs-System'!$C$42))*'Inputs-Proposals'!$M$22*VLOOKUP(BF$3,DRIPE!$A$54:$I$82,8,FALSE), $C70= "3", ( 'Inputs-System'!$C$30*'Coincidence Factors'!$B$10*(1+'Inputs-System'!$C$18)*(1+'Inputs-System'!$C$41))*('Inputs-Proposals'!$M$29*'Inputs-Proposals'!$M$31*(1-'Inputs-Proposals'!$M$32)^(BF$3-'Inputs-System'!$C$7))*(VLOOKUP(BF$3,DRIPE!$A$54:$I$82,5,FALSE)+VLOOKUP(BF$3,DRIPE!$A$54:$I$82,9,FALSE))+ ('Inputs-System'!$C$26*'Coincidence Factors'!$B$6*(1+'Inputs-System'!$C$18)*(1+'Inputs-System'!$C$42))*'Inputs-Proposals'!$M$28*VLOOKUP(BF$3,DRIPE!$A$54:$I$82,8,FALSE), $C70 = "0", 0), 0)</f>
        <v>0</v>
      </c>
      <c r="BI70" s="352">
        <f>IFERROR(_xlfn.IFS($C70="1",('Inputs-System'!$C$26*'Coincidence Factors'!$B$10*(1+'Inputs-System'!$C$18)*(1+'Inputs-System'!$C$42))*'Inputs-Proposals'!$D$16*(VLOOKUP(BF$3,Capacity!$A$53:$E$85,4,FALSE)*(1+'Inputs-System'!$C$42)+VLOOKUP(BF$3,Capacity!$A$53:$E$85,5,FALSE)*(1+'Inputs-System'!$C$43)*'Inputs-System'!$C$29), $C70 = "2", ('Inputs-System'!$C$26*'Coincidence Factors'!$B$10*(1+'Inputs-System'!$C$18))*'Inputs-Proposals'!$D$22*(VLOOKUP(BF$3,Capacity!$A$53:$E$85,4,FALSE)*(1+'Inputs-System'!$C$42)+VLOOKUP(BF$3,Capacity!$A$53:$E$85,5,FALSE)*'Inputs-System'!$C$29*(1+'Inputs-System'!$C$43)), $C70 = "3", ('Inputs-System'!$C$26*'Coincidence Factors'!$B$10*(1+'Inputs-System'!$C$18))*'Inputs-Proposals'!$D$28*(VLOOKUP(BF$3,Capacity!$A$53:$E$85,4,FALSE)*(1+'Inputs-System'!$C$42)+VLOOKUP(BF$3,Capacity!$A$53:$E$85,5,FALSE)*'Inputs-System'!$C$29*(1+'Inputs-System'!$C$43)), $C70 = "0", 0), 0)</f>
        <v>0</v>
      </c>
      <c r="BJ70" s="320">
        <v>0</v>
      </c>
      <c r="BK70" s="353">
        <f>IFERROR(_xlfn.IFS($C70="1", 'Inputs-System'!$C$30*'Coincidence Factors'!$B$10*'Inputs-Proposals'!$M$17*'Inputs-Proposals'!$M$19*(VLOOKUP(BF$3,'Non-Embedded Emissions'!$A$56:$D$90,2,FALSE)-VLOOKUP(BF$3,'Non-Embedded Emissions'!$F$57:$H$88,3,FALSE)+VLOOKUP(BF$3,'Non-Embedded Emissions'!$A$143:$D$174,2,FALSE)-VLOOKUP(BF$3,'Non-Embedded Emissions'!$F$143:$H$174,3,FALSE)+VLOOKUP(BF$3,'Non-Embedded Emissions'!$A$230:$D$259,2,FALSE)), $C70 = "2", 'Inputs-System'!$C$30*'Coincidence Factors'!$B$10*'Inputs-Proposals'!$M$23*'Inputs-Proposals'!$M$25*(VLOOKUP(BF$3,'Non-Embedded Emissions'!$A$56:$D$90,2,FALSE)-VLOOKUP(BF$3,'Non-Embedded Emissions'!$F$57:$H$88,3,FALSE)+VLOOKUP(BF$3,'Non-Embedded Emissions'!$A$143:$D$174,2,FALSE)-VLOOKUP(BF$3,'Non-Embedded Emissions'!$F$143:$H$174,3,FALSE)+VLOOKUP(BF$3,'Non-Embedded Emissions'!$A$230:$D$259,2,FALSE)), $C70 = "3", 'Inputs-System'!$C$30*'Coincidence Factors'!$B$10*'Inputs-Proposals'!$M$29*'Inputs-Proposals'!$M$31*(VLOOKUP(BF$3,'Non-Embedded Emissions'!$A$56:$D$90,2,FALSE)-VLOOKUP(BF$3,'Non-Embedded Emissions'!$F$57:$H$88,3,FALSE)+VLOOKUP(BF$3,'Non-Embedded Emissions'!$A$143:$D$174,2,FALSE)-VLOOKUP(BF$3,'Non-Embedded Emissions'!$F$143:$H$174,3,FALSE)+VLOOKUP(BF$3,'Non-Embedded Emissions'!$A$230:$D$259,2,FALSE)), $C70 = "0", 0), 0)</f>
        <v>0</v>
      </c>
      <c r="BL70" s="352">
        <f>IFERROR(_xlfn.IFS($C70="1",('Inputs-System'!$C$30*'Coincidence Factors'!$B$10*(1+'Inputs-System'!$C$18)*(1+'Inputs-System'!$C$41)*('Inputs-Proposals'!$M$17*'Inputs-Proposals'!$M$19*(1-'Inputs-Proposals'!$M$20^(BL$3-'Inputs-System'!$C$7)))*(VLOOKUP(BL$3,Energy!$A$51:$K$83,5,FALSE))), $C70 = "2",('Inputs-System'!$C$30*'Coincidence Factors'!$B$10)*(1+'Inputs-System'!$C$18)*(1+'Inputs-System'!$C$41)*('Inputs-Proposals'!$M$23*'Inputs-Proposals'!$M$25*(1-'Inputs-Proposals'!$M$26^(BL$3-'Inputs-System'!$C$7)))*(VLOOKUP(BL$3,Energy!$A$51:$K$83,5,FALSE)), $C70= "3", ('Inputs-System'!$C$30*'Coincidence Factors'!$B$10*(1+'Inputs-System'!$C$18)*(1+'Inputs-System'!$C$41)*('Inputs-Proposals'!$M$29*'Inputs-Proposals'!$M$31*(1-'Inputs-Proposals'!$M$32^(BL$3-'Inputs-System'!$C$7)))*(VLOOKUP(BL$3,Energy!$A$51:$K$83,5,FALSE))), $C70= "0", 0), 0)</f>
        <v>0</v>
      </c>
      <c r="BM70" s="320">
        <f>IFERROR(_xlfn.IFS($C70="1",('Inputs-System'!$C$30*'Coincidence Factors'!$B$10*(1+'Inputs-System'!$C$18)*(1+'Inputs-System'!$C$41))*'Inputs-Proposals'!$M$17*'Inputs-Proposals'!$M$19*(1-'Inputs-Proposals'!$M$20^(BL$3-'Inputs-System'!$C$7))*(VLOOKUP(BL$3,'Embedded Emissions'!$A$47:$B$78,2,FALSE)+VLOOKUP(BL$3,'Embedded Emissions'!$A$129:$B$158,2,FALSE)), $C70 = "2",('Inputs-System'!$C$30*'Coincidence Factors'!$B$10*(1+'Inputs-System'!$C$18)*(1+'Inputs-System'!$C$41))*'Inputs-Proposals'!$M$23*'Inputs-Proposals'!$M$25*(1-'Inputs-Proposals'!$M$20^(BL$3-'Inputs-System'!$C$7))*(VLOOKUP(BL$3,'Embedded Emissions'!$A$47:$B$78,2,FALSE)+VLOOKUP(BL$3,'Embedded Emissions'!$A$129:$B$158,2,FALSE)), $C70 = "3", ('Inputs-System'!$C$30*'Coincidence Factors'!$B$10*(1+'Inputs-System'!$C$18)*(1+'Inputs-System'!$C$41))*'Inputs-Proposals'!$M$29*'Inputs-Proposals'!$M$31*(1-'Inputs-Proposals'!$M$20^(BL$3-'Inputs-System'!$C$7))*(VLOOKUP(BL$3,'Embedded Emissions'!$A$47:$B$78,2,FALSE)+VLOOKUP(BL$3,'Embedded Emissions'!$A$129:$B$158,2,FALSE)), $C70 = "0", 0), 0)</f>
        <v>0</v>
      </c>
      <c r="BN70" s="320">
        <f>IFERROR(_xlfn.IFS($C70="1",( 'Inputs-System'!$C$30*'Coincidence Factors'!$B$10*(1+'Inputs-System'!$C$18)*(1+'Inputs-System'!$C$41))*('Inputs-Proposals'!$M$17*'Inputs-Proposals'!$M$19*(1-'Inputs-Proposals'!$M$20)^(BL$3-'Inputs-System'!$C$7))*(VLOOKUP(BL$3,DRIPE!$A$54:$I$82,5,FALSE)+VLOOKUP(BL$3,DRIPE!$A$54:$I$82,9,FALSE))+ ('Inputs-System'!$C$26*'Coincidence Factors'!$B$6*(1+'Inputs-System'!$C$18)*(1+'Inputs-System'!$C$42))*'Inputs-Proposals'!$M$16*VLOOKUP(BL$3,DRIPE!$A$54:$I$82,8,FALSE), $C70 = "2",( 'Inputs-System'!$C$30*'Coincidence Factors'!$B$10*(1+'Inputs-System'!$C$18)*(1+'Inputs-System'!$C$41))*('Inputs-Proposals'!$M$23*'Inputs-Proposals'!$M$25*(1-'Inputs-Proposals'!$M$26)^(BL$3-'Inputs-System'!$C$7))*(VLOOKUP(BL$3,DRIPE!$A$54:$I$82,5,FALSE)+VLOOKUP(BL$3,DRIPE!$A$54:$I$82,9,FALSE))+ ('Inputs-System'!$C$26*'Coincidence Factors'!$B$6*(1+'Inputs-System'!$C$18)*(1+'Inputs-System'!$C$42))*'Inputs-Proposals'!$M$22*VLOOKUP(BL$3,DRIPE!$A$54:$I$82,8,FALSE), $C70= "3", ( 'Inputs-System'!$C$30*'Coincidence Factors'!$B$10*(1+'Inputs-System'!$C$18)*(1+'Inputs-System'!$C$41))*('Inputs-Proposals'!$M$29*'Inputs-Proposals'!$M$31*(1-'Inputs-Proposals'!$M$32)^(BL$3-'Inputs-System'!$C$7))*(VLOOKUP(BL$3,DRIPE!$A$54:$I$82,5,FALSE)+VLOOKUP(BL$3,DRIPE!$A$54:$I$82,9,FALSE))+ ('Inputs-System'!$C$26*'Coincidence Factors'!$B$6*(1+'Inputs-System'!$C$18)*(1+'Inputs-System'!$C$42))*'Inputs-Proposals'!$M$28*VLOOKUP(BL$3,DRIPE!$A$54:$I$82,8,FALSE), $C70 = "0", 0), 0)</f>
        <v>0</v>
      </c>
      <c r="BO70" s="352">
        <f>IFERROR(_xlfn.IFS($C70="1",('Inputs-System'!$C$26*'Coincidence Factors'!$B$10*(1+'Inputs-System'!$C$18)*(1+'Inputs-System'!$C$42))*'Inputs-Proposals'!$D$16*(VLOOKUP(BL$3,Capacity!$A$53:$E$85,4,FALSE)*(1+'Inputs-System'!$C$42)+VLOOKUP(BL$3,Capacity!$A$53:$E$85,5,FALSE)*(1+'Inputs-System'!$C$43)*'Inputs-System'!$C$29), $C70 = "2", ('Inputs-System'!$C$26*'Coincidence Factors'!$B$10*(1+'Inputs-System'!$C$18))*'Inputs-Proposals'!$D$22*(VLOOKUP(BL$3,Capacity!$A$53:$E$85,4,FALSE)*(1+'Inputs-System'!$C$42)+VLOOKUP(BL$3,Capacity!$A$53:$E$85,5,FALSE)*'Inputs-System'!$C$29*(1+'Inputs-System'!$C$43)), $C70 = "3", ('Inputs-System'!$C$26*'Coincidence Factors'!$B$10*(1+'Inputs-System'!$C$18))*'Inputs-Proposals'!$D$28*(VLOOKUP(BL$3,Capacity!$A$53:$E$85,4,FALSE)*(1+'Inputs-System'!$C$42)+VLOOKUP(BL$3,Capacity!$A$53:$E$85,5,FALSE)*'Inputs-System'!$C$29*(1+'Inputs-System'!$C$43)), $C70 = "0", 0), 0)</f>
        <v>0</v>
      </c>
      <c r="BP70" s="320">
        <v>0</v>
      </c>
      <c r="BQ70" s="353">
        <f>IFERROR(_xlfn.IFS($C70="1", 'Inputs-System'!$C$30*'Coincidence Factors'!$B$10*'Inputs-Proposals'!$M$17*'Inputs-Proposals'!$M$19*(VLOOKUP(BL$3,'Non-Embedded Emissions'!$A$56:$D$90,2,FALSE)-VLOOKUP(BL$3,'Non-Embedded Emissions'!$F$57:$H$88,3,FALSE)+VLOOKUP(BL$3,'Non-Embedded Emissions'!$A$143:$D$174,2,FALSE)-VLOOKUP(BL$3,'Non-Embedded Emissions'!$F$143:$H$174,3,FALSE)+VLOOKUP(BL$3,'Non-Embedded Emissions'!$A$230:$D$259,2,FALSE)), $C70 = "2", 'Inputs-System'!$C$30*'Coincidence Factors'!$B$10*'Inputs-Proposals'!$M$23*'Inputs-Proposals'!$M$25*(VLOOKUP(BL$3,'Non-Embedded Emissions'!$A$56:$D$90,2,FALSE)-VLOOKUP(BL$3,'Non-Embedded Emissions'!$F$57:$H$88,3,FALSE)+VLOOKUP(BL$3,'Non-Embedded Emissions'!$A$143:$D$174,2,FALSE)-VLOOKUP(BL$3,'Non-Embedded Emissions'!$F$143:$H$174,3,FALSE)+VLOOKUP(BL$3,'Non-Embedded Emissions'!$A$230:$D$259,2,FALSE)), $C70 = "3", 'Inputs-System'!$C$30*'Coincidence Factors'!$B$10*'Inputs-Proposals'!$M$29*'Inputs-Proposals'!$M$31*(VLOOKUP(BL$3,'Non-Embedded Emissions'!$A$56:$D$90,2,FALSE)-VLOOKUP(BL$3,'Non-Embedded Emissions'!$F$57:$H$88,3,FALSE)+VLOOKUP(BL$3,'Non-Embedded Emissions'!$A$143:$D$174,2,FALSE)-VLOOKUP(BL$3,'Non-Embedded Emissions'!$F$143:$H$174,3,FALSE)+VLOOKUP(BL$3,'Non-Embedded Emissions'!$A$230:$D$259,2,FALSE)), $C70 = "0", 0), 0)</f>
        <v>0</v>
      </c>
      <c r="BR70" s="352">
        <f>IFERROR(_xlfn.IFS($C70="1",('Inputs-System'!$C$30*'Coincidence Factors'!$B$10*(1+'Inputs-System'!$C$18)*(1+'Inputs-System'!$C$41)*('Inputs-Proposals'!$M$17*'Inputs-Proposals'!$M$19*(1-'Inputs-Proposals'!$M$20^(BR$3-'Inputs-System'!$C$7)))*(VLOOKUP(BR$3,Energy!$A$51:$K$83,5,FALSE))), $C70 = "2",('Inputs-System'!$C$30*'Coincidence Factors'!$B$10)*(1+'Inputs-System'!$C$18)*(1+'Inputs-System'!$C$41)*('Inputs-Proposals'!$M$23*'Inputs-Proposals'!$M$25*(1-'Inputs-Proposals'!$M$26^(BR$3-'Inputs-System'!$C$7)))*(VLOOKUP(BR$3,Energy!$A$51:$K$83,5,FALSE)), $C70= "3", ('Inputs-System'!$C$30*'Coincidence Factors'!$B$10*(1+'Inputs-System'!$C$18)*(1+'Inputs-System'!$C$41)*('Inputs-Proposals'!$M$29*'Inputs-Proposals'!$M$31*(1-'Inputs-Proposals'!$M$32^(BR$3-'Inputs-System'!$C$7)))*(VLOOKUP(BR$3,Energy!$A$51:$K$83,5,FALSE))), $C70= "0", 0), 0)</f>
        <v>0</v>
      </c>
      <c r="BS70" s="320">
        <f>IFERROR(_xlfn.IFS($C70="1",('Inputs-System'!$C$30*'Coincidence Factors'!$B$10*(1+'Inputs-System'!$C$18)*(1+'Inputs-System'!$C$41))*'Inputs-Proposals'!$M$17*'Inputs-Proposals'!$M$19*(1-'Inputs-Proposals'!$M$20^(BR$3-'Inputs-System'!$C$7))*(VLOOKUP(BR$3,'Embedded Emissions'!$A$47:$B$78,2,FALSE)+VLOOKUP(BR$3,'Embedded Emissions'!$A$129:$B$158,2,FALSE)), $C70 = "2",('Inputs-System'!$C$30*'Coincidence Factors'!$B$10*(1+'Inputs-System'!$C$18)*(1+'Inputs-System'!$C$41))*'Inputs-Proposals'!$M$23*'Inputs-Proposals'!$M$25*(1-'Inputs-Proposals'!$M$20^(BR$3-'Inputs-System'!$C$7))*(VLOOKUP(BR$3,'Embedded Emissions'!$A$47:$B$78,2,FALSE)+VLOOKUP(BR$3,'Embedded Emissions'!$A$129:$B$158,2,FALSE)), $C70 = "3", ('Inputs-System'!$C$30*'Coincidence Factors'!$B$10*(1+'Inputs-System'!$C$18)*(1+'Inputs-System'!$C$41))*'Inputs-Proposals'!$M$29*'Inputs-Proposals'!$M$31*(1-'Inputs-Proposals'!$M$20^(BR$3-'Inputs-System'!$C$7))*(VLOOKUP(BR$3,'Embedded Emissions'!$A$47:$B$78,2,FALSE)+VLOOKUP(BR$3,'Embedded Emissions'!$A$129:$B$158,2,FALSE)), $C70 = "0", 0), 0)</f>
        <v>0</v>
      </c>
      <c r="BT70" s="320">
        <f>IFERROR(_xlfn.IFS($C70="1",( 'Inputs-System'!$C$30*'Coincidence Factors'!$B$10*(1+'Inputs-System'!$C$18)*(1+'Inputs-System'!$C$41))*('Inputs-Proposals'!$M$17*'Inputs-Proposals'!$M$19*(1-'Inputs-Proposals'!$M$20)^(BR$3-'Inputs-System'!$C$7))*(VLOOKUP(BR$3,DRIPE!$A$54:$I$82,5,FALSE)+VLOOKUP(BR$3,DRIPE!$A$54:$I$82,9,FALSE))+ ('Inputs-System'!$C$26*'Coincidence Factors'!$B$6*(1+'Inputs-System'!$C$18)*(1+'Inputs-System'!$C$42))*'Inputs-Proposals'!$M$16*VLOOKUP(BR$3,DRIPE!$A$54:$I$82,8,FALSE), $C70 = "2",( 'Inputs-System'!$C$30*'Coincidence Factors'!$B$10*(1+'Inputs-System'!$C$18)*(1+'Inputs-System'!$C$41))*('Inputs-Proposals'!$M$23*'Inputs-Proposals'!$M$25*(1-'Inputs-Proposals'!$M$26)^(BR$3-'Inputs-System'!$C$7))*(VLOOKUP(BR$3,DRIPE!$A$54:$I$82,5,FALSE)+VLOOKUP(BR$3,DRIPE!$A$54:$I$82,9,FALSE))+ ('Inputs-System'!$C$26*'Coincidence Factors'!$B$6*(1+'Inputs-System'!$C$18)*(1+'Inputs-System'!$C$42))*'Inputs-Proposals'!$M$22*VLOOKUP(BR$3,DRIPE!$A$54:$I$82,8,FALSE), $C70= "3", ( 'Inputs-System'!$C$30*'Coincidence Factors'!$B$10*(1+'Inputs-System'!$C$18)*(1+'Inputs-System'!$C$41))*('Inputs-Proposals'!$M$29*'Inputs-Proposals'!$M$31*(1-'Inputs-Proposals'!$M$32)^(BR$3-'Inputs-System'!$C$7))*(VLOOKUP(BR$3,DRIPE!$A$54:$I$82,5,FALSE)+VLOOKUP(BR$3,DRIPE!$A$54:$I$82,9,FALSE))+ ('Inputs-System'!$C$26*'Coincidence Factors'!$B$6*(1+'Inputs-System'!$C$18)*(1+'Inputs-System'!$C$42))*'Inputs-Proposals'!$M$28*VLOOKUP(BR$3,DRIPE!$A$54:$I$82,8,FALSE), $C70 = "0", 0), 0)</f>
        <v>0</v>
      </c>
      <c r="BU70" s="352">
        <f>IFERROR(_xlfn.IFS($C70="1",('Inputs-System'!$C$26*'Coincidence Factors'!$B$10*(1+'Inputs-System'!$C$18)*(1+'Inputs-System'!$C$42))*'Inputs-Proposals'!$D$16*(VLOOKUP(BR$3,Capacity!$A$53:$E$85,4,FALSE)*(1+'Inputs-System'!$C$42)+VLOOKUP(BR$3,Capacity!$A$53:$E$85,5,FALSE)*(1+'Inputs-System'!$C$43)*'Inputs-System'!$C$29), $C70 = "2", ('Inputs-System'!$C$26*'Coincidence Factors'!$B$10*(1+'Inputs-System'!$C$18))*'Inputs-Proposals'!$D$22*(VLOOKUP(BR$3,Capacity!$A$53:$E$85,4,FALSE)*(1+'Inputs-System'!$C$42)+VLOOKUP(BR$3,Capacity!$A$53:$E$85,5,FALSE)*'Inputs-System'!$C$29*(1+'Inputs-System'!$C$43)), $C70 = "3", ('Inputs-System'!$C$26*'Coincidence Factors'!$B$10*(1+'Inputs-System'!$C$18))*'Inputs-Proposals'!$D$28*(VLOOKUP(BR$3,Capacity!$A$53:$E$85,4,FALSE)*(1+'Inputs-System'!$C$42)+VLOOKUP(BR$3,Capacity!$A$53:$E$85,5,FALSE)*'Inputs-System'!$C$29*(1+'Inputs-System'!$C$43)), $C70 = "0", 0), 0)</f>
        <v>0</v>
      </c>
      <c r="BV70" s="320">
        <v>0</v>
      </c>
      <c r="BW70" s="353">
        <f>IFERROR(_xlfn.IFS($C70="1", 'Inputs-System'!$C$30*'Coincidence Factors'!$B$10*'Inputs-Proposals'!$M$17*'Inputs-Proposals'!$M$19*(VLOOKUP(BR$3,'Non-Embedded Emissions'!$A$56:$D$90,2,FALSE)-VLOOKUP(BR$3,'Non-Embedded Emissions'!$F$57:$H$88,3,FALSE)+VLOOKUP(BR$3,'Non-Embedded Emissions'!$A$143:$D$174,2,FALSE)-VLOOKUP(BR$3,'Non-Embedded Emissions'!$F$143:$H$174,3,FALSE)+VLOOKUP(BR$3,'Non-Embedded Emissions'!$A$230:$D$259,2,FALSE)), $C70 = "2", 'Inputs-System'!$C$30*'Coincidence Factors'!$B$10*'Inputs-Proposals'!$M$23*'Inputs-Proposals'!$M$25*(VLOOKUP(BR$3,'Non-Embedded Emissions'!$A$56:$D$90,2,FALSE)-VLOOKUP(BR$3,'Non-Embedded Emissions'!$F$57:$H$88,3,FALSE)+VLOOKUP(BR$3,'Non-Embedded Emissions'!$A$143:$D$174,2,FALSE)-VLOOKUP(BR$3,'Non-Embedded Emissions'!$F$143:$H$174,3,FALSE)+VLOOKUP(BR$3,'Non-Embedded Emissions'!$A$230:$D$259,2,FALSE)), $C70 = "3", 'Inputs-System'!$C$30*'Coincidence Factors'!$B$10*'Inputs-Proposals'!$M$29*'Inputs-Proposals'!$M$31*(VLOOKUP(BR$3,'Non-Embedded Emissions'!$A$56:$D$90,2,FALSE)-VLOOKUP(BR$3,'Non-Embedded Emissions'!$F$57:$H$88,3,FALSE)+VLOOKUP(BR$3,'Non-Embedded Emissions'!$A$143:$D$174,2,FALSE)-VLOOKUP(BR$3,'Non-Embedded Emissions'!$F$143:$H$174,3,FALSE)+VLOOKUP(BR$3,'Non-Embedded Emissions'!$A$230:$D$259,2,FALSE)), $C70 = "0", 0), 0)</f>
        <v>0</v>
      </c>
      <c r="BX70" s="352">
        <f>IFERROR(_xlfn.IFS($C70="1",('Inputs-System'!$C$30*'Coincidence Factors'!$B$10*(1+'Inputs-System'!$C$18)*(1+'Inputs-System'!$C$41)*('Inputs-Proposals'!$M$17*'Inputs-Proposals'!$M$19*(1-'Inputs-Proposals'!$M$20^(BX$3-'Inputs-System'!$C$7)))*(VLOOKUP(BX$3,Energy!$A$51:$K$83,5,FALSE))), $C70 = "2",('Inputs-System'!$C$30*'Coincidence Factors'!$B$10)*(1+'Inputs-System'!$C$18)*(1+'Inputs-System'!$C$41)*('Inputs-Proposals'!$M$23*'Inputs-Proposals'!$M$25*(1-'Inputs-Proposals'!$M$26^(BX$3-'Inputs-System'!$C$7)))*(VLOOKUP(BX$3,Energy!$A$51:$K$83,5,FALSE)), $C70= "3", ('Inputs-System'!$C$30*'Coincidence Factors'!$B$10*(1+'Inputs-System'!$C$18)*(1+'Inputs-System'!$C$41)*('Inputs-Proposals'!$M$29*'Inputs-Proposals'!$M$31*(1-'Inputs-Proposals'!$M$32^(BX$3-'Inputs-System'!$C$7)))*(VLOOKUP(BX$3,Energy!$A$51:$K$83,5,FALSE))), $C70= "0", 0), 0)</f>
        <v>0</v>
      </c>
      <c r="BY70" s="320">
        <f>IFERROR(_xlfn.IFS($C70="1",('Inputs-System'!$C$30*'Coincidence Factors'!$B$10*(1+'Inputs-System'!$C$18)*(1+'Inputs-System'!$C$41))*'Inputs-Proposals'!$M$17*'Inputs-Proposals'!$M$19*(1-'Inputs-Proposals'!$M$20^(BX$3-'Inputs-System'!$C$7))*(VLOOKUP(BX$3,'Embedded Emissions'!$A$47:$B$78,2,FALSE)+VLOOKUP(BX$3,'Embedded Emissions'!$A$129:$B$158,2,FALSE)), $C70 = "2",('Inputs-System'!$C$30*'Coincidence Factors'!$B$10*(1+'Inputs-System'!$C$18)*(1+'Inputs-System'!$C$41))*'Inputs-Proposals'!$M$23*'Inputs-Proposals'!$M$25*(1-'Inputs-Proposals'!$M$20^(BX$3-'Inputs-System'!$C$7))*(VLOOKUP(BX$3,'Embedded Emissions'!$A$47:$B$78,2,FALSE)+VLOOKUP(BX$3,'Embedded Emissions'!$A$129:$B$158,2,FALSE)), $C70 = "3", ('Inputs-System'!$C$30*'Coincidence Factors'!$B$10*(1+'Inputs-System'!$C$18)*(1+'Inputs-System'!$C$41))*'Inputs-Proposals'!$M$29*'Inputs-Proposals'!$M$31*(1-'Inputs-Proposals'!$M$20^(BX$3-'Inputs-System'!$C$7))*(VLOOKUP(BX$3,'Embedded Emissions'!$A$47:$B$78,2,FALSE)+VLOOKUP(BX$3,'Embedded Emissions'!$A$129:$B$158,2,FALSE)), $C70 = "0", 0), 0)</f>
        <v>0</v>
      </c>
      <c r="BZ70" s="320">
        <f>IFERROR(_xlfn.IFS($C70="1",( 'Inputs-System'!$C$30*'Coincidence Factors'!$B$10*(1+'Inputs-System'!$C$18)*(1+'Inputs-System'!$C$41))*('Inputs-Proposals'!$M$17*'Inputs-Proposals'!$M$19*(1-'Inputs-Proposals'!$M$20)^(BX$3-'Inputs-System'!$C$7))*(VLOOKUP(BX$3,DRIPE!$A$54:$I$82,5,FALSE)+VLOOKUP(BX$3,DRIPE!$A$54:$I$82,9,FALSE))+ ('Inputs-System'!$C$26*'Coincidence Factors'!$B$6*(1+'Inputs-System'!$C$18)*(1+'Inputs-System'!$C$42))*'Inputs-Proposals'!$M$16*VLOOKUP(BX$3,DRIPE!$A$54:$I$82,8,FALSE), $C70 = "2",( 'Inputs-System'!$C$30*'Coincidence Factors'!$B$10*(1+'Inputs-System'!$C$18)*(1+'Inputs-System'!$C$41))*('Inputs-Proposals'!$M$23*'Inputs-Proposals'!$M$25*(1-'Inputs-Proposals'!$M$26)^(BX$3-'Inputs-System'!$C$7))*(VLOOKUP(BX$3,DRIPE!$A$54:$I$82,5,FALSE)+VLOOKUP(BX$3,DRIPE!$A$54:$I$82,9,FALSE))+ ('Inputs-System'!$C$26*'Coincidence Factors'!$B$6*(1+'Inputs-System'!$C$18)*(1+'Inputs-System'!$C$42))*'Inputs-Proposals'!$M$22*VLOOKUP(BX$3,DRIPE!$A$54:$I$82,8,FALSE), $C70= "3", ( 'Inputs-System'!$C$30*'Coincidence Factors'!$B$10*(1+'Inputs-System'!$C$18)*(1+'Inputs-System'!$C$41))*('Inputs-Proposals'!$M$29*'Inputs-Proposals'!$M$31*(1-'Inputs-Proposals'!$M$32)^(BX$3-'Inputs-System'!$C$7))*(VLOOKUP(BX$3,DRIPE!$A$54:$I$82,5,FALSE)+VLOOKUP(BX$3,DRIPE!$A$54:$I$82,9,FALSE))+ ('Inputs-System'!$C$26*'Coincidence Factors'!$B$6*(1+'Inputs-System'!$C$18)*(1+'Inputs-System'!$C$42))*'Inputs-Proposals'!$M$28*VLOOKUP(BX$3,DRIPE!$A$54:$I$82,8,FALSE), $C70 = "0", 0), 0)</f>
        <v>0</v>
      </c>
      <c r="CA70" s="352">
        <f>IFERROR(_xlfn.IFS($C70="1",('Inputs-System'!$C$26*'Coincidence Factors'!$B$10*(1+'Inputs-System'!$C$18)*(1+'Inputs-System'!$C$42))*'Inputs-Proposals'!$D$16*(VLOOKUP(BX$3,Capacity!$A$53:$E$85,4,FALSE)*(1+'Inputs-System'!$C$42)+VLOOKUP(BX$3,Capacity!$A$53:$E$85,5,FALSE)*(1+'Inputs-System'!$C$43)*'Inputs-System'!$C$29), $C70 = "2", ('Inputs-System'!$C$26*'Coincidence Factors'!$B$10*(1+'Inputs-System'!$C$18))*'Inputs-Proposals'!$D$22*(VLOOKUP(BX$3,Capacity!$A$53:$E$85,4,FALSE)*(1+'Inputs-System'!$C$42)+VLOOKUP(BX$3,Capacity!$A$53:$E$85,5,FALSE)*'Inputs-System'!$C$29*(1+'Inputs-System'!$C$43)), $C70 = "3", ('Inputs-System'!$C$26*'Coincidence Factors'!$B$10*(1+'Inputs-System'!$C$18))*'Inputs-Proposals'!$D$28*(VLOOKUP(BX$3,Capacity!$A$53:$E$85,4,FALSE)*(1+'Inputs-System'!$C$42)+VLOOKUP(BX$3,Capacity!$A$53:$E$85,5,FALSE)*'Inputs-System'!$C$29*(1+'Inputs-System'!$C$43)), $C70 = "0", 0), 0)</f>
        <v>0</v>
      </c>
      <c r="CB70" s="320">
        <v>0</v>
      </c>
      <c r="CC70" s="353">
        <f>IFERROR(_xlfn.IFS($C70="1", 'Inputs-System'!$C$30*'Coincidence Factors'!$B$10*'Inputs-Proposals'!$M$17*'Inputs-Proposals'!$M$19*(VLOOKUP(BX$3,'Non-Embedded Emissions'!$A$56:$D$90,2,FALSE)-VLOOKUP(BX$3,'Non-Embedded Emissions'!$F$57:$H$88,3,FALSE)+VLOOKUP(BX$3,'Non-Embedded Emissions'!$A$143:$D$174,2,FALSE)-VLOOKUP(BX$3,'Non-Embedded Emissions'!$F$143:$H$174,3,FALSE)+VLOOKUP(BX$3,'Non-Embedded Emissions'!$A$230:$D$259,2,FALSE)), $C70 = "2", 'Inputs-System'!$C$30*'Coincidence Factors'!$B$10*'Inputs-Proposals'!$M$23*'Inputs-Proposals'!$M$25*(VLOOKUP(BX$3,'Non-Embedded Emissions'!$A$56:$D$90,2,FALSE)-VLOOKUP(BX$3,'Non-Embedded Emissions'!$F$57:$H$88,3,FALSE)+VLOOKUP(BX$3,'Non-Embedded Emissions'!$A$143:$D$174,2,FALSE)-VLOOKUP(BX$3,'Non-Embedded Emissions'!$F$143:$H$174,3,FALSE)+VLOOKUP(BX$3,'Non-Embedded Emissions'!$A$230:$D$259,2,FALSE)), $C70 = "3", 'Inputs-System'!$C$30*'Coincidence Factors'!$B$10*'Inputs-Proposals'!$M$29*'Inputs-Proposals'!$M$31*(VLOOKUP(BX$3,'Non-Embedded Emissions'!$A$56:$D$90,2,FALSE)-VLOOKUP(BX$3,'Non-Embedded Emissions'!$F$57:$H$88,3,FALSE)+VLOOKUP(BX$3,'Non-Embedded Emissions'!$A$143:$D$174,2,FALSE)-VLOOKUP(BX$3,'Non-Embedded Emissions'!$F$143:$H$174,3,FALSE)+VLOOKUP(BX$3,'Non-Embedded Emissions'!$A$230:$D$259,2,FALSE)), $C70 = "0", 0), 0)</f>
        <v>0</v>
      </c>
      <c r="CD70" s="352">
        <f>IFERROR(_xlfn.IFS($C70="1",('Inputs-System'!$C$30*'Coincidence Factors'!$B$10*(1+'Inputs-System'!$C$18)*(1+'Inputs-System'!$C$41)*('Inputs-Proposals'!$M$17*'Inputs-Proposals'!$M$19*(1-'Inputs-Proposals'!$M$20^(CD$3-'Inputs-System'!$C$7)))*(VLOOKUP(CD$3,Energy!$A$51:$K$83,5,FALSE))), $C70 = "2",('Inputs-System'!$C$30*'Coincidence Factors'!$B$10)*(1+'Inputs-System'!$C$18)*(1+'Inputs-System'!$C$41)*('Inputs-Proposals'!$M$23*'Inputs-Proposals'!$M$25*(1-'Inputs-Proposals'!$M$26^(CD$3-'Inputs-System'!$C$7)))*(VLOOKUP(CD$3,Energy!$A$51:$K$83,5,FALSE)), $C70= "3", ('Inputs-System'!$C$30*'Coincidence Factors'!$B$10*(1+'Inputs-System'!$C$18)*(1+'Inputs-System'!$C$41)*('Inputs-Proposals'!$M$29*'Inputs-Proposals'!$M$31*(1-'Inputs-Proposals'!$M$32^(CD$3-'Inputs-System'!$C$7)))*(VLOOKUP(CD$3,Energy!$A$51:$K$83,5,FALSE))), $C70= "0", 0), 0)</f>
        <v>0</v>
      </c>
      <c r="CE70" s="320">
        <f>IFERROR(_xlfn.IFS($C70="1",('Inputs-System'!$C$30*'Coincidence Factors'!$B$10*(1+'Inputs-System'!$C$18)*(1+'Inputs-System'!$C$41))*'Inputs-Proposals'!$M$17*'Inputs-Proposals'!$M$19*(1-'Inputs-Proposals'!$M$20^(CD$3-'Inputs-System'!$C$7))*(VLOOKUP(CD$3,'Embedded Emissions'!$A$47:$B$78,2,FALSE)+VLOOKUP(CD$3,'Embedded Emissions'!$A$129:$B$158,2,FALSE)), $C70 = "2",('Inputs-System'!$C$30*'Coincidence Factors'!$B$10*(1+'Inputs-System'!$C$18)*(1+'Inputs-System'!$C$41))*'Inputs-Proposals'!$M$23*'Inputs-Proposals'!$M$25*(1-'Inputs-Proposals'!$M$20^(CD$3-'Inputs-System'!$C$7))*(VLOOKUP(CD$3,'Embedded Emissions'!$A$47:$B$78,2,FALSE)+VLOOKUP(CD$3,'Embedded Emissions'!$A$129:$B$158,2,FALSE)), $C70 = "3", ('Inputs-System'!$C$30*'Coincidence Factors'!$B$10*(1+'Inputs-System'!$C$18)*(1+'Inputs-System'!$C$41))*'Inputs-Proposals'!$M$29*'Inputs-Proposals'!$M$31*(1-'Inputs-Proposals'!$M$20^(CD$3-'Inputs-System'!$C$7))*(VLOOKUP(CD$3,'Embedded Emissions'!$A$47:$B$78,2,FALSE)+VLOOKUP(CD$3,'Embedded Emissions'!$A$129:$B$158,2,FALSE)), $C70 = "0", 0), 0)</f>
        <v>0</v>
      </c>
      <c r="CF70" s="320">
        <f>IFERROR(_xlfn.IFS($C70="1",( 'Inputs-System'!$C$30*'Coincidence Factors'!$B$10*(1+'Inputs-System'!$C$18)*(1+'Inputs-System'!$C$41))*('Inputs-Proposals'!$M$17*'Inputs-Proposals'!$M$19*(1-'Inputs-Proposals'!$M$20)^(CD$3-'Inputs-System'!$C$7))*(VLOOKUP(CD$3,DRIPE!$A$54:$I$82,5,FALSE)+VLOOKUP(CD$3,DRIPE!$A$54:$I$82,9,FALSE))+ ('Inputs-System'!$C$26*'Coincidence Factors'!$B$6*(1+'Inputs-System'!$C$18)*(1+'Inputs-System'!$C$42))*'Inputs-Proposals'!$M$16*VLOOKUP(CD$3,DRIPE!$A$54:$I$82,8,FALSE), $C70 = "2",( 'Inputs-System'!$C$30*'Coincidence Factors'!$B$10*(1+'Inputs-System'!$C$18)*(1+'Inputs-System'!$C$41))*('Inputs-Proposals'!$M$23*'Inputs-Proposals'!$M$25*(1-'Inputs-Proposals'!$M$26)^(CD$3-'Inputs-System'!$C$7))*(VLOOKUP(CD$3,DRIPE!$A$54:$I$82,5,FALSE)+VLOOKUP(CD$3,DRIPE!$A$54:$I$82,9,FALSE))+ ('Inputs-System'!$C$26*'Coincidence Factors'!$B$6*(1+'Inputs-System'!$C$18)*(1+'Inputs-System'!$C$42))*'Inputs-Proposals'!$M$22*VLOOKUP(CD$3,DRIPE!$A$54:$I$82,8,FALSE), $C70= "3", ( 'Inputs-System'!$C$30*'Coincidence Factors'!$B$10*(1+'Inputs-System'!$C$18)*(1+'Inputs-System'!$C$41))*('Inputs-Proposals'!$M$29*'Inputs-Proposals'!$M$31*(1-'Inputs-Proposals'!$M$32)^(CD$3-'Inputs-System'!$C$7))*(VLOOKUP(CD$3,DRIPE!$A$54:$I$82,5,FALSE)+VLOOKUP(CD$3,DRIPE!$A$54:$I$82,9,FALSE))+ ('Inputs-System'!$C$26*'Coincidence Factors'!$B$6*(1+'Inputs-System'!$C$18)*(1+'Inputs-System'!$C$42))*'Inputs-Proposals'!$M$28*VLOOKUP(CD$3,DRIPE!$A$54:$I$82,8,FALSE), $C70 = "0", 0), 0)</f>
        <v>0</v>
      </c>
      <c r="CG70" s="352">
        <f>IFERROR(_xlfn.IFS($C70="1",('Inputs-System'!$C$26*'Coincidence Factors'!$B$10*(1+'Inputs-System'!$C$18)*(1+'Inputs-System'!$C$42))*'Inputs-Proposals'!$D$16*(VLOOKUP(CD$3,Capacity!$A$53:$E$85,4,FALSE)*(1+'Inputs-System'!$C$42)+VLOOKUP(CD$3,Capacity!$A$53:$E$85,5,FALSE)*(1+'Inputs-System'!$C$43)*'Inputs-System'!$C$29), $C70 = "2", ('Inputs-System'!$C$26*'Coincidence Factors'!$B$10*(1+'Inputs-System'!$C$18))*'Inputs-Proposals'!$D$22*(VLOOKUP(CD$3,Capacity!$A$53:$E$85,4,FALSE)*(1+'Inputs-System'!$C$42)+VLOOKUP(CD$3,Capacity!$A$53:$E$85,5,FALSE)*'Inputs-System'!$C$29*(1+'Inputs-System'!$C$43)), $C70 = "3", ('Inputs-System'!$C$26*'Coincidence Factors'!$B$10*(1+'Inputs-System'!$C$18))*'Inputs-Proposals'!$D$28*(VLOOKUP(CD$3,Capacity!$A$53:$E$85,4,FALSE)*(1+'Inputs-System'!$C$42)+VLOOKUP(CD$3,Capacity!$A$53:$E$85,5,FALSE)*'Inputs-System'!$C$29*(1+'Inputs-System'!$C$43)), $C70 = "0", 0), 0)</f>
        <v>0</v>
      </c>
      <c r="CH70" s="320">
        <v>0</v>
      </c>
      <c r="CI70" s="353">
        <f>IFERROR(_xlfn.IFS($C70="1", 'Inputs-System'!$C$30*'Coincidence Factors'!$B$10*'Inputs-Proposals'!$M$17*'Inputs-Proposals'!$M$19*(VLOOKUP(CD$3,'Non-Embedded Emissions'!$A$56:$D$90,2,FALSE)-VLOOKUP(CD$3,'Non-Embedded Emissions'!$F$57:$H$88,3,FALSE)+VLOOKUP(CD$3,'Non-Embedded Emissions'!$A$143:$D$174,2,FALSE)-VLOOKUP(CD$3,'Non-Embedded Emissions'!$F$143:$H$174,3,FALSE)+VLOOKUP(CD$3,'Non-Embedded Emissions'!$A$230:$D$259,2,FALSE)), $C70 = "2", 'Inputs-System'!$C$30*'Coincidence Factors'!$B$10*'Inputs-Proposals'!$M$23*'Inputs-Proposals'!$M$25*(VLOOKUP(CD$3,'Non-Embedded Emissions'!$A$56:$D$90,2,FALSE)-VLOOKUP(CD$3,'Non-Embedded Emissions'!$F$57:$H$88,3,FALSE)+VLOOKUP(CD$3,'Non-Embedded Emissions'!$A$143:$D$174,2,FALSE)-VLOOKUP(CD$3,'Non-Embedded Emissions'!$F$143:$H$174,3,FALSE)+VLOOKUP(CD$3,'Non-Embedded Emissions'!$A$230:$D$259,2,FALSE)), $C70 = "3", 'Inputs-System'!$C$30*'Coincidence Factors'!$B$10*'Inputs-Proposals'!$M$29*'Inputs-Proposals'!$M$31*(VLOOKUP(CD$3,'Non-Embedded Emissions'!$A$56:$D$90,2,FALSE)-VLOOKUP(CD$3,'Non-Embedded Emissions'!$F$57:$H$88,3,FALSE)+VLOOKUP(CD$3,'Non-Embedded Emissions'!$A$143:$D$174,2,FALSE)-VLOOKUP(CD$3,'Non-Embedded Emissions'!$F$143:$H$174,3,FALSE)+VLOOKUP(CD$3,'Non-Embedded Emissions'!$A$230:$D$259,2,FALSE)), $C70 = "0", 0), 0)</f>
        <v>0</v>
      </c>
      <c r="CJ70" s="352">
        <f>IFERROR(_xlfn.IFS($C70="1",('Inputs-System'!$C$30*'Coincidence Factors'!$B$10*(1+'Inputs-System'!$C$18)*(1+'Inputs-System'!$C$41)*('Inputs-Proposals'!$M$17*'Inputs-Proposals'!$M$19*(1-'Inputs-Proposals'!$M$20^(CJ$3-'Inputs-System'!$C$7)))*(VLOOKUP(CJ$3,Energy!$A$51:$K$83,5,FALSE))), $C70 = "2",('Inputs-System'!$C$30*'Coincidence Factors'!$B$10)*(1+'Inputs-System'!$C$18)*(1+'Inputs-System'!$C$41)*('Inputs-Proposals'!$M$23*'Inputs-Proposals'!$M$25*(1-'Inputs-Proposals'!$M$26^(CJ$3-'Inputs-System'!$C$7)))*(VLOOKUP(CJ$3,Energy!$A$51:$K$83,5,FALSE)), $C70= "3", ('Inputs-System'!$C$30*'Coincidence Factors'!$B$10*(1+'Inputs-System'!$C$18)*(1+'Inputs-System'!$C$41)*('Inputs-Proposals'!$M$29*'Inputs-Proposals'!$M$31*(1-'Inputs-Proposals'!$M$32^(CJ$3-'Inputs-System'!$C$7)))*(VLOOKUP(CJ$3,Energy!$A$51:$K$83,5,FALSE))), $C70= "0", 0), 0)</f>
        <v>0</v>
      </c>
      <c r="CK70" s="320">
        <f>IFERROR(_xlfn.IFS($C70="1",('Inputs-System'!$C$30*'Coincidence Factors'!$B$10*(1+'Inputs-System'!$C$18)*(1+'Inputs-System'!$C$41))*'Inputs-Proposals'!$M$17*'Inputs-Proposals'!$M$19*(1-'Inputs-Proposals'!$M$20^(CJ$3-'Inputs-System'!$C$7))*(VLOOKUP(CJ$3,'Embedded Emissions'!$A$47:$B$78,2,FALSE)+VLOOKUP(CJ$3,'Embedded Emissions'!$A$129:$B$158,2,FALSE)), $C70 = "2",('Inputs-System'!$C$30*'Coincidence Factors'!$B$10*(1+'Inputs-System'!$C$18)*(1+'Inputs-System'!$C$41))*'Inputs-Proposals'!$M$23*'Inputs-Proposals'!$M$25*(1-'Inputs-Proposals'!$M$20^(CJ$3-'Inputs-System'!$C$7))*(VLOOKUP(CJ$3,'Embedded Emissions'!$A$47:$B$78,2,FALSE)+VLOOKUP(CJ$3,'Embedded Emissions'!$A$129:$B$158,2,FALSE)), $C70 = "3", ('Inputs-System'!$C$30*'Coincidence Factors'!$B$10*(1+'Inputs-System'!$C$18)*(1+'Inputs-System'!$C$41))*'Inputs-Proposals'!$M$29*'Inputs-Proposals'!$M$31*(1-'Inputs-Proposals'!$M$20^(CJ$3-'Inputs-System'!$C$7))*(VLOOKUP(CJ$3,'Embedded Emissions'!$A$47:$B$78,2,FALSE)+VLOOKUP(CJ$3,'Embedded Emissions'!$A$129:$B$158,2,FALSE)), $C70 = "0", 0), 0)</f>
        <v>0</v>
      </c>
      <c r="CL70" s="320">
        <f>IFERROR(_xlfn.IFS($C70="1",( 'Inputs-System'!$C$30*'Coincidence Factors'!$B$10*(1+'Inputs-System'!$C$18)*(1+'Inputs-System'!$C$41))*('Inputs-Proposals'!$M$17*'Inputs-Proposals'!$M$19*(1-'Inputs-Proposals'!$M$20)^(CJ$3-'Inputs-System'!$C$7))*(VLOOKUP(CJ$3,DRIPE!$A$54:$I$82,5,FALSE)+VLOOKUP(CJ$3,DRIPE!$A$54:$I$82,9,FALSE))+ ('Inputs-System'!$C$26*'Coincidence Factors'!$B$6*(1+'Inputs-System'!$C$18)*(1+'Inputs-System'!$C$42))*'Inputs-Proposals'!$M$16*VLOOKUP(CJ$3,DRIPE!$A$54:$I$82,8,FALSE), $C70 = "2",( 'Inputs-System'!$C$30*'Coincidence Factors'!$B$10*(1+'Inputs-System'!$C$18)*(1+'Inputs-System'!$C$41))*('Inputs-Proposals'!$M$23*'Inputs-Proposals'!$M$25*(1-'Inputs-Proposals'!$M$26)^(CJ$3-'Inputs-System'!$C$7))*(VLOOKUP(CJ$3,DRIPE!$A$54:$I$82,5,FALSE)+VLOOKUP(CJ$3,DRIPE!$A$54:$I$82,9,FALSE))+ ('Inputs-System'!$C$26*'Coincidence Factors'!$B$6*(1+'Inputs-System'!$C$18)*(1+'Inputs-System'!$C$42))*'Inputs-Proposals'!$M$22*VLOOKUP(CJ$3,DRIPE!$A$54:$I$82,8,FALSE), $C70= "3", ( 'Inputs-System'!$C$30*'Coincidence Factors'!$B$10*(1+'Inputs-System'!$C$18)*(1+'Inputs-System'!$C$41))*('Inputs-Proposals'!$M$29*'Inputs-Proposals'!$M$31*(1-'Inputs-Proposals'!$M$32)^(CJ$3-'Inputs-System'!$C$7))*(VLOOKUP(CJ$3,DRIPE!$A$54:$I$82,5,FALSE)+VLOOKUP(CJ$3,DRIPE!$A$54:$I$82,9,FALSE))+ ('Inputs-System'!$C$26*'Coincidence Factors'!$B$6*(1+'Inputs-System'!$C$18)*(1+'Inputs-System'!$C$42))*'Inputs-Proposals'!$M$28*VLOOKUP(CJ$3,DRIPE!$A$54:$I$82,8,FALSE), $C70 = "0", 0), 0)</f>
        <v>0</v>
      </c>
      <c r="CM70" s="352">
        <f>IFERROR(_xlfn.IFS($C70="1",('Inputs-System'!$C$26*'Coincidence Factors'!$B$10*(1+'Inputs-System'!$C$18)*(1+'Inputs-System'!$C$42))*'Inputs-Proposals'!$D$16*(VLOOKUP(CJ$3,Capacity!$A$53:$E$85,4,FALSE)*(1+'Inputs-System'!$C$42)+VLOOKUP(CJ$3,Capacity!$A$53:$E$85,5,FALSE)*(1+'Inputs-System'!$C$43)*'Inputs-System'!$C$29), $C70 = "2", ('Inputs-System'!$C$26*'Coincidence Factors'!$B$10*(1+'Inputs-System'!$C$18))*'Inputs-Proposals'!$D$22*(VLOOKUP(CJ$3,Capacity!$A$53:$E$85,4,FALSE)*(1+'Inputs-System'!$C$42)+VLOOKUP(CJ$3,Capacity!$A$53:$E$85,5,FALSE)*'Inputs-System'!$C$29*(1+'Inputs-System'!$C$43)), $C70 = "3", ('Inputs-System'!$C$26*'Coincidence Factors'!$B$10*(1+'Inputs-System'!$C$18))*'Inputs-Proposals'!$D$28*(VLOOKUP(CJ$3,Capacity!$A$53:$E$85,4,FALSE)*(1+'Inputs-System'!$C$42)+VLOOKUP(CJ$3,Capacity!$A$53:$E$85,5,FALSE)*'Inputs-System'!$C$29*(1+'Inputs-System'!$C$43)), $C70 = "0", 0), 0)</f>
        <v>0</v>
      </c>
      <c r="CN70" s="320">
        <v>0</v>
      </c>
      <c r="CO70" s="353">
        <f>IFERROR(_xlfn.IFS($C70="1", 'Inputs-System'!$C$30*'Coincidence Factors'!$B$10*'Inputs-Proposals'!$M$17*'Inputs-Proposals'!$M$19*(VLOOKUP(CJ$3,'Non-Embedded Emissions'!$A$56:$D$90,2,FALSE)-VLOOKUP(CJ$3,'Non-Embedded Emissions'!$F$57:$H$88,3,FALSE)+VLOOKUP(CJ$3,'Non-Embedded Emissions'!$A$143:$D$174,2,FALSE)-VLOOKUP(CJ$3,'Non-Embedded Emissions'!$F$143:$H$174,3,FALSE)+VLOOKUP(CJ$3,'Non-Embedded Emissions'!$A$230:$D$259,2,FALSE)), $C70 = "2", 'Inputs-System'!$C$30*'Coincidence Factors'!$B$10*'Inputs-Proposals'!$M$23*'Inputs-Proposals'!$M$25*(VLOOKUP(CJ$3,'Non-Embedded Emissions'!$A$56:$D$90,2,FALSE)-VLOOKUP(CJ$3,'Non-Embedded Emissions'!$F$57:$H$88,3,FALSE)+VLOOKUP(CJ$3,'Non-Embedded Emissions'!$A$143:$D$174,2,FALSE)-VLOOKUP(CJ$3,'Non-Embedded Emissions'!$F$143:$H$174,3,FALSE)+VLOOKUP(CJ$3,'Non-Embedded Emissions'!$A$230:$D$259,2,FALSE)), $C70 = "3", 'Inputs-System'!$C$30*'Coincidence Factors'!$B$10*'Inputs-Proposals'!$M$29*'Inputs-Proposals'!$M$31*(VLOOKUP(CJ$3,'Non-Embedded Emissions'!$A$56:$D$90,2,FALSE)-VLOOKUP(CJ$3,'Non-Embedded Emissions'!$F$57:$H$88,3,FALSE)+VLOOKUP(CJ$3,'Non-Embedded Emissions'!$A$143:$D$174,2,FALSE)-VLOOKUP(CJ$3,'Non-Embedded Emissions'!$F$143:$H$174,3,FALSE)+VLOOKUP(CJ$3,'Non-Embedded Emissions'!$A$230:$D$259,2,FALSE)), $C70 = "0", 0), 0)</f>
        <v>0</v>
      </c>
      <c r="CP70" s="352">
        <f>IFERROR(_xlfn.IFS($C70="1",('Inputs-System'!$C$30*'Coincidence Factors'!$B$10*(1+'Inputs-System'!$C$18)*(1+'Inputs-System'!$C$41)*('Inputs-Proposals'!$M$17*'Inputs-Proposals'!$M$19*(1-'Inputs-Proposals'!$M$20^(CP$3-'Inputs-System'!$C$7)))*(VLOOKUP(CP$3,Energy!$A$51:$K$83,5,FALSE))), $C70 = "2",('Inputs-System'!$C$30*'Coincidence Factors'!$B$10)*(1+'Inputs-System'!$C$18)*(1+'Inputs-System'!$C$41)*('Inputs-Proposals'!$M$23*'Inputs-Proposals'!$M$25*(1-'Inputs-Proposals'!$M$26^(CP$3-'Inputs-System'!$C$7)))*(VLOOKUP(CP$3,Energy!$A$51:$K$83,5,FALSE)), $C70= "3", ('Inputs-System'!$C$30*'Coincidence Factors'!$B$10*(1+'Inputs-System'!$C$18)*(1+'Inputs-System'!$C$41)*('Inputs-Proposals'!$M$29*'Inputs-Proposals'!$M$31*(1-'Inputs-Proposals'!$M$32^(CP$3-'Inputs-System'!$C$7)))*(VLOOKUP(CP$3,Energy!$A$51:$K$83,5,FALSE))), $C70= "0", 0), 0)</f>
        <v>0</v>
      </c>
      <c r="CQ70" s="320">
        <f>IFERROR(_xlfn.IFS($C70="1",('Inputs-System'!$C$30*'Coincidence Factors'!$B$10*(1+'Inputs-System'!$C$18)*(1+'Inputs-System'!$C$41))*'Inputs-Proposals'!$M$17*'Inputs-Proposals'!$M$19*(1-'Inputs-Proposals'!$M$20^(CP$3-'Inputs-System'!$C$7))*(VLOOKUP(CP$3,'Embedded Emissions'!$A$47:$B$78,2,FALSE)+VLOOKUP(CP$3,'Embedded Emissions'!$A$129:$B$158,2,FALSE)), $C70 = "2",('Inputs-System'!$C$30*'Coincidence Factors'!$B$10*(1+'Inputs-System'!$C$18)*(1+'Inputs-System'!$C$41))*'Inputs-Proposals'!$M$23*'Inputs-Proposals'!$M$25*(1-'Inputs-Proposals'!$M$20^(CP$3-'Inputs-System'!$C$7))*(VLOOKUP(CP$3,'Embedded Emissions'!$A$47:$B$78,2,FALSE)+VLOOKUP(CP$3,'Embedded Emissions'!$A$129:$B$158,2,FALSE)), $C70 = "3", ('Inputs-System'!$C$30*'Coincidence Factors'!$B$10*(1+'Inputs-System'!$C$18)*(1+'Inputs-System'!$C$41))*'Inputs-Proposals'!$M$29*'Inputs-Proposals'!$M$31*(1-'Inputs-Proposals'!$M$20^(CP$3-'Inputs-System'!$C$7))*(VLOOKUP(CP$3,'Embedded Emissions'!$A$47:$B$78,2,FALSE)+VLOOKUP(CP$3,'Embedded Emissions'!$A$129:$B$158,2,FALSE)), $C70 = "0", 0), 0)</f>
        <v>0</v>
      </c>
      <c r="CR70" s="320">
        <f>IFERROR(_xlfn.IFS($C70="1",( 'Inputs-System'!$C$30*'Coincidence Factors'!$B$10*(1+'Inputs-System'!$C$18)*(1+'Inputs-System'!$C$41))*('Inputs-Proposals'!$M$17*'Inputs-Proposals'!$M$19*(1-'Inputs-Proposals'!$M$20)^(CP$3-'Inputs-System'!$C$7))*(VLOOKUP(CP$3,DRIPE!$A$54:$I$82,5,FALSE)+VLOOKUP(CP$3,DRIPE!$A$54:$I$82,9,FALSE))+ ('Inputs-System'!$C$26*'Coincidence Factors'!$B$6*(1+'Inputs-System'!$C$18)*(1+'Inputs-System'!$C$42))*'Inputs-Proposals'!$M$16*VLOOKUP(CP$3,DRIPE!$A$54:$I$82,8,FALSE), $C70 = "2",( 'Inputs-System'!$C$30*'Coincidence Factors'!$B$10*(1+'Inputs-System'!$C$18)*(1+'Inputs-System'!$C$41))*('Inputs-Proposals'!$M$23*'Inputs-Proposals'!$M$25*(1-'Inputs-Proposals'!$M$26)^(CP$3-'Inputs-System'!$C$7))*(VLOOKUP(CP$3,DRIPE!$A$54:$I$82,5,FALSE)+VLOOKUP(CP$3,DRIPE!$A$54:$I$82,9,FALSE))+ ('Inputs-System'!$C$26*'Coincidence Factors'!$B$6*(1+'Inputs-System'!$C$18)*(1+'Inputs-System'!$C$42))*'Inputs-Proposals'!$M$22*VLOOKUP(CP$3,DRIPE!$A$54:$I$82,8,FALSE), $C70= "3", ( 'Inputs-System'!$C$30*'Coincidence Factors'!$B$10*(1+'Inputs-System'!$C$18)*(1+'Inputs-System'!$C$41))*('Inputs-Proposals'!$M$29*'Inputs-Proposals'!$M$31*(1-'Inputs-Proposals'!$M$32)^(CP$3-'Inputs-System'!$C$7))*(VLOOKUP(CP$3,DRIPE!$A$54:$I$82,5,FALSE)+VLOOKUP(CP$3,DRIPE!$A$54:$I$82,9,FALSE))+ ('Inputs-System'!$C$26*'Coincidence Factors'!$B$6*(1+'Inputs-System'!$C$18)*(1+'Inputs-System'!$C$42))*'Inputs-Proposals'!$M$28*VLOOKUP(CP$3,DRIPE!$A$54:$I$82,8,FALSE), $C70 = "0", 0), 0)</f>
        <v>0</v>
      </c>
      <c r="CS70" s="352">
        <f>IFERROR(_xlfn.IFS($C70="1",('Inputs-System'!$C$26*'Coincidence Factors'!$B$10*(1+'Inputs-System'!$C$18)*(1+'Inputs-System'!$C$42))*'Inputs-Proposals'!$D$16*(VLOOKUP(CP$3,Capacity!$A$53:$E$85,4,FALSE)*(1+'Inputs-System'!$C$42)+VLOOKUP(CP$3,Capacity!$A$53:$E$85,5,FALSE)*(1+'Inputs-System'!$C$43)*'Inputs-System'!$C$29), $C70 = "2", ('Inputs-System'!$C$26*'Coincidence Factors'!$B$10*(1+'Inputs-System'!$C$18))*'Inputs-Proposals'!$D$22*(VLOOKUP(CP$3,Capacity!$A$53:$E$85,4,FALSE)*(1+'Inputs-System'!$C$42)+VLOOKUP(CP$3,Capacity!$A$53:$E$85,5,FALSE)*'Inputs-System'!$C$29*(1+'Inputs-System'!$C$43)), $C70 = "3", ('Inputs-System'!$C$26*'Coincidence Factors'!$B$10*(1+'Inputs-System'!$C$18))*'Inputs-Proposals'!$D$28*(VLOOKUP(CP$3,Capacity!$A$53:$E$85,4,FALSE)*(1+'Inputs-System'!$C$42)+VLOOKUP(CP$3,Capacity!$A$53:$E$85,5,FALSE)*'Inputs-System'!$C$29*(1+'Inputs-System'!$C$43)), $C70 = "0", 0), 0)</f>
        <v>0</v>
      </c>
      <c r="CT70" s="320">
        <v>0</v>
      </c>
      <c r="CU70" s="353">
        <f>IFERROR(_xlfn.IFS($C70="1", 'Inputs-System'!$C$30*'Coincidence Factors'!$B$10*'Inputs-Proposals'!$M$17*'Inputs-Proposals'!$M$19*(VLOOKUP(CP$3,'Non-Embedded Emissions'!$A$56:$D$90,2,FALSE)-VLOOKUP(CP$3,'Non-Embedded Emissions'!$F$57:$H$88,3,FALSE)+VLOOKUP(CP$3,'Non-Embedded Emissions'!$A$143:$D$174,2,FALSE)-VLOOKUP(CP$3,'Non-Embedded Emissions'!$F$143:$H$174,3,FALSE)+VLOOKUP(CP$3,'Non-Embedded Emissions'!$A$230:$D$259,2,FALSE)), $C70 = "2", 'Inputs-System'!$C$30*'Coincidence Factors'!$B$10*'Inputs-Proposals'!$M$23*'Inputs-Proposals'!$M$25*(VLOOKUP(CP$3,'Non-Embedded Emissions'!$A$56:$D$90,2,FALSE)-VLOOKUP(CP$3,'Non-Embedded Emissions'!$F$57:$H$88,3,FALSE)+VLOOKUP(CP$3,'Non-Embedded Emissions'!$A$143:$D$174,2,FALSE)-VLOOKUP(CP$3,'Non-Embedded Emissions'!$F$143:$H$174,3,FALSE)+VLOOKUP(CP$3,'Non-Embedded Emissions'!$A$230:$D$259,2,FALSE)), $C70 = "3", 'Inputs-System'!$C$30*'Coincidence Factors'!$B$10*'Inputs-Proposals'!$M$29*'Inputs-Proposals'!$M$31*(VLOOKUP(CP$3,'Non-Embedded Emissions'!$A$56:$D$90,2,FALSE)-VLOOKUP(CP$3,'Non-Embedded Emissions'!$F$57:$H$88,3,FALSE)+VLOOKUP(CP$3,'Non-Embedded Emissions'!$A$143:$D$174,2,FALSE)-VLOOKUP(CP$3,'Non-Embedded Emissions'!$F$143:$H$174,3,FALSE)+VLOOKUP(CP$3,'Non-Embedded Emissions'!$A$230:$D$259,2,FALSE)), $C70 = "0", 0), 0)</f>
        <v>0</v>
      </c>
      <c r="CV70" s="352">
        <f>IFERROR(_xlfn.IFS($C70="1",('Inputs-System'!$C$30*'Coincidence Factors'!$B$10*(1+'Inputs-System'!$C$18)*(1+'Inputs-System'!$C$41)*('Inputs-Proposals'!$M$17*'Inputs-Proposals'!$M$19*(1-'Inputs-Proposals'!$M$20^(CV$3-'Inputs-System'!$C$7)))*(VLOOKUP(CV$3,Energy!$A$51:$K$83,5,FALSE))), $C70 = "2",('Inputs-System'!$C$30*'Coincidence Factors'!$B$10)*(1+'Inputs-System'!$C$18)*(1+'Inputs-System'!$C$41)*('Inputs-Proposals'!$M$23*'Inputs-Proposals'!$M$25*(1-'Inputs-Proposals'!$M$26^(CV$3-'Inputs-System'!$C$7)))*(VLOOKUP(CV$3,Energy!$A$51:$K$83,5,FALSE)), $C70= "3", ('Inputs-System'!$C$30*'Coincidence Factors'!$B$10*(1+'Inputs-System'!$C$18)*(1+'Inputs-System'!$C$41)*('Inputs-Proposals'!$M$29*'Inputs-Proposals'!$M$31*(1-'Inputs-Proposals'!$M$32^(CV$3-'Inputs-System'!$C$7)))*(VLOOKUP(CV$3,Energy!$A$51:$K$83,5,FALSE))), $C70= "0", 0), 0)</f>
        <v>0</v>
      </c>
      <c r="CW70" s="320">
        <f>IFERROR(_xlfn.IFS($C70="1",('Inputs-System'!$C$30*'Coincidence Factors'!$B$10*(1+'Inputs-System'!$C$18)*(1+'Inputs-System'!$C$41))*'Inputs-Proposals'!$M$17*'Inputs-Proposals'!$M$19*(1-'Inputs-Proposals'!$M$20^(CV$3-'Inputs-System'!$C$7))*(VLOOKUP(CV$3,'Embedded Emissions'!$A$47:$B$78,2,FALSE)+VLOOKUP(CV$3,'Embedded Emissions'!$A$129:$B$158,2,FALSE)), $C70 = "2",('Inputs-System'!$C$30*'Coincidence Factors'!$B$10*(1+'Inputs-System'!$C$18)*(1+'Inputs-System'!$C$41))*'Inputs-Proposals'!$M$23*'Inputs-Proposals'!$M$25*(1-'Inputs-Proposals'!$M$20^(CV$3-'Inputs-System'!$C$7))*(VLOOKUP(CV$3,'Embedded Emissions'!$A$47:$B$78,2,FALSE)+VLOOKUP(CV$3,'Embedded Emissions'!$A$129:$B$158,2,FALSE)), $C70 = "3", ('Inputs-System'!$C$30*'Coincidence Factors'!$B$10*(1+'Inputs-System'!$C$18)*(1+'Inputs-System'!$C$41))*'Inputs-Proposals'!$M$29*'Inputs-Proposals'!$M$31*(1-'Inputs-Proposals'!$M$20^(CV$3-'Inputs-System'!$C$7))*(VLOOKUP(CV$3,'Embedded Emissions'!$A$47:$B$78,2,FALSE)+VLOOKUP(CV$3,'Embedded Emissions'!$A$129:$B$158,2,FALSE)), $C70 = "0", 0), 0)</f>
        <v>0</v>
      </c>
      <c r="CX70" s="320">
        <f>IFERROR(_xlfn.IFS($C70="1",( 'Inputs-System'!$C$30*'Coincidence Factors'!$B$10*(1+'Inputs-System'!$C$18)*(1+'Inputs-System'!$C$41))*('Inputs-Proposals'!$M$17*'Inputs-Proposals'!$M$19*(1-'Inputs-Proposals'!$M$20)^(CV$3-'Inputs-System'!$C$7))*(VLOOKUP(CV$3,DRIPE!$A$54:$I$82,5,FALSE)+VLOOKUP(CV$3,DRIPE!$A$54:$I$82,9,FALSE))+ ('Inputs-System'!$C$26*'Coincidence Factors'!$B$6*(1+'Inputs-System'!$C$18)*(1+'Inputs-System'!$C$42))*'Inputs-Proposals'!$M$16*VLOOKUP(CV$3,DRIPE!$A$54:$I$82,8,FALSE), $C70 = "2",( 'Inputs-System'!$C$30*'Coincidence Factors'!$B$10*(1+'Inputs-System'!$C$18)*(1+'Inputs-System'!$C$41))*('Inputs-Proposals'!$M$23*'Inputs-Proposals'!$M$25*(1-'Inputs-Proposals'!$M$26)^(CV$3-'Inputs-System'!$C$7))*(VLOOKUP(CV$3,DRIPE!$A$54:$I$82,5,FALSE)+VLOOKUP(CV$3,DRIPE!$A$54:$I$82,9,FALSE))+ ('Inputs-System'!$C$26*'Coincidence Factors'!$B$6*(1+'Inputs-System'!$C$18)*(1+'Inputs-System'!$C$42))*'Inputs-Proposals'!$M$22*VLOOKUP(CV$3,DRIPE!$A$54:$I$82,8,FALSE), $C70= "3", ( 'Inputs-System'!$C$30*'Coincidence Factors'!$B$10*(1+'Inputs-System'!$C$18)*(1+'Inputs-System'!$C$41))*('Inputs-Proposals'!$M$29*'Inputs-Proposals'!$M$31*(1-'Inputs-Proposals'!$M$32)^(CV$3-'Inputs-System'!$C$7))*(VLOOKUP(CV$3,DRIPE!$A$54:$I$82,5,FALSE)+VLOOKUP(CV$3,DRIPE!$A$54:$I$82,9,FALSE))+ ('Inputs-System'!$C$26*'Coincidence Factors'!$B$6*(1+'Inputs-System'!$C$18)*(1+'Inputs-System'!$C$42))*'Inputs-Proposals'!$M$28*VLOOKUP(CV$3,DRIPE!$A$54:$I$82,8,FALSE), $C70 = "0", 0), 0)</f>
        <v>0</v>
      </c>
      <c r="CY70" s="352">
        <f>IFERROR(_xlfn.IFS($C70="1",('Inputs-System'!$C$26*'Coincidence Factors'!$B$10*(1+'Inputs-System'!$C$18)*(1+'Inputs-System'!$C$42))*'Inputs-Proposals'!$D$16*(VLOOKUP(CV$3,Capacity!$A$53:$E$85,4,FALSE)*(1+'Inputs-System'!$C$42)+VLOOKUP(CV$3,Capacity!$A$53:$E$85,5,FALSE)*(1+'Inputs-System'!$C$43)*'Inputs-System'!$C$29), $C70 = "2", ('Inputs-System'!$C$26*'Coincidence Factors'!$B$10*(1+'Inputs-System'!$C$18))*'Inputs-Proposals'!$D$22*(VLOOKUP(CV$3,Capacity!$A$53:$E$85,4,FALSE)*(1+'Inputs-System'!$C$42)+VLOOKUP(CV$3,Capacity!$A$53:$E$85,5,FALSE)*'Inputs-System'!$C$29*(1+'Inputs-System'!$C$43)), $C70 = "3", ('Inputs-System'!$C$26*'Coincidence Factors'!$B$10*(1+'Inputs-System'!$C$18))*'Inputs-Proposals'!$D$28*(VLOOKUP(CV$3,Capacity!$A$53:$E$85,4,FALSE)*(1+'Inputs-System'!$C$42)+VLOOKUP(CV$3,Capacity!$A$53:$E$85,5,FALSE)*'Inputs-System'!$C$29*(1+'Inputs-System'!$C$43)), $C70 = "0", 0), 0)</f>
        <v>0</v>
      </c>
      <c r="CZ70" s="320">
        <v>0</v>
      </c>
      <c r="DA70" s="353">
        <f>IFERROR(_xlfn.IFS($C70="1", 'Inputs-System'!$C$30*'Coincidence Factors'!$B$10*'Inputs-Proposals'!$M$17*'Inputs-Proposals'!$M$19*(VLOOKUP(CV$3,'Non-Embedded Emissions'!$A$56:$D$90,2,FALSE)-VLOOKUP(CV$3,'Non-Embedded Emissions'!$F$57:$H$88,3,FALSE)+VLOOKUP(CV$3,'Non-Embedded Emissions'!$A$143:$D$174,2,FALSE)-VLOOKUP(CV$3,'Non-Embedded Emissions'!$F$143:$H$174,3,FALSE)+VLOOKUP(CV$3,'Non-Embedded Emissions'!$A$230:$D$259,2,FALSE)), $C70 = "2", 'Inputs-System'!$C$30*'Coincidence Factors'!$B$10*'Inputs-Proposals'!$M$23*'Inputs-Proposals'!$M$25*(VLOOKUP(CV$3,'Non-Embedded Emissions'!$A$56:$D$90,2,FALSE)-VLOOKUP(CV$3,'Non-Embedded Emissions'!$F$57:$H$88,3,FALSE)+VLOOKUP(CV$3,'Non-Embedded Emissions'!$A$143:$D$174,2,FALSE)-VLOOKUP(CV$3,'Non-Embedded Emissions'!$F$143:$H$174,3,FALSE)+VLOOKUP(CV$3,'Non-Embedded Emissions'!$A$230:$D$259,2,FALSE)), $C70 = "3", 'Inputs-System'!$C$30*'Coincidence Factors'!$B$10*'Inputs-Proposals'!$M$29*'Inputs-Proposals'!$M$31*(VLOOKUP(CV$3,'Non-Embedded Emissions'!$A$56:$D$90,2,FALSE)-VLOOKUP(CV$3,'Non-Embedded Emissions'!$F$57:$H$88,3,FALSE)+VLOOKUP(CV$3,'Non-Embedded Emissions'!$A$143:$D$174,2,FALSE)-VLOOKUP(CV$3,'Non-Embedded Emissions'!$F$143:$H$174,3,FALSE)+VLOOKUP(CV$3,'Non-Embedded Emissions'!$A$230:$D$259,2,FALSE)), $C70 = "0", 0), 0)</f>
        <v>0</v>
      </c>
      <c r="DB70" s="352">
        <f>IFERROR(_xlfn.IFS($C70="1",('Inputs-System'!$C$30*'Coincidence Factors'!$B$10*(1+'Inputs-System'!$C$18)*(1+'Inputs-System'!$C$41)*('Inputs-Proposals'!$M$17*'Inputs-Proposals'!$M$19*(1-'Inputs-Proposals'!$M$20^(DB$3-'Inputs-System'!$C$7)))*(VLOOKUP(DB$3,Energy!$A$51:$K$83,5,FALSE))), $C70 = "2",('Inputs-System'!$C$30*'Coincidence Factors'!$B$10)*(1+'Inputs-System'!$C$18)*(1+'Inputs-System'!$C$41)*('Inputs-Proposals'!$M$23*'Inputs-Proposals'!$M$25*(1-'Inputs-Proposals'!$M$26^(DB$3-'Inputs-System'!$C$7)))*(VLOOKUP(DB$3,Energy!$A$51:$K$83,5,FALSE)), $C70= "3", ('Inputs-System'!$C$30*'Coincidence Factors'!$B$10*(1+'Inputs-System'!$C$18)*(1+'Inputs-System'!$C$41)*('Inputs-Proposals'!$M$29*'Inputs-Proposals'!$M$31*(1-'Inputs-Proposals'!$M$32^(DB$3-'Inputs-System'!$C$7)))*(VLOOKUP(DB$3,Energy!$A$51:$K$83,5,FALSE))), $C70= "0", 0), 0)</f>
        <v>0</v>
      </c>
      <c r="DC70" s="320">
        <f>IFERROR(_xlfn.IFS($C70="1",('Inputs-System'!$C$30*'Coincidence Factors'!$B$10*(1+'Inputs-System'!$C$18)*(1+'Inputs-System'!$C$41))*'Inputs-Proposals'!$M$17*'Inputs-Proposals'!$M$19*(1-'Inputs-Proposals'!$M$20^(DB$3-'Inputs-System'!$C$7))*(VLOOKUP(DB$3,'Embedded Emissions'!$A$47:$B$78,2,FALSE)+VLOOKUP(DB$3,'Embedded Emissions'!$A$129:$B$158,2,FALSE)), $C70 = "2",('Inputs-System'!$C$30*'Coincidence Factors'!$B$10*(1+'Inputs-System'!$C$18)*(1+'Inputs-System'!$C$41))*'Inputs-Proposals'!$M$23*'Inputs-Proposals'!$M$25*(1-'Inputs-Proposals'!$M$20^(DB$3-'Inputs-System'!$C$7))*(VLOOKUP(DB$3,'Embedded Emissions'!$A$47:$B$78,2,FALSE)+VLOOKUP(DB$3,'Embedded Emissions'!$A$129:$B$158,2,FALSE)), $C70 = "3", ('Inputs-System'!$C$30*'Coincidence Factors'!$B$10*(1+'Inputs-System'!$C$18)*(1+'Inputs-System'!$C$41))*'Inputs-Proposals'!$M$29*'Inputs-Proposals'!$M$31*(1-'Inputs-Proposals'!$M$20^(DB$3-'Inputs-System'!$C$7))*(VLOOKUP(DB$3,'Embedded Emissions'!$A$47:$B$78,2,FALSE)+VLOOKUP(DB$3,'Embedded Emissions'!$A$129:$B$158,2,FALSE)), $C70 = "0", 0), 0)</f>
        <v>0</v>
      </c>
      <c r="DD70" s="320">
        <f>IFERROR(_xlfn.IFS($C70="1",( 'Inputs-System'!$C$30*'Coincidence Factors'!$B$10*(1+'Inputs-System'!$C$18)*(1+'Inputs-System'!$C$41))*('Inputs-Proposals'!$M$17*'Inputs-Proposals'!$M$19*(1-'Inputs-Proposals'!$M$20)^(DB$3-'Inputs-System'!$C$7))*(VLOOKUP(DB$3,DRIPE!$A$54:$I$82,5,FALSE)+VLOOKUP(DB$3,DRIPE!$A$54:$I$82,9,FALSE))+ ('Inputs-System'!$C$26*'Coincidence Factors'!$B$6*(1+'Inputs-System'!$C$18)*(1+'Inputs-System'!$C$42))*'Inputs-Proposals'!$M$16*VLOOKUP(DB$3,DRIPE!$A$54:$I$82,8,FALSE), $C70 = "2",( 'Inputs-System'!$C$30*'Coincidence Factors'!$B$10*(1+'Inputs-System'!$C$18)*(1+'Inputs-System'!$C$41))*('Inputs-Proposals'!$M$23*'Inputs-Proposals'!$M$25*(1-'Inputs-Proposals'!$M$26)^(DB$3-'Inputs-System'!$C$7))*(VLOOKUP(DB$3,DRIPE!$A$54:$I$82,5,FALSE)+VLOOKUP(DB$3,DRIPE!$A$54:$I$82,9,FALSE))+ ('Inputs-System'!$C$26*'Coincidence Factors'!$B$6*(1+'Inputs-System'!$C$18)*(1+'Inputs-System'!$C$42))*'Inputs-Proposals'!$M$22*VLOOKUP(DB$3,DRIPE!$A$54:$I$82,8,FALSE), $C70= "3", ( 'Inputs-System'!$C$30*'Coincidence Factors'!$B$10*(1+'Inputs-System'!$C$18)*(1+'Inputs-System'!$C$41))*('Inputs-Proposals'!$M$29*'Inputs-Proposals'!$M$31*(1-'Inputs-Proposals'!$M$32)^(DB$3-'Inputs-System'!$C$7))*(VLOOKUP(DB$3,DRIPE!$A$54:$I$82,5,FALSE)+VLOOKUP(DB$3,DRIPE!$A$54:$I$82,9,FALSE))+ ('Inputs-System'!$C$26*'Coincidence Factors'!$B$6*(1+'Inputs-System'!$C$18)*(1+'Inputs-System'!$C$42))*'Inputs-Proposals'!$M$28*VLOOKUP(DB$3,DRIPE!$A$54:$I$82,8,FALSE), $C70 = "0", 0), 0)</f>
        <v>0</v>
      </c>
      <c r="DE70" s="352">
        <f>IFERROR(_xlfn.IFS($C70="1",('Inputs-System'!$C$26*'Coincidence Factors'!$B$10*(1+'Inputs-System'!$C$18)*(1+'Inputs-System'!$C$42))*'Inputs-Proposals'!$D$16*(VLOOKUP(DB$3,Capacity!$A$53:$E$85,4,FALSE)*(1+'Inputs-System'!$C$42)+VLOOKUP(DB$3,Capacity!$A$53:$E$85,5,FALSE)*(1+'Inputs-System'!$C$43)*'Inputs-System'!$C$29), $C70 = "2", ('Inputs-System'!$C$26*'Coincidence Factors'!$B$10*(1+'Inputs-System'!$C$18))*'Inputs-Proposals'!$D$22*(VLOOKUP(DB$3,Capacity!$A$53:$E$85,4,FALSE)*(1+'Inputs-System'!$C$42)+VLOOKUP(DB$3,Capacity!$A$53:$E$85,5,FALSE)*'Inputs-System'!$C$29*(1+'Inputs-System'!$C$43)), $C70 = "3", ('Inputs-System'!$C$26*'Coincidence Factors'!$B$10*(1+'Inputs-System'!$C$18))*'Inputs-Proposals'!$D$28*(VLOOKUP(DB$3,Capacity!$A$53:$E$85,4,FALSE)*(1+'Inputs-System'!$C$42)+VLOOKUP(DB$3,Capacity!$A$53:$E$85,5,FALSE)*'Inputs-System'!$C$29*(1+'Inputs-System'!$C$43)), $C70 = "0", 0), 0)</f>
        <v>0</v>
      </c>
      <c r="DF70" s="320">
        <v>0</v>
      </c>
      <c r="DG70" s="353">
        <f>IFERROR(_xlfn.IFS($C70="1", 'Inputs-System'!$C$30*'Coincidence Factors'!$B$10*'Inputs-Proposals'!$M$17*'Inputs-Proposals'!$M$19*(VLOOKUP(DB$3,'Non-Embedded Emissions'!$A$56:$D$90,2,FALSE)-VLOOKUP(DB$3,'Non-Embedded Emissions'!$F$57:$H$88,3,FALSE)+VLOOKUP(DB$3,'Non-Embedded Emissions'!$A$143:$D$174,2,FALSE)-VLOOKUP(DB$3,'Non-Embedded Emissions'!$F$143:$H$174,3,FALSE)+VLOOKUP(DB$3,'Non-Embedded Emissions'!$A$230:$D$259,2,FALSE)), $C70 = "2", 'Inputs-System'!$C$30*'Coincidence Factors'!$B$10*'Inputs-Proposals'!$M$23*'Inputs-Proposals'!$M$25*(VLOOKUP(DB$3,'Non-Embedded Emissions'!$A$56:$D$90,2,FALSE)-VLOOKUP(DB$3,'Non-Embedded Emissions'!$F$57:$H$88,3,FALSE)+VLOOKUP(DB$3,'Non-Embedded Emissions'!$A$143:$D$174,2,FALSE)-VLOOKUP(DB$3,'Non-Embedded Emissions'!$F$143:$H$174,3,FALSE)+VLOOKUP(DB$3,'Non-Embedded Emissions'!$A$230:$D$259,2,FALSE)), $C70 = "3", 'Inputs-System'!$C$30*'Coincidence Factors'!$B$10*'Inputs-Proposals'!$M$29*'Inputs-Proposals'!$M$31*(VLOOKUP(DB$3,'Non-Embedded Emissions'!$A$56:$D$90,2,FALSE)-VLOOKUP(DB$3,'Non-Embedded Emissions'!$F$57:$H$88,3,FALSE)+VLOOKUP(DB$3,'Non-Embedded Emissions'!$A$143:$D$174,2,FALSE)-VLOOKUP(DB$3,'Non-Embedded Emissions'!$F$143:$H$174,3,FALSE)+VLOOKUP(DB$3,'Non-Embedded Emissions'!$A$230:$D$259,2,FALSE)), $C70 = "0", 0), 0)</f>
        <v>0</v>
      </c>
      <c r="DH70" s="352">
        <f>IFERROR(_xlfn.IFS($C70="1",('Inputs-System'!$C$30*'Coincidence Factors'!$B$10*(1+'Inputs-System'!$C$18)*(1+'Inputs-System'!$C$41)*('Inputs-Proposals'!$M$17*'Inputs-Proposals'!$M$19*(1-'Inputs-Proposals'!$M$20^(DH$3-'Inputs-System'!$C$7)))*(VLOOKUP(DH$3,Energy!$A$51:$K$83,5,FALSE))), $C70 = "2",('Inputs-System'!$C$30*'Coincidence Factors'!$B$10)*(1+'Inputs-System'!$C$18)*(1+'Inputs-System'!$C$41)*('Inputs-Proposals'!$M$23*'Inputs-Proposals'!$M$25*(1-'Inputs-Proposals'!$M$26^(DH$3-'Inputs-System'!$C$7)))*(VLOOKUP(DH$3,Energy!$A$51:$K$83,5,FALSE)), $C70= "3", ('Inputs-System'!$C$30*'Coincidence Factors'!$B$10*(1+'Inputs-System'!$C$18)*(1+'Inputs-System'!$C$41)*('Inputs-Proposals'!$M$29*'Inputs-Proposals'!$M$31*(1-'Inputs-Proposals'!$M$32^(DH$3-'Inputs-System'!$C$7)))*(VLOOKUP(DH$3,Energy!$A$51:$K$83,5,FALSE))), $C70= "0", 0), 0)</f>
        <v>0</v>
      </c>
      <c r="DI70" s="320">
        <f>IFERROR(_xlfn.IFS($C70="1",('Inputs-System'!$C$30*'Coincidence Factors'!$B$10*(1+'Inputs-System'!$C$18)*(1+'Inputs-System'!$C$41))*'Inputs-Proposals'!$M$17*'Inputs-Proposals'!$M$19*(1-'Inputs-Proposals'!$M$20^(DH$3-'Inputs-System'!$C$7))*(VLOOKUP(DH$3,'Embedded Emissions'!$A$47:$B$78,2,FALSE)+VLOOKUP(DH$3,'Embedded Emissions'!$A$129:$B$158,2,FALSE)), $C70 = "2",('Inputs-System'!$C$30*'Coincidence Factors'!$B$10*(1+'Inputs-System'!$C$18)*(1+'Inputs-System'!$C$41))*'Inputs-Proposals'!$M$23*'Inputs-Proposals'!$M$25*(1-'Inputs-Proposals'!$M$20^(DH$3-'Inputs-System'!$C$7))*(VLOOKUP(DH$3,'Embedded Emissions'!$A$47:$B$78,2,FALSE)+VLOOKUP(DH$3,'Embedded Emissions'!$A$129:$B$158,2,FALSE)), $C70 = "3", ('Inputs-System'!$C$30*'Coincidence Factors'!$B$10*(1+'Inputs-System'!$C$18)*(1+'Inputs-System'!$C$41))*'Inputs-Proposals'!$M$29*'Inputs-Proposals'!$M$31*(1-'Inputs-Proposals'!$M$20^(DH$3-'Inputs-System'!$C$7))*(VLOOKUP(DH$3,'Embedded Emissions'!$A$47:$B$78,2,FALSE)+VLOOKUP(DH$3,'Embedded Emissions'!$A$129:$B$158,2,FALSE)), $C70 = "0", 0), 0)</f>
        <v>0</v>
      </c>
      <c r="DJ70" s="320">
        <f>IFERROR(_xlfn.IFS($C70="1",( 'Inputs-System'!$C$30*'Coincidence Factors'!$B$10*(1+'Inputs-System'!$C$18)*(1+'Inputs-System'!$C$41))*('Inputs-Proposals'!$M$17*'Inputs-Proposals'!$M$19*(1-'Inputs-Proposals'!$M$20)^(DH$3-'Inputs-System'!$C$7))*(VLOOKUP(DH$3,DRIPE!$A$54:$I$82,5,FALSE)+VLOOKUP(DH$3,DRIPE!$A$54:$I$82,9,FALSE))+ ('Inputs-System'!$C$26*'Coincidence Factors'!$B$6*(1+'Inputs-System'!$C$18)*(1+'Inputs-System'!$C$42))*'Inputs-Proposals'!$M$16*VLOOKUP(DH$3,DRIPE!$A$54:$I$82,8,FALSE), $C70 = "2",( 'Inputs-System'!$C$30*'Coincidence Factors'!$B$10*(1+'Inputs-System'!$C$18)*(1+'Inputs-System'!$C$41))*('Inputs-Proposals'!$M$23*'Inputs-Proposals'!$M$25*(1-'Inputs-Proposals'!$M$26)^(DH$3-'Inputs-System'!$C$7))*(VLOOKUP(DH$3,DRIPE!$A$54:$I$82,5,FALSE)+VLOOKUP(DH$3,DRIPE!$A$54:$I$82,9,FALSE))+ ('Inputs-System'!$C$26*'Coincidence Factors'!$B$6*(1+'Inputs-System'!$C$18)*(1+'Inputs-System'!$C$42))*'Inputs-Proposals'!$M$22*VLOOKUP(DH$3,DRIPE!$A$54:$I$82,8,FALSE), $C70= "3", ( 'Inputs-System'!$C$30*'Coincidence Factors'!$B$10*(1+'Inputs-System'!$C$18)*(1+'Inputs-System'!$C$41))*('Inputs-Proposals'!$M$29*'Inputs-Proposals'!$M$31*(1-'Inputs-Proposals'!$M$32)^(DH$3-'Inputs-System'!$C$7))*(VLOOKUP(DH$3,DRIPE!$A$54:$I$82,5,FALSE)+VLOOKUP(DH$3,DRIPE!$A$54:$I$82,9,FALSE))+ ('Inputs-System'!$C$26*'Coincidence Factors'!$B$6*(1+'Inputs-System'!$C$18)*(1+'Inputs-System'!$C$42))*'Inputs-Proposals'!$M$28*VLOOKUP(DH$3,DRIPE!$A$54:$I$82,8,FALSE), $C70 = "0", 0), 0)</f>
        <v>0</v>
      </c>
      <c r="DK70" s="352">
        <f>IFERROR(_xlfn.IFS($C70="1",('Inputs-System'!$C$26*'Coincidence Factors'!$B$10*(1+'Inputs-System'!$C$18)*(1+'Inputs-System'!$C$42))*'Inputs-Proposals'!$D$16*(VLOOKUP(DH$3,Capacity!$A$53:$E$85,4,FALSE)*(1+'Inputs-System'!$C$42)+VLOOKUP(DH$3,Capacity!$A$53:$E$85,5,FALSE)*(1+'Inputs-System'!$C$43)*'Inputs-System'!$C$29), $C70 = "2", ('Inputs-System'!$C$26*'Coincidence Factors'!$B$10*(1+'Inputs-System'!$C$18))*'Inputs-Proposals'!$D$22*(VLOOKUP(DH$3,Capacity!$A$53:$E$85,4,FALSE)*(1+'Inputs-System'!$C$42)+VLOOKUP(DH$3,Capacity!$A$53:$E$85,5,FALSE)*'Inputs-System'!$C$29*(1+'Inputs-System'!$C$43)), $C70 = "3", ('Inputs-System'!$C$26*'Coincidence Factors'!$B$10*(1+'Inputs-System'!$C$18))*'Inputs-Proposals'!$D$28*(VLOOKUP(DH$3,Capacity!$A$53:$E$85,4,FALSE)*(1+'Inputs-System'!$C$42)+VLOOKUP(DH$3,Capacity!$A$53:$E$85,5,FALSE)*'Inputs-System'!$C$29*(1+'Inputs-System'!$C$43)), $C70 = "0", 0), 0)</f>
        <v>0</v>
      </c>
      <c r="DL70" s="320">
        <v>0</v>
      </c>
      <c r="DM70" s="353">
        <f>IFERROR(_xlfn.IFS($C70="1", 'Inputs-System'!$C$30*'Coincidence Factors'!$B$10*'Inputs-Proposals'!$M$17*'Inputs-Proposals'!$M$19*(VLOOKUP(DH$3,'Non-Embedded Emissions'!$A$56:$D$90,2,FALSE)-VLOOKUP(DH$3,'Non-Embedded Emissions'!$F$57:$H$88,3,FALSE)+VLOOKUP(DH$3,'Non-Embedded Emissions'!$A$143:$D$174,2,FALSE)-VLOOKUP(DH$3,'Non-Embedded Emissions'!$F$143:$H$174,3,FALSE)+VLOOKUP(DH$3,'Non-Embedded Emissions'!$A$230:$D$259,2,FALSE)), $C70 = "2", 'Inputs-System'!$C$30*'Coincidence Factors'!$B$10*'Inputs-Proposals'!$M$23*'Inputs-Proposals'!$M$25*(VLOOKUP(DH$3,'Non-Embedded Emissions'!$A$56:$D$90,2,FALSE)-VLOOKUP(DH$3,'Non-Embedded Emissions'!$F$57:$H$88,3,FALSE)+VLOOKUP(DH$3,'Non-Embedded Emissions'!$A$143:$D$174,2,FALSE)-VLOOKUP(DH$3,'Non-Embedded Emissions'!$F$143:$H$174,3,FALSE)+VLOOKUP(DH$3,'Non-Embedded Emissions'!$A$230:$D$259,2,FALSE)), $C70 = "3", 'Inputs-System'!$C$30*'Coincidence Factors'!$B$10*'Inputs-Proposals'!$M$29*'Inputs-Proposals'!$M$31*(VLOOKUP(DH$3,'Non-Embedded Emissions'!$A$56:$D$90,2,FALSE)-VLOOKUP(DH$3,'Non-Embedded Emissions'!$F$57:$H$88,3,FALSE)+VLOOKUP(DH$3,'Non-Embedded Emissions'!$A$143:$D$174,2,FALSE)-VLOOKUP(DH$3,'Non-Embedded Emissions'!$F$143:$H$174,3,FALSE)+VLOOKUP(DH$3,'Non-Embedded Emissions'!$A$230:$D$259,2,FALSE)), $C70 = "0", 0), 0)</f>
        <v>0</v>
      </c>
      <c r="DN70" s="352">
        <f>IFERROR(_xlfn.IFS($C70="1",('Inputs-System'!$C$30*'Coincidence Factors'!$B$10*(1+'Inputs-System'!$C$18)*(1+'Inputs-System'!$C$41)*('Inputs-Proposals'!$M$17*'Inputs-Proposals'!$M$19*(1-'Inputs-Proposals'!$M$20^(DN$3-'Inputs-System'!$C$7)))*(VLOOKUP(DN$3,Energy!$A$51:$K$83,5,FALSE))), $C70 = "2",('Inputs-System'!$C$30*'Coincidence Factors'!$B$10)*(1+'Inputs-System'!$C$18)*(1+'Inputs-System'!$C$41)*('Inputs-Proposals'!$M$23*'Inputs-Proposals'!$M$25*(1-'Inputs-Proposals'!$M$26^(DN$3-'Inputs-System'!$C$7)))*(VLOOKUP(DN$3,Energy!$A$51:$K$83,5,FALSE)), $C70= "3", ('Inputs-System'!$C$30*'Coincidence Factors'!$B$10*(1+'Inputs-System'!$C$18)*(1+'Inputs-System'!$C$41)*('Inputs-Proposals'!$M$29*'Inputs-Proposals'!$M$31*(1-'Inputs-Proposals'!$M$32^(DN$3-'Inputs-System'!$C$7)))*(VLOOKUP(DN$3,Energy!$A$51:$K$83,5,FALSE))), $C70= "0", 0), 0)</f>
        <v>0</v>
      </c>
      <c r="DO70" s="320">
        <f>IFERROR(_xlfn.IFS($C70="1",('Inputs-System'!$C$30*'Coincidence Factors'!$B$10*(1+'Inputs-System'!$C$18)*(1+'Inputs-System'!$C$41))*'Inputs-Proposals'!$M$17*'Inputs-Proposals'!$M$19*(1-'Inputs-Proposals'!$M$20^(DN$3-'Inputs-System'!$C$7))*(VLOOKUP(DN$3,'Embedded Emissions'!$A$47:$B$78,2,FALSE)+VLOOKUP(DN$3,'Embedded Emissions'!$A$129:$B$158,2,FALSE)), $C70 = "2",('Inputs-System'!$C$30*'Coincidence Factors'!$B$10*(1+'Inputs-System'!$C$18)*(1+'Inputs-System'!$C$41))*'Inputs-Proposals'!$M$23*'Inputs-Proposals'!$M$25*(1-'Inputs-Proposals'!$M$20^(DN$3-'Inputs-System'!$C$7))*(VLOOKUP(DN$3,'Embedded Emissions'!$A$47:$B$78,2,FALSE)+VLOOKUP(DN$3,'Embedded Emissions'!$A$129:$B$158,2,FALSE)), $C70 = "3", ('Inputs-System'!$C$30*'Coincidence Factors'!$B$10*(1+'Inputs-System'!$C$18)*(1+'Inputs-System'!$C$41))*'Inputs-Proposals'!$M$29*'Inputs-Proposals'!$M$31*(1-'Inputs-Proposals'!$M$20^(DN$3-'Inputs-System'!$C$7))*(VLOOKUP(DN$3,'Embedded Emissions'!$A$47:$B$78,2,FALSE)+VLOOKUP(DN$3,'Embedded Emissions'!$A$129:$B$158,2,FALSE)), $C70 = "0", 0), 0)</f>
        <v>0</v>
      </c>
      <c r="DP70" s="320">
        <f>IFERROR(_xlfn.IFS($C70="1",( 'Inputs-System'!$C$30*'Coincidence Factors'!$B$10*(1+'Inputs-System'!$C$18)*(1+'Inputs-System'!$C$41))*('Inputs-Proposals'!$M$17*'Inputs-Proposals'!$M$19*(1-'Inputs-Proposals'!$M$20)^(DN$3-'Inputs-System'!$C$7))*(VLOOKUP(DN$3,DRIPE!$A$54:$I$82,5,FALSE)+VLOOKUP(DN$3,DRIPE!$A$54:$I$82,9,FALSE))+ ('Inputs-System'!$C$26*'Coincidence Factors'!$B$6*(1+'Inputs-System'!$C$18)*(1+'Inputs-System'!$C$42))*'Inputs-Proposals'!$M$16*VLOOKUP(DN$3,DRIPE!$A$54:$I$82,8,FALSE), $C70 = "2",( 'Inputs-System'!$C$30*'Coincidence Factors'!$B$10*(1+'Inputs-System'!$C$18)*(1+'Inputs-System'!$C$41))*('Inputs-Proposals'!$M$23*'Inputs-Proposals'!$M$25*(1-'Inputs-Proposals'!$M$26)^(DN$3-'Inputs-System'!$C$7))*(VLOOKUP(DN$3,DRIPE!$A$54:$I$82,5,FALSE)+VLOOKUP(DN$3,DRIPE!$A$54:$I$82,9,FALSE))+ ('Inputs-System'!$C$26*'Coincidence Factors'!$B$6*(1+'Inputs-System'!$C$18)*(1+'Inputs-System'!$C$42))*'Inputs-Proposals'!$M$22*VLOOKUP(DN$3,DRIPE!$A$54:$I$82,8,FALSE), $C70= "3", ( 'Inputs-System'!$C$30*'Coincidence Factors'!$B$10*(1+'Inputs-System'!$C$18)*(1+'Inputs-System'!$C$41))*('Inputs-Proposals'!$M$29*'Inputs-Proposals'!$M$31*(1-'Inputs-Proposals'!$M$32)^(DN$3-'Inputs-System'!$C$7))*(VLOOKUP(DN$3,DRIPE!$A$54:$I$82,5,FALSE)+VLOOKUP(DN$3,DRIPE!$A$54:$I$82,9,FALSE))+ ('Inputs-System'!$C$26*'Coincidence Factors'!$B$6*(1+'Inputs-System'!$C$18)*(1+'Inputs-System'!$C$42))*'Inputs-Proposals'!$M$28*VLOOKUP(DN$3,DRIPE!$A$54:$I$82,8,FALSE), $C70 = "0", 0), 0)</f>
        <v>0</v>
      </c>
      <c r="DQ70" s="352">
        <f>IFERROR(_xlfn.IFS($C70="1",('Inputs-System'!$C$26*'Coincidence Factors'!$B$10*(1+'Inputs-System'!$C$18)*(1+'Inputs-System'!$C$42))*'Inputs-Proposals'!$D$16*(VLOOKUP(DN$3,Capacity!$A$53:$E$85,4,FALSE)*(1+'Inputs-System'!$C$42)+VLOOKUP(DN$3,Capacity!$A$53:$E$85,5,FALSE)*(1+'Inputs-System'!$C$43)*'Inputs-System'!$C$29), $C70 = "2", ('Inputs-System'!$C$26*'Coincidence Factors'!$B$10*(1+'Inputs-System'!$C$18))*'Inputs-Proposals'!$D$22*(VLOOKUP(DN$3,Capacity!$A$53:$E$85,4,FALSE)*(1+'Inputs-System'!$C$42)+VLOOKUP(DN$3,Capacity!$A$53:$E$85,5,FALSE)*'Inputs-System'!$C$29*(1+'Inputs-System'!$C$43)), $C70 = "3", ('Inputs-System'!$C$26*'Coincidence Factors'!$B$10*(1+'Inputs-System'!$C$18))*'Inputs-Proposals'!$D$28*(VLOOKUP(DN$3,Capacity!$A$53:$E$85,4,FALSE)*(1+'Inputs-System'!$C$42)+VLOOKUP(DN$3,Capacity!$A$53:$E$85,5,FALSE)*'Inputs-System'!$C$29*(1+'Inputs-System'!$C$43)), $C70 = "0", 0), 0)</f>
        <v>0</v>
      </c>
      <c r="DR70" s="320">
        <v>0</v>
      </c>
      <c r="DS70" s="353">
        <f>IFERROR(_xlfn.IFS($C70="1", 'Inputs-System'!$C$30*'Coincidence Factors'!$B$10*'Inputs-Proposals'!$M$17*'Inputs-Proposals'!$M$19*(VLOOKUP(DN$3,'Non-Embedded Emissions'!$A$56:$D$90,2,FALSE)-VLOOKUP(DN$3,'Non-Embedded Emissions'!$F$57:$H$88,3,FALSE)+VLOOKUP(DN$3,'Non-Embedded Emissions'!$A$143:$D$174,2,FALSE)-VLOOKUP(DN$3,'Non-Embedded Emissions'!$F$143:$H$174,3,FALSE)+VLOOKUP(DN$3,'Non-Embedded Emissions'!$A$230:$D$259,2,FALSE)), $C70 = "2", 'Inputs-System'!$C$30*'Coincidence Factors'!$B$10*'Inputs-Proposals'!$M$23*'Inputs-Proposals'!$M$25*(VLOOKUP(DN$3,'Non-Embedded Emissions'!$A$56:$D$90,2,FALSE)-VLOOKUP(DN$3,'Non-Embedded Emissions'!$F$57:$H$88,3,FALSE)+VLOOKUP(DN$3,'Non-Embedded Emissions'!$A$143:$D$174,2,FALSE)-VLOOKUP(DN$3,'Non-Embedded Emissions'!$F$143:$H$174,3,FALSE)+VLOOKUP(DN$3,'Non-Embedded Emissions'!$A$230:$D$259,2,FALSE)), $C70 = "3", 'Inputs-System'!$C$30*'Coincidence Factors'!$B$10*'Inputs-Proposals'!$M$29*'Inputs-Proposals'!$M$31*(VLOOKUP(DN$3,'Non-Embedded Emissions'!$A$56:$D$90,2,FALSE)-VLOOKUP(DN$3,'Non-Embedded Emissions'!$F$57:$H$88,3,FALSE)+VLOOKUP(DN$3,'Non-Embedded Emissions'!$A$143:$D$174,2,FALSE)-VLOOKUP(DN$3,'Non-Embedded Emissions'!$F$143:$H$174,3,FALSE)+VLOOKUP(DN$3,'Non-Embedded Emissions'!$A$230:$D$259,2,FALSE)), $C70 = "0", 0), 0)</f>
        <v>0</v>
      </c>
      <c r="DT70" s="352">
        <f>IFERROR(_xlfn.IFS($C70="1",('Inputs-System'!$C$30*'Coincidence Factors'!$B$10*(1+'Inputs-System'!$C$18)*(1+'Inputs-System'!$C$41)*('Inputs-Proposals'!$M$17*'Inputs-Proposals'!$M$19*(1-'Inputs-Proposals'!$M$20^(DT$3-'Inputs-System'!$C$7)))*(VLOOKUP(DT$3,Energy!$A$51:$K$83,5,FALSE))), $C70 = "2",('Inputs-System'!$C$30*'Coincidence Factors'!$B$10)*(1+'Inputs-System'!$C$18)*(1+'Inputs-System'!$C$41)*('Inputs-Proposals'!$M$23*'Inputs-Proposals'!$M$25*(1-'Inputs-Proposals'!$M$26^(DT$3-'Inputs-System'!$C$7)))*(VLOOKUP(DT$3,Energy!$A$51:$K$83,5,FALSE)), $C70= "3", ('Inputs-System'!$C$30*'Coincidence Factors'!$B$10*(1+'Inputs-System'!$C$18)*(1+'Inputs-System'!$C$41)*('Inputs-Proposals'!$M$29*'Inputs-Proposals'!$M$31*(1-'Inputs-Proposals'!$M$32^(DT$3-'Inputs-System'!$C$7)))*(VLOOKUP(DT$3,Energy!$A$51:$K$83,5,FALSE))), $C70= "0", 0), 0)</f>
        <v>0</v>
      </c>
      <c r="DU70" s="320">
        <f>IFERROR(_xlfn.IFS($C70="1",('Inputs-System'!$C$30*'Coincidence Factors'!$B$10*(1+'Inputs-System'!$C$18)*(1+'Inputs-System'!$C$41))*'Inputs-Proposals'!$M$17*'Inputs-Proposals'!$M$19*(1-'Inputs-Proposals'!$M$20^(DT$3-'Inputs-System'!$C$7))*(VLOOKUP(DT$3,'Embedded Emissions'!$A$47:$B$78,2,FALSE)+VLOOKUP(DT$3,'Embedded Emissions'!$A$129:$B$158,2,FALSE)), $C70 = "2",('Inputs-System'!$C$30*'Coincidence Factors'!$B$10*(1+'Inputs-System'!$C$18)*(1+'Inputs-System'!$C$41))*'Inputs-Proposals'!$M$23*'Inputs-Proposals'!$M$25*(1-'Inputs-Proposals'!$M$20^(DT$3-'Inputs-System'!$C$7))*(VLOOKUP(DT$3,'Embedded Emissions'!$A$47:$B$78,2,FALSE)+VLOOKUP(DT$3,'Embedded Emissions'!$A$129:$B$158,2,FALSE)), $C70 = "3", ('Inputs-System'!$C$30*'Coincidence Factors'!$B$10*(1+'Inputs-System'!$C$18)*(1+'Inputs-System'!$C$41))*'Inputs-Proposals'!$M$29*'Inputs-Proposals'!$M$31*(1-'Inputs-Proposals'!$M$20^(DT$3-'Inputs-System'!$C$7))*(VLOOKUP(DT$3,'Embedded Emissions'!$A$47:$B$78,2,FALSE)+VLOOKUP(DT$3,'Embedded Emissions'!$A$129:$B$158,2,FALSE)), $C70 = "0", 0), 0)</f>
        <v>0</v>
      </c>
      <c r="DV70" s="320">
        <f>IFERROR(_xlfn.IFS($C70="1",( 'Inputs-System'!$C$30*'Coincidence Factors'!$B$10*(1+'Inputs-System'!$C$18)*(1+'Inputs-System'!$C$41))*('Inputs-Proposals'!$M$17*'Inputs-Proposals'!$M$19*(1-'Inputs-Proposals'!$M$20)^(DT$3-'Inputs-System'!$C$7))*(VLOOKUP(DT$3,DRIPE!$A$54:$I$82,5,FALSE)+VLOOKUP(DT$3,DRIPE!$A$54:$I$82,9,FALSE))+ ('Inputs-System'!$C$26*'Coincidence Factors'!$B$6*(1+'Inputs-System'!$C$18)*(1+'Inputs-System'!$C$42))*'Inputs-Proposals'!$M$16*VLOOKUP(DT$3,DRIPE!$A$54:$I$82,8,FALSE), $C70 = "2",( 'Inputs-System'!$C$30*'Coincidence Factors'!$B$10*(1+'Inputs-System'!$C$18)*(1+'Inputs-System'!$C$41))*('Inputs-Proposals'!$M$23*'Inputs-Proposals'!$M$25*(1-'Inputs-Proposals'!$M$26)^(DT$3-'Inputs-System'!$C$7))*(VLOOKUP(DT$3,DRIPE!$A$54:$I$82,5,FALSE)+VLOOKUP(DT$3,DRIPE!$A$54:$I$82,9,FALSE))+ ('Inputs-System'!$C$26*'Coincidence Factors'!$B$6*(1+'Inputs-System'!$C$18)*(1+'Inputs-System'!$C$42))*'Inputs-Proposals'!$M$22*VLOOKUP(DT$3,DRIPE!$A$54:$I$82,8,FALSE), $C70= "3", ( 'Inputs-System'!$C$30*'Coincidence Factors'!$B$10*(1+'Inputs-System'!$C$18)*(1+'Inputs-System'!$C$41))*('Inputs-Proposals'!$M$29*'Inputs-Proposals'!$M$31*(1-'Inputs-Proposals'!$M$32)^(DT$3-'Inputs-System'!$C$7))*(VLOOKUP(DT$3,DRIPE!$A$54:$I$82,5,FALSE)+VLOOKUP(DT$3,DRIPE!$A$54:$I$82,9,FALSE))+ ('Inputs-System'!$C$26*'Coincidence Factors'!$B$6*(1+'Inputs-System'!$C$18)*(1+'Inputs-System'!$C$42))*'Inputs-Proposals'!$M$28*VLOOKUP(DT$3,DRIPE!$A$54:$I$82,8,FALSE), $C70 = "0", 0), 0)</f>
        <v>0</v>
      </c>
      <c r="DW70" s="352">
        <f>IFERROR(_xlfn.IFS($C70="1",('Inputs-System'!$C$26*'Coincidence Factors'!$B$10*(1+'Inputs-System'!$C$18)*(1+'Inputs-System'!$C$42))*'Inputs-Proposals'!$D$16*(VLOOKUP(DT$3,Capacity!$A$53:$E$85,4,FALSE)*(1+'Inputs-System'!$C$42)+VLOOKUP(DT$3,Capacity!$A$53:$E$85,5,FALSE)*(1+'Inputs-System'!$C$43)*'Inputs-System'!$C$29), $C70 = "2", ('Inputs-System'!$C$26*'Coincidence Factors'!$B$10*(1+'Inputs-System'!$C$18))*'Inputs-Proposals'!$D$22*(VLOOKUP(DT$3,Capacity!$A$53:$E$85,4,FALSE)*(1+'Inputs-System'!$C$42)+VLOOKUP(DT$3,Capacity!$A$53:$E$85,5,FALSE)*'Inputs-System'!$C$29*(1+'Inputs-System'!$C$43)), $C70 = "3", ('Inputs-System'!$C$26*'Coincidence Factors'!$B$10*(1+'Inputs-System'!$C$18))*'Inputs-Proposals'!$D$28*(VLOOKUP(DT$3,Capacity!$A$53:$E$85,4,FALSE)*(1+'Inputs-System'!$C$42)+VLOOKUP(DT$3,Capacity!$A$53:$E$85,5,FALSE)*'Inputs-System'!$C$29*(1+'Inputs-System'!$C$43)), $C70 = "0", 0), 0)</f>
        <v>0</v>
      </c>
      <c r="DX70" s="320">
        <v>0</v>
      </c>
      <c r="DY70" s="353">
        <f>IFERROR(_xlfn.IFS($C70="1", 'Inputs-System'!$C$30*'Coincidence Factors'!$B$10*'Inputs-Proposals'!$M$17*'Inputs-Proposals'!$M$19*(VLOOKUP(DT$3,'Non-Embedded Emissions'!$A$56:$D$90,2,FALSE)-VLOOKUP(DT$3,'Non-Embedded Emissions'!$F$57:$H$88,3,FALSE)+VLOOKUP(DT$3,'Non-Embedded Emissions'!$A$143:$D$174,2,FALSE)-VLOOKUP(DT$3,'Non-Embedded Emissions'!$F$143:$H$174,3,FALSE)+VLOOKUP(DT$3,'Non-Embedded Emissions'!$A$230:$D$259,2,FALSE)), $C70 = "2", 'Inputs-System'!$C$30*'Coincidence Factors'!$B$10*'Inputs-Proposals'!$M$23*'Inputs-Proposals'!$M$25*(VLOOKUP(DT$3,'Non-Embedded Emissions'!$A$56:$D$90,2,FALSE)-VLOOKUP(DT$3,'Non-Embedded Emissions'!$F$57:$H$88,3,FALSE)+VLOOKUP(DT$3,'Non-Embedded Emissions'!$A$143:$D$174,2,FALSE)-VLOOKUP(DT$3,'Non-Embedded Emissions'!$F$143:$H$174,3,FALSE)+VLOOKUP(DT$3,'Non-Embedded Emissions'!$A$230:$D$259,2,FALSE)), $C70 = "3", 'Inputs-System'!$C$30*'Coincidence Factors'!$B$10*'Inputs-Proposals'!$M$29*'Inputs-Proposals'!$M$31*(VLOOKUP(DT$3,'Non-Embedded Emissions'!$A$56:$D$90,2,FALSE)-VLOOKUP(DT$3,'Non-Embedded Emissions'!$F$57:$H$88,3,FALSE)+VLOOKUP(DT$3,'Non-Embedded Emissions'!$A$143:$D$174,2,FALSE)-VLOOKUP(DT$3,'Non-Embedded Emissions'!$F$143:$H$174,3,FALSE)+VLOOKUP(DT$3,'Non-Embedded Emissions'!$A$230:$D$259,2,FALSE)), $C70 = "0", 0), 0)</f>
        <v>0</v>
      </c>
      <c r="DZ70" s="352">
        <f>IFERROR(_xlfn.IFS($C70="1",('Inputs-System'!$C$30*'Coincidence Factors'!$B$10*(1+'Inputs-System'!$C$18)*(1+'Inputs-System'!$C$41)*('Inputs-Proposals'!$M$17*'Inputs-Proposals'!$M$19*(1-'Inputs-Proposals'!$M$20^(DZ$3-'Inputs-System'!$C$7)))*(VLOOKUP(DZ$3,Energy!$A$51:$K$83,5,FALSE))), $C70 = "2",('Inputs-System'!$C$30*'Coincidence Factors'!$B$10)*(1+'Inputs-System'!$C$18)*(1+'Inputs-System'!$C$41)*('Inputs-Proposals'!$M$23*'Inputs-Proposals'!$M$25*(1-'Inputs-Proposals'!$M$26^(DZ$3-'Inputs-System'!$C$7)))*(VLOOKUP(DZ$3,Energy!$A$51:$K$83,5,FALSE)), $C70= "3", ('Inputs-System'!$C$30*'Coincidence Factors'!$B$10*(1+'Inputs-System'!$C$18)*(1+'Inputs-System'!$C$41)*('Inputs-Proposals'!$M$29*'Inputs-Proposals'!$M$31*(1-'Inputs-Proposals'!$M$32^(DZ$3-'Inputs-System'!$C$7)))*(VLOOKUP(DZ$3,Energy!$A$51:$K$83,5,FALSE))), $C70= "0", 0), 0)</f>
        <v>0</v>
      </c>
      <c r="EA70" s="320">
        <f>IFERROR(_xlfn.IFS($C70="1",('Inputs-System'!$C$30*'Coincidence Factors'!$B$10*(1+'Inputs-System'!$C$18)*(1+'Inputs-System'!$C$41))*'Inputs-Proposals'!$M$17*'Inputs-Proposals'!$M$19*(1-'Inputs-Proposals'!$M$20^(DZ$3-'Inputs-System'!$C$7))*(VLOOKUP(DZ$3,'Embedded Emissions'!$A$47:$B$78,2,FALSE)+VLOOKUP(DZ$3,'Embedded Emissions'!$A$129:$B$158,2,FALSE)), $C70 = "2",('Inputs-System'!$C$30*'Coincidence Factors'!$B$10*(1+'Inputs-System'!$C$18)*(1+'Inputs-System'!$C$41))*'Inputs-Proposals'!$M$23*'Inputs-Proposals'!$M$25*(1-'Inputs-Proposals'!$M$20^(DZ$3-'Inputs-System'!$C$7))*(VLOOKUP(DZ$3,'Embedded Emissions'!$A$47:$B$78,2,FALSE)+VLOOKUP(DZ$3,'Embedded Emissions'!$A$129:$B$158,2,FALSE)), $C70 = "3", ('Inputs-System'!$C$30*'Coincidence Factors'!$B$10*(1+'Inputs-System'!$C$18)*(1+'Inputs-System'!$C$41))*'Inputs-Proposals'!$M$29*'Inputs-Proposals'!$M$31*(1-'Inputs-Proposals'!$M$20^(DZ$3-'Inputs-System'!$C$7))*(VLOOKUP(DZ$3,'Embedded Emissions'!$A$47:$B$78,2,FALSE)+VLOOKUP(DZ$3,'Embedded Emissions'!$A$129:$B$158,2,FALSE)), $C70 = "0", 0), 0)</f>
        <v>0</v>
      </c>
      <c r="EB70" s="320">
        <f>IFERROR(_xlfn.IFS($C70="1",( 'Inputs-System'!$C$30*'Coincidence Factors'!$B$10*(1+'Inputs-System'!$C$18)*(1+'Inputs-System'!$C$41))*('Inputs-Proposals'!$M$17*'Inputs-Proposals'!$M$19*(1-'Inputs-Proposals'!$M$20)^(DZ$3-'Inputs-System'!$C$7))*(VLOOKUP(DZ$3,DRIPE!$A$54:$I$82,5,FALSE)+VLOOKUP(DZ$3,DRIPE!$A$54:$I$82,9,FALSE))+ ('Inputs-System'!$C$26*'Coincidence Factors'!$B$6*(1+'Inputs-System'!$C$18)*(1+'Inputs-System'!$C$42))*'Inputs-Proposals'!$M$16*VLOOKUP(DZ$3,DRIPE!$A$54:$I$82,8,FALSE), $C70 = "2",( 'Inputs-System'!$C$30*'Coincidence Factors'!$B$10*(1+'Inputs-System'!$C$18)*(1+'Inputs-System'!$C$41))*('Inputs-Proposals'!$M$23*'Inputs-Proposals'!$M$25*(1-'Inputs-Proposals'!$M$26)^(DZ$3-'Inputs-System'!$C$7))*(VLOOKUP(DZ$3,DRIPE!$A$54:$I$82,5,FALSE)+VLOOKUP(DZ$3,DRIPE!$A$54:$I$82,9,FALSE))+ ('Inputs-System'!$C$26*'Coincidence Factors'!$B$6*(1+'Inputs-System'!$C$18)*(1+'Inputs-System'!$C$42))*'Inputs-Proposals'!$M$22*VLOOKUP(DZ$3,DRIPE!$A$54:$I$82,8,FALSE), $C70= "3", ( 'Inputs-System'!$C$30*'Coincidence Factors'!$B$10*(1+'Inputs-System'!$C$18)*(1+'Inputs-System'!$C$41))*('Inputs-Proposals'!$M$29*'Inputs-Proposals'!$M$31*(1-'Inputs-Proposals'!$M$32)^(DZ$3-'Inputs-System'!$C$7))*(VLOOKUP(DZ$3,DRIPE!$A$54:$I$82,5,FALSE)+VLOOKUP(DZ$3,DRIPE!$A$54:$I$82,9,FALSE))+ ('Inputs-System'!$C$26*'Coincidence Factors'!$B$6*(1+'Inputs-System'!$C$18)*(1+'Inputs-System'!$C$42))*'Inputs-Proposals'!$M$28*VLOOKUP(DZ$3,DRIPE!$A$54:$I$82,8,FALSE), $C70 = "0", 0), 0)</f>
        <v>0</v>
      </c>
      <c r="EC70" s="352">
        <f>IFERROR(_xlfn.IFS($C70="1",('Inputs-System'!$C$26*'Coincidence Factors'!$B$10*(1+'Inputs-System'!$C$18)*(1+'Inputs-System'!$C$42))*'Inputs-Proposals'!$D$16*(VLOOKUP(DZ$3,Capacity!$A$53:$E$85,4,FALSE)*(1+'Inputs-System'!$C$42)+VLOOKUP(DZ$3,Capacity!$A$53:$E$85,5,FALSE)*(1+'Inputs-System'!$C$43)*'Inputs-System'!$C$29), $C70 = "2", ('Inputs-System'!$C$26*'Coincidence Factors'!$B$10*(1+'Inputs-System'!$C$18))*'Inputs-Proposals'!$D$22*(VLOOKUP(DZ$3,Capacity!$A$53:$E$85,4,FALSE)*(1+'Inputs-System'!$C$42)+VLOOKUP(DZ$3,Capacity!$A$53:$E$85,5,FALSE)*'Inputs-System'!$C$29*(1+'Inputs-System'!$C$43)), $C70 = "3", ('Inputs-System'!$C$26*'Coincidence Factors'!$B$10*(1+'Inputs-System'!$C$18))*'Inputs-Proposals'!$D$28*(VLOOKUP(DZ$3,Capacity!$A$53:$E$85,4,FALSE)*(1+'Inputs-System'!$C$42)+VLOOKUP(DZ$3,Capacity!$A$53:$E$85,5,FALSE)*'Inputs-System'!$C$29*(1+'Inputs-System'!$C$43)), $C70 = "0", 0), 0)</f>
        <v>0</v>
      </c>
      <c r="ED70" s="320">
        <v>0</v>
      </c>
      <c r="EE70" s="353">
        <f>IFERROR(_xlfn.IFS($C70="1", 'Inputs-System'!$C$30*'Coincidence Factors'!$B$10*'Inputs-Proposals'!$M$17*'Inputs-Proposals'!$M$19*(VLOOKUP(DZ$3,'Non-Embedded Emissions'!$A$56:$D$90,2,FALSE)-VLOOKUP(DZ$3,'Non-Embedded Emissions'!$F$57:$H$88,3,FALSE)+VLOOKUP(DZ$3,'Non-Embedded Emissions'!$A$143:$D$174,2,FALSE)-VLOOKUP(DZ$3,'Non-Embedded Emissions'!$F$143:$H$174,3,FALSE)+VLOOKUP(DZ$3,'Non-Embedded Emissions'!$A$230:$D$259,2,FALSE)), $C70 = "2", 'Inputs-System'!$C$30*'Coincidence Factors'!$B$10*'Inputs-Proposals'!$M$23*'Inputs-Proposals'!$M$25*(VLOOKUP(DZ$3,'Non-Embedded Emissions'!$A$56:$D$90,2,FALSE)-VLOOKUP(DZ$3,'Non-Embedded Emissions'!$F$57:$H$88,3,FALSE)+VLOOKUP(DZ$3,'Non-Embedded Emissions'!$A$143:$D$174,2,FALSE)-VLOOKUP(DZ$3,'Non-Embedded Emissions'!$F$143:$H$174,3,FALSE)+VLOOKUP(DZ$3,'Non-Embedded Emissions'!$A$230:$D$259,2,FALSE)), $C70 = "3", 'Inputs-System'!$C$30*'Coincidence Factors'!$B$10*'Inputs-Proposals'!$M$29*'Inputs-Proposals'!$M$31*(VLOOKUP(DZ$3,'Non-Embedded Emissions'!$A$56:$D$90,2,FALSE)-VLOOKUP(DZ$3,'Non-Embedded Emissions'!$F$57:$H$88,3,FALSE)+VLOOKUP(DZ$3,'Non-Embedded Emissions'!$A$143:$D$174,2,FALSE)-VLOOKUP(DZ$3,'Non-Embedded Emissions'!$F$143:$H$174,3,FALSE)+VLOOKUP(DZ$3,'Non-Embedded Emissions'!$A$230:$D$259,2,FALSE)), $C70 = "0", 0), 0)</f>
        <v>0</v>
      </c>
    </row>
  </sheetData>
  <mergeCells count="34">
    <mergeCell ref="A65:A70"/>
    <mergeCell ref="A35:A40"/>
    <mergeCell ref="A41:A46"/>
    <mergeCell ref="A47:A52"/>
    <mergeCell ref="A53:A58"/>
    <mergeCell ref="A59:A64"/>
    <mergeCell ref="A5:A10"/>
    <mergeCell ref="A11:A16"/>
    <mergeCell ref="A17:A22"/>
    <mergeCell ref="A23:A28"/>
    <mergeCell ref="A29:A34"/>
    <mergeCell ref="AB3:AG3"/>
    <mergeCell ref="BR3:BW3"/>
    <mergeCell ref="AH3:AM3"/>
    <mergeCell ref="AN3:AS3"/>
    <mergeCell ref="AT3:AY3"/>
    <mergeCell ref="AZ3:BE3"/>
    <mergeCell ref="BF3:BK3"/>
    <mergeCell ref="BL3:BQ3"/>
    <mergeCell ref="A1:O1"/>
    <mergeCell ref="V3:AA3"/>
    <mergeCell ref="J3:O3"/>
    <mergeCell ref="D3:I3"/>
    <mergeCell ref="P3:U3"/>
    <mergeCell ref="BX3:CC3"/>
    <mergeCell ref="CD3:CI3"/>
    <mergeCell ref="CJ3:CO3"/>
    <mergeCell ref="CP3:CU3"/>
    <mergeCell ref="CV3:DA3"/>
    <mergeCell ref="DB3:DG3"/>
    <mergeCell ref="DH3:DM3"/>
    <mergeCell ref="DN3:DS3"/>
    <mergeCell ref="DT3:DY3"/>
    <mergeCell ref="DZ3:EE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148C"/>
  </sheetPr>
  <dimension ref="A1:G13"/>
  <sheetViews>
    <sheetView view="pageBreakPreview" zoomScale="60" zoomScaleNormal="100" workbookViewId="0">
      <selection activeCell="D20" sqref="D20"/>
    </sheetView>
  </sheetViews>
  <sheetFormatPr defaultColWidth="9.1796875" defaultRowHeight="14.5" x14ac:dyDescent="0.35"/>
  <cols>
    <col min="1" max="1" width="11.26953125" style="3" bestFit="1" customWidth="1"/>
    <col min="2" max="2" width="6.54296875" style="12" bestFit="1" customWidth="1"/>
    <col min="3" max="3" width="54.54296875" style="3" customWidth="1"/>
    <col min="4" max="5" width="9.1796875" style="3"/>
    <col min="6" max="6" width="8.7265625" style="3" bestFit="1" customWidth="1"/>
    <col min="7" max="16384" width="9.1796875" style="3"/>
  </cols>
  <sheetData>
    <row r="1" spans="1:7" ht="28.5" customHeight="1" x14ac:dyDescent="0.35">
      <c r="A1" s="653" t="s">
        <v>161</v>
      </c>
      <c r="B1" s="653"/>
      <c r="C1" s="653"/>
      <c r="D1" s="244"/>
      <c r="E1" s="244"/>
      <c r="F1" s="244"/>
      <c r="G1" s="244"/>
    </row>
    <row r="3" spans="1:7" x14ac:dyDescent="0.35">
      <c r="A3" s="710" t="s">
        <v>162</v>
      </c>
      <c r="B3" s="711"/>
      <c r="C3" s="711"/>
    </row>
    <row r="4" spans="1:7" x14ac:dyDescent="0.35">
      <c r="A4" s="355" t="s">
        <v>163</v>
      </c>
      <c r="B4" s="355" t="s">
        <v>164</v>
      </c>
      <c r="C4" s="355" t="s">
        <v>165</v>
      </c>
    </row>
    <row r="5" spans="1:7" x14ac:dyDescent="0.35">
      <c r="A5" s="348" t="s">
        <v>90</v>
      </c>
      <c r="B5" s="96">
        <v>0.95</v>
      </c>
      <c r="C5" s="31" t="s">
        <v>166</v>
      </c>
    </row>
    <row r="6" spans="1:7" x14ac:dyDescent="0.35">
      <c r="A6" s="31" t="s">
        <v>158</v>
      </c>
      <c r="B6" s="96">
        <v>0.37</v>
      </c>
      <c r="C6" s="31" t="s">
        <v>167</v>
      </c>
    </row>
    <row r="7" spans="1:7" x14ac:dyDescent="0.35">
      <c r="A7" s="32" t="s">
        <v>168</v>
      </c>
      <c r="B7" s="96">
        <v>0.71</v>
      </c>
      <c r="C7" s="31" t="s">
        <v>169</v>
      </c>
    </row>
    <row r="8" spans="1:7" x14ac:dyDescent="0.35">
      <c r="A8" s="32" t="s">
        <v>170</v>
      </c>
      <c r="B8" s="35">
        <v>0.95</v>
      </c>
      <c r="C8" s="32" t="s">
        <v>166</v>
      </c>
    </row>
    <row r="9" spans="1:7" x14ac:dyDescent="0.35">
      <c r="A9" s="32" t="s">
        <v>171</v>
      </c>
      <c r="B9" s="35">
        <v>0.95</v>
      </c>
      <c r="C9" s="32" t="s">
        <v>166</v>
      </c>
    </row>
    <row r="10" spans="1:7" x14ac:dyDescent="0.35">
      <c r="A10" s="32" t="s">
        <v>172</v>
      </c>
      <c r="B10" s="35">
        <v>0.95</v>
      </c>
      <c r="C10" s="32" t="s">
        <v>166</v>
      </c>
    </row>
    <row r="11" spans="1:7" x14ac:dyDescent="0.35">
      <c r="A11" s="215"/>
      <c r="B11" s="356"/>
      <c r="C11" s="134"/>
    </row>
    <row r="12" spans="1:7" x14ac:dyDescent="0.35">
      <c r="A12" s="215"/>
      <c r="B12" s="356"/>
      <c r="C12" s="134"/>
    </row>
    <row r="13" spans="1:7" x14ac:dyDescent="0.35">
      <c r="A13" s="215"/>
      <c r="B13" s="356"/>
      <c r="C13" s="134"/>
    </row>
  </sheetData>
  <mergeCells count="2">
    <mergeCell ref="A3:C3"/>
    <mergeCell ref="A1:C1"/>
  </mergeCell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148C"/>
  </sheetPr>
  <dimension ref="A1:L116"/>
  <sheetViews>
    <sheetView view="pageBreakPreview" topLeftCell="A23" zoomScale="60" zoomScaleNormal="100" workbookViewId="0">
      <selection activeCell="H21" sqref="H21"/>
    </sheetView>
  </sheetViews>
  <sheetFormatPr defaultColWidth="9.1796875" defaultRowHeight="14.5" x14ac:dyDescent="0.35"/>
  <cols>
    <col min="1" max="1" width="9.1796875" style="3"/>
    <col min="2" max="2" width="2.7265625" style="3" customWidth="1"/>
    <col min="3" max="3" width="13.26953125" style="3" customWidth="1"/>
    <col min="4" max="4" width="14.26953125" style="3" customWidth="1"/>
    <col min="5" max="5" width="9.26953125" style="3" customWidth="1"/>
    <col min="6" max="6" width="11" style="3" customWidth="1"/>
    <col min="7" max="7" width="12.1796875" style="3" customWidth="1"/>
    <col min="8" max="9" width="9.1796875" style="3"/>
    <col min="10" max="10" width="8.7265625" style="3" bestFit="1" customWidth="1"/>
    <col min="11" max="16384" width="9.1796875" style="3"/>
  </cols>
  <sheetData>
    <row r="1" spans="1:11" ht="28.5" customHeight="1" x14ac:dyDescent="0.35">
      <c r="A1" s="653" t="s">
        <v>173</v>
      </c>
      <c r="B1" s="653"/>
      <c r="C1" s="653"/>
      <c r="D1" s="653"/>
      <c r="E1" s="653"/>
      <c r="F1" s="653"/>
      <c r="G1" s="244"/>
      <c r="H1" s="244"/>
      <c r="I1" s="244"/>
      <c r="J1" s="244"/>
      <c r="K1" s="244"/>
    </row>
    <row r="3" spans="1:11" x14ac:dyDescent="0.35">
      <c r="A3" s="3" t="s">
        <v>174</v>
      </c>
    </row>
    <row r="5" spans="1:11" ht="15" customHeight="1" x14ac:dyDescent="0.35">
      <c r="A5" s="719" t="s">
        <v>175</v>
      </c>
      <c r="B5" s="720"/>
      <c r="C5" s="720"/>
      <c r="D5" s="720"/>
      <c r="E5" s="720"/>
      <c r="F5" s="721"/>
    </row>
    <row r="6" spans="1:11" x14ac:dyDescent="0.35">
      <c r="A6" s="722"/>
      <c r="B6" s="723"/>
      <c r="C6" s="723"/>
      <c r="D6" s="723"/>
      <c r="E6" s="723"/>
      <c r="F6" s="724"/>
    </row>
    <row r="7" spans="1:11" ht="26" x14ac:dyDescent="0.35">
      <c r="A7" s="304" t="s">
        <v>176</v>
      </c>
      <c r="B7" s="436"/>
      <c r="C7" s="309" t="s">
        <v>177</v>
      </c>
      <c r="D7" s="310" t="s">
        <v>178</v>
      </c>
      <c r="E7" s="310" t="s">
        <v>179</v>
      </c>
      <c r="F7" s="311" t="s">
        <v>180</v>
      </c>
    </row>
    <row r="8" spans="1:11" x14ac:dyDescent="0.35">
      <c r="A8" s="445" t="s">
        <v>181</v>
      </c>
      <c r="B8" s="446"/>
      <c r="C8" s="447" t="s">
        <v>182</v>
      </c>
      <c r="D8" s="448" t="s">
        <v>182</v>
      </c>
      <c r="E8" s="448" t="s">
        <v>182</v>
      </c>
      <c r="F8" s="449" t="s">
        <v>182</v>
      </c>
    </row>
    <row r="9" spans="1:11" x14ac:dyDescent="0.3">
      <c r="A9" s="439">
        <v>2021</v>
      </c>
      <c r="B9" s="440"/>
      <c r="C9" s="461">
        <v>4.2500000000000003E-2</v>
      </c>
      <c r="D9" s="462">
        <v>3.6400000000000002E-2</v>
      </c>
      <c r="E9" s="463">
        <v>3.1600000000000003E-2</v>
      </c>
      <c r="F9" s="464">
        <v>2.5999999999999999E-2</v>
      </c>
    </row>
    <row r="10" spans="1:11" x14ac:dyDescent="0.3">
      <c r="A10" s="441">
        <v>2022</v>
      </c>
      <c r="B10" s="437"/>
      <c r="C10" s="465">
        <v>4.4699999999999997E-2</v>
      </c>
      <c r="D10" s="466">
        <v>4.1399999999999999E-2</v>
      </c>
      <c r="E10" s="467">
        <v>2.8500000000000001E-2</v>
      </c>
      <c r="F10" s="468">
        <v>2.5100000000000001E-2</v>
      </c>
    </row>
    <row r="11" spans="1:11" x14ac:dyDescent="0.3">
      <c r="A11" s="442">
        <v>2023</v>
      </c>
      <c r="B11" s="437"/>
      <c r="C11" s="465">
        <v>4.2700000000000002E-2</v>
      </c>
      <c r="D11" s="466">
        <v>4.1799999999999997E-2</v>
      </c>
      <c r="E11" s="467">
        <v>2.58E-2</v>
      </c>
      <c r="F11" s="468">
        <v>2.5000000000000001E-2</v>
      </c>
    </row>
    <row r="12" spans="1:11" x14ac:dyDescent="0.3">
      <c r="A12" s="441">
        <v>2024</v>
      </c>
      <c r="B12" s="437"/>
      <c r="C12" s="465">
        <v>4.4200000000000003E-2</v>
      </c>
      <c r="D12" s="466">
        <v>4.3499999999999997E-2</v>
      </c>
      <c r="E12" s="467">
        <v>2.86E-2</v>
      </c>
      <c r="F12" s="468">
        <v>2.75E-2</v>
      </c>
    </row>
    <row r="13" spans="1:11" x14ac:dyDescent="0.3">
      <c r="A13" s="442">
        <v>2025</v>
      </c>
      <c r="B13" s="437"/>
      <c r="C13" s="465">
        <v>4.36E-2</v>
      </c>
      <c r="D13" s="466">
        <v>4.3200000000000002E-2</v>
      </c>
      <c r="E13" s="467">
        <v>2.92E-2</v>
      </c>
      <c r="F13" s="468">
        <v>2.76E-2</v>
      </c>
    </row>
    <row r="14" spans="1:11" x14ac:dyDescent="0.3">
      <c r="A14" s="441">
        <v>2026</v>
      </c>
      <c r="B14" s="437"/>
      <c r="C14" s="465">
        <v>4.3900000000000002E-2</v>
      </c>
      <c r="D14" s="466">
        <v>4.19E-2</v>
      </c>
      <c r="E14" s="467">
        <v>2.9899999999999999E-2</v>
      </c>
      <c r="F14" s="468">
        <v>2.6700000000000002E-2</v>
      </c>
    </row>
    <row r="15" spans="1:11" x14ac:dyDescent="0.3">
      <c r="A15" s="442">
        <v>2027</v>
      </c>
      <c r="B15" s="437"/>
      <c r="C15" s="465">
        <v>4.3499999999999997E-2</v>
      </c>
      <c r="D15" s="466">
        <v>4.0300000000000002E-2</v>
      </c>
      <c r="E15" s="467">
        <v>3.0800000000000001E-2</v>
      </c>
      <c r="F15" s="468">
        <v>2.63E-2</v>
      </c>
    </row>
    <row r="16" spans="1:11" x14ac:dyDescent="0.3">
      <c r="A16" s="441">
        <v>2028</v>
      </c>
      <c r="B16" s="437"/>
      <c r="C16" s="465">
        <v>4.0599999999999997E-2</v>
      </c>
      <c r="D16" s="466">
        <v>4.1099999999999998E-2</v>
      </c>
      <c r="E16" s="467">
        <v>2.9100000000000001E-2</v>
      </c>
      <c r="F16" s="468">
        <v>2.81E-2</v>
      </c>
    </row>
    <row r="17" spans="1:6" x14ac:dyDescent="0.3">
      <c r="A17" s="442">
        <v>2029</v>
      </c>
      <c r="B17" s="437"/>
      <c r="C17" s="465">
        <v>3.8899999999999997E-2</v>
      </c>
      <c r="D17" s="466">
        <v>4.0300000000000002E-2</v>
      </c>
      <c r="E17" s="467">
        <v>2.8899999999999999E-2</v>
      </c>
      <c r="F17" s="468">
        <v>2.8000000000000001E-2</v>
      </c>
    </row>
    <row r="18" spans="1:6" x14ac:dyDescent="0.3">
      <c r="A18" s="441">
        <v>2030</v>
      </c>
      <c r="B18" s="437"/>
      <c r="C18" s="465">
        <v>3.9300000000000002E-2</v>
      </c>
      <c r="D18" s="466">
        <v>4.0800000000000003E-2</v>
      </c>
      <c r="E18" s="467">
        <v>3.0599999999999999E-2</v>
      </c>
      <c r="F18" s="468">
        <v>2.9100000000000001E-2</v>
      </c>
    </row>
    <row r="19" spans="1:6" x14ac:dyDescent="0.3">
      <c r="A19" s="442">
        <v>2031</v>
      </c>
      <c r="B19" s="437"/>
      <c r="C19" s="465">
        <v>3.95E-2</v>
      </c>
      <c r="D19" s="466">
        <v>4.1200000000000001E-2</v>
      </c>
      <c r="E19" s="467">
        <v>3.1300000000000001E-2</v>
      </c>
      <c r="F19" s="468">
        <v>2.92E-2</v>
      </c>
    </row>
    <row r="20" spans="1:6" x14ac:dyDescent="0.3">
      <c r="A20" s="441">
        <v>2032</v>
      </c>
      <c r="B20" s="437"/>
      <c r="C20" s="465">
        <v>4.1099999999999998E-2</v>
      </c>
      <c r="D20" s="466">
        <v>3.9899999999999998E-2</v>
      </c>
      <c r="E20" s="467">
        <v>3.3000000000000002E-2</v>
      </c>
      <c r="F20" s="468">
        <v>2.7799999999999998E-2</v>
      </c>
    </row>
    <row r="21" spans="1:6" x14ac:dyDescent="0.3">
      <c r="A21" s="442">
        <v>2033</v>
      </c>
      <c r="B21" s="437"/>
      <c r="C21" s="465">
        <v>4.07E-2</v>
      </c>
      <c r="D21" s="466">
        <v>4.0800000000000003E-2</v>
      </c>
      <c r="E21" s="467">
        <v>3.3500000000000002E-2</v>
      </c>
      <c r="F21" s="468">
        <v>2.93E-2</v>
      </c>
    </row>
    <row r="22" spans="1:6" x14ac:dyDescent="0.3">
      <c r="A22" s="441">
        <v>2034</v>
      </c>
      <c r="B22" s="437"/>
      <c r="C22" s="465">
        <v>3.9800000000000002E-2</v>
      </c>
      <c r="D22" s="466">
        <v>4.1300000000000003E-2</v>
      </c>
      <c r="E22" s="467">
        <v>3.3000000000000002E-2</v>
      </c>
      <c r="F22" s="468">
        <v>3.0300000000000001E-2</v>
      </c>
    </row>
    <row r="23" spans="1:6" x14ac:dyDescent="0.3">
      <c r="A23" s="442">
        <v>2035</v>
      </c>
      <c r="B23" s="437"/>
      <c r="C23" s="465">
        <v>4.1500000000000002E-2</v>
      </c>
      <c r="D23" s="466">
        <v>4.24E-2</v>
      </c>
      <c r="E23" s="467">
        <v>3.56E-2</v>
      </c>
      <c r="F23" s="468">
        <v>3.3099999999999997E-2</v>
      </c>
    </row>
    <row r="24" spans="1:6" x14ac:dyDescent="0.3">
      <c r="A24" s="441">
        <v>2036</v>
      </c>
      <c r="B24" s="437"/>
      <c r="C24" s="465">
        <v>4.19E-2</v>
      </c>
      <c r="D24" s="466">
        <v>4.2599999999999999E-2</v>
      </c>
      <c r="E24" s="467">
        <v>3.6600000000000001E-2</v>
      </c>
      <c r="F24" s="468">
        <v>3.39E-2</v>
      </c>
    </row>
    <row r="25" spans="1:6" x14ac:dyDescent="0.3">
      <c r="A25" s="442">
        <v>2037</v>
      </c>
      <c r="B25" s="437"/>
      <c r="C25" s="465">
        <v>4.2200000000000001E-2</v>
      </c>
      <c r="D25" s="466">
        <v>4.2900000000000001E-2</v>
      </c>
      <c r="E25" s="467">
        <v>3.7499999999999999E-2</v>
      </c>
      <c r="F25" s="468">
        <v>3.4799999999999998E-2</v>
      </c>
    </row>
    <row r="26" spans="1:6" x14ac:dyDescent="0.3">
      <c r="A26" s="441">
        <v>2038</v>
      </c>
      <c r="B26" s="437"/>
      <c r="C26" s="465">
        <v>4.2599999999999999E-2</v>
      </c>
      <c r="D26" s="466">
        <v>4.3200000000000002E-2</v>
      </c>
      <c r="E26" s="467">
        <v>3.8600000000000002E-2</v>
      </c>
      <c r="F26" s="468">
        <v>3.56E-2</v>
      </c>
    </row>
    <row r="27" spans="1:6" x14ac:dyDescent="0.3">
      <c r="A27" s="442">
        <v>2039</v>
      </c>
      <c r="B27" s="437"/>
      <c r="C27" s="465">
        <v>4.2900000000000001E-2</v>
      </c>
      <c r="D27" s="466">
        <v>4.3499999999999997E-2</v>
      </c>
      <c r="E27" s="467">
        <v>3.9600000000000003E-2</v>
      </c>
      <c r="F27" s="468">
        <v>3.6499999999999998E-2</v>
      </c>
    </row>
    <row r="28" spans="1:6" x14ac:dyDescent="0.3">
      <c r="A28" s="441">
        <v>2040</v>
      </c>
      <c r="B28" s="437"/>
      <c r="C28" s="465">
        <v>4.3299999999999998E-2</v>
      </c>
      <c r="D28" s="466">
        <v>4.3799999999999999E-2</v>
      </c>
      <c r="E28" s="467">
        <v>4.07E-2</v>
      </c>
      <c r="F28" s="468">
        <v>3.7400000000000003E-2</v>
      </c>
    </row>
    <row r="29" spans="1:6" x14ac:dyDescent="0.3">
      <c r="A29" s="442">
        <v>2041</v>
      </c>
      <c r="B29" s="437"/>
      <c r="C29" s="465">
        <v>4.36E-2</v>
      </c>
      <c r="D29" s="466">
        <v>4.3999999999999997E-2</v>
      </c>
      <c r="E29" s="467">
        <v>4.1799999999999997E-2</v>
      </c>
      <c r="F29" s="468">
        <v>3.8300000000000001E-2</v>
      </c>
    </row>
    <row r="30" spans="1:6" x14ac:dyDescent="0.3">
      <c r="A30" s="441">
        <v>2042</v>
      </c>
      <c r="B30" s="437"/>
      <c r="C30" s="465">
        <v>4.3999999999999997E-2</v>
      </c>
      <c r="D30" s="466">
        <v>4.4299999999999999E-2</v>
      </c>
      <c r="E30" s="467">
        <v>4.2900000000000001E-2</v>
      </c>
      <c r="F30" s="468">
        <v>3.9199999999999999E-2</v>
      </c>
    </row>
    <row r="31" spans="1:6" x14ac:dyDescent="0.3">
      <c r="A31" s="442">
        <v>2043</v>
      </c>
      <c r="B31" s="437"/>
      <c r="C31" s="465">
        <v>4.4299999999999999E-2</v>
      </c>
      <c r="D31" s="466">
        <v>4.4600000000000001E-2</v>
      </c>
      <c r="E31" s="467">
        <v>4.41E-2</v>
      </c>
      <c r="F31" s="468">
        <v>4.02E-2</v>
      </c>
    </row>
    <row r="32" spans="1:6" x14ac:dyDescent="0.3">
      <c r="A32" s="441">
        <v>2044</v>
      </c>
      <c r="B32" s="437"/>
      <c r="C32" s="465">
        <v>4.4699999999999997E-2</v>
      </c>
      <c r="D32" s="466">
        <v>4.4900000000000002E-2</v>
      </c>
      <c r="E32" s="467">
        <v>4.53E-2</v>
      </c>
      <c r="F32" s="468">
        <v>4.1200000000000001E-2</v>
      </c>
    </row>
    <row r="33" spans="1:11" x14ac:dyDescent="0.3">
      <c r="A33" s="442">
        <v>2045</v>
      </c>
      <c r="B33" s="437"/>
      <c r="C33" s="465">
        <v>4.5100000000000001E-2</v>
      </c>
      <c r="D33" s="466">
        <v>4.5199999999999997E-2</v>
      </c>
      <c r="E33" s="467">
        <v>4.65E-2</v>
      </c>
      <c r="F33" s="468">
        <v>4.2200000000000001E-2</v>
      </c>
    </row>
    <row r="34" spans="1:11" x14ac:dyDescent="0.3">
      <c r="A34" s="441">
        <v>2046</v>
      </c>
      <c r="B34" s="437"/>
      <c r="C34" s="465">
        <v>4.5499999999999999E-2</v>
      </c>
      <c r="D34" s="466">
        <v>4.5499999999999999E-2</v>
      </c>
      <c r="E34" s="467">
        <v>4.7699999999999999E-2</v>
      </c>
      <c r="F34" s="468">
        <v>4.3200000000000002E-2</v>
      </c>
    </row>
    <row r="35" spans="1:11" x14ac:dyDescent="0.3">
      <c r="A35" s="442">
        <v>2047</v>
      </c>
      <c r="B35" s="437"/>
      <c r="C35" s="465">
        <v>4.58E-2</v>
      </c>
      <c r="D35" s="466">
        <v>4.58E-2</v>
      </c>
      <c r="E35" s="467">
        <v>4.9000000000000002E-2</v>
      </c>
      <c r="F35" s="468">
        <v>4.4299999999999999E-2</v>
      </c>
    </row>
    <row r="36" spans="1:11" x14ac:dyDescent="0.3">
      <c r="A36" s="441">
        <v>2048</v>
      </c>
      <c r="B36" s="437"/>
      <c r="C36" s="465">
        <v>4.6199999999999998E-2</v>
      </c>
      <c r="D36" s="466">
        <v>4.6100000000000002E-2</v>
      </c>
      <c r="E36" s="467">
        <v>5.04E-2</v>
      </c>
      <c r="F36" s="468">
        <v>4.5400000000000003E-2</v>
      </c>
    </row>
    <row r="37" spans="1:11" x14ac:dyDescent="0.3">
      <c r="A37" s="442">
        <v>2049</v>
      </c>
      <c r="B37" s="437"/>
      <c r="C37" s="465">
        <v>4.6600000000000003E-2</v>
      </c>
      <c r="D37" s="466">
        <v>4.6399999999999997E-2</v>
      </c>
      <c r="E37" s="467">
        <v>5.1700000000000003E-2</v>
      </c>
      <c r="F37" s="468">
        <v>4.65E-2</v>
      </c>
    </row>
    <row r="38" spans="1:11" x14ac:dyDescent="0.3">
      <c r="A38" s="441">
        <v>2050</v>
      </c>
      <c r="B38" s="437"/>
      <c r="C38" s="465">
        <v>4.7E-2</v>
      </c>
      <c r="D38" s="466">
        <v>4.6699999999999998E-2</v>
      </c>
      <c r="E38" s="467">
        <v>5.3100000000000001E-2</v>
      </c>
      <c r="F38" s="468">
        <v>4.7600000000000003E-2</v>
      </c>
    </row>
    <row r="39" spans="1:11" x14ac:dyDescent="0.3">
      <c r="A39" s="442">
        <v>2051</v>
      </c>
      <c r="B39" s="437"/>
      <c r="C39" s="465">
        <v>4.7399999999999998E-2</v>
      </c>
      <c r="D39" s="466">
        <v>4.7E-2</v>
      </c>
      <c r="E39" s="467">
        <v>5.4600000000000003E-2</v>
      </c>
      <c r="F39" s="468">
        <v>4.8800000000000003E-2</v>
      </c>
    </row>
    <row r="40" spans="1:11" x14ac:dyDescent="0.3">
      <c r="A40" s="441">
        <v>2052</v>
      </c>
      <c r="B40" s="437"/>
      <c r="C40" s="465">
        <v>4.7800000000000002E-2</v>
      </c>
      <c r="D40" s="466">
        <v>4.7300000000000002E-2</v>
      </c>
      <c r="E40" s="467">
        <v>5.6000000000000001E-2</v>
      </c>
      <c r="F40" s="468">
        <v>0.05</v>
      </c>
    </row>
    <row r="41" spans="1:11" x14ac:dyDescent="0.3">
      <c r="A41" s="442">
        <v>2053</v>
      </c>
      <c r="B41" s="437"/>
      <c r="C41" s="465">
        <v>4.82E-2</v>
      </c>
      <c r="D41" s="466">
        <v>4.7600000000000003E-2</v>
      </c>
      <c r="E41" s="467">
        <v>5.7599999999999998E-2</v>
      </c>
      <c r="F41" s="468">
        <v>5.1200000000000002E-2</v>
      </c>
    </row>
    <row r="42" spans="1:11" x14ac:dyDescent="0.3">
      <c r="A42" s="441">
        <v>2054</v>
      </c>
      <c r="B42" s="438"/>
      <c r="C42" s="465">
        <v>4.8599999999999997E-2</v>
      </c>
      <c r="D42" s="466">
        <v>4.7899999999999998E-2</v>
      </c>
      <c r="E42" s="467">
        <v>5.91E-2</v>
      </c>
      <c r="F42" s="468">
        <v>5.2400000000000002E-2</v>
      </c>
    </row>
    <row r="43" spans="1:11" x14ac:dyDescent="0.3">
      <c r="A43" s="443">
        <v>2055</v>
      </c>
      <c r="B43" s="444"/>
      <c r="C43" s="469">
        <v>4.9000000000000002E-2</v>
      </c>
      <c r="D43" s="470">
        <v>4.82E-2</v>
      </c>
      <c r="E43" s="471">
        <v>6.0699999999999997E-2</v>
      </c>
      <c r="F43" s="472">
        <v>5.3699999999999998E-2</v>
      </c>
    </row>
    <row r="45" spans="1:11" ht="21" x14ac:dyDescent="0.35">
      <c r="A45" s="712" t="s">
        <v>183</v>
      </c>
      <c r="B45" s="712"/>
      <c r="C45" s="712"/>
      <c r="D45" s="712"/>
      <c r="E45" s="712"/>
      <c r="F45" s="712"/>
      <c r="G45" s="264"/>
      <c r="H45" s="264"/>
      <c r="I45" s="264"/>
      <c r="J45" s="264"/>
      <c r="K45" s="264"/>
    </row>
    <row r="47" spans="1:11" ht="14.5" customHeight="1" x14ac:dyDescent="0.35">
      <c r="A47" s="713" t="s">
        <v>175</v>
      </c>
      <c r="B47" s="714"/>
      <c r="C47" s="714"/>
      <c r="D47" s="714"/>
      <c r="E47" s="714"/>
      <c r="F47" s="715"/>
    </row>
    <row r="48" spans="1:11" x14ac:dyDescent="0.35">
      <c r="A48" s="716"/>
      <c r="B48" s="717"/>
      <c r="C48" s="717"/>
      <c r="D48" s="717"/>
      <c r="E48" s="717"/>
      <c r="F48" s="718"/>
    </row>
    <row r="49" spans="1:12" s="42" customFormat="1" ht="26" x14ac:dyDescent="0.35">
      <c r="A49" s="304" t="s">
        <v>176</v>
      </c>
      <c r="B49" s="308"/>
      <c r="C49" s="305" t="s">
        <v>177</v>
      </c>
      <c r="D49" s="306" t="s">
        <v>178</v>
      </c>
      <c r="E49" s="306" t="s">
        <v>179</v>
      </c>
      <c r="F49" s="307" t="s">
        <v>180</v>
      </c>
      <c r="I49" s="218"/>
      <c r="J49" s="219"/>
      <c r="K49" s="220"/>
      <c r="L49" s="132"/>
    </row>
    <row r="50" spans="1:12" x14ac:dyDescent="0.35">
      <c r="A50" s="456" t="s">
        <v>181</v>
      </c>
      <c r="B50" s="457"/>
      <c r="C50" s="458" t="s">
        <v>182</v>
      </c>
      <c r="D50" s="459" t="s">
        <v>182</v>
      </c>
      <c r="E50" s="459" t="s">
        <v>182</v>
      </c>
      <c r="F50" s="460" t="s">
        <v>182</v>
      </c>
      <c r="I50" s="215"/>
      <c r="J50" s="217"/>
      <c r="K50" s="221"/>
      <c r="L50" s="134"/>
    </row>
    <row r="51" spans="1:12" x14ac:dyDescent="0.35">
      <c r="A51" s="450">
        <v>2021</v>
      </c>
      <c r="B51" s="451"/>
      <c r="C51" s="562">
        <f>C9*(1+'Inputs-System'!$C$19)^(Energy!$A51-2021)</f>
        <v>4.2500000000000003E-2</v>
      </c>
      <c r="D51" s="563">
        <f>D9*(1+'Inputs-System'!$C$19)^(Energy!$A51-2021)</f>
        <v>3.6400000000000002E-2</v>
      </c>
      <c r="E51" s="563">
        <f>E9*(1+'Inputs-System'!$C$19)^(Energy!$A51-2021)</f>
        <v>3.1600000000000003E-2</v>
      </c>
      <c r="F51" s="564">
        <f>F9*(1+'Inputs-System'!$C$19)^(Energy!$A51-2021)</f>
        <v>2.5999999999999999E-2</v>
      </c>
      <c r="G51" s="45"/>
      <c r="H51" s="45"/>
      <c r="I51" s="229"/>
      <c r="J51" s="260"/>
      <c r="K51" s="261"/>
      <c r="L51" s="134"/>
    </row>
    <row r="52" spans="1:12" x14ac:dyDescent="0.35">
      <c r="A52" s="452">
        <v>2022</v>
      </c>
      <c r="B52" s="289"/>
      <c r="C52" s="565">
        <f>C10*(1+'Inputs-System'!$C$19)^(Energy!$A52-2021)</f>
        <v>4.5593999999999996E-2</v>
      </c>
      <c r="D52" s="561">
        <f>D10*(1+'Inputs-System'!$C$19)^(Energy!$A52-2021)</f>
        <v>4.2228000000000002E-2</v>
      </c>
      <c r="E52" s="561">
        <f>E10*(1+'Inputs-System'!$C$19)^(Energy!$A52-2021)</f>
        <v>2.9070000000000002E-2</v>
      </c>
      <c r="F52" s="566">
        <f>F10*(1+'Inputs-System'!$C$19)^(Energy!$A52-2021)</f>
        <v>2.5602E-2</v>
      </c>
      <c r="G52" s="45"/>
      <c r="H52" s="45"/>
      <c r="I52" s="229"/>
      <c r="J52" s="260"/>
      <c r="K52" s="261"/>
      <c r="L52" s="134"/>
    </row>
    <row r="53" spans="1:12" x14ac:dyDescent="0.35">
      <c r="A53" s="453">
        <v>2023</v>
      </c>
      <c r="B53" s="289"/>
      <c r="C53" s="565">
        <f>C11*(1+'Inputs-System'!$C$19)^(Energy!$A53-2021)</f>
        <v>4.4425079999999999E-2</v>
      </c>
      <c r="D53" s="561">
        <f>D11*(1+'Inputs-System'!$C$19)^(Energy!$A53-2021)</f>
        <v>4.3488719999999995E-2</v>
      </c>
      <c r="E53" s="561">
        <f>E11*(1+'Inputs-System'!$C$19)^(Energy!$A53-2021)</f>
        <v>2.6842319999999999E-2</v>
      </c>
      <c r="F53" s="566">
        <f>F11*(1+'Inputs-System'!$C$19)^(Energy!$A53-2021)</f>
        <v>2.6010000000000002E-2</v>
      </c>
      <c r="G53" s="45"/>
      <c r="H53" s="45"/>
      <c r="I53" s="229"/>
      <c r="J53" s="260"/>
      <c r="K53" s="261"/>
      <c r="L53" s="134"/>
    </row>
    <row r="54" spans="1:12" x14ac:dyDescent="0.35">
      <c r="A54" s="452">
        <v>2024</v>
      </c>
      <c r="B54" s="289"/>
      <c r="C54" s="565">
        <f>C12*(1+'Inputs-System'!$C$19)^(Energy!$A54-2021)</f>
        <v>4.6905393599999998E-2</v>
      </c>
      <c r="D54" s="561">
        <f>D12*(1+'Inputs-System'!$C$19)^(Energy!$A54-2021)</f>
        <v>4.6162547999999991E-2</v>
      </c>
      <c r="E54" s="561">
        <f>E12*(1+'Inputs-System'!$C$19)^(Energy!$A54-2021)</f>
        <v>3.0350548799999998E-2</v>
      </c>
      <c r="F54" s="566">
        <f>F12*(1+'Inputs-System'!$C$19)^(Energy!$A54-2021)</f>
        <v>2.9183219999999999E-2</v>
      </c>
      <c r="G54" s="45"/>
      <c r="H54" s="45"/>
      <c r="I54" s="229"/>
      <c r="J54" s="260"/>
      <c r="K54" s="261"/>
      <c r="L54" s="134"/>
    </row>
    <row r="55" spans="1:12" x14ac:dyDescent="0.35">
      <c r="A55" s="453">
        <v>2025</v>
      </c>
      <c r="B55" s="289"/>
      <c r="C55" s="565">
        <f>C13*(1+'Inputs-System'!$C$19)^(Energy!$A55-2021)</f>
        <v>4.7194042175999998E-2</v>
      </c>
      <c r="D55" s="561">
        <f>D13*(1+'Inputs-System'!$C$19)^(Energy!$A55-2021)</f>
        <v>4.6761069312000005E-2</v>
      </c>
      <c r="E55" s="561">
        <f>E13*(1+'Inputs-System'!$C$19)^(Energy!$A55-2021)</f>
        <v>3.1607019071999996E-2</v>
      </c>
      <c r="F55" s="566">
        <f>F13*(1+'Inputs-System'!$C$19)^(Energy!$A55-2021)</f>
        <v>2.9875127615999999E-2</v>
      </c>
      <c r="G55" s="45"/>
      <c r="H55" s="45"/>
      <c r="I55" s="229"/>
      <c r="J55" s="260"/>
      <c r="K55" s="261"/>
      <c r="L55" s="134"/>
    </row>
    <row r="56" spans="1:12" x14ac:dyDescent="0.35">
      <c r="A56" s="452">
        <v>2026</v>
      </c>
      <c r="B56" s="289"/>
      <c r="C56" s="565">
        <f>C14*(1+'Inputs-System'!$C$19)^(Energy!$A56-2021)</f>
        <v>4.8469147260480003E-2</v>
      </c>
      <c r="D56" s="561">
        <f>D14*(1+'Inputs-System'!$C$19)^(Energy!$A56-2021)</f>
        <v>4.6260985654080003E-2</v>
      </c>
      <c r="E56" s="561">
        <f>E14*(1+'Inputs-System'!$C$19)^(Energy!$A56-2021)</f>
        <v>3.3012016015679997E-2</v>
      </c>
      <c r="F56" s="566">
        <f>F14*(1+'Inputs-System'!$C$19)^(Energy!$A56-2021)</f>
        <v>2.9478957445440001E-2</v>
      </c>
      <c r="G56" s="45"/>
      <c r="H56" s="45"/>
      <c r="I56" s="229"/>
      <c r="J56" s="260"/>
      <c r="K56" s="261"/>
      <c r="L56" s="134"/>
    </row>
    <row r="57" spans="1:12" x14ac:dyDescent="0.35">
      <c r="A57" s="453">
        <v>2027</v>
      </c>
      <c r="B57" s="289"/>
      <c r="C57" s="565">
        <f>C15*(1+'Inputs-System'!$C$19)^(Energy!$A57-2021)</f>
        <v>4.8988065237983998E-2</v>
      </c>
      <c r="D57" s="561">
        <f>D15*(1+'Inputs-System'!$C$19)^(Energy!$A57-2021)</f>
        <v>4.5384345496339205E-2</v>
      </c>
      <c r="E57" s="561">
        <f>E15*(1+'Inputs-System'!$C$19)^(Energy!$A57-2021)</f>
        <v>3.4685802513331206E-2</v>
      </c>
      <c r="F57" s="566">
        <f>F15*(1+'Inputs-System'!$C$19)^(Energy!$A57-2021)</f>
        <v>2.9618071626643202E-2</v>
      </c>
      <c r="G57" s="45"/>
      <c r="H57" s="45"/>
      <c r="I57" s="229"/>
      <c r="J57" s="260"/>
      <c r="K57" s="261"/>
      <c r="L57" s="134"/>
    </row>
    <row r="58" spans="1:12" x14ac:dyDescent="0.35">
      <c r="A58" s="452">
        <v>2028</v>
      </c>
      <c r="B58" s="289"/>
      <c r="C58" s="565">
        <f>C16*(1+'Inputs-System'!$C$19)^(Energy!$A58-2021)</f>
        <v>4.6636638106560754E-2</v>
      </c>
      <c r="D58" s="561">
        <f>D16*(1+'Inputs-System'!$C$19)^(Energy!$A58-2021)</f>
        <v>4.7210980940385401E-2</v>
      </c>
      <c r="E58" s="561">
        <f>E16*(1+'Inputs-System'!$C$19)^(Energy!$A58-2021)</f>
        <v>3.3426752928594046E-2</v>
      </c>
      <c r="F58" s="566">
        <f>F16*(1+'Inputs-System'!$C$19)^(Energy!$A58-2021)</f>
        <v>3.2278067260944759E-2</v>
      </c>
      <c r="G58" s="45"/>
      <c r="H58" s="45"/>
      <c r="I58" s="229"/>
      <c r="J58" s="260"/>
      <c r="K58" s="261"/>
      <c r="L58" s="134"/>
    </row>
    <row r="59" spans="1:12" x14ac:dyDescent="0.35">
      <c r="A59" s="453">
        <v>2029</v>
      </c>
      <c r="B59" s="289"/>
      <c r="C59" s="565">
        <f>C17*(1+'Inputs-System'!$C$19)^(Energy!$A59-2021)</f>
        <v>4.5577549920988128E-2</v>
      </c>
      <c r="D59" s="561">
        <f>D17*(1+'Inputs-System'!$C$19)^(Energy!$A59-2021)</f>
        <v>4.7217873054391304E-2</v>
      </c>
      <c r="E59" s="561">
        <f>E17*(1+'Inputs-System'!$C$19)^(Energy!$A59-2021)</f>
        <v>3.3860956110965471E-2</v>
      </c>
      <c r="F59" s="566">
        <f>F17*(1+'Inputs-System'!$C$19)^(Energy!$A59-2021)</f>
        <v>3.2806462668063432E-2</v>
      </c>
      <c r="G59" s="45"/>
      <c r="H59" s="45"/>
      <c r="I59" s="229"/>
      <c r="J59" s="260"/>
      <c r="K59" s="261"/>
      <c r="L59" s="134"/>
    </row>
    <row r="60" spans="1:12" x14ac:dyDescent="0.35">
      <c r="A60" s="452">
        <v>2030</v>
      </c>
      <c r="B60" s="289"/>
      <c r="C60" s="565">
        <f>C18*(1+'Inputs-System'!$C$19)^(Energy!$A60-2021)</f>
        <v>4.6967137946856821E-2</v>
      </c>
      <c r="D60" s="561">
        <f>D18*(1+'Inputs-System'!$C$19)^(Energy!$A60-2021)</f>
        <v>4.8759776799790287E-2</v>
      </c>
      <c r="E60" s="561">
        <f>E18*(1+'Inputs-System'!$C$19)^(Energy!$A60-2021)</f>
        <v>3.6569832599842707E-2</v>
      </c>
      <c r="F60" s="566">
        <f>F18*(1+'Inputs-System'!$C$19)^(Energy!$A60-2021)</f>
        <v>3.4777193746909248E-2</v>
      </c>
      <c r="G60" s="45"/>
      <c r="H60" s="45"/>
      <c r="I60" s="229"/>
      <c r="J60" s="260"/>
      <c r="K60" s="261"/>
      <c r="L60" s="134"/>
    </row>
    <row r="61" spans="1:12" x14ac:dyDescent="0.35">
      <c r="A61" s="453">
        <v>2031</v>
      </c>
      <c r="B61" s="289"/>
      <c r="C61" s="565">
        <f>C19*(1+'Inputs-System'!$C$19)^(Energy!$A61-2021)</f>
        <v>4.8150279589792906E-2</v>
      </c>
      <c r="D61" s="561">
        <f>D19*(1+'Inputs-System'!$C$19)^(Energy!$A61-2021)</f>
        <v>5.0222570103783996E-2</v>
      </c>
      <c r="E61" s="561">
        <f>E19*(1+'Inputs-System'!$C$19)^(Energy!$A61-2021)</f>
        <v>3.8154525345835896E-2</v>
      </c>
      <c r="F61" s="566">
        <f>F19*(1+'Inputs-System'!$C$19)^(Energy!$A61-2021)</f>
        <v>3.5594637063846905E-2</v>
      </c>
      <c r="G61" s="45"/>
      <c r="H61" s="45"/>
      <c r="I61" s="229"/>
      <c r="J61" s="260"/>
      <c r="K61" s="261"/>
      <c r="L61" s="134"/>
    </row>
    <row r="62" spans="1:12" x14ac:dyDescent="0.35">
      <c r="A62" s="452">
        <v>2032</v>
      </c>
      <c r="B62" s="289"/>
      <c r="C62" s="565">
        <f>C20*(1+'Inputs-System'!$C$19)^(Energy!$A62-2021)</f>
        <v>5.1102684075020194E-2</v>
      </c>
      <c r="D62" s="561">
        <f>D20*(1+'Inputs-System'!$C$19)^(Energy!$A62-2021)</f>
        <v>4.9610634904946611E-2</v>
      </c>
      <c r="E62" s="561">
        <f>E20*(1+'Inputs-System'!$C$19)^(Energy!$A62-2021)</f>
        <v>4.1031352177023521E-2</v>
      </c>
      <c r="F62" s="566">
        <f>F20*(1+'Inputs-System'!$C$19)^(Energy!$A62-2021)</f>
        <v>3.4565805773371323E-2</v>
      </c>
      <c r="G62" s="45"/>
      <c r="H62" s="45"/>
      <c r="I62" s="229"/>
      <c r="J62" s="260"/>
      <c r="K62" s="261"/>
      <c r="L62" s="134"/>
    </row>
    <row r="63" spans="1:12" x14ac:dyDescent="0.35">
      <c r="A63" s="453">
        <v>2033</v>
      </c>
      <c r="B63" s="289"/>
      <c r="C63" s="565">
        <f>C21*(1+'Inputs-System'!$C$19)^(Energy!$A63-2021)</f>
        <v>5.1617441038695595E-2</v>
      </c>
      <c r="D63" s="561">
        <f>D21*(1+'Inputs-System'!$C$19)^(Energy!$A63-2021)</f>
        <v>5.1744265218151848E-2</v>
      </c>
      <c r="E63" s="561">
        <f>E21*(1+'Inputs-System'!$C$19)^(Energy!$A63-2021)</f>
        <v>4.2486100117845267E-2</v>
      </c>
      <c r="F63" s="566">
        <f>F21*(1+'Inputs-System'!$C$19)^(Energy!$A63-2021)</f>
        <v>3.7159484580682578E-2</v>
      </c>
      <c r="G63" s="45"/>
      <c r="H63" s="45"/>
      <c r="I63" s="229"/>
      <c r="J63" s="260"/>
      <c r="K63" s="261"/>
      <c r="L63" s="134"/>
    </row>
    <row r="64" spans="1:12" x14ac:dyDescent="0.35">
      <c r="A64" s="452">
        <v>2034</v>
      </c>
      <c r="B64" s="289"/>
      <c r="C64" s="565">
        <f>C22*(1+'Inputs-System'!$C$19)^(Energy!$A64-2021)</f>
        <v>5.1485543892061086E-2</v>
      </c>
      <c r="D64" s="561">
        <f>D22*(1+'Inputs-System'!$C$19)^(Energy!$A64-2021)</f>
        <v>5.3425953837741784E-2</v>
      </c>
      <c r="E64" s="561">
        <f>E22*(1+'Inputs-System'!$C$19)^(Energy!$A64-2021)</f>
        <v>4.2689018804975276E-2</v>
      </c>
      <c r="F64" s="566">
        <f>F22*(1+'Inputs-System'!$C$19)^(Energy!$A64-2021)</f>
        <v>3.9196280902750021E-2</v>
      </c>
      <c r="G64" s="45"/>
      <c r="H64" s="45"/>
      <c r="I64" s="229"/>
      <c r="J64" s="260"/>
      <c r="K64" s="261"/>
      <c r="L64" s="134"/>
    </row>
    <row r="65" spans="1:12" x14ac:dyDescent="0.35">
      <c r="A65" s="453">
        <v>2035</v>
      </c>
      <c r="B65" s="289"/>
      <c r="C65" s="565">
        <f>C23*(1+'Inputs-System'!$C$19)^(Energy!$A65-2021)</f>
        <v>5.4758368667109196E-2</v>
      </c>
      <c r="D65" s="561">
        <f>D23*(1+'Inputs-System'!$C$19)^(Energy!$A65-2021)</f>
        <v>5.594589955386578E-2</v>
      </c>
      <c r="E65" s="561">
        <f>E23*(1+'Inputs-System'!$C$19)^(Energy!$A65-2021)</f>
        <v>4.6973443965038247E-2</v>
      </c>
      <c r="F65" s="566">
        <f>F23*(1+'Inputs-System'!$C$19)^(Energy!$A65-2021)</f>
        <v>4.3674747057381065E-2</v>
      </c>
      <c r="G65" s="45"/>
      <c r="H65" s="45"/>
      <c r="I65" s="229"/>
      <c r="J65" s="260"/>
      <c r="K65" s="261"/>
      <c r="L65" s="134"/>
    </row>
    <row r="66" spans="1:12" x14ac:dyDescent="0.35">
      <c r="A66" s="452">
        <v>2036</v>
      </c>
      <c r="B66" s="289"/>
      <c r="C66" s="565">
        <f>C24*(1+'Inputs-System'!$C$19)^(Energy!$A66-2021)</f>
        <v>5.6391883375781014E-2</v>
      </c>
      <c r="D66" s="561">
        <f>D24*(1+'Inputs-System'!$C$19)^(Energy!$A66-2021)</f>
        <v>5.7333991212607904E-2</v>
      </c>
      <c r="E66" s="561">
        <f>E24*(1+'Inputs-System'!$C$19)^(Energy!$A66-2021)</f>
        <v>4.9258781182663129E-2</v>
      </c>
      <c r="F66" s="566">
        <f>F24*(1+'Inputs-System'!$C$19)^(Energy!$A66-2021)</f>
        <v>4.5624936669187981E-2</v>
      </c>
      <c r="G66" s="45"/>
      <c r="H66" s="45"/>
      <c r="I66" s="229"/>
      <c r="J66" s="260"/>
      <c r="K66" s="261"/>
      <c r="L66" s="134"/>
    </row>
    <row r="67" spans="1:12" x14ac:dyDescent="0.35">
      <c r="A67" s="453">
        <v>2037</v>
      </c>
      <c r="B67" s="289"/>
      <c r="C67" s="565">
        <f>C25*(1+'Inputs-System'!$C$19)^(Energy!$A67-2021)</f>
        <v>5.7931556754823831E-2</v>
      </c>
      <c r="D67" s="561">
        <f>D25*(1+'Inputs-System'!$C$19)^(Energy!$A67-2021)</f>
        <v>5.8892506748387259E-2</v>
      </c>
      <c r="E67" s="561">
        <f>E25*(1+'Inputs-System'!$C$19)^(Energy!$A67-2021)</f>
        <v>5.1479463940897953E-2</v>
      </c>
      <c r="F67" s="566">
        <f>F25*(1+'Inputs-System'!$C$19)^(Energy!$A67-2021)</f>
        <v>4.7772942537153293E-2</v>
      </c>
      <c r="G67" s="45"/>
      <c r="H67" s="45"/>
      <c r="I67" s="229"/>
      <c r="J67" s="260"/>
      <c r="K67" s="261"/>
      <c r="L67" s="134"/>
    </row>
    <row r="68" spans="1:12" x14ac:dyDescent="0.35">
      <c r="A68" s="452">
        <v>2038</v>
      </c>
      <c r="B68" s="289"/>
      <c r="C68" s="565">
        <f>C26*(1+'Inputs-System'!$C$19)^(Energy!$A68-2021)</f>
        <v>5.9650284457597277E-2</v>
      </c>
      <c r="D68" s="561">
        <f>D26*(1+'Inputs-System'!$C$19)^(Energy!$A68-2021)</f>
        <v>6.0490429309112734E-2</v>
      </c>
      <c r="E68" s="561">
        <f>E26*(1+'Inputs-System'!$C$19)^(Energy!$A68-2021)</f>
        <v>5.4049318780827582E-2</v>
      </c>
      <c r="F68" s="566">
        <f>F26*(1+'Inputs-System'!$C$19)^(Energy!$A68-2021)</f>
        <v>4.9848594523250307E-2</v>
      </c>
      <c r="G68" s="45"/>
      <c r="H68" s="45"/>
      <c r="I68" s="229"/>
      <c r="J68" s="260"/>
      <c r="K68" s="261"/>
      <c r="L68" s="134"/>
    </row>
    <row r="69" spans="1:12" x14ac:dyDescent="0.35">
      <c r="A69" s="453">
        <v>2039</v>
      </c>
      <c r="B69" s="289"/>
      <c r="C69" s="565">
        <f>C27*(1+'Inputs-System'!$C$19)^(Energy!$A69-2021)</f>
        <v>6.12717640210221E-2</v>
      </c>
      <c r="D69" s="561">
        <f>D27*(1+'Inputs-System'!$C$19)^(Energy!$A69-2021)</f>
        <v>6.2128711769567857E-2</v>
      </c>
      <c r="E69" s="561">
        <f>E27*(1+'Inputs-System'!$C$19)^(Energy!$A69-2021)</f>
        <v>5.6558551404020406E-2</v>
      </c>
      <c r="F69" s="566">
        <f>F27*(1+'Inputs-System'!$C$19)^(Energy!$A69-2021)</f>
        <v>5.2130988036533953E-2</v>
      </c>
      <c r="G69" s="45"/>
      <c r="H69" s="45"/>
      <c r="I69" s="229"/>
      <c r="J69" s="260"/>
      <c r="K69" s="261"/>
      <c r="L69" s="134"/>
    </row>
    <row r="70" spans="1:12" x14ac:dyDescent="0.35">
      <c r="A70" s="452">
        <v>2040</v>
      </c>
      <c r="B70" s="289"/>
      <c r="C70" s="565">
        <f>C28*(1+'Inputs-System'!$C$19)^(Energy!$A70-2021)</f>
        <v>6.3079923770453655E-2</v>
      </c>
      <c r="D70" s="561">
        <f>D28*(1+'Inputs-System'!$C$19)^(Energy!$A70-2021)</f>
        <v>6.3808329356717555E-2</v>
      </c>
      <c r="E70" s="561">
        <f>E28*(1+'Inputs-System'!$C$19)^(Energy!$A70-2021)</f>
        <v>5.9292214721881384E-2</v>
      </c>
      <c r="F70" s="566">
        <f>F28*(1+'Inputs-System'!$C$19)^(Energy!$A70-2021)</f>
        <v>5.4484737852539655E-2</v>
      </c>
      <c r="G70" s="45"/>
      <c r="H70" s="45"/>
      <c r="I70" s="229"/>
      <c r="J70" s="260"/>
      <c r="K70" s="261"/>
      <c r="L70" s="134"/>
    </row>
    <row r="71" spans="1:12" x14ac:dyDescent="0.35">
      <c r="A71" s="453">
        <v>2041</v>
      </c>
      <c r="B71" s="289"/>
      <c r="C71" s="565">
        <f>C29*(1+'Inputs-System'!$C$19)^(Energy!$A71-2021)</f>
        <v>6.4787306464656247E-2</v>
      </c>
      <c r="D71" s="561">
        <f>D29*(1+'Inputs-System'!$C$19)^(Energy!$A71-2021)</f>
        <v>6.5381685423047578E-2</v>
      </c>
      <c r="E71" s="561">
        <f>E29*(1+'Inputs-System'!$C$19)^(Energy!$A71-2021)</f>
        <v>6.2112601151895201E-2</v>
      </c>
      <c r="F71" s="566">
        <f>F29*(1+'Inputs-System'!$C$19)^(Energy!$A71-2021)</f>
        <v>5.6911785265970967E-2</v>
      </c>
      <c r="G71" s="45"/>
      <c r="H71" s="45"/>
      <c r="I71" s="229"/>
      <c r="J71" s="260"/>
      <c r="K71" s="261"/>
      <c r="L71" s="134"/>
    </row>
    <row r="72" spans="1:12" x14ac:dyDescent="0.35">
      <c r="A72" s="452">
        <v>2042</v>
      </c>
      <c r="B72" s="289"/>
      <c r="C72" s="565">
        <f>C30*(1+'Inputs-System'!$C$19)^(Energy!$A72-2021)</f>
        <v>6.6689319131508523E-2</v>
      </c>
      <c r="D72" s="561">
        <f>D30*(1+'Inputs-System'!$C$19)^(Energy!$A72-2021)</f>
        <v>6.7144019034677913E-2</v>
      </c>
      <c r="E72" s="561">
        <f>E30*(1+'Inputs-System'!$C$19)^(Energy!$A72-2021)</f>
        <v>6.5022086153220818E-2</v>
      </c>
      <c r="F72" s="566">
        <f>F30*(1+'Inputs-System'!$C$19)^(Energy!$A72-2021)</f>
        <v>5.9414120680798509E-2</v>
      </c>
      <c r="G72" s="45"/>
      <c r="H72" s="45"/>
      <c r="I72" s="229"/>
      <c r="J72" s="260"/>
      <c r="K72" s="261"/>
      <c r="L72" s="134"/>
    </row>
    <row r="73" spans="1:12" x14ac:dyDescent="0.35">
      <c r="A73" s="453">
        <v>2043</v>
      </c>
      <c r="B73" s="289"/>
      <c r="C73" s="565">
        <f>C31*(1+'Inputs-System'!$C$19)^(Energy!$A73-2021)</f>
        <v>6.8486899415371477E-2</v>
      </c>
      <c r="D73" s="561">
        <f>D31*(1+'Inputs-System'!$C$19)^(Energy!$A73-2021)</f>
        <v>6.8950693316604236E-2</v>
      </c>
      <c r="E73" s="561">
        <f>E31*(1+'Inputs-System'!$C$19)^(Energy!$A73-2021)</f>
        <v>6.8177703481216295E-2</v>
      </c>
      <c r="F73" s="566">
        <f>F31*(1+'Inputs-System'!$C$19)^(Energy!$A73-2021)</f>
        <v>6.2148382765190364E-2</v>
      </c>
      <c r="G73" s="45"/>
      <c r="H73" s="45"/>
      <c r="I73" s="229"/>
      <c r="J73" s="260"/>
      <c r="K73" s="261"/>
      <c r="L73" s="134"/>
    </row>
    <row r="74" spans="1:12" x14ac:dyDescent="0.35">
      <c r="A74" s="452">
        <v>2044</v>
      </c>
      <c r="B74" s="289"/>
      <c r="C74" s="565">
        <f>C32*(1+'Inputs-System'!$C$19)^(Energy!$A74-2021)</f>
        <v>7.0487397109355449E-2</v>
      </c>
      <c r="D74" s="561">
        <f>D32*(1+'Inputs-System'!$C$19)^(Energy!$A74-2021)</f>
        <v>7.0802776962193725E-2</v>
      </c>
      <c r="E74" s="561">
        <f>E32*(1+'Inputs-System'!$C$19)^(Energy!$A74-2021)</f>
        <v>7.1433536667870279E-2</v>
      </c>
      <c r="F74" s="566">
        <f>F32*(1+'Inputs-System'!$C$19)^(Energy!$A74-2021)</f>
        <v>6.4968249684685564E-2</v>
      </c>
      <c r="G74" s="45"/>
      <c r="H74" s="45"/>
      <c r="I74" s="229"/>
      <c r="J74" s="260"/>
      <c r="K74" s="261"/>
      <c r="L74" s="134"/>
    </row>
    <row r="75" spans="1:12" x14ac:dyDescent="0.35">
      <c r="A75" s="453">
        <v>2045</v>
      </c>
      <c r="B75" s="289"/>
      <c r="C75" s="565">
        <f>C33*(1+'Inputs-System'!$C$19)^(Energy!$A75-2021)</f>
        <v>7.2540519951332649E-2</v>
      </c>
      <c r="D75" s="561">
        <f>D33*(1+'Inputs-System'!$C$19)^(Energy!$A75-2021)</f>
        <v>7.2701363676280162E-2</v>
      </c>
      <c r="E75" s="561">
        <f>E33*(1+'Inputs-System'!$C$19)^(Energy!$A75-2021)</f>
        <v>7.4792332100597964E-2</v>
      </c>
      <c r="F75" s="566">
        <f>F33*(1+'Inputs-System'!$C$19)^(Energy!$A75-2021)</f>
        <v>6.7876051927854494E-2</v>
      </c>
      <c r="G75" s="45"/>
      <c r="H75" s="45"/>
      <c r="I75" s="229"/>
      <c r="J75" s="260"/>
      <c r="K75" s="261"/>
      <c r="L75" s="134"/>
    </row>
    <row r="76" spans="1:12" x14ac:dyDescent="0.35">
      <c r="A76" s="452">
        <v>2046</v>
      </c>
      <c r="B76" s="289"/>
      <c r="C76" s="565">
        <f>C34*(1+'Inputs-System'!$C$19)^(Energy!$A76-2021)</f>
        <v>7.4647572748145194E-2</v>
      </c>
      <c r="D76" s="561">
        <f>D34*(1+'Inputs-System'!$C$19)^(Energy!$A76-2021)</f>
        <v>7.4647572748145194E-2</v>
      </c>
      <c r="E76" s="561">
        <f>E34*(1+'Inputs-System'!$C$19)^(Energy!$A76-2021)</f>
        <v>7.8256905935967597E-2</v>
      </c>
      <c r="F76" s="566">
        <f>F34*(1+'Inputs-System'!$C$19)^(Energy!$A76-2021)</f>
        <v>7.0874178960876319E-2</v>
      </c>
      <c r="G76" s="45"/>
      <c r="H76" s="45"/>
      <c r="I76" s="229"/>
      <c r="J76" s="260"/>
      <c r="K76" s="261"/>
      <c r="L76" s="134"/>
    </row>
    <row r="77" spans="1:12" x14ac:dyDescent="0.35">
      <c r="A77" s="453">
        <v>2047</v>
      </c>
      <c r="B77" s="289"/>
      <c r="C77" s="565">
        <f>C35*(1+'Inputs-System'!$C$19)^(Energy!$A77-2021)</f>
        <v>7.664254963741432E-2</v>
      </c>
      <c r="D77" s="561">
        <f>D35*(1+'Inputs-System'!$C$19)^(Energy!$A77-2021)</f>
        <v>7.664254963741432E-2</v>
      </c>
      <c r="E77" s="561">
        <f>E35*(1+'Inputs-System'!$C$19)^(Energy!$A77-2021)</f>
        <v>8.1997487603347199E-2</v>
      </c>
      <c r="F77" s="566">
        <f>F35*(1+'Inputs-System'!$C$19)^(Energy!$A77-2021)</f>
        <v>7.413242246588328E-2</v>
      </c>
      <c r="G77" s="45"/>
      <c r="H77" s="45"/>
      <c r="I77" s="229"/>
      <c r="J77" s="260"/>
      <c r="K77" s="261"/>
      <c r="L77" s="134"/>
    </row>
    <row r="78" spans="1:12" x14ac:dyDescent="0.35">
      <c r="A78" s="452">
        <v>2048</v>
      </c>
      <c r="B78" s="289"/>
      <c r="C78" s="565">
        <f>C36*(1+'Inputs-System'!$C$19)^(Energy!$A78-2021)</f>
        <v>7.8858155220819029E-2</v>
      </c>
      <c r="D78" s="561">
        <f>D36*(1+'Inputs-System'!$C$19)^(Energy!$A78-2021)</f>
        <v>7.8687466573154924E-2</v>
      </c>
      <c r="E78" s="561">
        <f>E36*(1+'Inputs-System'!$C$19)^(Energy!$A78-2021)</f>
        <v>8.6027078422711664E-2</v>
      </c>
      <c r="F78" s="566">
        <f>F36*(1+'Inputs-System'!$C$19)^(Energy!$A78-2021)</f>
        <v>7.7492646039506147E-2</v>
      </c>
      <c r="G78" s="45"/>
      <c r="H78" s="45"/>
      <c r="I78" s="229"/>
      <c r="J78" s="260"/>
      <c r="K78" s="261"/>
      <c r="L78" s="134"/>
    </row>
    <row r="79" spans="1:12" x14ac:dyDescent="0.35">
      <c r="A79" s="453">
        <v>2049</v>
      </c>
      <c r="B79" s="289"/>
      <c r="C79" s="565">
        <f>C37*(1+'Inputs-System'!$C$19)^(Energy!$A79-2021)</f>
        <v>8.1131728007705003E-2</v>
      </c>
      <c r="D79" s="561">
        <f>D37*(1+'Inputs-System'!$C$19)^(Energy!$A79-2021)</f>
        <v>8.0783523166470209E-2</v>
      </c>
      <c r="E79" s="561">
        <f>E37*(1+'Inputs-System'!$C$19)^(Energy!$A79-2021)</f>
        <v>9.0010951459192023E-2</v>
      </c>
      <c r="F79" s="566">
        <f>F37*(1+'Inputs-System'!$C$19)^(Energy!$A79-2021)</f>
        <v>8.0957625587087606E-2</v>
      </c>
      <c r="G79" s="45"/>
      <c r="H79" s="45"/>
      <c r="I79" s="229"/>
      <c r="J79" s="260"/>
      <c r="K79" s="261"/>
      <c r="L79" s="134"/>
    </row>
    <row r="80" spans="1:12" x14ac:dyDescent="0.35">
      <c r="A80" s="452">
        <v>2050</v>
      </c>
      <c r="B80" s="290"/>
      <c r="C80" s="565">
        <f>C38*(1+'Inputs-System'!$C$19)^(Energy!$A80-2021)</f>
        <v>8.3464700443978052E-2</v>
      </c>
      <c r="D80" s="561">
        <f>D38*(1+'Inputs-System'!$C$19)^(Energy!$A80-2021)</f>
        <v>8.2931947036888817E-2</v>
      </c>
      <c r="E80" s="561">
        <f>E38*(1+'Inputs-System'!$C$19)^(Energy!$A80-2021)</f>
        <v>9.4297353054792213E-2</v>
      </c>
      <c r="F80" s="566">
        <f>F38*(1+'Inputs-System'!$C$19)^(Energy!$A80-2021)</f>
        <v>8.4530207258156492E-2</v>
      </c>
      <c r="G80" s="45"/>
      <c r="H80" s="45"/>
      <c r="I80" s="45"/>
      <c r="J80" s="110"/>
      <c r="K80" s="110"/>
    </row>
    <row r="81" spans="1:11" x14ac:dyDescent="0.35">
      <c r="A81" s="453">
        <v>2051</v>
      </c>
      <c r="B81" s="290"/>
      <c r="C81" s="565">
        <f>C39*(1+'Inputs-System'!$C$19)^(Energy!$A81-2021)</f>
        <v>8.5858539086498945E-2</v>
      </c>
      <c r="D81" s="561">
        <f>D39*(1+'Inputs-System'!$C$19)^(Energy!$A81-2021)</f>
        <v>8.5133994452857617E-2</v>
      </c>
      <c r="E81" s="561">
        <f>E39*(1+'Inputs-System'!$C$19)^(Energy!$A81-2021)</f>
        <v>9.8900342492043103E-2</v>
      </c>
      <c r="F81" s="566">
        <f>F39*(1+'Inputs-System'!$C$19)^(Energy!$A81-2021)</f>
        <v>8.839444530424366E-2</v>
      </c>
      <c r="G81" s="45"/>
      <c r="H81" s="45"/>
      <c r="I81" s="45"/>
      <c r="J81" s="110"/>
      <c r="K81" s="110"/>
    </row>
    <row r="82" spans="1:11" x14ac:dyDescent="0.35">
      <c r="A82" s="452">
        <v>2052</v>
      </c>
      <c r="B82" s="290"/>
      <c r="C82" s="565">
        <f>C40*(1+'Inputs-System'!$C$19)^(Energy!$A82-2021)</f>
        <v>8.8314745394543079E-2</v>
      </c>
      <c r="D82" s="561">
        <f>D40*(1+'Inputs-System'!$C$19)^(Energy!$A82-2021)</f>
        <v>8.7390950986650381E-2</v>
      </c>
      <c r="E82" s="561">
        <f>E40*(1+'Inputs-System'!$C$19)^(Energy!$A82-2021)</f>
        <v>0.10346497368398352</v>
      </c>
      <c r="F82" s="566">
        <f>F40*(1+'Inputs-System'!$C$19)^(Energy!$A82-2021)</f>
        <v>9.2379440789271017E-2</v>
      </c>
      <c r="G82" s="45"/>
      <c r="H82" s="45"/>
      <c r="I82" s="45"/>
      <c r="J82" s="110"/>
      <c r="K82" s="110"/>
    </row>
    <row r="83" spans="1:11" x14ac:dyDescent="0.35">
      <c r="A83" s="454">
        <v>2053</v>
      </c>
      <c r="B83" s="455"/>
      <c r="C83" s="567">
        <f>C41*(1+'Inputs-System'!$C$19)^(Energy!$A83-2021)</f>
        <v>9.0834856539274408E-2</v>
      </c>
      <c r="D83" s="568">
        <f>D41*(1+'Inputs-System'!$C$19)^(Energy!$A83-2021)</f>
        <v>8.9704132184013741E-2</v>
      </c>
      <c r="E83" s="568">
        <f>E41*(1+'Inputs-System'!$C$19)^(Energy!$A83-2021)</f>
        <v>0.10854953810502502</v>
      </c>
      <c r="F83" s="569">
        <f>F41*(1+'Inputs-System'!$C$19)^(Energy!$A83-2021)</f>
        <v>9.6488478315577803E-2</v>
      </c>
      <c r="G83" s="45"/>
      <c r="H83" s="45"/>
      <c r="I83" s="45"/>
      <c r="J83" s="110"/>
      <c r="K83" s="110"/>
    </row>
    <row r="84" spans="1:11" x14ac:dyDescent="0.35">
      <c r="A84" s="215"/>
      <c r="B84" s="215"/>
      <c r="C84" s="134"/>
      <c r="D84" s="134"/>
    </row>
    <row r="85" spans="1:11" x14ac:dyDescent="0.35">
      <c r="A85" s="215"/>
      <c r="B85" s="215"/>
      <c r="C85" s="134"/>
      <c r="D85" s="134"/>
    </row>
    <row r="86" spans="1:11" x14ac:dyDescent="0.35">
      <c r="A86" s="262"/>
      <c r="B86" s="262"/>
      <c r="C86" s="211"/>
      <c r="D86" s="134"/>
    </row>
    <row r="87" spans="1:11" x14ac:dyDescent="0.35">
      <c r="A87" s="215"/>
      <c r="B87" s="215"/>
      <c r="C87" s="134"/>
      <c r="D87" s="134"/>
    </row>
    <row r="88" spans="1:11" x14ac:dyDescent="0.35">
      <c r="A88" s="215"/>
      <c r="B88" s="215"/>
      <c r="C88" s="134"/>
      <c r="D88" s="134"/>
    </row>
    <row r="89" spans="1:11" x14ac:dyDescent="0.35">
      <c r="A89" s="215"/>
      <c r="B89" s="215"/>
      <c r="C89" s="134"/>
      <c r="D89" s="134"/>
    </row>
    <row r="90" spans="1:11" x14ac:dyDescent="0.35">
      <c r="A90" s="215"/>
      <c r="B90" s="215"/>
      <c r="C90" s="134"/>
      <c r="D90" s="134"/>
    </row>
    <row r="91" spans="1:11" x14ac:dyDescent="0.35">
      <c r="A91" s="215"/>
      <c r="B91" s="215"/>
      <c r="C91" s="134"/>
      <c r="D91" s="134"/>
    </row>
    <row r="92" spans="1:11" x14ac:dyDescent="0.35">
      <c r="A92" s="215"/>
      <c r="B92" s="215"/>
      <c r="C92" s="134"/>
      <c r="D92" s="134"/>
    </row>
    <row r="93" spans="1:11" x14ac:dyDescent="0.35">
      <c r="A93" s="215"/>
      <c r="B93" s="215"/>
      <c r="C93" s="134"/>
      <c r="D93" s="134"/>
    </row>
    <row r="94" spans="1:11" x14ac:dyDescent="0.35">
      <c r="A94" s="215"/>
      <c r="B94" s="215"/>
      <c r="C94" s="134"/>
      <c r="D94" s="134"/>
    </row>
    <row r="95" spans="1:11" x14ac:dyDescent="0.35">
      <c r="A95" s="215"/>
      <c r="B95" s="215"/>
      <c r="C95" s="134"/>
      <c r="D95" s="134"/>
    </row>
    <row r="96" spans="1:11" x14ac:dyDescent="0.35">
      <c r="A96" s="215"/>
      <c r="B96" s="215"/>
      <c r="C96" s="134"/>
      <c r="D96" s="134"/>
    </row>
    <row r="97" spans="1:4" x14ac:dyDescent="0.35">
      <c r="A97" s="215"/>
      <c r="B97" s="215"/>
      <c r="C97" s="134"/>
      <c r="D97" s="134"/>
    </row>
    <row r="98" spans="1:4" x14ac:dyDescent="0.35">
      <c r="A98" s="215"/>
      <c r="B98" s="215"/>
      <c r="C98" s="134"/>
      <c r="D98" s="134"/>
    </row>
    <row r="99" spans="1:4" x14ac:dyDescent="0.35">
      <c r="A99" s="215"/>
      <c r="B99" s="215"/>
      <c r="C99" s="134"/>
      <c r="D99" s="134"/>
    </row>
    <row r="100" spans="1:4" x14ac:dyDescent="0.35">
      <c r="A100" s="215"/>
      <c r="B100" s="215"/>
      <c r="C100" s="134"/>
      <c r="D100" s="134"/>
    </row>
    <row r="101" spans="1:4" x14ac:dyDescent="0.35">
      <c r="A101" s="215"/>
      <c r="B101" s="215"/>
      <c r="C101" s="134"/>
      <c r="D101" s="134"/>
    </row>
    <row r="102" spans="1:4" x14ac:dyDescent="0.35">
      <c r="A102" s="215"/>
      <c r="B102" s="215"/>
      <c r="C102" s="134"/>
      <c r="D102" s="134"/>
    </row>
    <row r="103" spans="1:4" x14ac:dyDescent="0.35">
      <c r="A103" s="215"/>
      <c r="B103" s="215"/>
      <c r="C103" s="134"/>
      <c r="D103" s="134"/>
    </row>
    <row r="104" spans="1:4" x14ac:dyDescent="0.35">
      <c r="A104" s="215"/>
      <c r="B104" s="215"/>
      <c r="C104" s="134"/>
      <c r="D104" s="134"/>
    </row>
    <row r="105" spans="1:4" x14ac:dyDescent="0.35">
      <c r="A105" s="215"/>
      <c r="B105" s="215"/>
      <c r="C105" s="134"/>
      <c r="D105" s="134"/>
    </row>
    <row r="106" spans="1:4" x14ac:dyDescent="0.35">
      <c r="A106" s="215"/>
      <c r="B106" s="215"/>
      <c r="C106" s="134"/>
      <c r="D106" s="134"/>
    </row>
    <row r="107" spans="1:4" x14ac:dyDescent="0.35">
      <c r="A107" s="215"/>
      <c r="B107" s="215"/>
      <c r="C107" s="134"/>
      <c r="D107" s="134"/>
    </row>
    <row r="108" spans="1:4" x14ac:dyDescent="0.35">
      <c r="A108" s="215"/>
      <c r="B108" s="215"/>
      <c r="C108" s="134"/>
      <c r="D108" s="134"/>
    </row>
    <row r="109" spans="1:4" x14ac:dyDescent="0.35">
      <c r="A109" s="215"/>
      <c r="B109" s="215"/>
      <c r="C109" s="134"/>
      <c r="D109" s="134"/>
    </row>
    <row r="110" spans="1:4" x14ac:dyDescent="0.35">
      <c r="A110" s="215"/>
      <c r="B110" s="215"/>
      <c r="C110" s="134"/>
      <c r="D110" s="134"/>
    </row>
    <row r="111" spans="1:4" x14ac:dyDescent="0.35">
      <c r="A111" s="215"/>
      <c r="B111" s="215"/>
      <c r="C111" s="134"/>
      <c r="D111" s="134"/>
    </row>
    <row r="112" spans="1:4" x14ac:dyDescent="0.35">
      <c r="A112" s="215"/>
      <c r="B112" s="215"/>
      <c r="C112" s="134"/>
      <c r="D112" s="134"/>
    </row>
    <row r="113" spans="1:4" x14ac:dyDescent="0.35">
      <c r="A113" s="215"/>
      <c r="B113" s="215"/>
      <c r="C113" s="134"/>
      <c r="D113" s="134"/>
    </row>
    <row r="114" spans="1:4" x14ac:dyDescent="0.35">
      <c r="A114" s="215"/>
      <c r="B114" s="215"/>
      <c r="C114" s="134"/>
      <c r="D114" s="134"/>
    </row>
    <row r="115" spans="1:4" x14ac:dyDescent="0.35">
      <c r="A115" s="215"/>
      <c r="B115" s="215"/>
      <c r="C115" s="134"/>
      <c r="D115" s="134"/>
    </row>
    <row r="116" spans="1:4" x14ac:dyDescent="0.35">
      <c r="A116" s="215"/>
      <c r="B116" s="215"/>
      <c r="C116" s="134"/>
      <c r="D116" s="134"/>
    </row>
  </sheetData>
  <mergeCells count="4">
    <mergeCell ref="A45:F45"/>
    <mergeCell ref="A1:F1"/>
    <mergeCell ref="A47:F48"/>
    <mergeCell ref="A5:F6"/>
  </mergeCells>
  <pageMargins left="0.7" right="0.7" top="0.75" bottom="0.75" header="0.3" footer="0.3"/>
  <pageSetup orientation="portrait" horizontalDpi="90" verticalDpi="90" r:id="rId1"/>
  <rowBreaks count="1" manualBreakCount="1">
    <brk id="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148C"/>
    <pageSetUpPr fitToPage="1"/>
  </sheetPr>
  <dimension ref="A1:K158"/>
  <sheetViews>
    <sheetView view="pageBreakPreview" topLeftCell="A19" zoomScale="60" zoomScaleNormal="100" workbookViewId="0">
      <selection activeCell="E100" sqref="E100"/>
    </sheetView>
  </sheetViews>
  <sheetFormatPr defaultColWidth="9.1796875" defaultRowHeight="14.5" x14ac:dyDescent="0.35"/>
  <cols>
    <col min="1" max="1" width="8.54296875" style="3" customWidth="1"/>
    <col min="2" max="2" width="17" style="3" customWidth="1"/>
    <col min="3" max="5" width="19.1796875" style="3" customWidth="1"/>
    <col min="6" max="6" width="18.54296875" style="3" bestFit="1" customWidth="1"/>
    <col min="7" max="7" width="15.1796875" style="3" bestFit="1" customWidth="1"/>
    <col min="8" max="8" width="18.54296875" style="3" bestFit="1" customWidth="1"/>
    <col min="9" max="9" width="25.1796875" style="3" bestFit="1" customWidth="1"/>
    <col min="10" max="10" width="19.7265625" style="3" bestFit="1" customWidth="1"/>
    <col min="11" max="12" width="9.1796875" style="3"/>
    <col min="13" max="13" width="25.81640625" style="3" bestFit="1" customWidth="1"/>
    <col min="14" max="14" width="15" style="3" customWidth="1"/>
    <col min="15" max="15" width="12.1796875" style="3" bestFit="1" customWidth="1"/>
    <col min="16" max="16" width="15.81640625" style="3" bestFit="1" customWidth="1"/>
    <col min="17" max="17" width="9.1796875" style="3"/>
    <col min="18" max="18" width="13.54296875" style="3" customWidth="1"/>
    <col min="19" max="16384" width="9.1796875" style="3"/>
  </cols>
  <sheetData>
    <row r="1" spans="1:11" ht="28.5" customHeight="1" x14ac:dyDescent="0.35">
      <c r="A1" s="653" t="s">
        <v>184</v>
      </c>
      <c r="B1" s="653"/>
      <c r="C1" s="653"/>
      <c r="D1" s="653"/>
      <c r="E1" s="653"/>
      <c r="F1" s="653"/>
      <c r="G1" s="653"/>
      <c r="H1" s="653"/>
      <c r="I1" s="653"/>
      <c r="J1" s="653"/>
      <c r="K1" s="244"/>
    </row>
    <row r="3" spans="1:11" x14ac:dyDescent="0.35">
      <c r="A3" s="3" t="s">
        <v>185</v>
      </c>
    </row>
    <row r="4" spans="1:11" ht="15" thickBot="1" x14ac:dyDescent="0.4">
      <c r="G4" s="633"/>
      <c r="H4" s="633"/>
      <c r="I4" s="633"/>
    </row>
    <row r="5" spans="1:11" s="42" customFormat="1" ht="29.5" thickBot="1" x14ac:dyDescent="0.4">
      <c r="A5" s="369" t="s">
        <v>186</v>
      </c>
      <c r="B5" s="481" t="s">
        <v>187</v>
      </c>
      <c r="C5" s="482" t="s">
        <v>188</v>
      </c>
      <c r="D5" s="483" t="s">
        <v>189</v>
      </c>
      <c r="F5" s="98"/>
      <c r="G5" s="98"/>
      <c r="H5" s="413"/>
    </row>
    <row r="6" spans="1:11" x14ac:dyDescent="0.35">
      <c r="A6" s="570">
        <v>2021</v>
      </c>
      <c r="B6" s="571">
        <v>125</v>
      </c>
      <c r="C6" s="476">
        <v>1.1E-5</v>
      </c>
      <c r="D6" s="477">
        <f t="shared" ref="D6:D38" si="0">C6-C90</f>
        <v>1.08E-5</v>
      </c>
      <c r="G6" s="419"/>
    </row>
    <row r="7" spans="1:11" x14ac:dyDescent="0.35">
      <c r="A7" s="558">
        <v>2022</v>
      </c>
      <c r="B7" s="409">
        <v>125</v>
      </c>
      <c r="C7" s="32">
        <v>1.1E-5</v>
      </c>
      <c r="D7" s="478">
        <f t="shared" si="0"/>
        <v>1.08E-5</v>
      </c>
      <c r="G7" s="419"/>
    </row>
    <row r="8" spans="1:11" x14ac:dyDescent="0.35">
      <c r="A8" s="558">
        <v>2023</v>
      </c>
      <c r="B8" s="409">
        <v>125</v>
      </c>
      <c r="C8" s="32">
        <v>1.01E-5</v>
      </c>
      <c r="D8" s="478">
        <f t="shared" si="0"/>
        <v>9.9000000000000001E-6</v>
      </c>
      <c r="G8" s="419"/>
    </row>
    <row r="9" spans="1:11" x14ac:dyDescent="0.35">
      <c r="A9" s="558">
        <v>2024</v>
      </c>
      <c r="B9" s="409">
        <v>125</v>
      </c>
      <c r="C9" s="32">
        <v>9.5999999999999996E-6</v>
      </c>
      <c r="D9" s="478">
        <f t="shared" si="0"/>
        <v>9.3999999999999998E-6</v>
      </c>
      <c r="G9" s="419"/>
    </row>
    <row r="10" spans="1:11" x14ac:dyDescent="0.35">
      <c r="A10" s="558">
        <v>2025</v>
      </c>
      <c r="B10" s="409">
        <v>125</v>
      </c>
      <c r="C10" s="32">
        <v>7.9999999999999996E-6</v>
      </c>
      <c r="D10" s="478">
        <f t="shared" si="0"/>
        <v>7.7999999999999999E-6</v>
      </c>
      <c r="G10" s="419"/>
    </row>
    <row r="11" spans="1:11" x14ac:dyDescent="0.35">
      <c r="A11" s="558">
        <v>2026</v>
      </c>
      <c r="B11" s="409">
        <v>125</v>
      </c>
      <c r="C11" s="32">
        <v>8.9999999999999985E-6</v>
      </c>
      <c r="D11" s="478">
        <f t="shared" si="0"/>
        <v>8.7999999999999988E-6</v>
      </c>
      <c r="G11" s="419"/>
    </row>
    <row r="12" spans="1:11" x14ac:dyDescent="0.35">
      <c r="A12" s="558">
        <v>2027</v>
      </c>
      <c r="B12" s="409">
        <v>125</v>
      </c>
      <c r="C12" s="32">
        <v>9.100000000000001E-6</v>
      </c>
      <c r="D12" s="478">
        <f t="shared" si="0"/>
        <v>8.9000000000000012E-6</v>
      </c>
      <c r="G12" s="419"/>
    </row>
    <row r="13" spans="1:11" x14ac:dyDescent="0.35">
      <c r="A13" s="558">
        <v>2028</v>
      </c>
      <c r="B13" s="409">
        <v>125</v>
      </c>
      <c r="C13" s="32">
        <v>8.9999999999999985E-6</v>
      </c>
      <c r="D13" s="478">
        <f t="shared" si="0"/>
        <v>8.7999999999999988E-6</v>
      </c>
      <c r="G13" s="419"/>
    </row>
    <row r="14" spans="1:11" x14ac:dyDescent="0.35">
      <c r="A14" s="558">
        <v>2029</v>
      </c>
      <c r="B14" s="409">
        <v>125</v>
      </c>
      <c r="C14" s="32">
        <v>9.100000000000001E-6</v>
      </c>
      <c r="D14" s="478">
        <f t="shared" si="0"/>
        <v>8.9000000000000012E-6</v>
      </c>
      <c r="G14" s="419"/>
    </row>
    <row r="15" spans="1:11" x14ac:dyDescent="0.35">
      <c r="A15" s="558">
        <v>2030</v>
      </c>
      <c r="B15" s="409">
        <v>125</v>
      </c>
      <c r="C15" s="32">
        <v>1.63E-5</v>
      </c>
      <c r="D15" s="478">
        <f t="shared" si="0"/>
        <v>1.6099999999999998E-5</v>
      </c>
      <c r="G15" s="419"/>
    </row>
    <row r="16" spans="1:11" x14ac:dyDescent="0.35">
      <c r="A16" s="558">
        <v>2031</v>
      </c>
      <c r="B16" s="409">
        <v>125</v>
      </c>
      <c r="C16" s="32">
        <v>1.6400000000000002E-5</v>
      </c>
      <c r="D16" s="478">
        <f t="shared" si="0"/>
        <v>1.6200000000000001E-5</v>
      </c>
      <c r="G16" s="419"/>
    </row>
    <row r="17" spans="1:7" x14ac:dyDescent="0.35">
      <c r="A17" s="558">
        <v>2032</v>
      </c>
      <c r="B17" s="409">
        <v>125</v>
      </c>
      <c r="C17" s="32">
        <v>1.49E-5</v>
      </c>
      <c r="D17" s="478">
        <f t="shared" si="0"/>
        <v>1.47E-5</v>
      </c>
      <c r="G17" s="419"/>
    </row>
    <row r="18" spans="1:7" x14ac:dyDescent="0.35">
      <c r="A18" s="558">
        <v>2033</v>
      </c>
      <c r="B18" s="409">
        <v>125</v>
      </c>
      <c r="C18" s="32">
        <v>1.3200000000000001E-5</v>
      </c>
      <c r="D18" s="478">
        <f t="shared" si="0"/>
        <v>1.3000000000000001E-5</v>
      </c>
      <c r="G18" s="419"/>
    </row>
    <row r="19" spans="1:7" x14ac:dyDescent="0.35">
      <c r="A19" s="558">
        <v>2034</v>
      </c>
      <c r="B19" s="409">
        <v>125</v>
      </c>
      <c r="C19" s="32">
        <v>1.4999999999999999E-5</v>
      </c>
      <c r="D19" s="478">
        <f t="shared" si="0"/>
        <v>1.4799999999999999E-5</v>
      </c>
      <c r="G19" s="419"/>
    </row>
    <row r="20" spans="1:7" x14ac:dyDescent="0.35">
      <c r="A20" s="558">
        <v>2035</v>
      </c>
      <c r="B20" s="409">
        <v>125</v>
      </c>
      <c r="C20" s="32">
        <v>1.7500000000000002E-5</v>
      </c>
      <c r="D20" s="478">
        <f t="shared" si="0"/>
        <v>1.73E-5</v>
      </c>
      <c r="G20" s="419"/>
    </row>
    <row r="21" spans="1:7" x14ac:dyDescent="0.35">
      <c r="A21" s="558">
        <v>2036</v>
      </c>
      <c r="B21" s="409">
        <v>125</v>
      </c>
      <c r="C21" s="32">
        <v>1.7399999999999999E-5</v>
      </c>
      <c r="D21" s="478">
        <f t="shared" si="0"/>
        <v>1.7199999999999998E-5</v>
      </c>
      <c r="G21" s="419"/>
    </row>
    <row r="22" spans="1:7" x14ac:dyDescent="0.35">
      <c r="A22" s="558">
        <v>2037</v>
      </c>
      <c r="B22" s="409">
        <v>125</v>
      </c>
      <c r="C22" s="32">
        <v>1.7399999999999999E-5</v>
      </c>
      <c r="D22" s="478">
        <f t="shared" si="0"/>
        <v>1.7199999999999998E-5</v>
      </c>
      <c r="G22" s="419"/>
    </row>
    <row r="23" spans="1:7" x14ac:dyDescent="0.35">
      <c r="A23" s="558">
        <v>2038</v>
      </c>
      <c r="B23" s="409">
        <v>125</v>
      </c>
      <c r="C23" s="32">
        <v>1.7399999999999999E-5</v>
      </c>
      <c r="D23" s="478">
        <f t="shared" si="0"/>
        <v>1.7199999999999998E-5</v>
      </c>
      <c r="G23" s="419"/>
    </row>
    <row r="24" spans="1:7" x14ac:dyDescent="0.35">
      <c r="A24" s="558">
        <v>2039</v>
      </c>
      <c r="B24" s="409">
        <v>125</v>
      </c>
      <c r="C24" s="32">
        <v>1.7399999999999999E-5</v>
      </c>
      <c r="D24" s="478">
        <f t="shared" si="0"/>
        <v>1.7199999999999998E-5</v>
      </c>
      <c r="G24" s="419"/>
    </row>
    <row r="25" spans="1:7" x14ac:dyDescent="0.35">
      <c r="A25" s="558">
        <v>2040</v>
      </c>
      <c r="B25" s="409">
        <v>125</v>
      </c>
      <c r="C25" s="32">
        <v>1.7399999999999999E-5</v>
      </c>
      <c r="D25" s="478">
        <f t="shared" si="0"/>
        <v>1.7199999999999998E-5</v>
      </c>
      <c r="G25" s="419"/>
    </row>
    <row r="26" spans="1:7" x14ac:dyDescent="0.35">
      <c r="A26" s="558">
        <v>2041</v>
      </c>
      <c r="B26" s="409">
        <v>125</v>
      </c>
      <c r="C26" s="32">
        <v>1.7399999999999999E-5</v>
      </c>
      <c r="D26" s="478">
        <f t="shared" si="0"/>
        <v>1.7199999999999998E-5</v>
      </c>
      <c r="G26" s="419"/>
    </row>
    <row r="27" spans="1:7" x14ac:dyDescent="0.35">
      <c r="A27" s="558">
        <v>2042</v>
      </c>
      <c r="B27" s="409">
        <v>125</v>
      </c>
      <c r="C27" s="32">
        <v>1.7399999999999999E-5</v>
      </c>
      <c r="D27" s="478">
        <f t="shared" si="0"/>
        <v>1.7199999999999998E-5</v>
      </c>
      <c r="G27" s="419"/>
    </row>
    <row r="28" spans="1:7" x14ac:dyDescent="0.35">
      <c r="A28" s="558">
        <v>2043</v>
      </c>
      <c r="B28" s="409">
        <v>125</v>
      </c>
      <c r="C28" s="32">
        <v>1.7399999999999999E-5</v>
      </c>
      <c r="D28" s="478">
        <f t="shared" si="0"/>
        <v>1.7199999999999998E-5</v>
      </c>
      <c r="G28" s="419"/>
    </row>
    <row r="29" spans="1:7" x14ac:dyDescent="0.35">
      <c r="A29" s="558">
        <v>2044</v>
      </c>
      <c r="B29" s="409">
        <v>125</v>
      </c>
      <c r="C29" s="32">
        <v>1.7399999999999999E-5</v>
      </c>
      <c r="D29" s="478">
        <f t="shared" si="0"/>
        <v>1.7199999999999998E-5</v>
      </c>
      <c r="G29" s="419"/>
    </row>
    <row r="30" spans="1:7" x14ac:dyDescent="0.35">
      <c r="A30" s="558">
        <v>2045</v>
      </c>
      <c r="B30" s="409">
        <v>125</v>
      </c>
      <c r="C30" s="32">
        <v>1.7399999999999999E-5</v>
      </c>
      <c r="D30" s="478">
        <f t="shared" si="0"/>
        <v>1.7199999999999998E-5</v>
      </c>
      <c r="G30" s="419"/>
    </row>
    <row r="31" spans="1:7" x14ac:dyDescent="0.35">
      <c r="A31" s="558">
        <v>2046</v>
      </c>
      <c r="B31" s="409">
        <v>125</v>
      </c>
      <c r="C31" s="32">
        <v>1.7399999999999999E-5</v>
      </c>
      <c r="D31" s="478">
        <f t="shared" si="0"/>
        <v>1.7199999999999998E-5</v>
      </c>
      <c r="G31" s="419"/>
    </row>
    <row r="32" spans="1:7" x14ac:dyDescent="0.35">
      <c r="A32" s="558">
        <v>2047</v>
      </c>
      <c r="B32" s="409">
        <v>125</v>
      </c>
      <c r="C32" s="32">
        <v>1.7399999999999999E-5</v>
      </c>
      <c r="D32" s="478">
        <f t="shared" si="0"/>
        <v>1.7199999999999998E-5</v>
      </c>
      <c r="G32" s="419"/>
    </row>
    <row r="33" spans="1:11" x14ac:dyDescent="0.35">
      <c r="A33" s="558">
        <v>2048</v>
      </c>
      <c r="B33" s="409">
        <v>125</v>
      </c>
      <c r="C33" s="32">
        <v>1.7399999999999999E-5</v>
      </c>
      <c r="D33" s="478">
        <f t="shared" si="0"/>
        <v>1.7199999999999998E-5</v>
      </c>
      <c r="G33" s="419"/>
    </row>
    <row r="34" spans="1:11" x14ac:dyDescent="0.35">
      <c r="A34" s="558">
        <v>2049</v>
      </c>
      <c r="B34" s="409">
        <v>125</v>
      </c>
      <c r="C34" s="32">
        <v>1.7399999999999999E-5</v>
      </c>
      <c r="D34" s="478">
        <f t="shared" si="0"/>
        <v>1.7199999999999998E-5</v>
      </c>
      <c r="G34" s="419"/>
    </row>
    <row r="35" spans="1:11" x14ac:dyDescent="0.35">
      <c r="A35" s="558">
        <v>2050</v>
      </c>
      <c r="B35" s="409">
        <v>125</v>
      </c>
      <c r="C35" s="32">
        <v>1.7399999999999999E-5</v>
      </c>
      <c r="D35" s="478">
        <f t="shared" si="0"/>
        <v>1.7199999999999998E-5</v>
      </c>
      <c r="G35" s="419"/>
    </row>
    <row r="36" spans="1:11" x14ac:dyDescent="0.35">
      <c r="A36" s="558">
        <v>2051</v>
      </c>
      <c r="B36" s="409">
        <v>125</v>
      </c>
      <c r="C36" s="32">
        <v>1.73E-5</v>
      </c>
      <c r="D36" s="478">
        <f t="shared" si="0"/>
        <v>1.73E-5</v>
      </c>
      <c r="G36" s="419"/>
    </row>
    <row r="37" spans="1:11" x14ac:dyDescent="0.35">
      <c r="A37" s="558">
        <v>2052</v>
      </c>
      <c r="B37" s="409">
        <v>125</v>
      </c>
      <c r="C37" s="32">
        <v>1.73E-5</v>
      </c>
      <c r="D37" s="478">
        <f t="shared" si="0"/>
        <v>1.73E-5</v>
      </c>
      <c r="G37" s="419"/>
    </row>
    <row r="38" spans="1:11" ht="15" thickBot="1" x14ac:dyDescent="0.4">
      <c r="A38" s="559">
        <v>2053</v>
      </c>
      <c r="B38" s="572">
        <v>125</v>
      </c>
      <c r="C38" s="479">
        <v>1.73E-5</v>
      </c>
      <c r="D38" s="480">
        <f t="shared" si="0"/>
        <v>1.73E-5</v>
      </c>
      <c r="G38" s="419"/>
    </row>
    <row r="41" spans="1:11" ht="21" x14ac:dyDescent="0.35">
      <c r="A41" s="712" t="s">
        <v>190</v>
      </c>
      <c r="B41" s="712"/>
      <c r="C41" s="712"/>
      <c r="D41" s="712"/>
      <c r="E41" s="712"/>
      <c r="F41" s="712"/>
      <c r="G41" s="712"/>
      <c r="H41" s="712"/>
      <c r="I41" s="712"/>
      <c r="J41" s="712"/>
      <c r="K41" s="264"/>
    </row>
    <row r="43" spans="1:11" x14ac:dyDescent="0.35">
      <c r="A43" s="3" t="s">
        <v>191</v>
      </c>
    </row>
    <row r="45" spans="1:11" ht="48.75" customHeight="1" x14ac:dyDescent="0.35">
      <c r="A45" s="725" t="s">
        <v>192</v>
      </c>
      <c r="B45" s="726"/>
      <c r="C45" s="334"/>
      <c r="D45" s="334"/>
    </row>
    <row r="46" spans="1:11" s="42" customFormat="1" ht="29" x14ac:dyDescent="0.35">
      <c r="A46" s="573" t="s">
        <v>186</v>
      </c>
      <c r="B46" s="574" t="s">
        <v>193</v>
      </c>
    </row>
    <row r="47" spans="1:11" x14ac:dyDescent="0.35">
      <c r="A47" s="575">
        <v>2021</v>
      </c>
      <c r="B47" s="579">
        <f>D6*(1+'Inputs-System'!$C$19)^('Embedded Emissions'!$A47-2021)*1000</f>
        <v>1.0800000000000001E-2</v>
      </c>
    </row>
    <row r="48" spans="1:11" x14ac:dyDescent="0.35">
      <c r="A48" s="576">
        <v>2022</v>
      </c>
      <c r="B48" s="580">
        <f>D7*(1+'Inputs-System'!$C$19)^('Embedded Emissions'!$A48-2021)*1000</f>
        <v>1.1016000000000001E-2</v>
      </c>
    </row>
    <row r="49" spans="1:2" x14ac:dyDescent="0.35">
      <c r="A49" s="577">
        <v>2023</v>
      </c>
      <c r="B49" s="580">
        <f>D8*(1+'Inputs-System'!$C$19)^('Embedded Emissions'!$A49-2021)*1000</f>
        <v>1.029996E-2</v>
      </c>
    </row>
    <row r="50" spans="1:2" x14ac:dyDescent="0.35">
      <c r="A50" s="576">
        <v>2024</v>
      </c>
      <c r="B50" s="580">
        <f>D9*(1+'Inputs-System'!$C$19)^('Embedded Emissions'!$A50-2021)*1000</f>
        <v>9.9753551999999992E-3</v>
      </c>
    </row>
    <row r="51" spans="1:2" x14ac:dyDescent="0.35">
      <c r="A51" s="577">
        <v>2025</v>
      </c>
      <c r="B51" s="580">
        <f>D10*(1+'Inputs-System'!$C$19)^('Embedded Emissions'!$A51-2021)*1000</f>
        <v>8.4429708479999994E-3</v>
      </c>
    </row>
    <row r="52" spans="1:2" x14ac:dyDescent="0.35">
      <c r="A52" s="576">
        <v>2026</v>
      </c>
      <c r="B52" s="580">
        <f>D11*(1+'Inputs-System'!$C$19)^('Embedded Emissions'!$A52-2021)*1000</f>
        <v>9.7159110681599992E-3</v>
      </c>
    </row>
    <row r="53" spans="1:2" x14ac:dyDescent="0.35">
      <c r="A53" s="577">
        <v>2027</v>
      </c>
      <c r="B53" s="580">
        <f>D12*(1+'Inputs-System'!$C$19)^('Embedded Emissions'!$A53-2021)*1000</f>
        <v>1.0022845531449602E-2</v>
      </c>
    </row>
    <row r="54" spans="1:2" x14ac:dyDescent="0.35">
      <c r="A54" s="576">
        <v>2028</v>
      </c>
      <c r="B54" s="580">
        <f>D13*(1+'Inputs-System'!$C$19)^('Embedded Emissions'!$A54-2021)*1000</f>
        <v>1.0108433875313662E-2</v>
      </c>
    </row>
    <row r="55" spans="1:2" x14ac:dyDescent="0.35">
      <c r="A55" s="577">
        <v>2029</v>
      </c>
      <c r="B55" s="580">
        <f>D14*(1+'Inputs-System'!$C$19)^('Embedded Emissions'!$A55-2021)*1000</f>
        <v>1.0427768490920164E-2</v>
      </c>
    </row>
    <row r="56" spans="1:2" x14ac:dyDescent="0.35">
      <c r="A56" s="576">
        <v>2030</v>
      </c>
      <c r="B56" s="580">
        <f>D15*(1+'Inputs-System'!$C$19)^('Embedded Emissions'!$A56-2021)*1000</f>
        <v>1.9240990354819201E-2</v>
      </c>
    </row>
    <row r="57" spans="1:2" x14ac:dyDescent="0.35">
      <c r="A57" s="577">
        <v>2031</v>
      </c>
      <c r="B57" s="580">
        <f>D16*(1+'Inputs-System'!$C$19)^('Embedded Emissions'!$A57-2021)*1000</f>
        <v>1.9747709603915066E-2</v>
      </c>
    </row>
    <row r="58" spans="1:2" x14ac:dyDescent="0.35">
      <c r="A58" s="576">
        <v>2032</v>
      </c>
      <c r="B58" s="580">
        <f>D17*(1+'Inputs-System'!$C$19)^('Embedded Emissions'!$A58-2021)*1000</f>
        <v>1.8277602333401387E-2</v>
      </c>
    </row>
    <row r="59" spans="1:2" x14ac:dyDescent="0.35">
      <c r="A59" s="577">
        <v>2033</v>
      </c>
      <c r="B59" s="580">
        <f>D18*(1+'Inputs-System'!$C$19)^('Embedded Emissions'!$A59-2021)*1000</f>
        <v>1.648714332931309E-2</v>
      </c>
    </row>
    <row r="60" spans="1:2" x14ac:dyDescent="0.35">
      <c r="A60" s="576">
        <v>2034</v>
      </c>
      <c r="B60" s="580">
        <f>D19*(1+'Inputs-System'!$C$19)^('Embedded Emissions'!$A60-2021)*1000</f>
        <v>1.9145378130716182E-2</v>
      </c>
    </row>
    <row r="61" spans="1:2" x14ac:dyDescent="0.35">
      <c r="A61" s="577">
        <v>2035</v>
      </c>
      <c r="B61" s="580">
        <f>D20*(1+'Inputs-System'!$C$19)^('Embedded Emissions'!$A61-2021)*1000</f>
        <v>2.2826982600987689E-2</v>
      </c>
    </row>
    <row r="62" spans="1:2" x14ac:dyDescent="0.35">
      <c r="A62" s="576">
        <v>2036</v>
      </c>
      <c r="B62" s="580">
        <f>D21*(1+'Inputs-System'!$C$19)^('Embedded Emissions'!$A62-2021)*1000</f>
        <v>2.314893541917502E-2</v>
      </c>
    </row>
    <row r="63" spans="1:2" x14ac:dyDescent="0.35">
      <c r="A63" s="577">
        <v>2037</v>
      </c>
      <c r="B63" s="580">
        <f>D22*(1+'Inputs-System'!$C$19)^('Embedded Emissions'!$A63-2021)*1000</f>
        <v>2.3611914127558524E-2</v>
      </c>
    </row>
    <row r="64" spans="1:2" x14ac:dyDescent="0.35">
      <c r="A64" s="576">
        <v>2038</v>
      </c>
      <c r="B64" s="580">
        <f>D23*(1+'Inputs-System'!$C$19)^('Embedded Emissions'!$A64-2021)*1000</f>
        <v>2.4084152410109697E-2</v>
      </c>
    </row>
    <row r="65" spans="1:2" x14ac:dyDescent="0.35">
      <c r="A65" s="577">
        <v>2039</v>
      </c>
      <c r="B65" s="580">
        <f>D24*(1+'Inputs-System'!$C$19)^('Embedded Emissions'!$A65-2021)*1000</f>
        <v>2.456583545831189E-2</v>
      </c>
    </row>
    <row r="66" spans="1:2" x14ac:dyDescent="0.35">
      <c r="A66" s="576">
        <v>2040</v>
      </c>
      <c r="B66" s="580">
        <f>D25*(1+'Inputs-System'!$C$19)^('Embedded Emissions'!$A66-2021)*1000</f>
        <v>2.5057152167478124E-2</v>
      </c>
    </row>
    <row r="67" spans="1:2" x14ac:dyDescent="0.35">
      <c r="A67" s="577">
        <v>2041</v>
      </c>
      <c r="B67" s="580">
        <f>D26*(1+'Inputs-System'!$C$19)^('Embedded Emissions'!$A67-2021)*1000</f>
        <v>2.5558295210827687E-2</v>
      </c>
    </row>
    <row r="68" spans="1:2" x14ac:dyDescent="0.35">
      <c r="A68" s="576">
        <v>2042</v>
      </c>
      <c r="B68" s="580">
        <f>D27*(1+'Inputs-System'!$C$19)^('Embedded Emissions'!$A68-2021)*1000</f>
        <v>2.606946111504424E-2</v>
      </c>
    </row>
    <row r="69" spans="1:2" x14ac:dyDescent="0.35">
      <c r="A69" s="577">
        <v>2043</v>
      </c>
      <c r="B69" s="580">
        <f>D28*(1+'Inputs-System'!$C$19)^('Embedded Emissions'!$A69-2021)*1000</f>
        <v>2.6590850337345127E-2</v>
      </c>
    </row>
    <row r="70" spans="1:2" x14ac:dyDescent="0.35">
      <c r="A70" s="576">
        <v>2044</v>
      </c>
      <c r="B70" s="580">
        <f>D29*(1+'Inputs-System'!$C$19)^('Embedded Emissions'!$A70-2021)*1000</f>
        <v>2.7122667344092029E-2</v>
      </c>
    </row>
    <row r="71" spans="1:2" x14ac:dyDescent="0.35">
      <c r="A71" s="577">
        <v>2045</v>
      </c>
      <c r="B71" s="580">
        <f>D30*(1+'Inputs-System'!$C$19)^('Embedded Emissions'!$A71-2021)*1000</f>
        <v>2.7665120690973866E-2</v>
      </c>
    </row>
    <row r="72" spans="1:2" x14ac:dyDescent="0.35">
      <c r="A72" s="576">
        <v>2046</v>
      </c>
      <c r="B72" s="580">
        <f>D31*(1+'Inputs-System'!$C$19)^('Embedded Emissions'!$A72-2021)*1000</f>
        <v>2.8218423104793344E-2</v>
      </c>
    </row>
    <row r="73" spans="1:2" x14ac:dyDescent="0.35">
      <c r="A73" s="577">
        <v>2047</v>
      </c>
      <c r="B73" s="580">
        <f>D32*(1+'Inputs-System'!$C$19)^('Embedded Emissions'!$A73-2021)*1000</f>
        <v>2.8782791566889215E-2</v>
      </c>
    </row>
    <row r="74" spans="1:2" x14ac:dyDescent="0.35">
      <c r="A74" s="576">
        <v>2048</v>
      </c>
      <c r="B74" s="580">
        <f>D33*(1+'Inputs-System'!$C$19)^('Embedded Emissions'!$A74-2021)*1000</f>
        <v>2.9358447398226992E-2</v>
      </c>
    </row>
    <row r="75" spans="1:2" x14ac:dyDescent="0.35">
      <c r="A75" s="577">
        <v>2049</v>
      </c>
      <c r="B75" s="580">
        <f>D34*(1+'Inputs-System'!$C$19)^('Embedded Emissions'!$A75-2021)*1000</f>
        <v>2.9945616346191542E-2</v>
      </c>
    </row>
    <row r="76" spans="1:2" x14ac:dyDescent="0.35">
      <c r="A76" s="576">
        <v>2050</v>
      </c>
      <c r="B76" s="580">
        <f>D35*(1+'Inputs-System'!$C$19)^('Embedded Emissions'!$A76-2021)*1000</f>
        <v>3.0544528673115367E-2</v>
      </c>
    </row>
    <row r="77" spans="1:2" x14ac:dyDescent="0.35">
      <c r="A77" s="577">
        <v>2051</v>
      </c>
      <c r="B77" s="580">
        <f>D36*(1+'Inputs-System'!$C$19)^('Embedded Emissions'!$A77-2021)*1000</f>
        <v>3.1336555404988017E-2</v>
      </c>
    </row>
    <row r="78" spans="1:2" x14ac:dyDescent="0.35">
      <c r="A78" s="578">
        <v>2052</v>
      </c>
      <c r="B78" s="581">
        <f>D37*(1+'Inputs-System'!$C$19)^('Embedded Emissions'!$A78-2021)*1000</f>
        <v>3.1963286513087767E-2</v>
      </c>
    </row>
    <row r="81" spans="1:10" ht="21" x14ac:dyDescent="0.35">
      <c r="A81" s="712" t="s">
        <v>194</v>
      </c>
      <c r="B81" s="712"/>
      <c r="C81" s="712"/>
      <c r="D81" s="712"/>
      <c r="E81" s="712"/>
      <c r="F81" s="712"/>
      <c r="G81" s="712"/>
      <c r="H81" s="712"/>
      <c r="I81" s="712"/>
      <c r="J81" s="712"/>
    </row>
    <row r="83" spans="1:10" x14ac:dyDescent="0.35">
      <c r="A83" s="3" t="s">
        <v>195</v>
      </c>
    </row>
    <row r="85" spans="1:10" x14ac:dyDescent="0.35">
      <c r="B85" s="473"/>
      <c r="C85" s="475" t="s">
        <v>196</v>
      </c>
      <c r="D85" s="475" t="s">
        <v>197</v>
      </c>
      <c r="E85" s="475" t="s">
        <v>198</v>
      </c>
    </row>
    <row r="86" spans="1:10" ht="43.5" x14ac:dyDescent="0.35">
      <c r="B86" s="474" t="s">
        <v>199</v>
      </c>
      <c r="C86" s="473">
        <v>0.03</v>
      </c>
      <c r="D86" s="473">
        <v>0.02</v>
      </c>
      <c r="E86" s="473">
        <v>0.02</v>
      </c>
    </row>
    <row r="88" spans="1:10" x14ac:dyDescent="0.35">
      <c r="A88" s="727" t="s">
        <v>200</v>
      </c>
      <c r="B88" s="728"/>
      <c r="C88" s="729"/>
    </row>
    <row r="89" spans="1:10" x14ac:dyDescent="0.35">
      <c r="A89" s="588" t="s">
        <v>186</v>
      </c>
      <c r="B89" s="589" t="s">
        <v>201</v>
      </c>
      <c r="C89" s="590" t="s">
        <v>202</v>
      </c>
    </row>
    <row r="90" spans="1:10" ht="14.5" customHeight="1" x14ac:dyDescent="0.35">
      <c r="A90" s="557">
        <v>2021</v>
      </c>
      <c r="B90" s="586">
        <v>0.02</v>
      </c>
      <c r="C90" s="587">
        <f t="shared" ref="C90:C119" si="1">$B90*E$86/2000</f>
        <v>2.0000000000000002E-7</v>
      </c>
    </row>
    <row r="91" spans="1:10" ht="14.5" customHeight="1" x14ac:dyDescent="0.35">
      <c r="A91" s="558">
        <v>2022</v>
      </c>
      <c r="B91" s="582">
        <v>0.02</v>
      </c>
      <c r="C91" s="583">
        <f t="shared" si="1"/>
        <v>2.0000000000000002E-7</v>
      </c>
    </row>
    <row r="92" spans="1:10" ht="14.5" customHeight="1" x14ac:dyDescent="0.35">
      <c r="A92" s="558">
        <v>2023</v>
      </c>
      <c r="B92" s="582">
        <v>0.02</v>
      </c>
      <c r="C92" s="583">
        <f t="shared" si="1"/>
        <v>2.0000000000000002E-7</v>
      </c>
    </row>
    <row r="93" spans="1:10" ht="14.5" customHeight="1" x14ac:dyDescent="0.35">
      <c r="A93" s="558">
        <v>2024</v>
      </c>
      <c r="B93" s="582">
        <v>0.02</v>
      </c>
      <c r="C93" s="583">
        <f t="shared" si="1"/>
        <v>2.0000000000000002E-7</v>
      </c>
    </row>
    <row r="94" spans="1:10" ht="14.5" customHeight="1" x14ac:dyDescent="0.35">
      <c r="A94" s="558">
        <v>2025</v>
      </c>
      <c r="B94" s="582">
        <v>0.02</v>
      </c>
      <c r="C94" s="583">
        <f t="shared" si="1"/>
        <v>2.0000000000000002E-7</v>
      </c>
    </row>
    <row r="95" spans="1:10" ht="14.5" customHeight="1" x14ac:dyDescent="0.35">
      <c r="A95" s="558">
        <v>2026</v>
      </c>
      <c r="B95" s="582">
        <v>0.02</v>
      </c>
      <c r="C95" s="583">
        <f t="shared" si="1"/>
        <v>2.0000000000000002E-7</v>
      </c>
    </row>
    <row r="96" spans="1:10" ht="14.5" customHeight="1" x14ac:dyDescent="0.35">
      <c r="A96" s="558">
        <v>2027</v>
      </c>
      <c r="B96" s="582">
        <v>0.02</v>
      </c>
      <c r="C96" s="583">
        <f t="shared" si="1"/>
        <v>2.0000000000000002E-7</v>
      </c>
    </row>
    <row r="97" spans="1:3" ht="14.5" customHeight="1" x14ac:dyDescent="0.35">
      <c r="A97" s="558">
        <v>2028</v>
      </c>
      <c r="B97" s="582">
        <v>0.02</v>
      </c>
      <c r="C97" s="583">
        <f t="shared" si="1"/>
        <v>2.0000000000000002E-7</v>
      </c>
    </row>
    <row r="98" spans="1:3" ht="14.5" customHeight="1" x14ac:dyDescent="0.35">
      <c r="A98" s="558">
        <v>2029</v>
      </c>
      <c r="B98" s="582">
        <v>0.02</v>
      </c>
      <c r="C98" s="583">
        <f t="shared" si="1"/>
        <v>2.0000000000000002E-7</v>
      </c>
    </row>
    <row r="99" spans="1:3" ht="14.5" customHeight="1" x14ac:dyDescent="0.35">
      <c r="A99" s="558">
        <v>2030</v>
      </c>
      <c r="B99" s="582">
        <v>0.02</v>
      </c>
      <c r="C99" s="583">
        <f t="shared" si="1"/>
        <v>2.0000000000000002E-7</v>
      </c>
    </row>
    <row r="100" spans="1:3" ht="14.5" customHeight="1" x14ac:dyDescent="0.35">
      <c r="A100" s="558">
        <v>2031</v>
      </c>
      <c r="B100" s="582">
        <v>0.02</v>
      </c>
      <c r="C100" s="583">
        <f t="shared" si="1"/>
        <v>2.0000000000000002E-7</v>
      </c>
    </row>
    <row r="101" spans="1:3" ht="14.5" customHeight="1" x14ac:dyDescent="0.35">
      <c r="A101" s="558">
        <v>2032</v>
      </c>
      <c r="B101" s="582">
        <v>0.02</v>
      </c>
      <c r="C101" s="583">
        <f t="shared" si="1"/>
        <v>2.0000000000000002E-7</v>
      </c>
    </row>
    <row r="102" spans="1:3" ht="14.5" customHeight="1" x14ac:dyDescent="0.35">
      <c r="A102" s="558">
        <v>2033</v>
      </c>
      <c r="B102" s="582">
        <v>0.02</v>
      </c>
      <c r="C102" s="583">
        <f t="shared" si="1"/>
        <v>2.0000000000000002E-7</v>
      </c>
    </row>
    <row r="103" spans="1:3" ht="14.5" customHeight="1" x14ac:dyDescent="0.35">
      <c r="A103" s="558">
        <v>2034</v>
      </c>
      <c r="B103" s="582">
        <v>0.02</v>
      </c>
      <c r="C103" s="583">
        <f t="shared" si="1"/>
        <v>2.0000000000000002E-7</v>
      </c>
    </row>
    <row r="104" spans="1:3" ht="14.5" customHeight="1" x14ac:dyDescent="0.35">
      <c r="A104" s="558">
        <v>2035</v>
      </c>
      <c r="B104" s="582">
        <v>0.02</v>
      </c>
      <c r="C104" s="583">
        <f t="shared" si="1"/>
        <v>2.0000000000000002E-7</v>
      </c>
    </row>
    <row r="105" spans="1:3" ht="14.5" customHeight="1" x14ac:dyDescent="0.35">
      <c r="A105" s="558">
        <v>2036</v>
      </c>
      <c r="B105" s="582">
        <v>0.02</v>
      </c>
      <c r="C105" s="583">
        <f t="shared" si="1"/>
        <v>2.0000000000000002E-7</v>
      </c>
    </row>
    <row r="106" spans="1:3" ht="14.5" customHeight="1" x14ac:dyDescent="0.35">
      <c r="A106" s="558">
        <v>2037</v>
      </c>
      <c r="B106" s="582">
        <v>0.02</v>
      </c>
      <c r="C106" s="583">
        <f t="shared" si="1"/>
        <v>2.0000000000000002E-7</v>
      </c>
    </row>
    <row r="107" spans="1:3" ht="14.5" customHeight="1" x14ac:dyDescent="0.35">
      <c r="A107" s="558">
        <v>2038</v>
      </c>
      <c r="B107" s="582">
        <v>0.02</v>
      </c>
      <c r="C107" s="583">
        <f t="shared" si="1"/>
        <v>2.0000000000000002E-7</v>
      </c>
    </row>
    <row r="108" spans="1:3" ht="14.5" customHeight="1" x14ac:dyDescent="0.35">
      <c r="A108" s="558">
        <v>2039</v>
      </c>
      <c r="B108" s="582">
        <v>0.02</v>
      </c>
      <c r="C108" s="583">
        <f t="shared" si="1"/>
        <v>2.0000000000000002E-7</v>
      </c>
    </row>
    <row r="109" spans="1:3" ht="14.5" customHeight="1" x14ac:dyDescent="0.35">
      <c r="A109" s="558">
        <v>2040</v>
      </c>
      <c r="B109" s="582">
        <v>0.02</v>
      </c>
      <c r="C109" s="583">
        <f t="shared" si="1"/>
        <v>2.0000000000000002E-7</v>
      </c>
    </row>
    <row r="110" spans="1:3" ht="14.5" customHeight="1" x14ac:dyDescent="0.35">
      <c r="A110" s="558">
        <v>2041</v>
      </c>
      <c r="B110" s="582">
        <v>0.02</v>
      </c>
      <c r="C110" s="583">
        <f t="shared" si="1"/>
        <v>2.0000000000000002E-7</v>
      </c>
    </row>
    <row r="111" spans="1:3" ht="14.5" customHeight="1" x14ac:dyDescent="0.35">
      <c r="A111" s="558">
        <v>2042</v>
      </c>
      <c r="B111" s="582">
        <v>0.02</v>
      </c>
      <c r="C111" s="583">
        <f t="shared" si="1"/>
        <v>2.0000000000000002E-7</v>
      </c>
    </row>
    <row r="112" spans="1:3" ht="14.5" customHeight="1" x14ac:dyDescent="0.35">
      <c r="A112" s="558">
        <v>2043</v>
      </c>
      <c r="B112" s="582">
        <v>0.02</v>
      </c>
      <c r="C112" s="583">
        <f t="shared" si="1"/>
        <v>2.0000000000000002E-7</v>
      </c>
    </row>
    <row r="113" spans="1:10" ht="14.5" customHeight="1" x14ac:dyDescent="0.35">
      <c r="A113" s="558">
        <v>2044</v>
      </c>
      <c r="B113" s="582">
        <v>0.02</v>
      </c>
      <c r="C113" s="583">
        <f t="shared" si="1"/>
        <v>2.0000000000000002E-7</v>
      </c>
    </row>
    <row r="114" spans="1:10" ht="14.5" customHeight="1" x14ac:dyDescent="0.35">
      <c r="A114" s="558">
        <v>2045</v>
      </c>
      <c r="B114" s="582">
        <v>0.02</v>
      </c>
      <c r="C114" s="583">
        <f t="shared" si="1"/>
        <v>2.0000000000000002E-7</v>
      </c>
    </row>
    <row r="115" spans="1:10" ht="14.5" customHeight="1" x14ac:dyDescent="0.35">
      <c r="A115" s="558">
        <v>2046</v>
      </c>
      <c r="B115" s="582">
        <v>0.02</v>
      </c>
      <c r="C115" s="583">
        <f t="shared" si="1"/>
        <v>2.0000000000000002E-7</v>
      </c>
    </row>
    <row r="116" spans="1:10" ht="14.5" customHeight="1" x14ac:dyDescent="0.35">
      <c r="A116" s="558">
        <v>2047</v>
      </c>
      <c r="B116" s="582">
        <v>0.02</v>
      </c>
      <c r="C116" s="583">
        <f t="shared" si="1"/>
        <v>2.0000000000000002E-7</v>
      </c>
    </row>
    <row r="117" spans="1:10" ht="14.5" customHeight="1" x14ac:dyDescent="0.35">
      <c r="A117" s="558">
        <v>2048</v>
      </c>
      <c r="B117" s="582">
        <v>0.02</v>
      </c>
      <c r="C117" s="583">
        <f t="shared" si="1"/>
        <v>2.0000000000000002E-7</v>
      </c>
    </row>
    <row r="118" spans="1:10" ht="14.5" customHeight="1" x14ac:dyDescent="0.35">
      <c r="A118" s="558">
        <v>2049</v>
      </c>
      <c r="B118" s="582">
        <v>0.02</v>
      </c>
      <c r="C118" s="583">
        <f t="shared" si="1"/>
        <v>2.0000000000000002E-7</v>
      </c>
    </row>
    <row r="119" spans="1:10" ht="14.5" customHeight="1" x14ac:dyDescent="0.35">
      <c r="A119" s="559">
        <v>2050</v>
      </c>
      <c r="B119" s="584">
        <v>0.02</v>
      </c>
      <c r="C119" s="585">
        <f t="shared" si="1"/>
        <v>2.0000000000000002E-7</v>
      </c>
    </row>
    <row r="120" spans="1:10" ht="14.5" customHeight="1" x14ac:dyDescent="0.35"/>
    <row r="121" spans="1:10" ht="14.5" customHeight="1" x14ac:dyDescent="0.35"/>
    <row r="122" spans="1:10" ht="14.5" customHeight="1" x14ac:dyDescent="0.35"/>
    <row r="123" spans="1:10" ht="21" x14ac:dyDescent="0.35">
      <c r="A123" s="712" t="s">
        <v>203</v>
      </c>
      <c r="B123" s="712"/>
      <c r="C123" s="712"/>
      <c r="D123" s="712"/>
      <c r="E123" s="712"/>
      <c r="F123" s="712"/>
      <c r="G123" s="712"/>
      <c r="H123" s="712"/>
      <c r="I123" s="712"/>
      <c r="J123" s="712"/>
    </row>
    <row r="125" spans="1:10" x14ac:dyDescent="0.35">
      <c r="A125" s="484" t="s">
        <v>204</v>
      </c>
    </row>
    <row r="127" spans="1:10" ht="28.5" customHeight="1" x14ac:dyDescent="0.35">
      <c r="A127" s="725" t="s">
        <v>205</v>
      </c>
      <c r="B127" s="726"/>
    </row>
    <row r="128" spans="1:10" x14ac:dyDescent="0.35">
      <c r="A128" s="591" t="s">
        <v>186</v>
      </c>
      <c r="B128" s="591" t="s">
        <v>206</v>
      </c>
    </row>
    <row r="129" spans="1:2" x14ac:dyDescent="0.35">
      <c r="A129" s="32">
        <v>2021</v>
      </c>
      <c r="B129" s="417">
        <f>C90*(1+'Inputs-System'!$C$19)^($A129-2020)*1000</f>
        <v>2.0400000000000003E-4</v>
      </c>
    </row>
    <row r="130" spans="1:2" x14ac:dyDescent="0.35">
      <c r="A130" s="32">
        <v>2022</v>
      </c>
      <c r="B130" s="417">
        <f>C91*(1+'Inputs-System'!$C$19)^($A130-2020)*1000</f>
        <v>2.0808000000000003E-4</v>
      </c>
    </row>
    <row r="131" spans="1:2" x14ac:dyDescent="0.35">
      <c r="A131" s="32">
        <v>2023</v>
      </c>
      <c r="B131" s="417">
        <f>C92*(1+'Inputs-System'!$C$19)^($A131-2020)*1000</f>
        <v>2.1224160000000002E-4</v>
      </c>
    </row>
    <row r="132" spans="1:2" x14ac:dyDescent="0.35">
      <c r="A132" s="32">
        <v>2024</v>
      </c>
      <c r="B132" s="417">
        <f>C93*(1+'Inputs-System'!$C$19)^($A132-2020)*1000</f>
        <v>2.1648643200000001E-4</v>
      </c>
    </row>
    <row r="133" spans="1:2" x14ac:dyDescent="0.35">
      <c r="A133" s="32">
        <v>2025</v>
      </c>
      <c r="B133" s="417">
        <f>C94*(1+'Inputs-System'!$C$19)^($A133-2020)*1000</f>
        <v>2.2081616064000004E-4</v>
      </c>
    </row>
    <row r="134" spans="1:2" x14ac:dyDescent="0.35">
      <c r="A134" s="32">
        <v>2026</v>
      </c>
      <c r="B134" s="417">
        <f>C95*(1+'Inputs-System'!$C$19)^($A134-2020)*1000</f>
        <v>2.2523248385280004E-4</v>
      </c>
    </row>
    <row r="135" spans="1:2" x14ac:dyDescent="0.35">
      <c r="A135" s="32">
        <v>2027</v>
      </c>
      <c r="B135" s="417">
        <f>C96*(1+'Inputs-System'!$C$19)^($A135-2020)*1000</f>
        <v>2.2973713352985597E-4</v>
      </c>
    </row>
    <row r="136" spans="1:2" x14ac:dyDescent="0.35">
      <c r="A136" s="32">
        <v>2028</v>
      </c>
      <c r="B136" s="417">
        <f>C97*(1+'Inputs-System'!$C$19)^($A136-2020)*1000</f>
        <v>2.3433187620045312E-4</v>
      </c>
    </row>
    <row r="137" spans="1:2" x14ac:dyDescent="0.35">
      <c r="A137" s="32">
        <v>2029</v>
      </c>
      <c r="B137" s="417">
        <f>C98*(1+'Inputs-System'!$C$19)^($A137-2020)*1000</f>
        <v>2.3901851372446219E-4</v>
      </c>
    </row>
    <row r="138" spans="1:2" x14ac:dyDescent="0.35">
      <c r="A138" s="32">
        <v>2030</v>
      </c>
      <c r="B138" s="417">
        <f>C99*(1+'Inputs-System'!$C$19)^($A138-2020)*1000</f>
        <v>2.4379888399895145E-4</v>
      </c>
    </row>
    <row r="139" spans="1:2" x14ac:dyDescent="0.35">
      <c r="A139" s="32">
        <v>2031</v>
      </c>
      <c r="B139" s="417">
        <f>C100*(1+'Inputs-System'!$C$19)^($A139-2020)*1000</f>
        <v>2.4867486167893046E-4</v>
      </c>
    </row>
    <row r="140" spans="1:2" x14ac:dyDescent="0.35">
      <c r="A140" s="32">
        <v>2032</v>
      </c>
      <c r="B140" s="417">
        <f>C101*(1+'Inputs-System'!$C$19)^($A140-2020)*1000</f>
        <v>2.5364835891250907E-4</v>
      </c>
    </row>
    <row r="141" spans="1:2" x14ac:dyDescent="0.35">
      <c r="A141" s="32">
        <v>2033</v>
      </c>
      <c r="B141" s="417">
        <f>C102*(1+'Inputs-System'!$C$19)^($A141-2020)*1000</f>
        <v>2.5872132609075922E-4</v>
      </c>
    </row>
    <row r="142" spans="1:2" x14ac:dyDescent="0.35">
      <c r="A142" s="32">
        <v>2034</v>
      </c>
      <c r="B142" s="417">
        <f>C103*(1+'Inputs-System'!$C$19)^($A142-2020)*1000</f>
        <v>2.6389575261257447E-4</v>
      </c>
    </row>
    <row r="143" spans="1:2" x14ac:dyDescent="0.35">
      <c r="A143" s="32">
        <v>2035</v>
      </c>
      <c r="B143" s="417">
        <f>C104*(1+'Inputs-System'!$C$19)^($A143-2020)*1000</f>
        <v>2.6917366766482587E-4</v>
      </c>
    </row>
    <row r="144" spans="1:2" x14ac:dyDescent="0.35">
      <c r="A144" s="32">
        <v>2036</v>
      </c>
      <c r="B144" s="417">
        <f>C105*(1+'Inputs-System'!$C$19)^($A144-2020)*1000</f>
        <v>2.7455714101812245E-4</v>
      </c>
    </row>
    <row r="145" spans="1:2" x14ac:dyDescent="0.35">
      <c r="A145" s="32">
        <v>2037</v>
      </c>
      <c r="B145" s="417">
        <f>C106*(1+'Inputs-System'!$C$19)^($A145-2020)*1000</f>
        <v>2.8004828383848491E-4</v>
      </c>
    </row>
    <row r="146" spans="1:2" x14ac:dyDescent="0.35">
      <c r="A146" s="32">
        <v>2038</v>
      </c>
      <c r="B146" s="417">
        <f>C107*(1+'Inputs-System'!$C$19)^($A146-2020)*1000</f>
        <v>2.8564924951525461E-4</v>
      </c>
    </row>
    <row r="147" spans="1:2" x14ac:dyDescent="0.35">
      <c r="A147" s="32">
        <v>2039</v>
      </c>
      <c r="B147" s="417">
        <f>C108*(1+'Inputs-System'!$C$19)^($A147-2020)*1000</f>
        <v>2.9136223450555964E-4</v>
      </c>
    </row>
    <row r="148" spans="1:2" x14ac:dyDescent="0.35">
      <c r="A148" s="32">
        <v>2040</v>
      </c>
      <c r="B148" s="417">
        <f>C109*(1+'Inputs-System'!$C$19)^($A148-2020)*1000</f>
        <v>2.9718947919567083E-4</v>
      </c>
    </row>
    <row r="149" spans="1:2" x14ac:dyDescent="0.35">
      <c r="A149" s="32">
        <v>2041</v>
      </c>
      <c r="B149" s="417">
        <f>C110*(1+'Inputs-System'!$C$19)^($A149-2020)*1000</f>
        <v>3.0313326877958428E-4</v>
      </c>
    </row>
    <row r="150" spans="1:2" x14ac:dyDescent="0.35">
      <c r="A150" s="32">
        <v>2042</v>
      </c>
      <c r="B150" s="417">
        <f>C111*(1+'Inputs-System'!$C$19)^($A150-2020)*1000</f>
        <v>3.0919593415517597E-4</v>
      </c>
    </row>
    <row r="151" spans="1:2" x14ac:dyDescent="0.35">
      <c r="A151" s="32">
        <v>2043</v>
      </c>
      <c r="B151" s="417">
        <f>C112*(1+'Inputs-System'!$C$19)^($A151-2020)*1000</f>
        <v>3.1537985283827945E-4</v>
      </c>
    </row>
    <row r="152" spans="1:2" x14ac:dyDescent="0.35">
      <c r="A152" s="32">
        <v>2044</v>
      </c>
      <c r="B152" s="417">
        <f>C113*(1+'Inputs-System'!$C$19)^($A152-2020)*1000</f>
        <v>3.2168744989504502E-4</v>
      </c>
    </row>
    <row r="153" spans="1:2" x14ac:dyDescent="0.35">
      <c r="A153" s="32">
        <v>2045</v>
      </c>
      <c r="B153" s="417">
        <f>C114*(1+'Inputs-System'!$C$19)^($A153-2020)*1000</f>
        <v>3.2812119889294596E-4</v>
      </c>
    </row>
    <row r="154" spans="1:2" x14ac:dyDescent="0.35">
      <c r="A154" s="32">
        <v>2046</v>
      </c>
      <c r="B154" s="417">
        <f>C115*(1+'Inputs-System'!$C$19)^($A154-2020)*1000</f>
        <v>3.3468362287080491E-4</v>
      </c>
    </row>
    <row r="155" spans="1:2" x14ac:dyDescent="0.35">
      <c r="A155" s="32">
        <v>2047</v>
      </c>
      <c r="B155" s="417">
        <f>C116*(1+'Inputs-System'!$C$19)^($A155-2020)*1000</f>
        <v>3.4137729532822088E-4</v>
      </c>
    </row>
    <row r="156" spans="1:2" x14ac:dyDescent="0.35">
      <c r="A156" s="32">
        <v>2048</v>
      </c>
      <c r="B156" s="417">
        <f>C117*(1+'Inputs-System'!$C$19)^($A156-2020)*1000</f>
        <v>3.4820484123478541E-4</v>
      </c>
    </row>
    <row r="157" spans="1:2" x14ac:dyDescent="0.35">
      <c r="A157" s="32">
        <v>2049</v>
      </c>
      <c r="B157" s="417">
        <f>C118*(1+'Inputs-System'!$C$19)^($A157-2020)*1000</f>
        <v>3.5516893805948106E-4</v>
      </c>
    </row>
    <row r="158" spans="1:2" x14ac:dyDescent="0.35">
      <c r="A158" s="32">
        <v>2050</v>
      </c>
      <c r="B158" s="417">
        <f>C119*(1+'Inputs-System'!$C$19)^($A158-2020)*1000</f>
        <v>3.6227231682067068E-4</v>
      </c>
    </row>
  </sheetData>
  <mergeCells count="7">
    <mergeCell ref="A127:B127"/>
    <mergeCell ref="A123:J123"/>
    <mergeCell ref="A1:J1"/>
    <mergeCell ref="A41:J41"/>
    <mergeCell ref="A81:J81"/>
    <mergeCell ref="A45:B45"/>
    <mergeCell ref="A88:C88"/>
  </mergeCells>
  <pageMargins left="0.7" right="0.7" top="0.75" bottom="0.75" header="0.3" footer="0.3"/>
  <pageSetup scale="50" fitToHeight="0"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148C"/>
  </sheetPr>
  <dimension ref="A1:Z260"/>
  <sheetViews>
    <sheetView topLeftCell="A34" workbookViewId="0">
      <selection activeCell="E22" sqref="E22"/>
    </sheetView>
  </sheetViews>
  <sheetFormatPr defaultColWidth="9.1796875" defaultRowHeight="14.5" x14ac:dyDescent="0.35"/>
  <cols>
    <col min="1" max="1" width="9.1796875" style="3"/>
    <col min="2" max="2" width="15.7265625" style="3" customWidth="1"/>
    <col min="3" max="3" width="18.453125" style="3" customWidth="1"/>
    <col min="4" max="4" width="20.7265625" style="3" customWidth="1"/>
    <col min="5" max="5" width="15.7265625" style="3" bestFit="1" customWidth="1"/>
    <col min="6" max="6" width="15.81640625" style="3" customWidth="1"/>
    <col min="7" max="7" width="15.54296875" style="3" customWidth="1"/>
    <col min="8" max="8" width="15.7265625" style="3" bestFit="1" customWidth="1"/>
    <col min="9" max="10" width="17" style="3" bestFit="1" customWidth="1"/>
    <col min="11" max="11" width="15" style="3" customWidth="1"/>
    <col min="12" max="12" width="17.1796875" style="3" bestFit="1" customWidth="1"/>
    <col min="13" max="13" width="15.54296875" style="3" bestFit="1" customWidth="1"/>
    <col min="14" max="14" width="9.1796875" style="3"/>
    <col min="15" max="15" width="15.26953125" style="3" bestFit="1" customWidth="1"/>
    <col min="16" max="16" width="17.1796875" style="3" bestFit="1" customWidth="1"/>
    <col min="17" max="17" width="14.453125" style="3" bestFit="1" customWidth="1"/>
    <col min="18" max="19" width="9.1796875" style="3"/>
    <col min="20" max="20" width="13.26953125" style="3" customWidth="1"/>
    <col min="21" max="21" width="12.26953125" style="3" customWidth="1"/>
    <col min="22" max="22" width="11.453125" style="3" customWidth="1"/>
    <col min="23" max="24" width="9.1796875" style="3"/>
    <col min="25" max="25" width="11.81640625" style="3" customWidth="1"/>
    <col min="26" max="26" width="13.54296875" style="3" customWidth="1"/>
    <col min="27" max="16384" width="9.1796875" style="3"/>
  </cols>
  <sheetData>
    <row r="1" spans="1:19" ht="28.5" customHeight="1" thickBot="1" x14ac:dyDescent="0.4">
      <c r="A1" s="653" t="s">
        <v>207</v>
      </c>
      <c r="B1" s="653"/>
      <c r="C1" s="653"/>
      <c r="D1" s="653"/>
      <c r="E1" s="653"/>
      <c r="F1" s="653"/>
      <c r="G1" s="653"/>
      <c r="H1" s="653"/>
      <c r="I1" s="653"/>
      <c r="J1" s="244"/>
      <c r="K1" s="244"/>
      <c r="L1" s="244"/>
      <c r="M1" s="244"/>
      <c r="N1" s="244"/>
      <c r="O1" s="244"/>
      <c r="P1" s="244"/>
      <c r="Q1" s="244"/>
      <c r="R1" s="244"/>
      <c r="S1" s="244"/>
    </row>
    <row r="2" spans="1:19" x14ac:dyDescent="0.35">
      <c r="K2" s="730" t="s">
        <v>208</v>
      </c>
      <c r="L2" s="731"/>
      <c r="M2" s="732"/>
      <c r="O2" s="485" t="s">
        <v>209</v>
      </c>
      <c r="P2" s="486">
        <f>125</f>
        <v>125</v>
      </c>
    </row>
    <row r="3" spans="1:19" ht="29" x14ac:dyDescent="0.35">
      <c r="A3" s="712" t="s">
        <v>210</v>
      </c>
      <c r="B3" s="712"/>
      <c r="C3" s="712"/>
      <c r="D3" s="712"/>
      <c r="E3" s="712"/>
      <c r="F3" s="712"/>
      <c r="G3" s="712"/>
      <c r="H3" s="712"/>
      <c r="I3" s="712"/>
      <c r="J3" s="264"/>
      <c r="K3" s="329"/>
      <c r="L3" s="552" t="s">
        <v>211</v>
      </c>
      <c r="M3" s="553" t="s">
        <v>212</v>
      </c>
      <c r="N3" s="264"/>
      <c r="O3" s="487" t="s">
        <v>213</v>
      </c>
      <c r="P3" s="488">
        <v>14700</v>
      </c>
      <c r="Q3" s="264"/>
      <c r="R3" s="423"/>
      <c r="S3" s="423"/>
    </row>
    <row r="4" spans="1:19" x14ac:dyDescent="0.35">
      <c r="K4" s="550" t="s">
        <v>214</v>
      </c>
      <c r="L4" s="32"/>
      <c r="M4" s="330"/>
    </row>
    <row r="5" spans="1:19" x14ac:dyDescent="0.35">
      <c r="A5" s="560" t="s">
        <v>174</v>
      </c>
      <c r="G5" s="334"/>
      <c r="H5" s="334"/>
      <c r="I5" s="334"/>
      <c r="K5" s="550" t="s">
        <v>215</v>
      </c>
      <c r="L5" s="32">
        <f>Y24</f>
        <v>1.4757709251101323</v>
      </c>
      <c r="M5" s="330">
        <f>Z24</f>
        <v>1.6425107312775331</v>
      </c>
    </row>
    <row r="6" spans="1:19" x14ac:dyDescent="0.35">
      <c r="F6" s="413"/>
      <c r="G6" s="424"/>
      <c r="H6" s="424"/>
      <c r="I6" s="12"/>
      <c r="K6" s="551" t="s">
        <v>216</v>
      </c>
      <c r="L6" s="331">
        <f>Y25</f>
        <v>7.7092511013215859</v>
      </c>
      <c r="M6" s="332">
        <f>Z25</f>
        <v>3.2850214625550662</v>
      </c>
    </row>
    <row r="7" spans="1:19" ht="15" thickBot="1" x14ac:dyDescent="0.4"/>
    <row r="8" spans="1:19" x14ac:dyDescent="0.35">
      <c r="A8" s="759" t="s">
        <v>186</v>
      </c>
      <c r="B8" s="754" t="s">
        <v>217</v>
      </c>
      <c r="C8" s="754"/>
      <c r="D8" s="754"/>
      <c r="E8" s="755"/>
      <c r="F8" s="756" t="s">
        <v>218</v>
      </c>
      <c r="G8" s="757"/>
      <c r="H8" s="757"/>
      <c r="I8" s="758"/>
      <c r="K8" s="736" t="s">
        <v>219</v>
      </c>
      <c r="L8" s="737"/>
      <c r="M8" s="738"/>
      <c r="N8" s="334"/>
      <c r="O8" s="748" t="s">
        <v>220</v>
      </c>
      <c r="P8" s="749"/>
      <c r="Q8" s="750"/>
      <c r="R8" s="633"/>
    </row>
    <row r="9" spans="1:19" x14ac:dyDescent="0.35">
      <c r="A9" s="760"/>
      <c r="B9" s="509" t="s">
        <v>177</v>
      </c>
      <c r="C9" s="638" t="s">
        <v>178</v>
      </c>
      <c r="D9" s="638" t="s">
        <v>179</v>
      </c>
      <c r="E9" s="510" t="s">
        <v>180</v>
      </c>
      <c r="F9" s="509" t="s">
        <v>177</v>
      </c>
      <c r="G9" s="638" t="s">
        <v>178</v>
      </c>
      <c r="H9" s="638" t="s">
        <v>179</v>
      </c>
      <c r="I9" s="639" t="s">
        <v>180</v>
      </c>
      <c r="K9" s="606" t="s">
        <v>221</v>
      </c>
      <c r="L9" s="607" t="s">
        <v>171</v>
      </c>
      <c r="M9" s="608" t="s">
        <v>222</v>
      </c>
      <c r="N9" s="633"/>
      <c r="O9" s="611" t="s">
        <v>221</v>
      </c>
      <c r="P9" s="612" t="s">
        <v>171</v>
      </c>
      <c r="Q9" s="613" t="s">
        <v>223</v>
      </c>
      <c r="R9" s="633"/>
    </row>
    <row r="10" spans="1:19" x14ac:dyDescent="0.35">
      <c r="A10" s="761"/>
      <c r="B10" s="511" t="s">
        <v>182</v>
      </c>
      <c r="C10" s="504" t="s">
        <v>182</v>
      </c>
      <c r="D10" s="504" t="s">
        <v>182</v>
      </c>
      <c r="E10" s="512" t="s">
        <v>182</v>
      </c>
      <c r="F10" s="511" t="s">
        <v>182</v>
      </c>
      <c r="G10" s="504" t="s">
        <v>182</v>
      </c>
      <c r="H10" s="504" t="s">
        <v>182</v>
      </c>
      <c r="I10" s="505" t="s">
        <v>182</v>
      </c>
      <c r="K10" s="603">
        <v>2021</v>
      </c>
      <c r="L10" s="604">
        <f>$P$2*$L$6/2000</f>
        <v>0.48182819383259912</v>
      </c>
      <c r="M10" s="605">
        <f>$P$2*(M$6/2000)</f>
        <v>0.20531384140969164</v>
      </c>
      <c r="O10" s="603">
        <v>2021</v>
      </c>
      <c r="P10" s="604">
        <f>$P$3*($L$5/2000)</f>
        <v>10.846916299559473</v>
      </c>
      <c r="Q10" s="609">
        <f>$P$3*($M$5/2000)</f>
        <v>12.072453874889868</v>
      </c>
    </row>
    <row r="11" spans="1:19" x14ac:dyDescent="0.35">
      <c r="A11" s="557">
        <v>2021</v>
      </c>
      <c r="B11" s="408">
        <v>6.9500000000000006E-2</v>
      </c>
      <c r="C11" s="406">
        <v>7.2700000000000001E-2</v>
      </c>
      <c r="D11" s="406">
        <v>7.1599999999999997E-2</v>
      </c>
      <c r="E11" s="407">
        <v>7.3400000000000007E-2</v>
      </c>
      <c r="F11" s="408">
        <v>6.9999999999999999E-4</v>
      </c>
      <c r="G11" s="406">
        <v>1.5E-3</v>
      </c>
      <c r="H11" s="406">
        <v>1E-3</v>
      </c>
      <c r="I11" s="407">
        <v>8.0000000000000004E-4</v>
      </c>
      <c r="K11" s="329">
        <v>2022</v>
      </c>
      <c r="L11" s="32">
        <f t="shared" ref="L11:L42" si="0">$P$2*$L$6/2000</f>
        <v>0.48182819383259912</v>
      </c>
      <c r="M11" s="330">
        <f t="shared" ref="M11:M42" si="1">$P$2*(M$6/2000)</f>
        <v>0.20531384140969164</v>
      </c>
      <c r="O11" s="329">
        <v>2022</v>
      </c>
      <c r="P11" s="32">
        <f t="shared" ref="P11:P42" si="2">$P$3*($L$5/2000)</f>
        <v>10.846916299559473</v>
      </c>
      <c r="Q11" s="425">
        <f t="shared" ref="Q11:Q42" si="3">$P$3*($M$5/2000)</f>
        <v>12.072453874889868</v>
      </c>
    </row>
    <row r="12" spans="1:19" x14ac:dyDescent="0.35">
      <c r="A12" s="558">
        <v>2022</v>
      </c>
      <c r="B12" s="409">
        <v>5.7299999999999997E-2</v>
      </c>
      <c r="C12" s="32">
        <v>5.8200000000000002E-2</v>
      </c>
      <c r="D12" s="32">
        <v>5.6500000000000002E-2</v>
      </c>
      <c r="E12" s="330">
        <v>6.3E-2</v>
      </c>
      <c r="F12" s="409">
        <v>8.0000000000000004E-4</v>
      </c>
      <c r="G12" s="32">
        <v>5.9999999999999995E-4</v>
      </c>
      <c r="H12" s="32">
        <v>1E-3</v>
      </c>
      <c r="I12" s="330">
        <v>8.0000000000000004E-4</v>
      </c>
      <c r="K12" s="329">
        <v>2023</v>
      </c>
      <c r="L12" s="32">
        <f t="shared" si="0"/>
        <v>0.48182819383259912</v>
      </c>
      <c r="M12" s="330">
        <f t="shared" si="1"/>
        <v>0.20531384140969164</v>
      </c>
      <c r="O12" s="329">
        <v>2023</v>
      </c>
      <c r="P12" s="32">
        <f t="shared" si="2"/>
        <v>10.846916299559473</v>
      </c>
      <c r="Q12" s="425">
        <f t="shared" si="3"/>
        <v>12.072453874889868</v>
      </c>
    </row>
    <row r="13" spans="1:19" x14ac:dyDescent="0.35">
      <c r="A13" s="558">
        <v>2023</v>
      </c>
      <c r="B13" s="409">
        <v>5.8099999999999999E-2</v>
      </c>
      <c r="C13" s="32">
        <v>6.5600000000000006E-2</v>
      </c>
      <c r="D13" s="32">
        <v>5.2699999999999997E-2</v>
      </c>
      <c r="E13" s="330">
        <v>7.4099999999999999E-2</v>
      </c>
      <c r="F13" s="409">
        <v>5.9999999999999995E-4</v>
      </c>
      <c r="G13" s="32">
        <v>5.9999999999999995E-4</v>
      </c>
      <c r="H13" s="32">
        <v>8.0000000000000004E-4</v>
      </c>
      <c r="I13" s="330">
        <v>6.9999999999999999E-4</v>
      </c>
      <c r="K13" s="329">
        <v>2024</v>
      </c>
      <c r="L13" s="32">
        <f t="shared" si="0"/>
        <v>0.48182819383259912</v>
      </c>
      <c r="M13" s="330">
        <f t="shared" si="1"/>
        <v>0.20531384140969164</v>
      </c>
      <c r="O13" s="329">
        <v>2024</v>
      </c>
      <c r="P13" s="32">
        <f t="shared" si="2"/>
        <v>10.846916299559473</v>
      </c>
      <c r="Q13" s="425">
        <f t="shared" si="3"/>
        <v>12.072453874889868</v>
      </c>
    </row>
    <row r="14" spans="1:19" x14ac:dyDescent="0.35">
      <c r="A14" s="558">
        <v>2024</v>
      </c>
      <c r="B14" s="409">
        <v>4.8000000000000001E-2</v>
      </c>
      <c r="C14" s="32">
        <v>5.2699999999999997E-2</v>
      </c>
      <c r="D14" s="32">
        <v>4.65E-2</v>
      </c>
      <c r="E14" s="330">
        <v>5.8599999999999999E-2</v>
      </c>
      <c r="F14" s="409">
        <v>6.9999999999999999E-4</v>
      </c>
      <c r="G14" s="32">
        <v>5.9999999999999995E-4</v>
      </c>
      <c r="H14" s="32">
        <v>8.9999999999999998E-4</v>
      </c>
      <c r="I14" s="330">
        <v>6.9999999999999999E-4</v>
      </c>
      <c r="K14" s="329">
        <v>2025</v>
      </c>
      <c r="L14" s="32">
        <f t="shared" si="0"/>
        <v>0.48182819383259912</v>
      </c>
      <c r="M14" s="330">
        <f t="shared" si="1"/>
        <v>0.20531384140969164</v>
      </c>
      <c r="O14" s="329">
        <v>2025</v>
      </c>
      <c r="P14" s="32">
        <f t="shared" si="2"/>
        <v>10.846916299559473</v>
      </c>
      <c r="Q14" s="425">
        <f t="shared" si="3"/>
        <v>12.072453874889868</v>
      </c>
    </row>
    <row r="15" spans="1:19" x14ac:dyDescent="0.35">
      <c r="A15" s="558">
        <v>2025</v>
      </c>
      <c r="B15" s="409">
        <v>4.8500000000000001E-2</v>
      </c>
      <c r="C15" s="32">
        <v>5.3699999999999998E-2</v>
      </c>
      <c r="D15" s="32">
        <v>4.9399999999999999E-2</v>
      </c>
      <c r="E15" s="330">
        <v>5.8799999999999998E-2</v>
      </c>
      <c r="F15" s="409">
        <v>5.0000000000000001E-4</v>
      </c>
      <c r="G15" s="32">
        <v>5.0000000000000001E-4</v>
      </c>
      <c r="H15" s="32">
        <v>8.9999999999999998E-4</v>
      </c>
      <c r="I15" s="330">
        <v>6.9999999999999999E-4</v>
      </c>
      <c r="K15" s="329">
        <v>2026</v>
      </c>
      <c r="L15" s="32">
        <f t="shared" si="0"/>
        <v>0.48182819383259912</v>
      </c>
      <c r="M15" s="330">
        <f t="shared" si="1"/>
        <v>0.20531384140969164</v>
      </c>
      <c r="O15" s="329">
        <v>2026</v>
      </c>
      <c r="P15" s="32">
        <f t="shared" si="2"/>
        <v>10.846916299559473</v>
      </c>
      <c r="Q15" s="425">
        <f t="shared" si="3"/>
        <v>12.072453874889868</v>
      </c>
    </row>
    <row r="16" spans="1:19" x14ac:dyDescent="0.35">
      <c r="A16" s="558">
        <v>2026</v>
      </c>
      <c r="B16" s="409">
        <v>4.4400000000000002E-2</v>
      </c>
      <c r="C16" s="32">
        <v>5.1499999999999997E-2</v>
      </c>
      <c r="D16" s="32">
        <v>4.53E-2</v>
      </c>
      <c r="E16" s="330">
        <v>5.5E-2</v>
      </c>
      <c r="F16" s="409">
        <v>5.0000000000000001E-4</v>
      </c>
      <c r="G16" s="32">
        <v>5.0000000000000001E-4</v>
      </c>
      <c r="H16" s="32">
        <v>8.0000000000000004E-4</v>
      </c>
      <c r="I16" s="330">
        <v>6.9999999999999999E-4</v>
      </c>
      <c r="K16" s="329">
        <v>2027</v>
      </c>
      <c r="L16" s="32">
        <f t="shared" si="0"/>
        <v>0.48182819383259912</v>
      </c>
      <c r="M16" s="330">
        <f t="shared" si="1"/>
        <v>0.20531384140969164</v>
      </c>
      <c r="O16" s="329">
        <v>2027</v>
      </c>
      <c r="P16" s="32">
        <f t="shared" si="2"/>
        <v>10.846916299559473</v>
      </c>
      <c r="Q16" s="425">
        <f t="shared" si="3"/>
        <v>12.072453874889868</v>
      </c>
    </row>
    <row r="17" spans="1:26" x14ac:dyDescent="0.35">
      <c r="A17" s="558">
        <v>2027</v>
      </c>
      <c r="B17" s="409">
        <v>3.9800000000000002E-2</v>
      </c>
      <c r="C17" s="32">
        <v>4.8099999999999997E-2</v>
      </c>
      <c r="D17" s="32">
        <v>4.4400000000000002E-2</v>
      </c>
      <c r="E17" s="330">
        <v>5.4300000000000001E-2</v>
      </c>
      <c r="F17" s="409">
        <v>5.0000000000000001E-4</v>
      </c>
      <c r="G17" s="32">
        <v>5.9999999999999995E-4</v>
      </c>
      <c r="H17" s="32">
        <v>8.0000000000000004E-4</v>
      </c>
      <c r="I17" s="330">
        <v>6.9999999999999999E-4</v>
      </c>
      <c r="K17" s="329">
        <v>2028</v>
      </c>
      <c r="L17" s="32">
        <f t="shared" si="0"/>
        <v>0.48182819383259912</v>
      </c>
      <c r="M17" s="330">
        <f t="shared" si="1"/>
        <v>0.20531384140969164</v>
      </c>
      <c r="O17" s="329">
        <v>2028</v>
      </c>
      <c r="P17" s="32">
        <f t="shared" si="2"/>
        <v>10.846916299559473</v>
      </c>
      <c r="Q17" s="425">
        <f t="shared" si="3"/>
        <v>12.072453874889868</v>
      </c>
    </row>
    <row r="18" spans="1:26" x14ac:dyDescent="0.35">
      <c r="A18" s="558">
        <v>2028</v>
      </c>
      <c r="B18" s="409">
        <v>0.04</v>
      </c>
      <c r="C18" s="32">
        <v>4.2799999999999998E-2</v>
      </c>
      <c r="D18" s="32">
        <v>4.4499999999999998E-2</v>
      </c>
      <c r="E18" s="330">
        <v>4.7899999999999998E-2</v>
      </c>
      <c r="F18" s="409">
        <v>5.9999999999999995E-4</v>
      </c>
      <c r="G18" s="32">
        <v>5.0000000000000001E-4</v>
      </c>
      <c r="H18" s="32">
        <v>8.9999999999999998E-4</v>
      </c>
      <c r="I18" s="330">
        <v>6.9999999999999999E-4</v>
      </c>
      <c r="K18" s="329">
        <v>2029</v>
      </c>
      <c r="L18" s="32">
        <f t="shared" si="0"/>
        <v>0.48182819383259912</v>
      </c>
      <c r="M18" s="330">
        <f t="shared" si="1"/>
        <v>0.20531384140969164</v>
      </c>
      <c r="O18" s="329">
        <v>2029</v>
      </c>
      <c r="P18" s="32">
        <f t="shared" si="2"/>
        <v>10.846916299559473</v>
      </c>
      <c r="Q18" s="425">
        <f t="shared" si="3"/>
        <v>12.072453874889868</v>
      </c>
    </row>
    <row r="19" spans="1:26" x14ac:dyDescent="0.35">
      <c r="A19" s="558">
        <v>2029</v>
      </c>
      <c r="B19" s="409">
        <v>3.7900000000000003E-2</v>
      </c>
      <c r="C19" s="32">
        <v>3.8800000000000001E-2</v>
      </c>
      <c r="D19" s="32">
        <v>4.07E-2</v>
      </c>
      <c r="E19" s="330">
        <v>4.2900000000000001E-2</v>
      </c>
      <c r="F19" s="409">
        <v>5.9999999999999995E-4</v>
      </c>
      <c r="G19" s="32">
        <v>5.0000000000000001E-4</v>
      </c>
      <c r="H19" s="32">
        <v>8.0000000000000004E-4</v>
      </c>
      <c r="I19" s="330">
        <v>5.9999999999999995E-4</v>
      </c>
      <c r="K19" s="329">
        <v>2030</v>
      </c>
      <c r="L19" s="32">
        <f t="shared" si="0"/>
        <v>0.48182819383259912</v>
      </c>
      <c r="M19" s="330">
        <f t="shared" si="1"/>
        <v>0.20531384140969164</v>
      </c>
      <c r="O19" s="329">
        <v>2030</v>
      </c>
      <c r="P19" s="32">
        <f t="shared" si="2"/>
        <v>10.846916299559473</v>
      </c>
      <c r="Q19" s="425">
        <f t="shared" si="3"/>
        <v>12.072453874889868</v>
      </c>
      <c r="T19" s="327" t="s">
        <v>224</v>
      </c>
    </row>
    <row r="20" spans="1:26" x14ac:dyDescent="0.35">
      <c r="A20" s="558">
        <v>2030</v>
      </c>
      <c r="B20" s="409">
        <v>3.4599999999999999E-2</v>
      </c>
      <c r="C20" s="32">
        <v>3.6400000000000002E-2</v>
      </c>
      <c r="D20" s="32">
        <v>3.9800000000000002E-2</v>
      </c>
      <c r="E20" s="330">
        <v>4.1300000000000003E-2</v>
      </c>
      <c r="F20" s="409">
        <v>4.0000000000000002E-4</v>
      </c>
      <c r="G20" s="32">
        <v>4.0000000000000002E-4</v>
      </c>
      <c r="H20" s="32">
        <v>5.9999999999999995E-4</v>
      </c>
      <c r="I20" s="330">
        <v>5.0000000000000001E-4</v>
      </c>
      <c r="K20" s="329">
        <v>2031</v>
      </c>
      <c r="L20" s="32">
        <f t="shared" si="0"/>
        <v>0.48182819383259912</v>
      </c>
      <c r="M20" s="330">
        <f t="shared" si="1"/>
        <v>0.20531384140969164</v>
      </c>
      <c r="O20" s="329">
        <v>2031</v>
      </c>
      <c r="P20" s="32">
        <f t="shared" si="2"/>
        <v>10.846916299559473</v>
      </c>
      <c r="Q20" s="425">
        <f t="shared" si="3"/>
        <v>12.072453874889868</v>
      </c>
    </row>
    <row r="21" spans="1:26" x14ac:dyDescent="0.35">
      <c r="A21" s="558">
        <v>2031</v>
      </c>
      <c r="B21" s="409">
        <v>3.1899999999999998E-2</v>
      </c>
      <c r="C21" s="32">
        <v>3.4099999999999998E-2</v>
      </c>
      <c r="D21" s="32">
        <v>3.56E-2</v>
      </c>
      <c r="E21" s="330">
        <v>3.78E-2</v>
      </c>
      <c r="F21" s="409">
        <v>5.0000000000000001E-4</v>
      </c>
      <c r="G21" s="32">
        <v>4.0000000000000002E-4</v>
      </c>
      <c r="H21" s="32">
        <v>5.9999999999999995E-4</v>
      </c>
      <c r="I21" s="330">
        <v>5.0000000000000001E-4</v>
      </c>
      <c r="K21" s="329">
        <v>2032</v>
      </c>
      <c r="L21" s="32">
        <f t="shared" si="0"/>
        <v>0.48182819383259912</v>
      </c>
      <c r="M21" s="330">
        <f t="shared" si="1"/>
        <v>0.20531384140969164</v>
      </c>
      <c r="O21" s="329">
        <v>2032</v>
      </c>
      <c r="P21" s="32">
        <f t="shared" si="2"/>
        <v>10.846916299559473</v>
      </c>
      <c r="Q21" s="425">
        <f t="shared" si="3"/>
        <v>12.072453874889868</v>
      </c>
      <c r="T21" s="736" t="s">
        <v>208</v>
      </c>
      <c r="U21" s="737"/>
      <c r="V21" s="738"/>
      <c r="X21" s="730" t="s">
        <v>208</v>
      </c>
      <c r="Y21" s="731"/>
      <c r="Z21" s="732"/>
    </row>
    <row r="22" spans="1:26" ht="29" x14ac:dyDescent="0.35">
      <c r="A22" s="558">
        <v>2032</v>
      </c>
      <c r="B22" s="409">
        <v>2.8500000000000001E-2</v>
      </c>
      <c r="C22" s="32">
        <v>3.1899999999999998E-2</v>
      </c>
      <c r="D22" s="32">
        <v>3.04E-2</v>
      </c>
      <c r="E22" s="330">
        <v>3.4299999999999997E-2</v>
      </c>
      <c r="F22" s="409">
        <v>5.0000000000000001E-4</v>
      </c>
      <c r="G22" s="32">
        <v>5.0000000000000001E-4</v>
      </c>
      <c r="H22" s="32">
        <v>5.9999999999999995E-4</v>
      </c>
      <c r="I22" s="330">
        <v>5.0000000000000001E-4</v>
      </c>
      <c r="K22" s="329">
        <v>2033</v>
      </c>
      <c r="L22" s="32">
        <f t="shared" si="0"/>
        <v>0.48182819383259912</v>
      </c>
      <c r="M22" s="330">
        <f t="shared" si="1"/>
        <v>0.20531384140969164</v>
      </c>
      <c r="O22" s="329">
        <v>2033</v>
      </c>
      <c r="P22" s="32">
        <f t="shared" si="2"/>
        <v>10.846916299559473</v>
      </c>
      <c r="Q22" s="425">
        <f t="shared" si="3"/>
        <v>12.072453874889868</v>
      </c>
      <c r="T22" s="501"/>
      <c r="U22" s="474" t="s">
        <v>225</v>
      </c>
      <c r="V22" s="554" t="s">
        <v>226</v>
      </c>
      <c r="X22" s="329"/>
      <c r="Y22" s="552" t="s">
        <v>211</v>
      </c>
      <c r="Z22" s="553" t="s">
        <v>212</v>
      </c>
    </row>
    <row r="23" spans="1:26" x14ac:dyDescent="0.35">
      <c r="A23" s="558">
        <v>2033</v>
      </c>
      <c r="B23" s="409">
        <v>2.64E-2</v>
      </c>
      <c r="C23" s="32">
        <v>2.8400000000000002E-2</v>
      </c>
      <c r="D23" s="32">
        <v>2.9899999999999999E-2</v>
      </c>
      <c r="E23" s="330">
        <v>3.1899999999999998E-2</v>
      </c>
      <c r="F23" s="409">
        <v>4.0000000000000002E-4</v>
      </c>
      <c r="G23" s="32">
        <v>4.0000000000000002E-4</v>
      </c>
      <c r="H23" s="32">
        <v>5.9999999999999995E-4</v>
      </c>
      <c r="I23" s="330">
        <v>5.0000000000000001E-4</v>
      </c>
      <c r="K23" s="329">
        <v>2034</v>
      </c>
      <c r="L23" s="32">
        <f t="shared" si="0"/>
        <v>0.48182819383259912</v>
      </c>
      <c r="M23" s="330">
        <f t="shared" si="1"/>
        <v>0.20531384140969164</v>
      </c>
      <c r="O23" s="329">
        <v>2034</v>
      </c>
      <c r="P23" s="32">
        <f t="shared" si="2"/>
        <v>10.846916299559473</v>
      </c>
      <c r="Q23" s="425">
        <f t="shared" si="3"/>
        <v>12.072453874889868</v>
      </c>
      <c r="T23" s="555" t="s">
        <v>214</v>
      </c>
      <c r="U23" s="473"/>
      <c r="V23" s="502"/>
      <c r="X23" s="550" t="s">
        <v>214</v>
      </c>
      <c r="Y23" s="32"/>
      <c r="Z23" s="330"/>
    </row>
    <row r="24" spans="1:26" x14ac:dyDescent="0.35">
      <c r="A24" s="558">
        <v>2034</v>
      </c>
      <c r="B24" s="409">
        <v>2.47E-2</v>
      </c>
      <c r="C24" s="32">
        <v>2.52E-2</v>
      </c>
      <c r="D24" s="32">
        <v>2.7300000000000001E-2</v>
      </c>
      <c r="E24" s="330">
        <v>2.8000000000000001E-2</v>
      </c>
      <c r="F24" s="409">
        <v>5.0000000000000001E-4</v>
      </c>
      <c r="G24" s="32">
        <v>4.0000000000000002E-4</v>
      </c>
      <c r="H24" s="32">
        <v>5.9999999999999995E-4</v>
      </c>
      <c r="I24" s="330">
        <v>5.0000000000000001E-4</v>
      </c>
      <c r="K24" s="329">
        <v>2035</v>
      </c>
      <c r="L24" s="32">
        <f t="shared" si="0"/>
        <v>0.48182819383259912</v>
      </c>
      <c r="M24" s="330">
        <f t="shared" si="1"/>
        <v>0.20531384140969164</v>
      </c>
      <c r="O24" s="329">
        <v>2035</v>
      </c>
      <c r="P24" s="32">
        <f t="shared" si="2"/>
        <v>10.846916299559473</v>
      </c>
      <c r="Q24" s="425">
        <f t="shared" si="3"/>
        <v>12.072453874889868</v>
      </c>
      <c r="T24" s="555" t="s">
        <v>215</v>
      </c>
      <c r="U24" s="473">
        <v>0.67</v>
      </c>
      <c r="V24" s="502">
        <v>1</v>
      </c>
      <c r="X24" s="550" t="s">
        <v>215</v>
      </c>
      <c r="Y24" s="32">
        <f>U24/454*1000</f>
        <v>1.4757709251101323</v>
      </c>
      <c r="Z24" s="330">
        <f>V24/454*0.745699872*1000</f>
        <v>1.6425107312775331</v>
      </c>
    </row>
    <row r="25" spans="1:26" x14ac:dyDescent="0.35">
      <c r="A25" s="558">
        <v>2035</v>
      </c>
      <c r="B25" s="409">
        <v>2.23E-2</v>
      </c>
      <c r="C25" s="32">
        <v>2.23E-2</v>
      </c>
      <c r="D25" s="32">
        <v>2.4500000000000001E-2</v>
      </c>
      <c r="E25" s="330">
        <v>2.5600000000000001E-2</v>
      </c>
      <c r="F25" s="409">
        <v>4.0000000000000002E-4</v>
      </c>
      <c r="G25" s="32">
        <v>4.0000000000000002E-4</v>
      </c>
      <c r="H25" s="32">
        <v>5.0000000000000001E-4</v>
      </c>
      <c r="I25" s="330">
        <v>5.0000000000000001E-4</v>
      </c>
      <c r="K25" s="329">
        <v>2036</v>
      </c>
      <c r="L25" s="32">
        <f t="shared" si="0"/>
        <v>0.48182819383259912</v>
      </c>
      <c r="M25" s="330">
        <f t="shared" si="1"/>
        <v>0.20531384140969164</v>
      </c>
      <c r="O25" s="329">
        <v>2036</v>
      </c>
      <c r="P25" s="32">
        <f t="shared" si="2"/>
        <v>10.846916299559473</v>
      </c>
      <c r="Q25" s="425">
        <f t="shared" si="3"/>
        <v>12.072453874889868</v>
      </c>
      <c r="T25" s="506" t="s">
        <v>216</v>
      </c>
      <c r="U25" s="272">
        <v>3.5</v>
      </c>
      <c r="V25" s="273">
        <v>2</v>
      </c>
      <c r="X25" s="551" t="s">
        <v>216</v>
      </c>
      <c r="Y25" s="331">
        <f>U25/454*1000</f>
        <v>7.7092511013215859</v>
      </c>
      <c r="Z25" s="332">
        <f>V25/454*0.745699872*1000</f>
        <v>3.2850214625550662</v>
      </c>
    </row>
    <row r="26" spans="1:26" x14ac:dyDescent="0.35">
      <c r="A26" s="558">
        <v>2036</v>
      </c>
      <c r="B26" s="409">
        <v>2.0400000000000001E-2</v>
      </c>
      <c r="C26" s="32">
        <v>2.0199999999999999E-2</v>
      </c>
      <c r="D26" s="32">
        <v>2.23E-2</v>
      </c>
      <c r="E26" s="330">
        <v>2.3199999999999998E-2</v>
      </c>
      <c r="F26" s="409">
        <v>4.0000000000000002E-4</v>
      </c>
      <c r="G26" s="32">
        <v>4.0000000000000002E-4</v>
      </c>
      <c r="H26" s="32">
        <v>5.0000000000000001E-4</v>
      </c>
      <c r="I26" s="330">
        <v>5.0000000000000001E-4</v>
      </c>
      <c r="K26" s="329">
        <v>2037</v>
      </c>
      <c r="L26" s="32">
        <f t="shared" si="0"/>
        <v>0.48182819383259912</v>
      </c>
      <c r="M26" s="330">
        <f t="shared" si="1"/>
        <v>0.20531384140969164</v>
      </c>
      <c r="O26" s="329">
        <v>2037</v>
      </c>
      <c r="P26" s="32">
        <f t="shared" si="2"/>
        <v>10.846916299559473</v>
      </c>
      <c r="Q26" s="425">
        <f t="shared" si="3"/>
        <v>12.072453874889868</v>
      </c>
    </row>
    <row r="27" spans="1:26" x14ac:dyDescent="0.35">
      <c r="A27" s="558">
        <v>2037</v>
      </c>
      <c r="B27" s="409">
        <v>1.8700000000000001E-2</v>
      </c>
      <c r="C27" s="32">
        <v>1.83E-2</v>
      </c>
      <c r="D27" s="32">
        <v>2.0299999999999999E-2</v>
      </c>
      <c r="E27" s="330">
        <v>2.1100000000000001E-2</v>
      </c>
      <c r="F27" s="409">
        <v>4.0000000000000002E-4</v>
      </c>
      <c r="G27" s="32">
        <v>4.0000000000000002E-4</v>
      </c>
      <c r="H27" s="32">
        <v>5.0000000000000001E-4</v>
      </c>
      <c r="I27" s="330">
        <v>5.0000000000000001E-4</v>
      </c>
      <c r="K27" s="329">
        <v>2038</v>
      </c>
      <c r="L27" s="32">
        <f t="shared" si="0"/>
        <v>0.48182819383259912</v>
      </c>
      <c r="M27" s="330">
        <f t="shared" si="1"/>
        <v>0.20531384140969164</v>
      </c>
      <c r="O27" s="329">
        <v>2038</v>
      </c>
      <c r="P27" s="32">
        <f t="shared" si="2"/>
        <v>10.846916299559473</v>
      </c>
      <c r="Q27" s="425">
        <f t="shared" si="3"/>
        <v>12.072453874889868</v>
      </c>
      <c r="T27" s="327" t="s">
        <v>227</v>
      </c>
    </row>
    <row r="28" spans="1:26" x14ac:dyDescent="0.35">
      <c r="A28" s="558">
        <v>2038</v>
      </c>
      <c r="B28" s="409">
        <v>1.7100000000000001E-2</v>
      </c>
      <c r="C28" s="32">
        <v>1.66E-2</v>
      </c>
      <c r="D28" s="32">
        <v>1.8499999999999999E-2</v>
      </c>
      <c r="E28" s="330">
        <v>1.9099999999999999E-2</v>
      </c>
      <c r="F28" s="409">
        <v>4.0000000000000002E-4</v>
      </c>
      <c r="G28" s="32">
        <v>4.0000000000000002E-4</v>
      </c>
      <c r="H28" s="32">
        <v>5.0000000000000001E-4</v>
      </c>
      <c r="I28" s="330">
        <v>4.0000000000000002E-4</v>
      </c>
      <c r="K28" s="329">
        <v>2039</v>
      </c>
      <c r="L28" s="32">
        <f t="shared" si="0"/>
        <v>0.48182819383259912</v>
      </c>
      <c r="M28" s="330">
        <f t="shared" si="1"/>
        <v>0.20531384140969164</v>
      </c>
      <c r="O28" s="329">
        <v>2039</v>
      </c>
      <c r="P28" s="32">
        <f t="shared" si="2"/>
        <v>10.846916299559473</v>
      </c>
      <c r="Q28" s="425">
        <f t="shared" si="3"/>
        <v>12.072453874889868</v>
      </c>
      <c r="T28" s="327" t="s">
        <v>228</v>
      </c>
    </row>
    <row r="29" spans="1:26" x14ac:dyDescent="0.35">
      <c r="A29" s="558">
        <v>2039</v>
      </c>
      <c r="B29" s="409">
        <v>1.5699999999999999E-2</v>
      </c>
      <c r="C29" s="32">
        <v>1.4999999999999999E-2</v>
      </c>
      <c r="D29" s="32">
        <v>1.6799999999999999E-2</v>
      </c>
      <c r="E29" s="330">
        <v>1.7299999999999999E-2</v>
      </c>
      <c r="F29" s="409">
        <v>4.0000000000000002E-4</v>
      </c>
      <c r="G29" s="32">
        <v>4.0000000000000002E-4</v>
      </c>
      <c r="H29" s="32">
        <v>5.0000000000000001E-4</v>
      </c>
      <c r="I29" s="330">
        <v>4.0000000000000002E-4</v>
      </c>
      <c r="K29" s="329">
        <v>2040</v>
      </c>
      <c r="L29" s="32">
        <f t="shared" si="0"/>
        <v>0.48182819383259912</v>
      </c>
      <c r="M29" s="330">
        <f t="shared" si="1"/>
        <v>0.20531384140969164</v>
      </c>
      <c r="O29" s="329">
        <v>2040</v>
      </c>
      <c r="P29" s="32">
        <f t="shared" si="2"/>
        <v>10.846916299559473</v>
      </c>
      <c r="Q29" s="425">
        <f t="shared" si="3"/>
        <v>12.072453874889868</v>
      </c>
    </row>
    <row r="30" spans="1:26" x14ac:dyDescent="0.35">
      <c r="A30" s="558">
        <v>2040</v>
      </c>
      <c r="B30" s="409">
        <v>1.43E-2</v>
      </c>
      <c r="C30" s="32">
        <v>1.3599999999999999E-2</v>
      </c>
      <c r="D30" s="32">
        <v>1.5299999999999999E-2</v>
      </c>
      <c r="E30" s="330">
        <v>1.5699999999999999E-2</v>
      </c>
      <c r="F30" s="409">
        <v>4.0000000000000002E-4</v>
      </c>
      <c r="G30" s="32">
        <v>4.0000000000000002E-4</v>
      </c>
      <c r="H30" s="32">
        <v>5.0000000000000001E-4</v>
      </c>
      <c r="I30" s="330">
        <v>4.0000000000000002E-4</v>
      </c>
      <c r="K30" s="329">
        <v>2041</v>
      </c>
      <c r="L30" s="32">
        <f t="shared" si="0"/>
        <v>0.48182819383259912</v>
      </c>
      <c r="M30" s="330">
        <f t="shared" si="1"/>
        <v>0.20531384140969164</v>
      </c>
      <c r="O30" s="329">
        <v>2041</v>
      </c>
      <c r="P30" s="32">
        <f t="shared" si="2"/>
        <v>10.846916299559473</v>
      </c>
      <c r="Q30" s="425">
        <f t="shared" si="3"/>
        <v>12.072453874889868</v>
      </c>
    </row>
    <row r="31" spans="1:26" x14ac:dyDescent="0.35">
      <c r="A31" s="558">
        <v>2041</v>
      </c>
      <c r="B31" s="409">
        <v>1.3100000000000001E-2</v>
      </c>
      <c r="C31" s="32">
        <v>1.23E-2</v>
      </c>
      <c r="D31" s="32">
        <v>1.3899999999999999E-2</v>
      </c>
      <c r="E31" s="330">
        <v>1.43E-2</v>
      </c>
      <c r="F31" s="409">
        <v>4.0000000000000002E-4</v>
      </c>
      <c r="G31" s="32">
        <v>4.0000000000000002E-4</v>
      </c>
      <c r="H31" s="32">
        <v>5.0000000000000001E-4</v>
      </c>
      <c r="I31" s="330">
        <v>4.0000000000000002E-4</v>
      </c>
      <c r="K31" s="329">
        <v>2042</v>
      </c>
      <c r="L31" s="32">
        <f t="shared" si="0"/>
        <v>0.48182819383259912</v>
      </c>
      <c r="M31" s="330">
        <f t="shared" si="1"/>
        <v>0.20531384140969164</v>
      </c>
      <c r="O31" s="329">
        <v>2042</v>
      </c>
      <c r="P31" s="32">
        <f t="shared" si="2"/>
        <v>10.846916299559473</v>
      </c>
      <c r="Q31" s="425">
        <f t="shared" si="3"/>
        <v>12.072453874889868</v>
      </c>
    </row>
    <row r="32" spans="1:26" x14ac:dyDescent="0.35">
      <c r="A32" s="558">
        <v>2042</v>
      </c>
      <c r="B32" s="409">
        <v>1.2E-2</v>
      </c>
      <c r="C32" s="32">
        <v>1.12E-2</v>
      </c>
      <c r="D32" s="32">
        <v>1.2699999999999999E-2</v>
      </c>
      <c r="E32" s="330">
        <v>1.2999999999999999E-2</v>
      </c>
      <c r="F32" s="409">
        <v>4.0000000000000002E-4</v>
      </c>
      <c r="G32" s="32">
        <v>4.0000000000000002E-4</v>
      </c>
      <c r="H32" s="32">
        <v>5.0000000000000001E-4</v>
      </c>
      <c r="I32" s="330">
        <v>4.0000000000000002E-4</v>
      </c>
      <c r="K32" s="329">
        <v>2043</v>
      </c>
      <c r="L32" s="32">
        <f t="shared" si="0"/>
        <v>0.48182819383259912</v>
      </c>
      <c r="M32" s="330">
        <f t="shared" si="1"/>
        <v>0.20531384140969164</v>
      </c>
      <c r="O32" s="329">
        <v>2043</v>
      </c>
      <c r="P32" s="32">
        <f t="shared" si="2"/>
        <v>10.846916299559473</v>
      </c>
      <c r="Q32" s="425">
        <f t="shared" si="3"/>
        <v>12.072453874889868</v>
      </c>
    </row>
    <row r="33" spans="1:26" x14ac:dyDescent="0.35">
      <c r="A33" s="558">
        <v>2043</v>
      </c>
      <c r="B33" s="409">
        <v>1.0999999999999999E-2</v>
      </c>
      <c r="C33" s="32">
        <v>1.01E-2</v>
      </c>
      <c r="D33" s="32">
        <v>1.15E-2</v>
      </c>
      <c r="E33" s="330">
        <v>1.18E-2</v>
      </c>
      <c r="F33" s="409">
        <v>4.0000000000000002E-4</v>
      </c>
      <c r="G33" s="32">
        <v>4.0000000000000002E-4</v>
      </c>
      <c r="H33" s="32">
        <v>4.0000000000000002E-4</v>
      </c>
      <c r="I33" s="330">
        <v>4.0000000000000002E-4</v>
      </c>
      <c r="K33" s="329">
        <v>2044</v>
      </c>
      <c r="L33" s="32">
        <f t="shared" si="0"/>
        <v>0.48182819383259912</v>
      </c>
      <c r="M33" s="330">
        <f t="shared" si="1"/>
        <v>0.20531384140969164</v>
      </c>
      <c r="O33" s="329">
        <v>2044</v>
      </c>
      <c r="P33" s="32">
        <f t="shared" si="2"/>
        <v>10.846916299559473</v>
      </c>
      <c r="Q33" s="425">
        <f t="shared" si="3"/>
        <v>12.072453874889868</v>
      </c>
    </row>
    <row r="34" spans="1:26" x14ac:dyDescent="0.35">
      <c r="A34" s="558">
        <v>2044</v>
      </c>
      <c r="B34" s="409">
        <v>1.01E-2</v>
      </c>
      <c r="C34" s="32">
        <v>9.1999999999999998E-3</v>
      </c>
      <c r="D34" s="32">
        <v>1.0500000000000001E-2</v>
      </c>
      <c r="E34" s="330">
        <v>1.0699999999999999E-2</v>
      </c>
      <c r="F34" s="409">
        <v>4.0000000000000002E-4</v>
      </c>
      <c r="G34" s="32">
        <v>4.0000000000000002E-4</v>
      </c>
      <c r="H34" s="32">
        <v>4.0000000000000002E-4</v>
      </c>
      <c r="I34" s="330">
        <v>4.0000000000000002E-4</v>
      </c>
      <c r="K34" s="329">
        <v>2045</v>
      </c>
      <c r="L34" s="32">
        <f t="shared" si="0"/>
        <v>0.48182819383259912</v>
      </c>
      <c r="M34" s="330">
        <f t="shared" si="1"/>
        <v>0.20531384140969164</v>
      </c>
      <c r="O34" s="329">
        <v>2045</v>
      </c>
      <c r="P34" s="32">
        <f t="shared" si="2"/>
        <v>10.846916299559473</v>
      </c>
      <c r="Q34" s="425">
        <f t="shared" si="3"/>
        <v>12.072453874889868</v>
      </c>
    </row>
    <row r="35" spans="1:26" x14ac:dyDescent="0.35">
      <c r="A35" s="558">
        <v>2045</v>
      </c>
      <c r="B35" s="409">
        <v>9.1999999999999998E-3</v>
      </c>
      <c r="C35" s="32">
        <v>8.3000000000000001E-3</v>
      </c>
      <c r="D35" s="32">
        <v>9.4999999999999998E-3</v>
      </c>
      <c r="E35" s="330">
        <v>9.7000000000000003E-3</v>
      </c>
      <c r="F35" s="409">
        <v>4.0000000000000002E-4</v>
      </c>
      <c r="G35" s="32">
        <v>2.9999999999999997E-4</v>
      </c>
      <c r="H35" s="32">
        <v>4.0000000000000002E-4</v>
      </c>
      <c r="I35" s="330">
        <v>4.0000000000000002E-4</v>
      </c>
      <c r="K35" s="329">
        <v>2046</v>
      </c>
      <c r="L35" s="32">
        <f t="shared" si="0"/>
        <v>0.48182819383259912</v>
      </c>
      <c r="M35" s="330">
        <f t="shared" si="1"/>
        <v>0.20531384140969164</v>
      </c>
      <c r="O35" s="329">
        <v>2046</v>
      </c>
      <c r="P35" s="32">
        <f t="shared" si="2"/>
        <v>10.846916299559473</v>
      </c>
      <c r="Q35" s="425">
        <f t="shared" si="3"/>
        <v>12.072453874889868</v>
      </c>
    </row>
    <row r="36" spans="1:26" x14ac:dyDescent="0.35">
      <c r="A36" s="558">
        <v>2046</v>
      </c>
      <c r="B36" s="409">
        <v>8.3999999999999995E-3</v>
      </c>
      <c r="C36" s="32">
        <v>7.4999999999999997E-3</v>
      </c>
      <c r="D36" s="32">
        <v>8.6999999999999994E-3</v>
      </c>
      <c r="E36" s="330">
        <v>8.8000000000000005E-3</v>
      </c>
      <c r="F36" s="409">
        <v>4.0000000000000002E-4</v>
      </c>
      <c r="G36" s="32">
        <v>2.9999999999999997E-4</v>
      </c>
      <c r="H36" s="32">
        <v>4.0000000000000002E-4</v>
      </c>
      <c r="I36" s="330">
        <v>4.0000000000000002E-4</v>
      </c>
      <c r="K36" s="329">
        <v>2047</v>
      </c>
      <c r="L36" s="32">
        <f t="shared" si="0"/>
        <v>0.48182819383259912</v>
      </c>
      <c r="M36" s="330">
        <f t="shared" si="1"/>
        <v>0.20531384140969164</v>
      </c>
      <c r="O36" s="329">
        <v>2047</v>
      </c>
      <c r="P36" s="32">
        <f t="shared" si="2"/>
        <v>10.846916299559473</v>
      </c>
      <c r="Q36" s="425">
        <f t="shared" si="3"/>
        <v>12.072453874889868</v>
      </c>
    </row>
    <row r="37" spans="1:26" x14ac:dyDescent="0.35">
      <c r="A37" s="558">
        <v>2047</v>
      </c>
      <c r="B37" s="409">
        <v>7.7000000000000002E-3</v>
      </c>
      <c r="C37" s="32">
        <v>6.7999999999999996E-3</v>
      </c>
      <c r="D37" s="32">
        <v>7.9000000000000008E-3</v>
      </c>
      <c r="E37" s="330">
        <v>8.0000000000000002E-3</v>
      </c>
      <c r="F37" s="409">
        <v>4.0000000000000002E-4</v>
      </c>
      <c r="G37" s="32">
        <v>2.9999999999999997E-4</v>
      </c>
      <c r="H37" s="32">
        <v>4.0000000000000002E-4</v>
      </c>
      <c r="I37" s="330">
        <v>4.0000000000000002E-4</v>
      </c>
      <c r="K37" s="329">
        <v>2048</v>
      </c>
      <c r="L37" s="32">
        <f t="shared" si="0"/>
        <v>0.48182819383259912</v>
      </c>
      <c r="M37" s="330">
        <f t="shared" si="1"/>
        <v>0.20531384140969164</v>
      </c>
      <c r="O37" s="329">
        <v>2048</v>
      </c>
      <c r="P37" s="32">
        <f t="shared" si="2"/>
        <v>10.846916299559473</v>
      </c>
      <c r="Q37" s="425">
        <f t="shared" si="3"/>
        <v>12.072453874889868</v>
      </c>
    </row>
    <row r="38" spans="1:26" x14ac:dyDescent="0.35">
      <c r="A38" s="558">
        <v>2048</v>
      </c>
      <c r="B38" s="409">
        <v>7.1000000000000004E-3</v>
      </c>
      <c r="C38" s="32">
        <v>6.1999999999999998E-3</v>
      </c>
      <c r="D38" s="32">
        <v>7.1999999999999998E-3</v>
      </c>
      <c r="E38" s="330">
        <v>7.1999999999999998E-3</v>
      </c>
      <c r="F38" s="409">
        <v>4.0000000000000002E-4</v>
      </c>
      <c r="G38" s="32">
        <v>2.9999999999999997E-4</v>
      </c>
      <c r="H38" s="32">
        <v>4.0000000000000002E-4</v>
      </c>
      <c r="I38" s="330">
        <v>4.0000000000000002E-4</v>
      </c>
      <c r="K38" s="329">
        <v>2049</v>
      </c>
      <c r="L38" s="32">
        <f t="shared" si="0"/>
        <v>0.48182819383259912</v>
      </c>
      <c r="M38" s="330">
        <f t="shared" si="1"/>
        <v>0.20531384140969164</v>
      </c>
      <c r="O38" s="329">
        <v>2049</v>
      </c>
      <c r="P38" s="32">
        <f t="shared" si="2"/>
        <v>10.846916299559473</v>
      </c>
      <c r="Q38" s="425">
        <f t="shared" si="3"/>
        <v>12.072453874889868</v>
      </c>
    </row>
    <row r="39" spans="1:26" x14ac:dyDescent="0.35">
      <c r="A39" s="558">
        <v>2049</v>
      </c>
      <c r="B39" s="409">
        <v>6.4999999999999997E-3</v>
      </c>
      <c r="C39" s="32">
        <v>5.5999999999999999E-3</v>
      </c>
      <c r="D39" s="32">
        <v>6.4999999999999997E-3</v>
      </c>
      <c r="E39" s="330">
        <v>6.6E-3</v>
      </c>
      <c r="F39" s="409">
        <v>4.0000000000000002E-4</v>
      </c>
      <c r="G39" s="32">
        <v>2.9999999999999997E-4</v>
      </c>
      <c r="H39" s="32">
        <v>4.0000000000000002E-4</v>
      </c>
      <c r="I39" s="330">
        <v>2.9999999999999997E-4</v>
      </c>
      <c r="K39" s="329">
        <v>2050</v>
      </c>
      <c r="L39" s="32">
        <f t="shared" si="0"/>
        <v>0.48182819383259912</v>
      </c>
      <c r="M39" s="330">
        <f t="shared" si="1"/>
        <v>0.20531384140969164</v>
      </c>
      <c r="O39" s="329">
        <v>2050</v>
      </c>
      <c r="P39" s="32">
        <f t="shared" si="2"/>
        <v>10.846916299559473</v>
      </c>
      <c r="Q39" s="425">
        <f t="shared" si="3"/>
        <v>12.072453874889868</v>
      </c>
    </row>
    <row r="40" spans="1:26" x14ac:dyDescent="0.35">
      <c r="A40" s="558">
        <v>2050</v>
      </c>
      <c r="B40" s="409">
        <v>5.8999999999999999E-3</v>
      </c>
      <c r="C40" s="32">
        <v>5.1000000000000004E-3</v>
      </c>
      <c r="D40" s="32">
        <v>5.8999999999999999E-3</v>
      </c>
      <c r="E40" s="330">
        <v>6.0000000000000001E-3</v>
      </c>
      <c r="F40" s="409">
        <v>4.0000000000000002E-4</v>
      </c>
      <c r="G40" s="32">
        <v>2.9999999999999997E-4</v>
      </c>
      <c r="H40" s="32">
        <v>4.0000000000000002E-4</v>
      </c>
      <c r="I40" s="330">
        <v>2.9999999999999997E-4</v>
      </c>
      <c r="K40" s="329">
        <v>2051</v>
      </c>
      <c r="L40" s="32">
        <f t="shared" si="0"/>
        <v>0.48182819383259912</v>
      </c>
      <c r="M40" s="330">
        <f t="shared" si="1"/>
        <v>0.20531384140969164</v>
      </c>
      <c r="O40" s="329">
        <v>2051</v>
      </c>
      <c r="P40" s="32">
        <f t="shared" si="2"/>
        <v>10.846916299559473</v>
      </c>
      <c r="Q40" s="425">
        <f t="shared" si="3"/>
        <v>12.072453874889868</v>
      </c>
    </row>
    <row r="41" spans="1:26" x14ac:dyDescent="0.35">
      <c r="A41" s="558">
        <v>2051</v>
      </c>
      <c r="B41" s="409">
        <v>5.4000000000000003E-3</v>
      </c>
      <c r="C41" s="32">
        <v>4.5999999999999999E-3</v>
      </c>
      <c r="D41" s="32">
        <v>5.4000000000000003E-3</v>
      </c>
      <c r="E41" s="330">
        <v>5.4000000000000003E-3</v>
      </c>
      <c r="F41" s="409">
        <v>4.0000000000000002E-4</v>
      </c>
      <c r="G41" s="32">
        <v>2.9999999999999997E-4</v>
      </c>
      <c r="H41" s="32">
        <v>4.0000000000000002E-4</v>
      </c>
      <c r="I41" s="330">
        <v>2.9999999999999997E-4</v>
      </c>
      <c r="K41" s="329">
        <v>2052</v>
      </c>
      <c r="L41" s="32">
        <f t="shared" si="0"/>
        <v>0.48182819383259912</v>
      </c>
      <c r="M41" s="330">
        <f t="shared" si="1"/>
        <v>0.20531384140969164</v>
      </c>
      <c r="O41" s="329">
        <v>2052</v>
      </c>
      <c r="P41" s="32">
        <f t="shared" si="2"/>
        <v>10.846916299559473</v>
      </c>
      <c r="Q41" s="425">
        <f t="shared" si="3"/>
        <v>12.072453874889868</v>
      </c>
    </row>
    <row r="42" spans="1:26" x14ac:dyDescent="0.35">
      <c r="A42" s="558">
        <v>2052</v>
      </c>
      <c r="B42" s="409">
        <v>5.0000000000000001E-3</v>
      </c>
      <c r="C42" s="32">
        <v>4.1999999999999997E-3</v>
      </c>
      <c r="D42" s="32">
        <v>4.8999999999999998E-3</v>
      </c>
      <c r="E42" s="330">
        <v>4.8999999999999998E-3</v>
      </c>
      <c r="F42" s="409">
        <v>4.0000000000000002E-4</v>
      </c>
      <c r="G42" s="32">
        <v>2.9999999999999997E-4</v>
      </c>
      <c r="H42" s="32">
        <v>4.0000000000000002E-4</v>
      </c>
      <c r="I42" s="330">
        <v>2.9999999999999997E-4</v>
      </c>
      <c r="K42" s="416">
        <v>2053</v>
      </c>
      <c r="L42" s="331">
        <f t="shared" si="0"/>
        <v>0.48182819383259912</v>
      </c>
      <c r="M42" s="332">
        <f t="shared" si="1"/>
        <v>0.20531384140969164</v>
      </c>
      <c r="O42" s="416">
        <v>2053</v>
      </c>
      <c r="P42" s="331">
        <f t="shared" si="2"/>
        <v>10.846916299559473</v>
      </c>
      <c r="Q42" s="610">
        <f t="shared" si="3"/>
        <v>12.072453874889868</v>
      </c>
      <c r="V42" s="105"/>
      <c r="W42" s="105"/>
      <c r="X42" s="98"/>
      <c r="Y42" s="98"/>
      <c r="Z42" s="98"/>
    </row>
    <row r="43" spans="1:26" x14ac:dyDescent="0.35">
      <c r="A43" s="558">
        <v>2053</v>
      </c>
      <c r="B43" s="409">
        <v>4.5999999999999999E-3</v>
      </c>
      <c r="C43" s="32">
        <v>3.8E-3</v>
      </c>
      <c r="D43" s="32">
        <v>4.4999999999999997E-3</v>
      </c>
      <c r="E43" s="330">
        <v>4.4999999999999997E-3</v>
      </c>
      <c r="F43" s="409">
        <v>4.0000000000000002E-4</v>
      </c>
      <c r="G43" s="32">
        <v>2.9999999999999997E-4</v>
      </c>
      <c r="H43" s="32">
        <v>2.9999999999999997E-4</v>
      </c>
      <c r="I43" s="330">
        <v>2.9999999999999997E-4</v>
      </c>
      <c r="V43" s="105"/>
      <c r="W43" s="105"/>
      <c r="X43" s="98"/>
      <c r="Y43" s="98"/>
      <c r="Z43" s="98"/>
    </row>
    <row r="44" spans="1:26" x14ac:dyDescent="0.3">
      <c r="A44" s="558">
        <v>2054</v>
      </c>
      <c r="B44" s="409">
        <v>4.1999999999999997E-3</v>
      </c>
      <c r="C44" s="32">
        <v>3.3999999999999998E-3</v>
      </c>
      <c r="D44" s="32">
        <v>4.1000000000000003E-3</v>
      </c>
      <c r="E44" s="330">
        <v>4.0000000000000001E-3</v>
      </c>
      <c r="F44" s="409">
        <v>4.0000000000000002E-4</v>
      </c>
      <c r="G44" s="32">
        <v>2.9999999999999997E-4</v>
      </c>
      <c r="H44" s="32">
        <v>2.9999999999999997E-4</v>
      </c>
      <c r="I44" s="330">
        <v>2.9999999999999997E-4</v>
      </c>
      <c r="V44" s="131"/>
      <c r="W44" s="133"/>
      <c r="X44" s="134"/>
    </row>
    <row r="45" spans="1:26" x14ac:dyDescent="0.3">
      <c r="A45" s="559">
        <v>2055</v>
      </c>
      <c r="B45" s="410">
        <v>3.8E-3</v>
      </c>
      <c r="C45" s="331">
        <v>3.0999999999999999E-3</v>
      </c>
      <c r="D45" s="331">
        <v>3.7000000000000002E-3</v>
      </c>
      <c r="E45" s="332">
        <v>3.7000000000000002E-3</v>
      </c>
      <c r="F45" s="410">
        <v>4.0000000000000002E-4</v>
      </c>
      <c r="G45" s="331">
        <v>2.9999999999999997E-4</v>
      </c>
      <c r="H45" s="331">
        <v>2.9999999999999997E-4</v>
      </c>
      <c r="I45" s="332">
        <v>2.9999999999999997E-4</v>
      </c>
      <c r="V45" s="131"/>
      <c r="W45" s="133"/>
      <c r="X45" s="134"/>
    </row>
    <row r="46" spans="1:26" x14ac:dyDescent="0.3">
      <c r="V46" s="131"/>
      <c r="W46" s="133"/>
      <c r="X46" s="134"/>
    </row>
    <row r="47" spans="1:26" ht="14.5" customHeight="1" x14ac:dyDescent="0.3">
      <c r="K47" s="264"/>
      <c r="L47" s="264"/>
      <c r="M47" s="264"/>
      <c r="O47" s="264"/>
      <c r="P47" s="264"/>
      <c r="Q47" s="264"/>
      <c r="T47" s="104"/>
      <c r="U47" s="105"/>
      <c r="V47" s="131"/>
      <c r="W47" s="133"/>
      <c r="X47" s="134"/>
    </row>
    <row r="48" spans="1:26" x14ac:dyDescent="0.3">
      <c r="T48" s="104"/>
      <c r="U48" s="105"/>
      <c r="V48" s="131"/>
      <c r="W48" s="133"/>
      <c r="X48" s="134"/>
    </row>
    <row r="49" spans="1:26" ht="21" x14ac:dyDescent="0.3">
      <c r="A49" s="712" t="s">
        <v>229</v>
      </c>
      <c r="B49" s="712"/>
      <c r="C49" s="712"/>
      <c r="D49" s="712"/>
      <c r="E49" s="712"/>
      <c r="F49" s="712"/>
      <c r="G49" s="712"/>
      <c r="H49" s="712"/>
      <c r="I49" s="712"/>
      <c r="U49" s="130"/>
      <c r="V49" s="131"/>
      <c r="W49" s="133"/>
      <c r="X49" s="134"/>
    </row>
    <row r="50" spans="1:26" ht="14.5" customHeight="1" x14ac:dyDescent="0.3">
      <c r="J50" s="264"/>
      <c r="K50" s="44"/>
      <c r="L50" s="44"/>
      <c r="M50" s="44"/>
      <c r="N50" s="264"/>
      <c r="O50" s="44"/>
      <c r="P50" s="44"/>
      <c r="Q50" s="44"/>
      <c r="R50" s="264"/>
      <c r="S50" s="264"/>
      <c r="U50" s="130"/>
      <c r="V50" s="131"/>
      <c r="W50" s="133"/>
      <c r="X50" s="134"/>
    </row>
    <row r="51" spans="1:26" ht="15" thickBot="1" x14ac:dyDescent="0.4">
      <c r="A51" s="560" t="s">
        <v>174</v>
      </c>
      <c r="K51" s="105"/>
      <c r="L51" s="105"/>
      <c r="M51" s="105"/>
      <c r="O51" s="105"/>
      <c r="P51" s="105"/>
      <c r="Q51" s="105"/>
      <c r="U51" s="130"/>
      <c r="V51" s="131"/>
      <c r="W51" s="133"/>
      <c r="X51" s="134"/>
    </row>
    <row r="52" spans="1:26" x14ac:dyDescent="0.3">
      <c r="K52" s="105"/>
      <c r="L52" s="105"/>
      <c r="M52" s="105"/>
      <c r="O52" s="105"/>
      <c r="P52" s="105"/>
      <c r="Q52" s="105"/>
      <c r="U52" s="130"/>
      <c r="V52" s="131"/>
      <c r="W52" s="133"/>
      <c r="X52" s="134"/>
    </row>
    <row r="53" spans="1:26" ht="15" thickBot="1" x14ac:dyDescent="0.35">
      <c r="A53" s="745" t="s">
        <v>230</v>
      </c>
      <c r="B53" s="746"/>
      <c r="C53" s="746"/>
      <c r="D53" s="747"/>
      <c r="F53" s="745" t="s">
        <v>231</v>
      </c>
      <c r="G53" s="746"/>
      <c r="H53" s="747"/>
      <c r="I53" s="341"/>
      <c r="K53" s="105"/>
      <c r="L53" s="105"/>
      <c r="M53" s="105"/>
      <c r="O53" s="105"/>
      <c r="P53" s="105"/>
      <c r="Q53" s="105"/>
      <c r="U53" s="130"/>
      <c r="V53" s="131"/>
      <c r="W53" s="133"/>
      <c r="X53" s="134"/>
    </row>
    <row r="54" spans="1:26" ht="29" x14ac:dyDescent="0.3">
      <c r="A54" s="516" t="s">
        <v>186</v>
      </c>
      <c r="B54" s="517" t="s">
        <v>232</v>
      </c>
      <c r="C54" s="517" t="s">
        <v>233</v>
      </c>
      <c r="D54" s="518" t="s">
        <v>234</v>
      </c>
      <c r="E54" s="98"/>
      <c r="F54" s="516" t="s">
        <v>186</v>
      </c>
      <c r="G54" s="636" t="s">
        <v>171</v>
      </c>
      <c r="H54" s="637" t="s">
        <v>223</v>
      </c>
      <c r="I54" s="105"/>
      <c r="J54" s="44"/>
      <c r="K54" s="209"/>
      <c r="L54" s="209"/>
      <c r="M54" s="209"/>
      <c r="N54" s="44"/>
      <c r="O54" s="209"/>
      <c r="P54" s="209"/>
      <c r="Q54" s="209"/>
      <c r="R54" s="44"/>
      <c r="U54" s="130"/>
      <c r="V54" s="131"/>
      <c r="W54" s="133"/>
      <c r="X54" s="134"/>
    </row>
    <row r="55" spans="1:26" ht="15" thickBot="1" x14ac:dyDescent="0.35">
      <c r="A55" s="519"/>
      <c r="B55" s="520" t="s">
        <v>182</v>
      </c>
      <c r="C55" s="520" t="s">
        <v>182</v>
      </c>
      <c r="D55" s="521" t="s">
        <v>182</v>
      </c>
      <c r="E55" s="98"/>
      <c r="F55" s="519"/>
      <c r="G55" s="507" t="s">
        <v>182</v>
      </c>
      <c r="H55" s="508" t="s">
        <v>182</v>
      </c>
      <c r="I55" s="105"/>
      <c r="J55" s="44"/>
      <c r="K55" s="209"/>
      <c r="L55" s="209"/>
      <c r="M55" s="209"/>
      <c r="N55" s="44"/>
      <c r="O55" s="209"/>
      <c r="P55" s="209"/>
      <c r="Q55" s="209"/>
      <c r="R55" s="44"/>
      <c r="U55" s="130"/>
      <c r="V55" s="131"/>
      <c r="W55" s="133"/>
      <c r="X55" s="134"/>
    </row>
    <row r="56" spans="1:26" s="98" customFormat="1" x14ac:dyDescent="0.35">
      <c r="A56" s="513">
        <v>2021</v>
      </c>
      <c r="B56" s="514">
        <f>D11*(1+'Inputs-System'!$C$19)^('Non-Embedded Emissions'!$A56-2021)</f>
        <v>7.1599999999999997E-2</v>
      </c>
      <c r="C56" s="514">
        <f>E11*(1+'Inputs-System'!$C$19)^('Non-Embedded Emissions'!$A56-2021)</f>
        <v>7.3400000000000007E-2</v>
      </c>
      <c r="D56" s="515">
        <f>(B56+C56)/2</f>
        <v>7.2500000000000009E-2</v>
      </c>
      <c r="F56" s="489">
        <v>2021</v>
      </c>
      <c r="G56" s="522">
        <f>L10*(1+'Inputs-System'!$C$19)^('Non-Embedded Emissions'!$A56-2021)/1000</f>
        <v>4.8182819383259912E-4</v>
      </c>
      <c r="H56" s="421">
        <f>M10*(1+'Inputs-System'!$C$19)^('Non-Embedded Emissions'!$A56-2021)/1000</f>
        <v>2.0531384140969164E-4</v>
      </c>
      <c r="I56" s="105"/>
      <c r="J56" s="105"/>
      <c r="K56" s="209"/>
      <c r="L56" s="209"/>
      <c r="M56" s="209"/>
      <c r="N56" s="105"/>
      <c r="O56" s="209"/>
      <c r="P56" s="209"/>
      <c r="Q56" s="209"/>
      <c r="S56" s="3"/>
      <c r="T56" s="3"/>
      <c r="U56" s="130"/>
      <c r="V56" s="131"/>
      <c r="W56" s="133"/>
      <c r="X56" s="134"/>
      <c r="Y56" s="3"/>
      <c r="Z56" s="3"/>
    </row>
    <row r="57" spans="1:26" s="98" customFormat="1" x14ac:dyDescent="0.35">
      <c r="A57" s="277">
        <v>2022</v>
      </c>
      <c r="B57" s="495">
        <f>D12*(1+'Inputs-System'!$C$19)^('Non-Embedded Emissions'!$A57-2021)</f>
        <v>5.7630000000000001E-2</v>
      </c>
      <c r="C57" s="495">
        <f>E12*(1+'Inputs-System'!$C$19)^('Non-Embedded Emissions'!$A57-2021)</f>
        <v>6.4259999999999998E-2</v>
      </c>
      <c r="D57" s="497">
        <f t="shared" ref="D57:D90" si="4">(B57+C57)/2</f>
        <v>6.0944999999999999E-2</v>
      </c>
      <c r="E57" s="3"/>
      <c r="F57" s="491">
        <v>2022</v>
      </c>
      <c r="G57" s="422">
        <f>L11*(1+'Inputs-System'!$C$19)^('Non-Embedded Emissions'!$A57-2021)/1000</f>
        <v>4.9146475770925108E-4</v>
      </c>
      <c r="H57" s="490">
        <f>M11*(1+'Inputs-System'!$C$19)^('Non-Embedded Emissions'!$A57-2021)/1000</f>
        <v>2.0942011823788548E-4</v>
      </c>
      <c r="I57" s="209"/>
      <c r="J57" s="105"/>
      <c r="K57" s="209"/>
      <c r="L57" s="209"/>
      <c r="M57" s="209"/>
      <c r="N57" s="105"/>
      <c r="O57" s="209"/>
      <c r="P57" s="209"/>
      <c r="Q57" s="209"/>
      <c r="S57" s="3"/>
      <c r="T57" s="3"/>
      <c r="U57" s="130"/>
      <c r="V57" s="131"/>
      <c r="W57" s="133"/>
      <c r="X57" s="134"/>
      <c r="Y57" s="3"/>
      <c r="Z57" s="3"/>
    </row>
    <row r="58" spans="1:26" x14ac:dyDescent="0.35">
      <c r="A58" s="496">
        <v>2023</v>
      </c>
      <c r="B58" s="495">
        <f>D13*(1+'Inputs-System'!$C$19)^('Non-Embedded Emissions'!$A58-2021)</f>
        <v>5.4829079999999995E-2</v>
      </c>
      <c r="C58" s="495">
        <f>E13*(1+'Inputs-System'!$C$19)^('Non-Embedded Emissions'!$A58-2021)</f>
        <v>7.7093640000000005E-2</v>
      </c>
      <c r="D58" s="497">
        <f t="shared" si="4"/>
        <v>6.5961359999999997E-2</v>
      </c>
      <c r="F58" s="491">
        <v>2023</v>
      </c>
      <c r="G58" s="422">
        <f>L12*(1+'Inputs-System'!$C$19)^('Non-Embedded Emissions'!$A58-2021)/1000</f>
        <v>5.0129405286343607E-4</v>
      </c>
      <c r="H58" s="490">
        <f>M12*(1+'Inputs-System'!$C$19)^('Non-Embedded Emissions'!$A58-2021)/1000</f>
        <v>2.1360852060264319E-4</v>
      </c>
      <c r="I58" s="209"/>
      <c r="J58" s="209"/>
      <c r="K58" s="209"/>
      <c r="L58" s="209"/>
      <c r="M58" s="209"/>
      <c r="N58" s="209"/>
      <c r="O58" s="209"/>
      <c r="P58" s="209"/>
      <c r="Q58" s="209"/>
      <c r="R58" s="210"/>
      <c r="U58" s="130"/>
      <c r="V58" s="131"/>
      <c r="W58" s="133"/>
      <c r="X58" s="134"/>
    </row>
    <row r="59" spans="1:26" x14ac:dyDescent="0.35">
      <c r="A59" s="277">
        <v>2024</v>
      </c>
      <c r="B59" s="495">
        <f>D14*(1+'Inputs-System'!$C$19)^('Non-Embedded Emissions'!$A59-2021)</f>
        <v>4.9346171999999994E-2</v>
      </c>
      <c r="C59" s="495">
        <f>E14*(1+'Inputs-System'!$C$19)^('Non-Embedded Emissions'!$A59-2021)</f>
        <v>6.2186788799999997E-2</v>
      </c>
      <c r="D59" s="497">
        <f t="shared" si="4"/>
        <v>5.5766480399999999E-2</v>
      </c>
      <c r="F59" s="491">
        <v>2024</v>
      </c>
      <c r="G59" s="422">
        <f>L13*(1+'Inputs-System'!$C$19)^('Non-Embedded Emissions'!$A59-2021)/1000</f>
        <v>5.1131993392070486E-4</v>
      </c>
      <c r="H59" s="490">
        <f>M13*(1+'Inputs-System'!$C$19)^('Non-Embedded Emissions'!$A59-2021)/1000</f>
        <v>2.1788069101469603E-4</v>
      </c>
      <c r="I59" s="209"/>
      <c r="J59" s="209"/>
      <c r="K59" s="209"/>
      <c r="L59" s="209"/>
      <c r="M59" s="209"/>
      <c r="N59" s="209"/>
      <c r="O59" s="209"/>
      <c r="P59" s="209"/>
      <c r="Q59" s="209"/>
      <c r="R59" s="134"/>
      <c r="U59" s="130"/>
      <c r="V59" s="131"/>
      <c r="W59" s="133"/>
      <c r="X59" s="134"/>
    </row>
    <row r="60" spans="1:26" x14ac:dyDescent="0.35">
      <c r="A60" s="496">
        <v>2025</v>
      </c>
      <c r="B60" s="495">
        <f>D15*(1+'Inputs-System'!$C$19)^('Non-Embedded Emissions'!$A60-2021)</f>
        <v>5.3472148704000001E-2</v>
      </c>
      <c r="C60" s="495">
        <f>E15*(1+'Inputs-System'!$C$19)^('Non-Embedded Emissions'!$A60-2021)</f>
        <v>6.3647011007999993E-2</v>
      </c>
      <c r="D60" s="497">
        <f t="shared" si="4"/>
        <v>5.8559579855999994E-2</v>
      </c>
      <c r="F60" s="489">
        <v>2025</v>
      </c>
      <c r="G60" s="422">
        <f>L14*(1+'Inputs-System'!$C$19)^('Non-Embedded Emissions'!$A60-2021)/1000</f>
        <v>5.2154633259911894E-4</v>
      </c>
      <c r="H60" s="490">
        <f>M14*(1+'Inputs-System'!$C$19)^('Non-Embedded Emissions'!$A60-2021)/1000</f>
        <v>2.2223830483498997E-4</v>
      </c>
      <c r="I60" s="209"/>
      <c r="J60" s="209"/>
      <c r="K60" s="209"/>
      <c r="L60" s="209"/>
      <c r="M60" s="209"/>
      <c r="N60" s="209"/>
      <c r="O60" s="209"/>
      <c r="P60" s="209"/>
      <c r="Q60" s="209"/>
      <c r="R60" s="134"/>
      <c r="U60" s="130"/>
      <c r="V60" s="131"/>
      <c r="W60" s="133"/>
      <c r="X60" s="134"/>
    </row>
    <row r="61" spans="1:26" x14ac:dyDescent="0.35">
      <c r="A61" s="277">
        <v>2026</v>
      </c>
      <c r="B61" s="495">
        <f>D16*(1+'Inputs-System'!$C$19)^('Non-Embedded Emissions'!$A61-2021)</f>
        <v>5.0014860384960003E-2</v>
      </c>
      <c r="C61" s="495">
        <f>E16*(1+'Inputs-System'!$C$19)^('Non-Embedded Emissions'!$A61-2021)</f>
        <v>6.0724444176000002E-2</v>
      </c>
      <c r="D61" s="497">
        <f t="shared" si="4"/>
        <v>5.5369652280480006E-2</v>
      </c>
      <c r="F61" s="491">
        <v>2026</v>
      </c>
      <c r="G61" s="422">
        <f>L15*(1+'Inputs-System'!$C$19)^('Non-Embedded Emissions'!$A61-2021)/1000</f>
        <v>5.3197725925110126E-4</v>
      </c>
      <c r="H61" s="490">
        <f>M15*(1+'Inputs-System'!$C$19)^('Non-Embedded Emissions'!$A61-2021)/1000</f>
        <v>2.2668307093168976E-4</v>
      </c>
      <c r="I61" s="209"/>
      <c r="J61" s="209"/>
      <c r="K61" s="209"/>
      <c r="L61" s="209"/>
      <c r="M61" s="209"/>
      <c r="N61" s="209"/>
      <c r="O61" s="209"/>
      <c r="P61" s="209"/>
      <c r="Q61" s="209"/>
      <c r="R61" s="134"/>
      <c r="S61" s="98"/>
      <c r="U61" s="130"/>
      <c r="V61" s="131"/>
      <c r="W61" s="133"/>
      <c r="X61" s="134"/>
    </row>
    <row r="62" spans="1:26" x14ac:dyDescent="0.35">
      <c r="A62" s="496">
        <v>2027</v>
      </c>
      <c r="B62" s="495">
        <f>D17*(1+'Inputs-System'!$C$19)^('Non-Embedded Emissions'!$A62-2021)</f>
        <v>5.0001611415321605E-2</v>
      </c>
      <c r="C62" s="495">
        <f>E17*(1+'Inputs-System'!$C$19)^('Non-Embedded Emissions'!$A62-2021)</f>
        <v>6.1150619366035205E-2</v>
      </c>
      <c r="D62" s="497">
        <f t="shared" si="4"/>
        <v>5.5576115390678402E-2</v>
      </c>
      <c r="F62" s="491">
        <v>2027</v>
      </c>
      <c r="G62" s="422">
        <f>L16*(1+'Inputs-System'!$C$19)^('Non-Embedded Emissions'!$A62-2021)/1000</f>
        <v>5.426168044361234E-4</v>
      </c>
      <c r="H62" s="490">
        <f>M16*(1+'Inputs-System'!$C$19)^('Non-Embedded Emissions'!$A62-2021)/1000</f>
        <v>2.3121673235032358E-4</v>
      </c>
      <c r="I62" s="209"/>
      <c r="J62" s="209"/>
      <c r="K62" s="209"/>
      <c r="L62" s="209"/>
      <c r="M62" s="209"/>
      <c r="N62" s="209"/>
      <c r="O62" s="209"/>
      <c r="P62" s="209"/>
      <c r="Q62" s="209"/>
      <c r="R62" s="134"/>
      <c r="S62" s="98"/>
      <c r="U62" s="130"/>
      <c r="V62" s="131"/>
      <c r="W62" s="133"/>
      <c r="X62" s="134"/>
    </row>
    <row r="63" spans="1:26" x14ac:dyDescent="0.35">
      <c r="A63" s="277">
        <v>2028</v>
      </c>
      <c r="B63" s="495">
        <f>D18*(1+'Inputs-System'!$C$19)^('Non-Embedded Emissions'!$A63-2021)</f>
        <v>5.1116512210392949E-2</v>
      </c>
      <c r="C63" s="495">
        <f>E18*(1+'Inputs-System'!$C$19)^('Non-Embedded Emissions'!$A63-2021)</f>
        <v>5.5022043480400504E-2</v>
      </c>
      <c r="D63" s="497">
        <f t="shared" si="4"/>
        <v>5.3069277845396723E-2</v>
      </c>
      <c r="F63" s="491">
        <v>2028</v>
      </c>
      <c r="G63" s="422">
        <f>L17*(1+'Inputs-System'!$C$19)^('Non-Embedded Emissions'!$A63-2021)/1000</f>
        <v>5.5346914052484578E-4</v>
      </c>
      <c r="H63" s="490">
        <f>M17*(1+'Inputs-System'!$C$19)^('Non-Embedded Emissions'!$A63-2021)/1000</f>
        <v>2.3584106699732997E-4</v>
      </c>
      <c r="I63" s="209"/>
      <c r="J63" s="209"/>
      <c r="K63" s="209"/>
      <c r="L63" s="209"/>
      <c r="M63" s="209"/>
      <c r="N63" s="209"/>
      <c r="O63" s="209"/>
      <c r="P63" s="209"/>
      <c r="Q63" s="209"/>
      <c r="R63" s="134"/>
      <c r="U63" s="130"/>
      <c r="V63" s="131"/>
      <c r="W63" s="133"/>
      <c r="X63" s="134"/>
    </row>
    <row r="64" spans="1:26" x14ac:dyDescent="0.35">
      <c r="A64" s="496">
        <v>2029</v>
      </c>
      <c r="B64" s="495">
        <f>D19*(1+'Inputs-System'!$C$19)^('Non-Embedded Emissions'!$A64-2021)</f>
        <v>4.7686536806792204E-2</v>
      </c>
      <c r="C64" s="495">
        <f>E19*(1+'Inputs-System'!$C$19)^('Non-Embedded Emissions'!$A64-2021)</f>
        <v>5.0264187444997194E-2</v>
      </c>
      <c r="D64" s="497">
        <f t="shared" si="4"/>
        <v>4.8975362125894699E-2</v>
      </c>
      <c r="F64" s="489">
        <v>2029</v>
      </c>
      <c r="G64" s="422">
        <f>L18*(1+'Inputs-System'!$C$19)^('Non-Embedded Emissions'!$A64-2021)/1000</f>
        <v>5.6453852333534268E-4</v>
      </c>
      <c r="H64" s="490">
        <f>M18*(1+'Inputs-System'!$C$19)^('Non-Embedded Emissions'!$A64-2021)/1000</f>
        <v>2.4055788833727662E-4</v>
      </c>
      <c r="I64" s="209"/>
      <c r="J64" s="209"/>
      <c r="K64" s="209"/>
      <c r="L64" s="209"/>
      <c r="M64" s="209"/>
      <c r="N64" s="209"/>
      <c r="O64" s="209"/>
      <c r="P64" s="209"/>
      <c r="Q64" s="209"/>
      <c r="R64" s="134"/>
      <c r="U64" s="130"/>
      <c r="V64" s="131"/>
      <c r="W64" s="133"/>
      <c r="X64" s="134"/>
    </row>
    <row r="65" spans="1:24" x14ac:dyDescent="0.35">
      <c r="A65" s="277">
        <v>2030</v>
      </c>
      <c r="B65" s="495">
        <f>D20*(1+'Inputs-System'!$C$19)^('Non-Embedded Emissions'!$A65-2021)</f>
        <v>4.7564684231167977E-2</v>
      </c>
      <c r="C65" s="495">
        <f>E20*(1+'Inputs-System'!$C$19)^('Non-Embedded Emissions'!$A65-2021)</f>
        <v>4.9357323084101443E-2</v>
      </c>
      <c r="D65" s="497">
        <f t="shared" si="4"/>
        <v>4.8461003657634713E-2</v>
      </c>
      <c r="F65" s="491">
        <v>2030</v>
      </c>
      <c r="G65" s="422">
        <f>L19*(1+'Inputs-System'!$C$19)^('Non-Embedded Emissions'!$A65-2021)/1000</f>
        <v>5.7582929380204945E-4</v>
      </c>
      <c r="H65" s="490">
        <f>M19*(1+'Inputs-System'!$C$19)^('Non-Embedded Emissions'!$A65-2021)/1000</f>
        <v>2.4536904610402219E-4</v>
      </c>
      <c r="I65" s="209"/>
      <c r="J65" s="209"/>
      <c r="K65" s="209"/>
      <c r="L65" s="209"/>
      <c r="M65" s="209"/>
      <c r="N65" s="209"/>
      <c r="O65" s="209"/>
      <c r="P65" s="209"/>
      <c r="Q65" s="209"/>
      <c r="R65" s="134"/>
      <c r="U65" s="130"/>
      <c r="V65" s="131"/>
      <c r="W65" s="133"/>
      <c r="X65" s="134"/>
    </row>
    <row r="66" spans="1:24" x14ac:dyDescent="0.35">
      <c r="A66" s="496">
        <v>2031</v>
      </c>
      <c r="B66" s="495">
        <f>D21*(1+'Inputs-System'!$C$19)^('Non-Embedded Emissions'!$A66-2021)</f>
        <v>4.3396201351813352E-2</v>
      </c>
      <c r="C66" s="495">
        <f>E21*(1+'Inputs-System'!$C$19)^('Non-Embedded Emissions'!$A66-2021)</f>
        <v>4.6077989075801816E-2</v>
      </c>
      <c r="D66" s="497">
        <f t="shared" si="4"/>
        <v>4.4737095213807587E-2</v>
      </c>
      <c r="F66" s="491">
        <v>2031</v>
      </c>
      <c r="G66" s="422">
        <f>L20*(1+'Inputs-System'!$C$19)^('Non-Embedded Emissions'!$A66-2021)/1000</f>
        <v>5.8734587967809065E-4</v>
      </c>
      <c r="H66" s="490">
        <f>M20*(1+'Inputs-System'!$C$19)^('Non-Embedded Emissions'!$A66-2021)/1000</f>
        <v>2.5027642702610259E-4</v>
      </c>
      <c r="I66" s="209"/>
      <c r="J66" s="209"/>
      <c r="K66" s="209"/>
      <c r="L66" s="209"/>
      <c r="M66" s="209"/>
      <c r="N66" s="209"/>
      <c r="O66" s="209"/>
      <c r="P66" s="209"/>
      <c r="Q66" s="209"/>
      <c r="R66" s="134"/>
      <c r="U66" s="130"/>
      <c r="V66" s="131"/>
      <c r="W66" s="133"/>
      <c r="X66" s="134"/>
    </row>
    <row r="67" spans="1:24" x14ac:dyDescent="0.35">
      <c r="A67" s="277">
        <v>2032</v>
      </c>
      <c r="B67" s="495">
        <f>D22*(1+'Inputs-System'!$C$19)^('Non-Embedded Emissions'!$A67-2021)</f>
        <v>3.7798578975197422E-2</v>
      </c>
      <c r="C67" s="495">
        <f>E22*(1+'Inputs-System'!$C$19)^('Non-Embedded Emissions'!$A67-2021)</f>
        <v>4.264773877793656E-2</v>
      </c>
      <c r="D67" s="497">
        <f t="shared" si="4"/>
        <v>4.0223158876566995E-2</v>
      </c>
      <c r="F67" s="491">
        <v>2032</v>
      </c>
      <c r="G67" s="422">
        <f>L21*(1+'Inputs-System'!$C$19)^('Non-Embedded Emissions'!$A67-2021)/1000</f>
        <v>5.990927972716522E-4</v>
      </c>
      <c r="H67" s="490">
        <f>M21*(1+'Inputs-System'!$C$19)^('Non-Embedded Emissions'!$A67-2021)/1000</f>
        <v>2.5528195556662458E-4</v>
      </c>
      <c r="I67" s="209"/>
      <c r="J67" s="209"/>
      <c r="K67" s="209"/>
      <c r="L67" s="209"/>
      <c r="M67" s="209"/>
      <c r="N67" s="209"/>
      <c r="O67" s="209"/>
      <c r="P67" s="209"/>
      <c r="Q67" s="209"/>
      <c r="R67" s="134"/>
      <c r="U67" s="130"/>
      <c r="V67" s="131"/>
      <c r="W67" s="133"/>
      <c r="X67" s="134"/>
    </row>
    <row r="68" spans="1:24" x14ac:dyDescent="0.35">
      <c r="A68" s="496">
        <v>2033</v>
      </c>
      <c r="B68" s="495">
        <f>D23*(1+'Inputs-System'!$C$19)^('Non-Embedded Emissions'!$A68-2021)</f>
        <v>3.7920429657420103E-2</v>
      </c>
      <c r="C68" s="495">
        <f>E23*(1+'Inputs-System'!$C$19)^('Non-Embedded Emissions'!$A68-2021)</f>
        <v>4.0456913246545191E-2</v>
      </c>
      <c r="D68" s="497">
        <f t="shared" si="4"/>
        <v>3.9188671451982647E-2</v>
      </c>
      <c r="F68" s="489">
        <v>2033</v>
      </c>
      <c r="G68" s="422">
        <f>L22*(1+'Inputs-System'!$C$19)^('Non-Embedded Emissions'!$A68-2021)/1000</f>
        <v>6.1107465321708543E-4</v>
      </c>
      <c r="H68" s="490">
        <f>M22*(1+'Inputs-System'!$C$19)^('Non-Embedded Emissions'!$A68-2021)/1000</f>
        <v>2.6038759467795716E-4</v>
      </c>
      <c r="I68" s="209"/>
      <c r="J68" s="209"/>
      <c r="K68" s="209"/>
      <c r="L68" s="209"/>
      <c r="M68" s="209"/>
      <c r="N68" s="209"/>
      <c r="O68" s="209"/>
      <c r="P68" s="209"/>
      <c r="Q68" s="209"/>
      <c r="R68" s="134"/>
      <c r="U68" s="130"/>
      <c r="V68" s="131"/>
      <c r="W68" s="133"/>
      <c r="X68" s="134"/>
    </row>
    <row r="69" spans="1:24" x14ac:dyDescent="0.35">
      <c r="A69" s="277">
        <v>2034</v>
      </c>
      <c r="B69" s="495">
        <f>D24*(1+'Inputs-System'!$C$19)^('Non-Embedded Emissions'!$A69-2021)</f>
        <v>3.5315461011388632E-2</v>
      </c>
      <c r="C69" s="495">
        <f>E24*(1+'Inputs-System'!$C$19)^('Non-Embedded Emissions'!$A69-2021)</f>
        <v>3.6220985652706289E-2</v>
      </c>
      <c r="D69" s="497">
        <f t="shared" si="4"/>
        <v>3.5768223332047461E-2</v>
      </c>
      <c r="F69" s="491">
        <v>2034</v>
      </c>
      <c r="G69" s="422">
        <f>L23*(1+'Inputs-System'!$C$19)^('Non-Embedded Emissions'!$A69-2021)/1000</f>
        <v>6.2329614628142704E-4</v>
      </c>
      <c r="H69" s="490">
        <f>M23*(1+'Inputs-System'!$C$19)^('Non-Embedded Emissions'!$A69-2021)/1000</f>
        <v>2.6559534657151631E-4</v>
      </c>
      <c r="I69" s="209"/>
      <c r="J69" s="209"/>
      <c r="K69" s="209"/>
      <c r="L69" s="209"/>
      <c r="M69" s="209"/>
      <c r="N69" s="209"/>
      <c r="O69" s="209"/>
      <c r="P69" s="209"/>
      <c r="Q69" s="209"/>
      <c r="R69" s="134"/>
      <c r="U69" s="130"/>
      <c r="V69" s="131"/>
      <c r="W69" s="133"/>
      <c r="X69" s="134"/>
    </row>
    <row r="70" spans="1:24" x14ac:dyDescent="0.35">
      <c r="A70" s="496">
        <v>2035</v>
      </c>
      <c r="B70" s="495">
        <f>D25*(1+'Inputs-System'!$C$19)^('Non-Embedded Emissions'!$A70-2021)</f>
        <v>3.2327229695040371E-2</v>
      </c>
      <c r="C70" s="495">
        <f>E25*(1+'Inputs-System'!$C$19)^('Non-Embedded Emissions'!$A70-2021)</f>
        <v>3.3778656334409532E-2</v>
      </c>
      <c r="D70" s="497">
        <f t="shared" si="4"/>
        <v>3.3052943014724952E-2</v>
      </c>
      <c r="F70" s="491">
        <v>2035</v>
      </c>
      <c r="G70" s="422">
        <f>L24*(1+'Inputs-System'!$C$19)^('Non-Embedded Emissions'!$A70-2021)/1000</f>
        <v>6.3576206920705567E-4</v>
      </c>
      <c r="H70" s="490">
        <f>M24*(1+'Inputs-System'!$C$19)^('Non-Embedded Emissions'!$A70-2021)/1000</f>
        <v>2.7090725350294663E-4</v>
      </c>
      <c r="I70" s="209"/>
      <c r="J70" s="209"/>
      <c r="K70" s="134"/>
      <c r="L70" s="134"/>
      <c r="M70" s="134"/>
      <c r="N70" s="209"/>
      <c r="O70" s="134"/>
      <c r="P70" s="134"/>
      <c r="Q70" s="134"/>
      <c r="R70" s="134"/>
      <c r="U70" s="130"/>
      <c r="V70" s="131"/>
      <c r="W70" s="133"/>
      <c r="X70" s="134"/>
    </row>
    <row r="71" spans="1:24" x14ac:dyDescent="0.35">
      <c r="A71" s="277">
        <v>2036</v>
      </c>
      <c r="B71" s="495">
        <f>D26*(1+'Inputs-System'!$C$19)^('Non-Embedded Emissions'!$A71-2021)</f>
        <v>3.0012863944628081E-2</v>
      </c>
      <c r="C71" s="495">
        <f>E26*(1+'Inputs-System'!$C$19)^('Non-Embedded Emissions'!$A71-2021)</f>
        <v>3.1224145449119795E-2</v>
      </c>
      <c r="D71" s="497">
        <f t="shared" si="4"/>
        <v>3.0618504696873938E-2</v>
      </c>
      <c r="F71" s="491">
        <v>2036</v>
      </c>
      <c r="G71" s="422">
        <f>L25*(1+'Inputs-System'!$C$19)^('Non-Embedded Emissions'!$A71-2021)/1000</f>
        <v>6.4847731059119659E-4</v>
      </c>
      <c r="H71" s="490">
        <f>M25*(1+'Inputs-System'!$C$19)^('Non-Embedded Emissions'!$A71-2021)/1000</f>
        <v>2.763253985730055E-4</v>
      </c>
      <c r="I71" s="209"/>
      <c r="J71" s="209"/>
      <c r="K71" s="134"/>
      <c r="L71" s="134"/>
      <c r="M71" s="134"/>
      <c r="N71" s="209"/>
      <c r="O71" s="134"/>
      <c r="P71" s="134"/>
      <c r="Q71" s="134"/>
      <c r="R71" s="134"/>
      <c r="U71" s="130"/>
      <c r="V71" s="131"/>
      <c r="W71" s="133"/>
      <c r="X71" s="134"/>
    </row>
    <row r="72" spans="1:24" x14ac:dyDescent="0.35">
      <c r="A72" s="496">
        <v>2037</v>
      </c>
      <c r="B72" s="495">
        <f>D27*(1+'Inputs-System'!$C$19)^('Non-Embedded Emissions'!$A72-2021)</f>
        <v>2.7867549813339422E-2</v>
      </c>
      <c r="C72" s="495">
        <f>E27*(1+'Inputs-System'!$C$19)^('Non-Embedded Emissions'!$A72-2021)</f>
        <v>2.8965778377411915E-2</v>
      </c>
      <c r="D72" s="497">
        <f t="shared" si="4"/>
        <v>2.8416664095375667E-2</v>
      </c>
      <c r="F72" s="489">
        <v>2037</v>
      </c>
      <c r="G72" s="422">
        <f>L26*(1+'Inputs-System'!$C$19)^('Non-Embedded Emissions'!$A72-2021)/1000</f>
        <v>6.6144685680302067E-4</v>
      </c>
      <c r="H72" s="490">
        <f>M26*(1+'Inputs-System'!$C$19)^('Non-Embedded Emissions'!$A72-2021)/1000</f>
        <v>2.8185190654446564E-4</v>
      </c>
      <c r="I72" s="134"/>
      <c r="J72" s="209"/>
      <c r="K72" s="134"/>
      <c r="L72" s="134"/>
      <c r="M72" s="134"/>
      <c r="N72" s="209"/>
      <c r="O72" s="134"/>
      <c r="P72" s="134"/>
      <c r="Q72" s="134"/>
      <c r="R72" s="134"/>
      <c r="U72" s="130"/>
      <c r="V72" s="131"/>
      <c r="W72" s="133"/>
      <c r="X72" s="134"/>
    </row>
    <row r="73" spans="1:24" x14ac:dyDescent="0.35">
      <c r="A73" s="277">
        <v>2038</v>
      </c>
      <c r="B73" s="495">
        <f>D28*(1+'Inputs-System'!$C$19)^('Non-Embedded Emissions'!$A73-2021)</f>
        <v>2.5904466255059849E-2</v>
      </c>
      <c r="C73" s="495">
        <f>E28*(1+'Inputs-System'!$C$19)^('Non-Embedded Emissions'!$A73-2021)</f>
        <v>2.6744611106575306E-2</v>
      </c>
      <c r="D73" s="497">
        <f t="shared" si="4"/>
        <v>2.6324538680817577E-2</v>
      </c>
      <c r="F73" s="491">
        <v>2038</v>
      </c>
      <c r="G73" s="422">
        <f>L27*(1+'Inputs-System'!$C$19)^('Non-Embedded Emissions'!$A73-2021)/1000</f>
        <v>6.7467579393908116E-4</v>
      </c>
      <c r="H73" s="490">
        <f>M27*(1+'Inputs-System'!$C$19)^('Non-Embedded Emissions'!$A73-2021)/1000</f>
        <v>2.8748894467535495E-4</v>
      </c>
      <c r="I73" s="134"/>
      <c r="J73" s="134"/>
      <c r="K73" s="134"/>
      <c r="L73" s="134"/>
      <c r="M73" s="134"/>
      <c r="N73" s="134"/>
      <c r="O73" s="134"/>
      <c r="P73" s="134"/>
      <c r="Q73" s="134"/>
      <c r="R73" s="134"/>
      <c r="U73" s="130"/>
    </row>
    <row r="74" spans="1:24" x14ac:dyDescent="0.35">
      <c r="A74" s="496">
        <v>2039</v>
      </c>
      <c r="B74" s="495">
        <f>D29*(1+'Inputs-System'!$C$19)^('Non-Embedded Emissions'!$A74-2021)</f>
        <v>2.399453695928138E-2</v>
      </c>
      <c r="C74" s="495">
        <f>E29*(1+'Inputs-System'!$C$19)^('Non-Embedded Emissions'!$A74-2021)</f>
        <v>2.4708660083069517E-2</v>
      </c>
      <c r="D74" s="497">
        <f t="shared" si="4"/>
        <v>2.4351598521175449E-2</v>
      </c>
      <c r="F74" s="491">
        <v>2039</v>
      </c>
      <c r="G74" s="422">
        <f>L28*(1+'Inputs-System'!$C$19)^('Non-Embedded Emissions'!$A74-2021)/1000</f>
        <v>6.8816930981786275E-4</v>
      </c>
      <c r="H74" s="490">
        <f>M28*(1+'Inputs-System'!$C$19)^('Non-Embedded Emissions'!$A74-2021)/1000</f>
        <v>2.9323872356886203E-4</v>
      </c>
      <c r="I74" s="134"/>
      <c r="J74" s="134"/>
      <c r="K74" s="134"/>
      <c r="L74" s="134"/>
      <c r="M74" s="134"/>
      <c r="N74" s="134"/>
      <c r="O74" s="134"/>
      <c r="P74" s="134"/>
      <c r="Q74" s="134"/>
      <c r="R74" s="134"/>
      <c r="U74" s="130"/>
    </row>
    <row r="75" spans="1:24" x14ac:dyDescent="0.35">
      <c r="A75" s="277">
        <v>2040</v>
      </c>
      <c r="B75" s="495">
        <f>D30*(1+'Inputs-System'!$C$19)^('Non-Embedded Emissions'!$A75-2021)</f>
        <v>2.228921093967531E-2</v>
      </c>
      <c r="C75" s="495">
        <f>E30*(1+'Inputs-System'!$C$19)^('Non-Embedded Emissions'!$A75-2021)</f>
        <v>2.2871935408686428E-2</v>
      </c>
      <c r="D75" s="497">
        <f t="shared" si="4"/>
        <v>2.2580573174180871E-2</v>
      </c>
      <c r="F75" s="491">
        <v>2040</v>
      </c>
      <c r="G75" s="422">
        <f>L29*(1+'Inputs-System'!$C$19)^('Non-Embedded Emissions'!$A75-2021)/1000</f>
        <v>7.0193269601421995E-4</v>
      </c>
      <c r="H75" s="490">
        <f>M29*(1+'Inputs-System'!$C$19)^('Non-Embedded Emissions'!$A75-2021)/1000</f>
        <v>2.9910349804023926E-4</v>
      </c>
      <c r="I75" s="134"/>
      <c r="J75" s="134"/>
      <c r="K75" s="134"/>
      <c r="L75" s="134"/>
      <c r="M75" s="134"/>
      <c r="N75" s="134"/>
      <c r="O75" s="134"/>
      <c r="P75" s="134"/>
      <c r="Q75" s="134"/>
      <c r="R75" s="134"/>
      <c r="U75" s="130"/>
    </row>
    <row r="76" spans="1:24" x14ac:dyDescent="0.35">
      <c r="A76" s="496">
        <v>2041</v>
      </c>
      <c r="B76" s="495">
        <f>D31*(1+'Inputs-System'!$C$19)^('Non-Embedded Emissions'!$A76-2021)</f>
        <v>2.0654668804099122E-2</v>
      </c>
      <c r="C76" s="495">
        <f>E31*(1+'Inputs-System'!$C$19)^('Non-Embedded Emissions'!$A76-2021)</f>
        <v>2.1249047762490467E-2</v>
      </c>
      <c r="D76" s="497">
        <f t="shared" si="4"/>
        <v>2.0951858283294794E-2</v>
      </c>
      <c r="F76" s="489">
        <v>2041</v>
      </c>
      <c r="G76" s="422">
        <f>L30*(1+'Inputs-System'!$C$19)^('Non-Embedded Emissions'!$A76-2021)/1000</f>
        <v>7.1597134993450437E-4</v>
      </c>
      <c r="H76" s="490">
        <f>M30*(1+'Inputs-System'!$C$19)^('Non-Embedded Emissions'!$A76-2021)/1000</f>
        <v>3.0508556800104406E-4</v>
      </c>
      <c r="I76" s="134"/>
      <c r="J76" s="134"/>
      <c r="K76" s="134"/>
      <c r="L76" s="134"/>
      <c r="M76" s="134"/>
      <c r="N76" s="134"/>
      <c r="O76" s="134"/>
      <c r="P76" s="134"/>
      <c r="Q76" s="134"/>
      <c r="R76" s="134"/>
      <c r="U76" s="130"/>
    </row>
    <row r="77" spans="1:24" x14ac:dyDescent="0.35">
      <c r="A77" s="277">
        <v>2042</v>
      </c>
      <c r="B77" s="495">
        <f>D32*(1+'Inputs-System'!$C$19)^('Non-Embedded Emissions'!$A77-2021)</f>
        <v>1.9248962567503598E-2</v>
      </c>
      <c r="C77" s="495">
        <f>E32*(1+'Inputs-System'!$C$19)^('Non-Embedded Emissions'!$A77-2021)</f>
        <v>1.9703662470672973E-2</v>
      </c>
      <c r="D77" s="497">
        <f t="shared" si="4"/>
        <v>1.9476312519088285E-2</v>
      </c>
      <c r="F77" s="491">
        <v>2042</v>
      </c>
      <c r="G77" s="422">
        <f>L31*(1+'Inputs-System'!$C$19)^('Non-Embedded Emissions'!$A77-2021)/1000</f>
        <v>7.302907769331944E-4</v>
      </c>
      <c r="H77" s="490">
        <f>M31*(1+'Inputs-System'!$C$19)^('Non-Embedded Emissions'!$A77-2021)/1000</f>
        <v>3.1118727936106492E-4</v>
      </c>
      <c r="I77" s="134"/>
      <c r="J77" s="134"/>
      <c r="K77" s="134"/>
      <c r="L77" s="134"/>
      <c r="M77" s="134"/>
      <c r="N77" s="134"/>
      <c r="O77" s="134"/>
      <c r="P77" s="134"/>
      <c r="Q77" s="134"/>
      <c r="R77" s="134"/>
      <c r="U77" s="130"/>
    </row>
    <row r="78" spans="1:24" x14ac:dyDescent="0.35">
      <c r="A78" s="496">
        <v>2043</v>
      </c>
      <c r="B78" s="495">
        <f>D33*(1+'Inputs-System'!$C$19)^('Non-Embedded Emissions'!$A78-2021)</f>
        <v>1.7778766213922617E-2</v>
      </c>
      <c r="C78" s="495">
        <f>E33*(1+'Inputs-System'!$C$19)^('Non-Embedded Emissions'!$A78-2021)</f>
        <v>1.824256011515538E-2</v>
      </c>
      <c r="D78" s="497">
        <f t="shared" si="4"/>
        <v>1.8010663164538997E-2</v>
      </c>
      <c r="F78" s="491">
        <v>2043</v>
      </c>
      <c r="G78" s="422">
        <f>L32*(1+'Inputs-System'!$C$19)^('Non-Embedded Emissions'!$A78-2021)/1000</f>
        <v>7.4489659247185835E-4</v>
      </c>
      <c r="H78" s="490">
        <f>M32*(1+'Inputs-System'!$C$19)^('Non-Embedded Emissions'!$A78-2021)/1000</f>
        <v>3.1741102494828625E-4</v>
      </c>
      <c r="I78" s="134"/>
      <c r="J78" s="134"/>
      <c r="K78" s="134"/>
      <c r="L78" s="134"/>
      <c r="M78" s="134"/>
      <c r="N78" s="134"/>
      <c r="O78" s="134"/>
      <c r="P78" s="134"/>
      <c r="Q78" s="134"/>
      <c r="R78" s="134"/>
      <c r="U78" s="130"/>
    </row>
    <row r="79" spans="1:24" x14ac:dyDescent="0.35">
      <c r="A79" s="277">
        <v>2044</v>
      </c>
      <c r="B79" s="495">
        <f>D34*(1+'Inputs-System'!$C$19)^('Non-Embedded Emissions'!$A79-2021)</f>
        <v>1.6557442274009671E-2</v>
      </c>
      <c r="C79" s="495">
        <f>E34*(1+'Inputs-System'!$C$19)^('Non-Embedded Emissions'!$A79-2021)</f>
        <v>1.6872822126847948E-2</v>
      </c>
      <c r="D79" s="497">
        <f t="shared" si="4"/>
        <v>1.671513220042881E-2</v>
      </c>
      <c r="F79" s="491">
        <v>2044</v>
      </c>
      <c r="G79" s="422">
        <f>L33*(1+'Inputs-System'!$C$19)^('Non-Embedded Emissions'!$A79-2021)/1000</f>
        <v>7.5979452432129531E-4</v>
      </c>
      <c r="H79" s="490">
        <f>M33*(1+'Inputs-System'!$C$19)^('Non-Embedded Emissions'!$A79-2021)/1000</f>
        <v>3.2375924544725195E-4</v>
      </c>
      <c r="I79" s="134"/>
      <c r="J79" s="134"/>
      <c r="K79" s="134"/>
      <c r="L79" s="134"/>
      <c r="M79" s="134"/>
      <c r="N79" s="134"/>
      <c r="O79" s="134"/>
      <c r="P79" s="134"/>
      <c r="Q79" s="134"/>
      <c r="R79" s="134"/>
      <c r="U79" s="130"/>
    </row>
    <row r="80" spans="1:24" x14ac:dyDescent="0.35">
      <c r="A80" s="496">
        <v>2045</v>
      </c>
      <c r="B80" s="495">
        <f>D35*(1+'Inputs-System'!$C$19)^('Non-Embedded Emissions'!$A80-2021)</f>
        <v>1.5280153870014638E-2</v>
      </c>
      <c r="C80" s="495">
        <f>E35*(1+'Inputs-System'!$C$19)^('Non-Embedded Emissions'!$A80-2021)</f>
        <v>1.5601841319909684E-2</v>
      </c>
      <c r="D80" s="497">
        <f t="shared" si="4"/>
        <v>1.5440997594962161E-2</v>
      </c>
      <c r="F80" s="489">
        <v>2045</v>
      </c>
      <c r="G80" s="422">
        <f>L34*(1+'Inputs-System'!$C$19)^('Non-Embedded Emissions'!$A80-2021)/1000</f>
        <v>7.749904148077213E-4</v>
      </c>
      <c r="H80" s="490">
        <f>M34*(1+'Inputs-System'!$C$19)^('Non-Embedded Emissions'!$A80-2021)/1000</f>
        <v>3.3023443035619696E-4</v>
      </c>
      <c r="I80" s="134"/>
      <c r="J80" s="134"/>
      <c r="K80" s="134"/>
      <c r="L80" s="134"/>
      <c r="M80" s="134"/>
      <c r="N80" s="134"/>
      <c r="O80" s="134"/>
      <c r="P80" s="134"/>
      <c r="Q80" s="134"/>
      <c r="R80" s="134"/>
      <c r="T80" s="134"/>
      <c r="U80" s="134"/>
      <c r="V80" s="134"/>
    </row>
    <row r="81" spans="1:22" x14ac:dyDescent="0.35">
      <c r="A81" s="277">
        <v>2046</v>
      </c>
      <c r="B81" s="495">
        <f>D36*(1+'Inputs-System'!$C$19)^('Non-Embedded Emissions'!$A81-2021)</f>
        <v>1.4273272151843146E-2</v>
      </c>
      <c r="C81" s="495">
        <f>E36*(1+'Inputs-System'!$C$19)^('Non-Embedded Emissions'!$A81-2021)</f>
        <v>1.4437332751289621E-2</v>
      </c>
      <c r="D81" s="497">
        <f t="shared" si="4"/>
        <v>1.4355302451566384E-2</v>
      </c>
      <c r="F81" s="491">
        <v>2046</v>
      </c>
      <c r="G81" s="422">
        <f>L35*(1+'Inputs-System'!$C$19)^('Non-Embedded Emissions'!$A81-2021)/1000</f>
        <v>7.9049022310387568E-4</v>
      </c>
      <c r="H81" s="490">
        <f>M35*(1+'Inputs-System'!$C$19)^('Non-Embedded Emissions'!$A81-2021)/1000</f>
        <v>3.3683911896332093E-4</v>
      </c>
      <c r="I81" s="134"/>
      <c r="J81" s="134"/>
      <c r="K81" s="134"/>
      <c r="L81" s="134"/>
      <c r="M81" s="134"/>
      <c r="N81" s="134"/>
      <c r="O81" s="134"/>
      <c r="P81" s="134"/>
      <c r="Q81" s="134"/>
      <c r="R81" s="134"/>
      <c r="T81" s="134"/>
      <c r="U81" s="134"/>
      <c r="V81" s="134"/>
    </row>
    <row r="82" spans="1:22" x14ac:dyDescent="0.35">
      <c r="A82" s="496">
        <v>2047</v>
      </c>
      <c r="B82" s="495">
        <f>D37*(1+'Inputs-System'!$C$19)^('Non-Embedded Emissions'!$A82-2021)</f>
        <v>1.3220003103396794E-2</v>
      </c>
      <c r="C82" s="495">
        <f>E37*(1+'Inputs-System'!$C$19)^('Non-Embedded Emissions'!$A82-2021)</f>
        <v>1.3387344914832195E-2</v>
      </c>
      <c r="D82" s="497">
        <f t="shared" si="4"/>
        <v>1.3303674009114495E-2</v>
      </c>
      <c r="F82" s="491">
        <v>2047</v>
      </c>
      <c r="G82" s="422">
        <f>L36*(1+'Inputs-System'!$C$19)^('Non-Embedded Emissions'!$A82-2021)/1000</f>
        <v>8.0630002756595335E-4</v>
      </c>
      <c r="H82" s="490">
        <f>M36*(1+'Inputs-System'!$C$19)^('Non-Embedded Emissions'!$A82-2021)/1000</f>
        <v>3.4357590134258736E-4</v>
      </c>
      <c r="I82" s="134"/>
      <c r="J82" s="134"/>
      <c r="K82" s="131"/>
      <c r="L82" s="131"/>
      <c r="M82" s="131"/>
      <c r="N82" s="134"/>
      <c r="O82" s="131"/>
      <c r="P82" s="131"/>
      <c r="Q82" s="131"/>
      <c r="R82" s="134"/>
      <c r="T82" s="134"/>
      <c r="U82" s="134"/>
      <c r="V82" s="134"/>
    </row>
    <row r="83" spans="1:22" x14ac:dyDescent="0.35">
      <c r="A83" s="277">
        <v>2048</v>
      </c>
      <c r="B83" s="495">
        <f>D38*(1+'Inputs-System'!$C$19)^('Non-Embedded Emissions'!$A83-2021)</f>
        <v>1.2289582631815952E-2</v>
      </c>
      <c r="C83" s="495">
        <f>E38*(1+'Inputs-System'!$C$19)^('Non-Embedded Emissions'!$A83-2021)</f>
        <v>1.2289582631815952E-2</v>
      </c>
      <c r="D83" s="497">
        <f t="shared" si="4"/>
        <v>1.2289582631815952E-2</v>
      </c>
      <c r="F83" s="491">
        <v>2048</v>
      </c>
      <c r="G83" s="422">
        <f>L37*(1+'Inputs-System'!$C$19)^('Non-Embedded Emissions'!$A83-2021)/1000</f>
        <v>8.2242602811727231E-4</v>
      </c>
      <c r="H83" s="490">
        <f>M37*(1+'Inputs-System'!$C$19)^('Non-Embedded Emissions'!$A83-2021)/1000</f>
        <v>3.5044741936943906E-4</v>
      </c>
      <c r="I83" s="134"/>
      <c r="J83" s="134"/>
      <c r="K83" s="131"/>
      <c r="L83" s="131"/>
      <c r="M83" s="131"/>
      <c r="N83" s="134"/>
      <c r="O83" s="131"/>
      <c r="P83" s="131"/>
      <c r="Q83" s="131"/>
      <c r="R83" s="134"/>
      <c r="T83" s="134"/>
      <c r="U83" s="134"/>
      <c r="V83" s="134"/>
    </row>
    <row r="84" spans="1:22" x14ac:dyDescent="0.35">
      <c r="A84" s="496">
        <v>2049</v>
      </c>
      <c r="B84" s="495">
        <f>D39*(1+'Inputs-System'!$C$19)^('Non-Embedded Emissions'!$A84-2021)</f>
        <v>1.1316657340130525E-2</v>
      </c>
      <c r="C84" s="495">
        <f>E39*(1+'Inputs-System'!$C$19)^('Non-Embedded Emissions'!$A84-2021)</f>
        <v>1.1490759760747917E-2</v>
      </c>
      <c r="D84" s="497">
        <f t="shared" si="4"/>
        <v>1.140370855043922E-2</v>
      </c>
      <c r="E84" s="134"/>
      <c r="F84" s="489">
        <v>2049</v>
      </c>
      <c r="G84" s="422">
        <f>L38*(1+'Inputs-System'!$C$19)^('Non-Embedded Emissions'!$A84-2021)/1000</f>
        <v>8.3887454867961789E-4</v>
      </c>
      <c r="H84" s="490">
        <f>M38*(1+'Inputs-System'!$C$19)^('Non-Embedded Emissions'!$A84-2021)/1000</f>
        <v>3.5745636775682795E-4</v>
      </c>
      <c r="I84" s="131"/>
      <c r="J84" s="134"/>
      <c r="K84" s="131"/>
      <c r="L84" s="131"/>
      <c r="M84" s="131"/>
      <c r="N84" s="134"/>
      <c r="O84" s="131"/>
      <c r="P84" s="131"/>
      <c r="Q84" s="131"/>
      <c r="R84" s="134"/>
      <c r="T84" s="134"/>
      <c r="U84" s="134"/>
      <c r="V84" s="134"/>
    </row>
    <row r="85" spans="1:22" x14ac:dyDescent="0.35">
      <c r="A85" s="277">
        <v>2050</v>
      </c>
      <c r="B85" s="495">
        <f>D40*(1+'Inputs-System'!$C$19)^('Non-Embedded Emissions'!$A85-2021)</f>
        <v>1.047748367275469E-2</v>
      </c>
      <c r="C85" s="495">
        <f>E40*(1+'Inputs-System'!$C$19)^('Non-Embedded Emissions'!$A85-2021)</f>
        <v>1.0655068141784432E-2</v>
      </c>
      <c r="D85" s="497">
        <f t="shared" si="4"/>
        <v>1.0566275907269562E-2</v>
      </c>
      <c r="E85" s="134"/>
      <c r="F85" s="491">
        <v>2050</v>
      </c>
      <c r="G85" s="422">
        <f>L39*(1+'Inputs-System'!$C$19)^('Non-Embedded Emissions'!$A85-2021)/1000</f>
        <v>8.5565203965321012E-4</v>
      </c>
      <c r="H85" s="490">
        <f>M39*(1+'Inputs-System'!$C$19)^('Non-Embedded Emissions'!$A85-2021)/1000</f>
        <v>3.6460549511196444E-4</v>
      </c>
      <c r="I85" s="131"/>
      <c r="J85" s="131"/>
      <c r="K85" s="131"/>
      <c r="L85" s="131"/>
      <c r="M85" s="131"/>
      <c r="N85" s="131"/>
      <c r="O85" s="131"/>
      <c r="P85" s="131"/>
      <c r="Q85" s="131"/>
      <c r="R85" s="133"/>
      <c r="T85" s="134"/>
      <c r="U85" s="134"/>
      <c r="V85" s="134"/>
    </row>
    <row r="86" spans="1:22" x14ac:dyDescent="0.35">
      <c r="A86" s="496">
        <v>2051</v>
      </c>
      <c r="B86" s="495">
        <f>D41*(1+'Inputs-System'!$C$19)^('Non-Embedded Emissions'!$A86-2021)</f>
        <v>9.7813525541581084E-3</v>
      </c>
      <c r="C86" s="495">
        <f>E41*(1+'Inputs-System'!$C$19)^('Non-Embedded Emissions'!$A86-2021)</f>
        <v>9.7813525541581084E-3</v>
      </c>
      <c r="D86" s="497">
        <f t="shared" si="4"/>
        <v>9.7813525541581084E-3</v>
      </c>
      <c r="E86" s="134"/>
      <c r="F86" s="491">
        <v>2051</v>
      </c>
      <c r="G86" s="422">
        <f>L40*(1+'Inputs-System'!$C$19)^('Non-Embedded Emissions'!$A86-2021)/1000</f>
        <v>8.7276508044627438E-4</v>
      </c>
      <c r="H86" s="490">
        <f>M40*(1+'Inputs-System'!$C$19)^('Non-Embedded Emissions'!$A86-2021)/1000</f>
        <v>3.7189760501420371E-4</v>
      </c>
      <c r="I86" s="131"/>
      <c r="J86" s="131"/>
      <c r="K86" s="131"/>
      <c r="L86" s="131"/>
      <c r="M86" s="131"/>
      <c r="N86" s="131"/>
      <c r="O86" s="131"/>
      <c r="P86" s="131"/>
      <c r="Q86" s="131"/>
      <c r="R86" s="133"/>
      <c r="T86" s="134"/>
      <c r="U86" s="134"/>
      <c r="V86" s="134"/>
    </row>
    <row r="87" spans="1:22" x14ac:dyDescent="0.35">
      <c r="A87" s="277">
        <v>2052</v>
      </c>
      <c r="B87" s="495">
        <f>D42*(1+'Inputs-System'!$C$19)^('Non-Embedded Emissions'!$A87-2021)</f>
        <v>9.0531851973485577E-3</v>
      </c>
      <c r="C87" s="495">
        <f>E42*(1+'Inputs-System'!$C$19)^('Non-Embedded Emissions'!$A87-2021)</f>
        <v>9.0531851973485577E-3</v>
      </c>
      <c r="D87" s="497">
        <f t="shared" si="4"/>
        <v>9.0531851973485577E-3</v>
      </c>
      <c r="E87" s="134"/>
      <c r="F87" s="491">
        <v>2052</v>
      </c>
      <c r="G87" s="422">
        <f>L41*(1+'Inputs-System'!$C$19)^('Non-Embedded Emissions'!$A87-2021)/1000</f>
        <v>8.902203820551997E-4</v>
      </c>
      <c r="H87" s="490">
        <f>M41*(1+'Inputs-System'!$C$19)^('Non-Embedded Emissions'!$A87-2021)/1000</f>
        <v>3.7933555711448775E-4</v>
      </c>
      <c r="I87" s="131"/>
      <c r="J87" s="131"/>
      <c r="K87" s="131"/>
      <c r="L87" s="131"/>
      <c r="M87" s="131"/>
      <c r="N87" s="131"/>
      <c r="O87" s="131"/>
      <c r="P87" s="131"/>
      <c r="Q87" s="131"/>
      <c r="R87" s="133"/>
      <c r="T87" s="134"/>
      <c r="U87" s="134"/>
      <c r="V87" s="134"/>
    </row>
    <row r="88" spans="1:22" x14ac:dyDescent="0.35">
      <c r="A88" s="496">
        <v>2053</v>
      </c>
      <c r="B88" s="495">
        <f>D43*(1+'Inputs-System'!$C$19)^('Non-Embedded Emissions'!$A88-2021)</f>
        <v>8.4804326644550791E-3</v>
      </c>
      <c r="C88" s="495">
        <f>E43*(1+'Inputs-System'!$C$19)^('Non-Embedded Emissions'!$A88-2021)</f>
        <v>8.4804326644550791E-3</v>
      </c>
      <c r="D88" s="497">
        <f t="shared" si="4"/>
        <v>8.4804326644550791E-3</v>
      </c>
      <c r="E88" s="134"/>
      <c r="F88" s="489">
        <v>2053</v>
      </c>
      <c r="G88" s="422">
        <f>L42*(1+'Inputs-System'!$C$19)^('Non-Embedded Emissions'!$A88-2021)/1000</f>
        <v>9.080247896963038E-4</v>
      </c>
      <c r="H88" s="490">
        <f>M42*(1+'Inputs-System'!$C$19)^('Non-Embedded Emissions'!$A88-2021)/1000</f>
        <v>3.8692226825677757E-4</v>
      </c>
      <c r="I88" s="131"/>
      <c r="J88" s="131"/>
      <c r="K88" s="131"/>
      <c r="L88" s="131"/>
      <c r="M88" s="131"/>
      <c r="N88" s="131"/>
      <c r="O88" s="131"/>
      <c r="P88" s="131"/>
      <c r="Q88" s="131"/>
      <c r="R88" s="133"/>
      <c r="T88" s="134"/>
      <c r="U88" s="134"/>
      <c r="V88" s="134"/>
    </row>
    <row r="89" spans="1:22" x14ac:dyDescent="0.35">
      <c r="A89" s="277">
        <v>2054</v>
      </c>
      <c r="B89" s="495">
        <f>D44*(1+'Inputs-System'!$C$19)^('Non-Embedded Emissions'!$A89-2021)</f>
        <v>7.8811487561669218E-3</v>
      </c>
      <c r="C89" s="495">
        <f>E44*(1+'Inputs-System'!$C$19)^('Non-Embedded Emissions'!$A89-2021)</f>
        <v>7.6889256157726066E-3</v>
      </c>
      <c r="D89" s="497">
        <f t="shared" si="4"/>
        <v>7.7850371859697638E-3</v>
      </c>
      <c r="E89" s="134"/>
      <c r="F89" s="491">
        <v>2054</v>
      </c>
      <c r="G89" s="422">
        <f>L43*(1+'Inputs-System'!$C$19)^('Non-Embedded Emissions'!$A89-2021)/1000</f>
        <v>0</v>
      </c>
      <c r="H89" s="490">
        <f>M43*(1+'Inputs-System'!$C$19)^('Non-Embedded Emissions'!$A89-2021)/1000</f>
        <v>0</v>
      </c>
      <c r="I89" s="131"/>
      <c r="J89" s="131"/>
      <c r="K89" s="131"/>
      <c r="L89" s="131"/>
      <c r="M89" s="131"/>
      <c r="N89" s="131"/>
      <c r="O89" s="131"/>
      <c r="P89" s="131"/>
      <c r="Q89" s="131"/>
      <c r="R89" s="133"/>
      <c r="T89" s="134"/>
      <c r="U89" s="134"/>
      <c r="V89" s="134"/>
    </row>
    <row r="90" spans="1:22" ht="15" thickBot="1" x14ac:dyDescent="0.4">
      <c r="A90" s="498">
        <v>2055</v>
      </c>
      <c r="B90" s="499">
        <f>D45*(1+'Inputs-System'!$C$19)^('Non-Embedded Emissions'!$A90-2021)</f>
        <v>7.2545013184814539E-3</v>
      </c>
      <c r="C90" s="499">
        <f>E45*(1+'Inputs-System'!$C$19)^('Non-Embedded Emissions'!$A90-2021)</f>
        <v>7.2545013184814539E-3</v>
      </c>
      <c r="D90" s="500">
        <f t="shared" si="4"/>
        <v>7.2545013184814539E-3</v>
      </c>
      <c r="E90" s="134"/>
      <c r="F90" s="492">
        <v>2055</v>
      </c>
      <c r="G90" s="493">
        <f>L44*(1+'Inputs-System'!$C$19)^('Non-Embedded Emissions'!$A90-2021)/1000</f>
        <v>0</v>
      </c>
      <c r="H90" s="494">
        <f>M44*(1+'Inputs-System'!$C$19)^('Non-Embedded Emissions'!$A90-2021)/1000</f>
        <v>0</v>
      </c>
      <c r="I90" s="131"/>
      <c r="J90" s="131"/>
      <c r="K90" s="131"/>
      <c r="L90" s="131"/>
      <c r="M90" s="131"/>
      <c r="N90" s="131"/>
      <c r="O90" s="131"/>
      <c r="P90" s="131"/>
      <c r="Q90" s="131"/>
      <c r="R90" s="133"/>
      <c r="T90" s="134"/>
      <c r="U90" s="134"/>
      <c r="V90" s="134"/>
    </row>
    <row r="91" spans="1:22" ht="14.25" customHeight="1" x14ac:dyDescent="0.3">
      <c r="A91" s="103"/>
      <c r="B91" s="44"/>
      <c r="C91" s="44"/>
      <c r="D91" s="44"/>
      <c r="E91" s="134"/>
      <c r="F91" s="134"/>
      <c r="I91" s="130"/>
      <c r="J91" s="131"/>
      <c r="K91" s="264"/>
      <c r="L91" s="264"/>
      <c r="M91" s="264"/>
      <c r="N91" s="131"/>
      <c r="O91" s="264"/>
      <c r="P91" s="264"/>
      <c r="Q91" s="264"/>
      <c r="R91" s="133"/>
      <c r="T91" s="134"/>
      <c r="U91" s="134"/>
      <c r="V91" s="134"/>
    </row>
    <row r="92" spans="1:22" x14ac:dyDescent="0.3">
      <c r="A92" s="103"/>
      <c r="B92" s="44"/>
      <c r="C92" s="44"/>
      <c r="D92" s="44"/>
      <c r="E92" s="134"/>
      <c r="F92" s="134"/>
      <c r="I92" s="130"/>
      <c r="J92" s="131"/>
      <c r="K92" s="131"/>
      <c r="L92" s="131"/>
      <c r="M92" s="131"/>
      <c r="N92" s="131"/>
      <c r="O92" s="131"/>
      <c r="P92" s="131"/>
      <c r="Q92" s="131"/>
      <c r="R92" s="131"/>
      <c r="S92" s="133"/>
      <c r="T92" s="134"/>
      <c r="U92" s="134"/>
      <c r="V92" s="134"/>
    </row>
    <row r="93" spans="1:22" ht="21" x14ac:dyDescent="0.3">
      <c r="A93" s="712" t="s">
        <v>235</v>
      </c>
      <c r="B93" s="712"/>
      <c r="C93" s="712"/>
      <c r="D93" s="712"/>
      <c r="E93" s="712"/>
      <c r="F93" s="712"/>
      <c r="G93" s="712"/>
      <c r="H93" s="712"/>
      <c r="I93" s="712"/>
      <c r="J93" s="131"/>
      <c r="K93" s="131"/>
      <c r="L93" s="131"/>
      <c r="M93" s="131"/>
      <c r="N93" s="131"/>
      <c r="O93" s="131"/>
      <c r="P93" s="131"/>
      <c r="Q93" s="131"/>
      <c r="R93" s="131"/>
      <c r="S93" s="133"/>
      <c r="T93" s="134"/>
      <c r="U93" s="134"/>
      <c r="V93" s="134"/>
    </row>
    <row r="94" spans="1:22" ht="14.25" customHeight="1" thickBot="1" x14ac:dyDescent="0.35">
      <c r="A94" s="103"/>
      <c r="B94" s="44"/>
      <c r="C94" s="44"/>
      <c r="D94" s="44"/>
      <c r="E94" s="134"/>
      <c r="F94" s="134"/>
      <c r="I94" s="130"/>
      <c r="J94" s="264"/>
      <c r="K94" s="131"/>
      <c r="L94" s="131"/>
      <c r="M94" s="131"/>
      <c r="N94" s="264"/>
      <c r="O94" s="131"/>
      <c r="P94" s="131"/>
      <c r="Q94" s="131"/>
      <c r="R94" s="264"/>
      <c r="S94" s="264"/>
      <c r="T94" s="134"/>
      <c r="U94" s="134"/>
      <c r="V94" s="134"/>
    </row>
    <row r="95" spans="1:22" ht="14.25" customHeight="1" x14ac:dyDescent="0.35">
      <c r="A95" s="560" t="s">
        <v>174</v>
      </c>
      <c r="B95" s="44"/>
      <c r="C95" s="44"/>
      <c r="D95" s="44"/>
      <c r="E95" s="134"/>
      <c r="F95" s="134"/>
      <c r="I95" s="130"/>
      <c r="J95" s="264"/>
      <c r="K95" s="131"/>
      <c r="L95" s="131"/>
      <c r="M95" s="131"/>
      <c r="N95" s="264"/>
      <c r="O95" s="131"/>
      <c r="P95" s="131"/>
      <c r="Q95" s="131"/>
      <c r="R95" s="264"/>
      <c r="S95" s="264"/>
      <c r="T95" s="134"/>
      <c r="U95" s="134"/>
      <c r="V95" s="134"/>
    </row>
    <row r="96" spans="1:22" ht="14.25" customHeight="1" x14ac:dyDescent="0.3">
      <c r="A96" s="103"/>
      <c r="B96" s="44"/>
      <c r="C96" s="44"/>
      <c r="D96" s="44"/>
      <c r="E96" s="134"/>
      <c r="F96" s="134"/>
      <c r="I96" s="130"/>
      <c r="J96" s="264"/>
      <c r="K96" s="131"/>
      <c r="L96" s="131"/>
      <c r="M96" s="131"/>
      <c r="N96" s="264"/>
      <c r="O96" s="131"/>
      <c r="P96" s="131"/>
      <c r="Q96" s="131"/>
      <c r="R96" s="264"/>
      <c r="S96" s="264"/>
      <c r="T96" s="134"/>
      <c r="U96" s="134"/>
      <c r="V96" s="134"/>
    </row>
    <row r="97" spans="1:22" ht="15" thickBot="1" x14ac:dyDescent="0.35">
      <c r="A97" s="704" t="s">
        <v>218</v>
      </c>
      <c r="B97" s="705"/>
      <c r="C97" s="705"/>
      <c r="D97" s="705"/>
      <c r="E97" s="706"/>
      <c r="J97" s="131"/>
      <c r="K97" s="131"/>
      <c r="L97" s="131"/>
      <c r="M97" s="131"/>
      <c r="N97" s="131"/>
      <c r="O97" s="131"/>
      <c r="P97" s="131"/>
      <c r="Q97" s="131"/>
      <c r="R97" s="131"/>
      <c r="S97" s="133"/>
      <c r="T97" s="134"/>
      <c r="U97" s="134"/>
      <c r="V97" s="134"/>
    </row>
    <row r="98" spans="1:22" ht="29.5" thickBot="1" x14ac:dyDescent="0.35">
      <c r="A98" s="285" t="s">
        <v>186</v>
      </c>
      <c r="B98" s="529" t="s">
        <v>236</v>
      </c>
      <c r="C98" s="529" t="s">
        <v>237</v>
      </c>
      <c r="D98" s="529" t="s">
        <v>238</v>
      </c>
      <c r="E98" s="530" t="s">
        <v>239</v>
      </c>
      <c r="F98" s="134"/>
      <c r="I98" s="130"/>
      <c r="J98" s="131"/>
      <c r="K98" s="131"/>
      <c r="L98" s="131"/>
      <c r="M98" s="131"/>
      <c r="N98" s="131"/>
      <c r="O98" s="131"/>
      <c r="P98" s="131"/>
      <c r="Q98" s="131"/>
      <c r="R98" s="131"/>
      <c r="S98" s="133"/>
      <c r="T98" s="134"/>
      <c r="U98" s="134"/>
      <c r="V98" s="134"/>
    </row>
    <row r="99" spans="1:22" x14ac:dyDescent="0.35">
      <c r="A99" s="503">
        <v>2021</v>
      </c>
      <c r="B99" s="408">
        <v>6.9999999999999999E-4</v>
      </c>
      <c r="C99" s="406">
        <v>1.5E-3</v>
      </c>
      <c r="D99" s="406">
        <v>1E-3</v>
      </c>
      <c r="E99" s="407">
        <v>8.0000000000000004E-4</v>
      </c>
      <c r="F99" s="413"/>
      <c r="G99" s="414"/>
      <c r="H99" s="414"/>
      <c r="I99" s="414"/>
      <c r="J99" s="131"/>
      <c r="K99" s="131"/>
      <c r="L99" s="131"/>
      <c r="M99" s="131"/>
      <c r="N99" s="131"/>
      <c r="O99" s="131"/>
      <c r="P99" s="131"/>
      <c r="Q99" s="131"/>
      <c r="R99" s="131"/>
      <c r="S99" s="133"/>
      <c r="T99" s="134"/>
      <c r="U99" s="134"/>
      <c r="V99" s="134"/>
    </row>
    <row r="100" spans="1:22" x14ac:dyDescent="0.3">
      <c r="A100" s="317">
        <v>2022</v>
      </c>
      <c r="B100" s="409">
        <v>8.0000000000000004E-4</v>
      </c>
      <c r="C100" s="32">
        <v>5.9999999999999995E-4</v>
      </c>
      <c r="D100" s="32">
        <v>1E-3</v>
      </c>
      <c r="E100" s="330">
        <v>8.0000000000000004E-4</v>
      </c>
      <c r="F100" s="134"/>
      <c r="I100" s="130"/>
      <c r="J100" s="131"/>
      <c r="K100" s="131"/>
      <c r="L100" s="131"/>
      <c r="M100" s="131"/>
      <c r="N100" s="131"/>
      <c r="O100" s="131"/>
      <c r="P100" s="131"/>
      <c r="Q100" s="131"/>
      <c r="R100" s="131"/>
      <c r="S100" s="133"/>
      <c r="T100" s="134"/>
      <c r="U100" s="134"/>
      <c r="V100" s="134"/>
    </row>
    <row r="101" spans="1:22" x14ac:dyDescent="0.3">
      <c r="A101" s="411">
        <v>2023</v>
      </c>
      <c r="B101" s="409">
        <v>5.9999999999999995E-4</v>
      </c>
      <c r="C101" s="32">
        <v>5.9999999999999995E-4</v>
      </c>
      <c r="D101" s="32">
        <v>8.0000000000000004E-4</v>
      </c>
      <c r="E101" s="330">
        <v>6.9999999999999999E-4</v>
      </c>
      <c r="F101" s="334"/>
      <c r="G101" s="334"/>
      <c r="H101" s="334"/>
      <c r="I101" s="334"/>
      <c r="J101" s="131"/>
      <c r="K101" s="131"/>
      <c r="L101" s="131"/>
      <c r="M101" s="131"/>
      <c r="N101" s="131"/>
      <c r="O101" s="131"/>
      <c r="P101" s="131"/>
      <c r="Q101" s="131"/>
      <c r="R101" s="131"/>
      <c r="S101" s="133"/>
      <c r="T101" s="134"/>
      <c r="U101" s="134"/>
      <c r="V101" s="134"/>
    </row>
    <row r="102" spans="1:22" x14ac:dyDescent="0.3">
      <c r="A102" s="317">
        <v>2024</v>
      </c>
      <c r="B102" s="409">
        <v>6.9999999999999999E-4</v>
      </c>
      <c r="C102" s="32">
        <v>5.9999999999999995E-4</v>
      </c>
      <c r="D102" s="32">
        <v>8.9999999999999998E-4</v>
      </c>
      <c r="E102" s="330">
        <v>6.9999999999999999E-4</v>
      </c>
      <c r="F102" s="633"/>
      <c r="G102" s="633"/>
      <c r="H102" s="633"/>
      <c r="I102" s="633"/>
      <c r="J102" s="131"/>
      <c r="K102" s="131"/>
      <c r="L102" s="131"/>
      <c r="M102" s="131"/>
      <c r="N102" s="131"/>
      <c r="O102" s="131"/>
      <c r="P102" s="131"/>
      <c r="Q102" s="131"/>
      <c r="R102" s="131"/>
      <c r="S102" s="133"/>
      <c r="T102" s="134"/>
      <c r="U102" s="134"/>
      <c r="V102" s="134"/>
    </row>
    <row r="103" spans="1:22" x14ac:dyDescent="0.3">
      <c r="A103" s="411">
        <v>2025</v>
      </c>
      <c r="B103" s="409">
        <v>5.0000000000000001E-4</v>
      </c>
      <c r="C103" s="32">
        <v>5.0000000000000001E-4</v>
      </c>
      <c r="D103" s="32">
        <v>8.9999999999999998E-4</v>
      </c>
      <c r="E103" s="330">
        <v>6.9999999999999999E-4</v>
      </c>
      <c r="J103" s="131"/>
      <c r="K103" s="131"/>
      <c r="L103" s="131"/>
      <c r="M103" s="131"/>
      <c r="N103" s="131"/>
      <c r="O103" s="131"/>
      <c r="P103" s="131"/>
      <c r="Q103" s="131"/>
      <c r="R103" s="131"/>
      <c r="S103" s="133"/>
      <c r="T103" s="134"/>
      <c r="U103" s="134"/>
      <c r="V103" s="134"/>
    </row>
    <row r="104" spans="1:22" x14ac:dyDescent="0.3">
      <c r="A104" s="317">
        <v>2026</v>
      </c>
      <c r="B104" s="409">
        <v>5.0000000000000001E-4</v>
      </c>
      <c r="C104" s="32">
        <v>5.0000000000000001E-4</v>
      </c>
      <c r="D104" s="32">
        <v>8.0000000000000004E-4</v>
      </c>
      <c r="E104" s="330">
        <v>6.9999999999999999E-4</v>
      </c>
      <c r="J104" s="131"/>
      <c r="K104" s="131"/>
      <c r="L104" s="131"/>
      <c r="M104" s="131"/>
      <c r="N104" s="131"/>
      <c r="O104" s="131"/>
      <c r="P104" s="131"/>
      <c r="Q104" s="131"/>
      <c r="R104" s="131"/>
      <c r="S104" s="133"/>
      <c r="T104" s="134"/>
      <c r="U104" s="134"/>
      <c r="V104" s="134"/>
    </row>
    <row r="105" spans="1:22" x14ac:dyDescent="0.3">
      <c r="A105" s="411">
        <v>2027</v>
      </c>
      <c r="B105" s="409">
        <v>5.0000000000000001E-4</v>
      </c>
      <c r="C105" s="32">
        <v>5.9999999999999995E-4</v>
      </c>
      <c r="D105" s="32">
        <v>8.0000000000000004E-4</v>
      </c>
      <c r="E105" s="330">
        <v>6.9999999999999999E-4</v>
      </c>
      <c r="J105" s="131"/>
      <c r="K105" s="131"/>
      <c r="L105" s="131"/>
      <c r="M105" s="131"/>
      <c r="N105" s="131"/>
      <c r="O105" s="131"/>
      <c r="P105" s="131"/>
      <c r="Q105" s="131"/>
      <c r="R105" s="131"/>
      <c r="S105" s="133"/>
      <c r="T105" s="134"/>
      <c r="U105" s="134"/>
      <c r="V105" s="134"/>
    </row>
    <row r="106" spans="1:22" x14ac:dyDescent="0.3">
      <c r="A106" s="317">
        <v>2028</v>
      </c>
      <c r="B106" s="409">
        <v>5.9999999999999995E-4</v>
      </c>
      <c r="C106" s="32">
        <v>5.0000000000000001E-4</v>
      </c>
      <c r="D106" s="32">
        <v>8.9999999999999998E-4</v>
      </c>
      <c r="E106" s="330">
        <v>6.9999999999999999E-4</v>
      </c>
      <c r="J106" s="131"/>
      <c r="K106" s="131"/>
      <c r="L106" s="131"/>
      <c r="M106" s="131"/>
      <c r="N106" s="131"/>
      <c r="O106" s="131"/>
      <c r="P106" s="131"/>
      <c r="Q106" s="131"/>
      <c r="R106" s="131"/>
      <c r="S106" s="133"/>
      <c r="T106" s="134"/>
      <c r="U106" s="134"/>
      <c r="V106" s="134"/>
    </row>
    <row r="107" spans="1:22" x14ac:dyDescent="0.3">
      <c r="A107" s="411">
        <v>2029</v>
      </c>
      <c r="B107" s="409">
        <v>5.9999999999999995E-4</v>
      </c>
      <c r="C107" s="32">
        <v>5.0000000000000001E-4</v>
      </c>
      <c r="D107" s="32">
        <v>8.0000000000000004E-4</v>
      </c>
      <c r="E107" s="330">
        <v>5.9999999999999995E-4</v>
      </c>
      <c r="J107" s="131"/>
      <c r="K107" s="131"/>
      <c r="L107" s="131"/>
      <c r="M107" s="131"/>
      <c r="N107" s="131"/>
      <c r="O107" s="131"/>
      <c r="P107" s="131"/>
      <c r="Q107" s="131"/>
      <c r="R107" s="131"/>
      <c r="S107" s="133"/>
      <c r="T107" s="134"/>
      <c r="U107" s="134"/>
      <c r="V107" s="134"/>
    </row>
    <row r="108" spans="1:22" x14ac:dyDescent="0.3">
      <c r="A108" s="317">
        <v>2030</v>
      </c>
      <c r="B108" s="409">
        <v>4.0000000000000002E-4</v>
      </c>
      <c r="C108" s="32">
        <v>4.0000000000000002E-4</v>
      </c>
      <c r="D108" s="32">
        <v>5.9999999999999995E-4</v>
      </c>
      <c r="E108" s="330">
        <v>5.0000000000000001E-4</v>
      </c>
      <c r="J108" s="131"/>
      <c r="K108" s="131"/>
      <c r="L108" s="131"/>
      <c r="M108" s="131"/>
      <c r="N108" s="131"/>
      <c r="O108" s="131"/>
      <c r="P108" s="131"/>
      <c r="Q108" s="131"/>
      <c r="R108" s="131"/>
      <c r="S108" s="133"/>
      <c r="T108" s="134"/>
      <c r="U108" s="134"/>
      <c r="V108" s="134"/>
    </row>
    <row r="109" spans="1:22" x14ac:dyDescent="0.3">
      <c r="A109" s="411">
        <v>2031</v>
      </c>
      <c r="B109" s="409">
        <v>5.0000000000000001E-4</v>
      </c>
      <c r="C109" s="32">
        <v>4.0000000000000002E-4</v>
      </c>
      <c r="D109" s="32">
        <v>5.9999999999999995E-4</v>
      </c>
      <c r="E109" s="330">
        <v>5.0000000000000001E-4</v>
      </c>
      <c r="J109" s="131"/>
      <c r="K109" s="131"/>
      <c r="L109" s="131"/>
      <c r="M109" s="131"/>
      <c r="N109" s="131"/>
      <c r="O109" s="131"/>
      <c r="P109" s="131"/>
      <c r="Q109" s="131"/>
      <c r="R109" s="131"/>
      <c r="S109" s="133"/>
      <c r="T109" s="134"/>
      <c r="U109" s="134"/>
      <c r="V109" s="134"/>
    </row>
    <row r="110" spans="1:22" x14ac:dyDescent="0.3">
      <c r="A110" s="317">
        <v>2032</v>
      </c>
      <c r="B110" s="409">
        <v>5.0000000000000001E-4</v>
      </c>
      <c r="C110" s="32">
        <v>5.0000000000000001E-4</v>
      </c>
      <c r="D110" s="32">
        <v>5.9999999999999995E-4</v>
      </c>
      <c r="E110" s="330">
        <v>5.0000000000000001E-4</v>
      </c>
      <c r="J110" s="131"/>
      <c r="K110" s="131"/>
      <c r="L110" s="131"/>
      <c r="M110" s="131"/>
      <c r="N110" s="131"/>
      <c r="O110" s="131"/>
      <c r="P110" s="131"/>
      <c r="Q110" s="131"/>
      <c r="R110" s="131"/>
      <c r="S110" s="133"/>
      <c r="T110" s="134"/>
      <c r="U110" s="134"/>
      <c r="V110" s="134"/>
    </row>
    <row r="111" spans="1:22" x14ac:dyDescent="0.3">
      <c r="A111" s="411">
        <v>2033</v>
      </c>
      <c r="B111" s="409">
        <v>4.0000000000000002E-4</v>
      </c>
      <c r="C111" s="32">
        <v>4.0000000000000002E-4</v>
      </c>
      <c r="D111" s="32">
        <v>5.9999999999999995E-4</v>
      </c>
      <c r="E111" s="330">
        <v>5.0000000000000001E-4</v>
      </c>
      <c r="J111" s="131"/>
      <c r="K111" s="131"/>
      <c r="L111" s="131"/>
      <c r="M111" s="131"/>
      <c r="N111" s="131"/>
      <c r="O111" s="131"/>
      <c r="P111" s="131"/>
      <c r="Q111" s="131"/>
      <c r="R111" s="131"/>
      <c r="S111" s="133"/>
      <c r="T111" s="134"/>
      <c r="U111" s="134"/>
      <c r="V111" s="134"/>
    </row>
    <row r="112" spans="1:22" x14ac:dyDescent="0.3">
      <c r="A112" s="317">
        <v>2034</v>
      </c>
      <c r="B112" s="409">
        <v>5.0000000000000001E-4</v>
      </c>
      <c r="C112" s="32">
        <v>4.0000000000000002E-4</v>
      </c>
      <c r="D112" s="32">
        <v>5.9999999999999995E-4</v>
      </c>
      <c r="E112" s="330">
        <v>5.0000000000000001E-4</v>
      </c>
      <c r="J112" s="131"/>
      <c r="K112" s="131"/>
      <c r="L112" s="131"/>
      <c r="M112" s="131"/>
      <c r="N112" s="131"/>
      <c r="O112" s="131"/>
      <c r="P112" s="131"/>
      <c r="Q112" s="131"/>
      <c r="R112" s="131"/>
      <c r="S112" s="133"/>
      <c r="T112" s="134"/>
      <c r="U112" s="134"/>
      <c r="V112" s="134"/>
    </row>
    <row r="113" spans="1:22" x14ac:dyDescent="0.3">
      <c r="A113" s="411">
        <v>2035</v>
      </c>
      <c r="B113" s="409">
        <v>4.0000000000000002E-4</v>
      </c>
      <c r="C113" s="32">
        <v>4.0000000000000002E-4</v>
      </c>
      <c r="D113" s="32">
        <v>5.0000000000000001E-4</v>
      </c>
      <c r="E113" s="330">
        <v>5.0000000000000001E-4</v>
      </c>
      <c r="J113" s="131"/>
      <c r="K113" s="131"/>
      <c r="L113" s="131"/>
      <c r="M113" s="131"/>
      <c r="N113" s="131"/>
      <c r="O113" s="131"/>
      <c r="P113" s="131"/>
      <c r="Q113" s="131"/>
      <c r="R113" s="131"/>
      <c r="S113" s="133"/>
      <c r="T113" s="134"/>
      <c r="U113" s="134"/>
      <c r="V113" s="134"/>
    </row>
    <row r="114" spans="1:22" x14ac:dyDescent="0.3">
      <c r="A114" s="317">
        <v>2036</v>
      </c>
      <c r="B114" s="409">
        <v>4.0000000000000002E-4</v>
      </c>
      <c r="C114" s="32">
        <v>4.0000000000000002E-4</v>
      </c>
      <c r="D114" s="32">
        <v>5.0000000000000001E-4</v>
      </c>
      <c r="E114" s="330">
        <v>5.0000000000000001E-4</v>
      </c>
      <c r="J114" s="131"/>
      <c r="K114" s="131"/>
      <c r="L114" s="131"/>
      <c r="M114" s="131"/>
      <c r="N114" s="131"/>
      <c r="O114" s="131"/>
      <c r="P114" s="131"/>
      <c r="Q114" s="131"/>
      <c r="R114" s="131"/>
      <c r="S114" s="133"/>
      <c r="T114" s="134"/>
      <c r="U114" s="134"/>
      <c r="V114" s="134"/>
    </row>
    <row r="115" spans="1:22" x14ac:dyDescent="0.3">
      <c r="A115" s="411">
        <v>2037</v>
      </c>
      <c r="B115" s="409">
        <v>4.0000000000000002E-4</v>
      </c>
      <c r="C115" s="32">
        <v>4.0000000000000002E-4</v>
      </c>
      <c r="D115" s="32">
        <v>5.0000000000000001E-4</v>
      </c>
      <c r="E115" s="330">
        <v>5.0000000000000001E-4</v>
      </c>
      <c r="J115" s="131"/>
      <c r="K115" s="131"/>
      <c r="L115" s="131"/>
      <c r="M115" s="131"/>
      <c r="N115" s="131"/>
      <c r="O115" s="131"/>
      <c r="P115" s="131"/>
      <c r="Q115" s="131"/>
      <c r="R115" s="131"/>
      <c r="S115" s="133"/>
      <c r="T115" s="134"/>
      <c r="U115" s="134"/>
      <c r="V115" s="134"/>
    </row>
    <row r="116" spans="1:22" x14ac:dyDescent="0.3">
      <c r="A116" s="317">
        <v>2038</v>
      </c>
      <c r="B116" s="409">
        <v>4.0000000000000002E-4</v>
      </c>
      <c r="C116" s="32">
        <v>4.0000000000000002E-4</v>
      </c>
      <c r="D116" s="32">
        <v>5.0000000000000001E-4</v>
      </c>
      <c r="E116" s="330">
        <v>4.0000000000000002E-4</v>
      </c>
      <c r="J116" s="131"/>
      <c r="K116" s="131"/>
      <c r="L116" s="131"/>
      <c r="M116" s="131"/>
      <c r="N116" s="131"/>
      <c r="O116" s="131"/>
      <c r="P116" s="131"/>
      <c r="Q116" s="131"/>
      <c r="R116" s="131"/>
      <c r="S116" s="133"/>
      <c r="T116" s="134"/>
      <c r="U116" s="134"/>
      <c r="V116" s="134"/>
    </row>
    <row r="117" spans="1:22" x14ac:dyDescent="0.3">
      <c r="A117" s="411">
        <v>2039</v>
      </c>
      <c r="B117" s="409">
        <v>4.0000000000000002E-4</v>
      </c>
      <c r="C117" s="32">
        <v>4.0000000000000002E-4</v>
      </c>
      <c r="D117" s="32">
        <v>5.0000000000000001E-4</v>
      </c>
      <c r="E117" s="330">
        <v>4.0000000000000002E-4</v>
      </c>
      <c r="J117" s="131"/>
      <c r="K117" s="131"/>
      <c r="L117" s="131"/>
      <c r="M117" s="131"/>
      <c r="N117" s="131"/>
      <c r="O117" s="131"/>
      <c r="P117" s="131"/>
      <c r="Q117" s="131"/>
      <c r="R117" s="131"/>
      <c r="S117" s="133"/>
      <c r="T117" s="134"/>
      <c r="U117" s="134"/>
      <c r="V117" s="134"/>
    </row>
    <row r="118" spans="1:22" x14ac:dyDescent="0.3">
      <c r="A118" s="317">
        <v>2040</v>
      </c>
      <c r="B118" s="409">
        <v>4.0000000000000002E-4</v>
      </c>
      <c r="C118" s="32">
        <v>4.0000000000000002E-4</v>
      </c>
      <c r="D118" s="32">
        <v>5.0000000000000001E-4</v>
      </c>
      <c r="E118" s="330">
        <v>4.0000000000000002E-4</v>
      </c>
      <c r="J118" s="131"/>
      <c r="K118" s="131"/>
      <c r="L118" s="131"/>
      <c r="M118" s="131"/>
      <c r="N118" s="131"/>
      <c r="O118" s="131"/>
      <c r="P118" s="131"/>
      <c r="Q118" s="131"/>
      <c r="R118" s="131"/>
      <c r="S118" s="133"/>
      <c r="T118" s="134"/>
      <c r="U118" s="134"/>
      <c r="V118" s="134"/>
    </row>
    <row r="119" spans="1:22" x14ac:dyDescent="0.3">
      <c r="A119" s="411">
        <v>2041</v>
      </c>
      <c r="B119" s="409">
        <v>4.0000000000000002E-4</v>
      </c>
      <c r="C119" s="32">
        <v>4.0000000000000002E-4</v>
      </c>
      <c r="D119" s="32">
        <v>5.0000000000000001E-4</v>
      </c>
      <c r="E119" s="330">
        <v>4.0000000000000002E-4</v>
      </c>
      <c r="J119" s="131"/>
      <c r="K119" s="131"/>
      <c r="L119" s="131"/>
      <c r="M119" s="131"/>
      <c r="N119" s="131"/>
      <c r="O119" s="131"/>
      <c r="P119" s="131"/>
      <c r="Q119" s="131"/>
      <c r="R119" s="131"/>
      <c r="S119" s="133"/>
      <c r="T119" s="134"/>
      <c r="U119" s="134"/>
      <c r="V119" s="134"/>
    </row>
    <row r="120" spans="1:22" x14ac:dyDescent="0.3">
      <c r="A120" s="317">
        <v>2042</v>
      </c>
      <c r="B120" s="409">
        <v>4.0000000000000002E-4</v>
      </c>
      <c r="C120" s="32">
        <v>4.0000000000000002E-4</v>
      </c>
      <c r="D120" s="32">
        <v>5.0000000000000001E-4</v>
      </c>
      <c r="E120" s="330">
        <v>4.0000000000000002E-4</v>
      </c>
      <c r="J120" s="131"/>
      <c r="K120" s="131"/>
      <c r="L120" s="131"/>
      <c r="M120" s="131"/>
      <c r="N120" s="131"/>
      <c r="O120" s="131"/>
      <c r="P120" s="131"/>
      <c r="Q120" s="131"/>
      <c r="R120" s="131"/>
      <c r="S120" s="133"/>
      <c r="T120" s="134"/>
      <c r="U120" s="134"/>
      <c r="V120" s="134"/>
    </row>
    <row r="121" spans="1:22" x14ac:dyDescent="0.3">
      <c r="A121" s="411">
        <v>2043</v>
      </c>
      <c r="B121" s="409">
        <v>4.0000000000000002E-4</v>
      </c>
      <c r="C121" s="32">
        <v>4.0000000000000002E-4</v>
      </c>
      <c r="D121" s="32">
        <v>4.0000000000000002E-4</v>
      </c>
      <c r="E121" s="330">
        <v>4.0000000000000002E-4</v>
      </c>
      <c r="J121" s="131"/>
      <c r="K121" s="131"/>
      <c r="L121" s="131"/>
      <c r="M121" s="131"/>
      <c r="N121" s="131"/>
      <c r="O121" s="131"/>
      <c r="P121" s="131"/>
      <c r="Q121" s="131"/>
      <c r="R121" s="131"/>
      <c r="S121" s="133"/>
      <c r="T121" s="134"/>
      <c r="U121" s="134"/>
      <c r="V121" s="134"/>
    </row>
    <row r="122" spans="1:22" x14ac:dyDescent="0.3">
      <c r="A122" s="317">
        <v>2044</v>
      </c>
      <c r="B122" s="409">
        <v>4.0000000000000002E-4</v>
      </c>
      <c r="C122" s="32">
        <v>4.0000000000000002E-4</v>
      </c>
      <c r="D122" s="32">
        <v>4.0000000000000002E-4</v>
      </c>
      <c r="E122" s="330">
        <v>4.0000000000000002E-4</v>
      </c>
      <c r="J122" s="131"/>
      <c r="K122" s="131"/>
      <c r="L122" s="131"/>
      <c r="M122" s="131"/>
      <c r="N122" s="131"/>
      <c r="O122" s="131"/>
      <c r="P122" s="131"/>
      <c r="Q122" s="131"/>
      <c r="R122" s="131"/>
      <c r="S122" s="133"/>
      <c r="T122" s="134"/>
      <c r="U122" s="134"/>
      <c r="V122" s="134"/>
    </row>
    <row r="123" spans="1:22" x14ac:dyDescent="0.3">
      <c r="A123" s="411">
        <v>2045</v>
      </c>
      <c r="B123" s="409">
        <v>4.0000000000000002E-4</v>
      </c>
      <c r="C123" s="32">
        <v>2.9999999999999997E-4</v>
      </c>
      <c r="D123" s="32">
        <v>4.0000000000000002E-4</v>
      </c>
      <c r="E123" s="330">
        <v>4.0000000000000002E-4</v>
      </c>
      <c r="J123" s="131"/>
      <c r="K123" s="131"/>
      <c r="L123" s="131"/>
      <c r="M123" s="131"/>
      <c r="N123" s="131"/>
      <c r="O123" s="131"/>
      <c r="P123" s="131"/>
      <c r="Q123" s="131"/>
      <c r="R123" s="131"/>
      <c r="S123" s="133"/>
      <c r="T123" s="134"/>
      <c r="U123" s="134"/>
      <c r="V123" s="134"/>
    </row>
    <row r="124" spans="1:22" x14ac:dyDescent="0.3">
      <c r="A124" s="317">
        <v>2046</v>
      </c>
      <c r="B124" s="409">
        <v>4.0000000000000002E-4</v>
      </c>
      <c r="C124" s="32">
        <v>2.9999999999999997E-4</v>
      </c>
      <c r="D124" s="32">
        <v>4.0000000000000002E-4</v>
      </c>
      <c r="E124" s="330">
        <v>4.0000000000000002E-4</v>
      </c>
      <c r="J124" s="131"/>
      <c r="K124" s="131"/>
      <c r="L124" s="131"/>
      <c r="M124" s="131"/>
      <c r="N124" s="131"/>
      <c r="O124" s="131"/>
      <c r="P124" s="131"/>
      <c r="Q124" s="131"/>
      <c r="R124" s="131"/>
      <c r="S124" s="133"/>
      <c r="T124" s="134"/>
      <c r="U124" s="134"/>
      <c r="V124" s="134"/>
    </row>
    <row r="125" spans="1:22" x14ac:dyDescent="0.3">
      <c r="A125" s="411">
        <v>2047</v>
      </c>
      <c r="B125" s="409">
        <v>4.0000000000000002E-4</v>
      </c>
      <c r="C125" s="32">
        <v>2.9999999999999997E-4</v>
      </c>
      <c r="D125" s="32">
        <v>4.0000000000000002E-4</v>
      </c>
      <c r="E125" s="330">
        <v>4.0000000000000002E-4</v>
      </c>
      <c r="J125" s="131"/>
      <c r="K125" s="131"/>
      <c r="L125" s="131"/>
      <c r="M125" s="131"/>
      <c r="N125" s="131"/>
      <c r="O125" s="131"/>
      <c r="P125" s="131"/>
      <c r="Q125" s="131"/>
      <c r="R125" s="131"/>
      <c r="S125" s="133"/>
      <c r="T125" s="134"/>
      <c r="U125" s="134"/>
      <c r="V125" s="134"/>
    </row>
    <row r="126" spans="1:22" x14ac:dyDescent="0.3">
      <c r="A126" s="317">
        <v>2048</v>
      </c>
      <c r="B126" s="409">
        <v>4.0000000000000002E-4</v>
      </c>
      <c r="C126" s="32">
        <v>2.9999999999999997E-4</v>
      </c>
      <c r="D126" s="32">
        <v>4.0000000000000002E-4</v>
      </c>
      <c r="E126" s="330">
        <v>4.0000000000000002E-4</v>
      </c>
      <c r="J126" s="131"/>
      <c r="K126" s="131"/>
      <c r="L126" s="131"/>
      <c r="M126" s="131"/>
      <c r="N126" s="131"/>
      <c r="O126" s="131"/>
      <c r="P126" s="131"/>
      <c r="Q126" s="131"/>
      <c r="R126" s="131"/>
      <c r="S126" s="133"/>
      <c r="T126" s="134"/>
      <c r="U126" s="134"/>
      <c r="V126" s="134"/>
    </row>
    <row r="127" spans="1:22" x14ac:dyDescent="0.3">
      <c r="A127" s="411">
        <v>2049</v>
      </c>
      <c r="B127" s="409">
        <v>4.0000000000000002E-4</v>
      </c>
      <c r="C127" s="32">
        <v>2.9999999999999997E-4</v>
      </c>
      <c r="D127" s="32">
        <v>4.0000000000000002E-4</v>
      </c>
      <c r="E127" s="330">
        <v>2.9999999999999997E-4</v>
      </c>
      <c r="J127" s="131"/>
      <c r="K127" s="131"/>
      <c r="L127" s="131"/>
      <c r="M127" s="131"/>
      <c r="N127" s="131"/>
      <c r="O127" s="131"/>
      <c r="P127" s="131"/>
      <c r="Q127" s="131"/>
      <c r="R127" s="131"/>
      <c r="S127" s="133"/>
      <c r="T127" s="134"/>
      <c r="U127" s="134"/>
      <c r="V127" s="134"/>
    </row>
    <row r="128" spans="1:22" x14ac:dyDescent="0.3">
      <c r="A128" s="317">
        <v>2050</v>
      </c>
      <c r="B128" s="409">
        <v>4.0000000000000002E-4</v>
      </c>
      <c r="C128" s="32">
        <v>2.9999999999999997E-4</v>
      </c>
      <c r="D128" s="32">
        <v>4.0000000000000002E-4</v>
      </c>
      <c r="E128" s="330">
        <v>2.9999999999999997E-4</v>
      </c>
      <c r="J128" s="131"/>
      <c r="K128" s="131"/>
      <c r="L128" s="131"/>
      <c r="M128" s="131"/>
      <c r="N128" s="131"/>
      <c r="O128" s="131"/>
      <c r="P128" s="131"/>
      <c r="Q128" s="131"/>
      <c r="R128" s="131"/>
      <c r="S128" s="133"/>
      <c r="T128" s="134"/>
      <c r="U128" s="134"/>
      <c r="V128" s="134"/>
    </row>
    <row r="129" spans="1:26" x14ac:dyDescent="0.3">
      <c r="A129" s="411">
        <v>2051</v>
      </c>
      <c r="B129" s="409">
        <v>4.0000000000000002E-4</v>
      </c>
      <c r="C129" s="32">
        <v>2.9999999999999997E-4</v>
      </c>
      <c r="D129" s="32">
        <v>4.0000000000000002E-4</v>
      </c>
      <c r="E129" s="330">
        <v>2.9999999999999997E-4</v>
      </c>
      <c r="J129" s="131"/>
      <c r="K129" s="131"/>
      <c r="L129" s="131"/>
      <c r="M129" s="131"/>
      <c r="N129" s="131"/>
      <c r="O129" s="131"/>
      <c r="P129" s="131"/>
      <c r="Q129" s="131"/>
      <c r="R129" s="131"/>
      <c r="S129" s="133"/>
      <c r="T129" s="134"/>
      <c r="U129" s="134"/>
      <c r="V129" s="134"/>
    </row>
    <row r="130" spans="1:26" x14ac:dyDescent="0.3">
      <c r="A130" s="317">
        <v>2052</v>
      </c>
      <c r="B130" s="409">
        <v>4.0000000000000002E-4</v>
      </c>
      <c r="C130" s="32">
        <v>2.9999999999999997E-4</v>
      </c>
      <c r="D130" s="32">
        <v>4.0000000000000002E-4</v>
      </c>
      <c r="E130" s="330">
        <v>2.9999999999999997E-4</v>
      </c>
      <c r="J130" s="131"/>
      <c r="K130" s="131"/>
      <c r="L130" s="131"/>
      <c r="M130" s="131"/>
      <c r="N130" s="131"/>
      <c r="O130" s="131"/>
      <c r="P130" s="131"/>
      <c r="Q130" s="131"/>
      <c r="R130" s="131"/>
      <c r="S130" s="133"/>
      <c r="T130" s="134"/>
      <c r="U130" s="134"/>
      <c r="V130" s="134"/>
    </row>
    <row r="131" spans="1:26" x14ac:dyDescent="0.3">
      <c r="A131" s="411">
        <v>2053</v>
      </c>
      <c r="B131" s="409">
        <v>4.0000000000000002E-4</v>
      </c>
      <c r="C131" s="32">
        <v>2.9999999999999997E-4</v>
      </c>
      <c r="D131" s="32">
        <v>2.9999999999999997E-4</v>
      </c>
      <c r="E131" s="330">
        <v>2.9999999999999997E-4</v>
      </c>
      <c r="J131" s="131"/>
      <c r="K131" s="131"/>
      <c r="L131" s="131"/>
      <c r="M131" s="131"/>
      <c r="N131" s="131"/>
      <c r="O131" s="131"/>
      <c r="P131" s="131"/>
      <c r="Q131" s="131"/>
      <c r="R131" s="131"/>
      <c r="S131" s="133"/>
      <c r="T131" s="134"/>
      <c r="U131" s="134"/>
      <c r="V131" s="134"/>
    </row>
    <row r="132" spans="1:26" x14ac:dyDescent="0.3">
      <c r="A132" s="317">
        <v>2054</v>
      </c>
      <c r="B132" s="409">
        <v>4.0000000000000002E-4</v>
      </c>
      <c r="C132" s="32">
        <v>2.9999999999999997E-4</v>
      </c>
      <c r="D132" s="32">
        <v>2.9999999999999997E-4</v>
      </c>
      <c r="E132" s="330">
        <v>2.9999999999999997E-4</v>
      </c>
      <c r="J132" s="131"/>
      <c r="K132" s="131"/>
      <c r="L132" s="131"/>
      <c r="M132" s="131"/>
      <c r="N132" s="131"/>
      <c r="O132" s="131"/>
      <c r="P132" s="131"/>
      <c r="Q132" s="131"/>
      <c r="R132" s="131"/>
      <c r="S132" s="133"/>
      <c r="T132" s="134"/>
      <c r="U132" s="134"/>
    </row>
    <row r="133" spans="1:26" x14ac:dyDescent="0.3">
      <c r="A133" s="412">
        <v>2055</v>
      </c>
      <c r="B133" s="410">
        <v>4.0000000000000002E-4</v>
      </c>
      <c r="C133" s="331">
        <v>2.9999999999999997E-4</v>
      </c>
      <c r="D133" s="331">
        <v>2.9999999999999997E-4</v>
      </c>
      <c r="E133" s="332">
        <v>2.9999999999999997E-4</v>
      </c>
      <c r="J133" s="131"/>
      <c r="K133" s="131"/>
      <c r="L133" s="131"/>
      <c r="M133" s="131"/>
      <c r="N133" s="131"/>
      <c r="O133" s="131"/>
      <c r="P133" s="131"/>
      <c r="Q133" s="131"/>
      <c r="R133" s="131"/>
      <c r="S133" s="133"/>
      <c r="V133" s="42"/>
      <c r="W133" s="42"/>
      <c r="X133" s="42"/>
      <c r="Y133" s="42"/>
      <c r="Z133" s="42"/>
    </row>
    <row r="134" spans="1:26" x14ac:dyDescent="0.3">
      <c r="A134" s="103"/>
      <c r="B134" s="415"/>
      <c r="C134" s="415"/>
      <c r="D134" s="415"/>
      <c r="E134" s="134"/>
      <c r="J134" s="131"/>
      <c r="K134" s="131"/>
      <c r="L134" s="131"/>
      <c r="M134" s="131"/>
      <c r="N134" s="131"/>
      <c r="O134" s="131"/>
      <c r="P134" s="131"/>
      <c r="Q134" s="131"/>
      <c r="R134" s="131"/>
      <c r="S134" s="133"/>
    </row>
    <row r="135" spans="1:26" ht="14.5" customHeight="1" x14ac:dyDescent="0.3">
      <c r="A135" s="103"/>
      <c r="B135" s="415"/>
      <c r="C135" s="415"/>
      <c r="D135" s="415"/>
      <c r="E135" s="134"/>
      <c r="J135" s="131"/>
      <c r="K135" s="264"/>
      <c r="L135" s="264"/>
      <c r="M135" s="264"/>
      <c r="N135" s="131"/>
      <c r="O135" s="264"/>
      <c r="P135" s="264"/>
      <c r="Q135" s="264"/>
      <c r="R135" s="131"/>
      <c r="S135" s="133"/>
    </row>
    <row r="136" spans="1:26" x14ac:dyDescent="0.3">
      <c r="A136" s="103"/>
      <c r="B136" s="44"/>
      <c r="C136" s="44"/>
      <c r="D136" s="44"/>
      <c r="E136" s="134"/>
      <c r="F136" s="134"/>
      <c r="I136" s="130"/>
      <c r="J136" s="131"/>
      <c r="N136" s="131"/>
      <c r="R136" s="131"/>
      <c r="S136" s="133"/>
      <c r="T136" s="42"/>
      <c r="U136" s="42"/>
    </row>
    <row r="137" spans="1:26" ht="21" x14ac:dyDescent="0.3">
      <c r="A137" s="712" t="s">
        <v>240</v>
      </c>
      <c r="B137" s="712"/>
      <c r="C137" s="712"/>
      <c r="D137" s="712"/>
      <c r="E137" s="712"/>
      <c r="F137" s="712"/>
      <c r="G137" s="712"/>
      <c r="H137" s="712"/>
      <c r="I137" s="712"/>
      <c r="J137" s="131"/>
      <c r="N137" s="131"/>
      <c r="R137" s="131"/>
      <c r="S137" s="133"/>
    </row>
    <row r="138" spans="1:26" ht="14.5" customHeight="1" x14ac:dyDescent="0.35">
      <c r="A138" s="103"/>
      <c r="B138" s="44"/>
      <c r="C138" s="44"/>
      <c r="D138" s="44"/>
      <c r="J138" s="264"/>
      <c r="N138" s="264"/>
      <c r="R138" s="264"/>
      <c r="S138" s="264"/>
    </row>
    <row r="139" spans="1:26" x14ac:dyDescent="0.35">
      <c r="A139" s="560" t="s">
        <v>174</v>
      </c>
      <c r="B139" s="44"/>
      <c r="C139" s="44"/>
      <c r="D139" s="44"/>
    </row>
    <row r="140" spans="1:26" x14ac:dyDescent="0.35">
      <c r="A140" s="211"/>
      <c r="B140" s="44"/>
      <c r="C140" s="44"/>
      <c r="D140" s="44"/>
      <c r="K140" s="42"/>
      <c r="L140" s="42"/>
      <c r="M140" s="42"/>
      <c r="O140" s="42"/>
      <c r="P140" s="42"/>
      <c r="Q140" s="42"/>
    </row>
    <row r="141" spans="1:26" x14ac:dyDescent="0.35">
      <c r="A141" s="745" t="s">
        <v>241</v>
      </c>
      <c r="B141" s="746"/>
      <c r="C141" s="746"/>
      <c r="D141" s="747"/>
      <c r="F141" s="733" t="s">
        <v>242</v>
      </c>
      <c r="G141" s="734"/>
      <c r="H141" s="735"/>
    </row>
    <row r="142" spans="1:26" ht="43.5" x14ac:dyDescent="0.35">
      <c r="A142" s="285" t="s">
        <v>186</v>
      </c>
      <c r="B142" s="286" t="s">
        <v>243</v>
      </c>
      <c r="C142" s="286" t="s">
        <v>244</v>
      </c>
      <c r="D142" s="287" t="s">
        <v>245</v>
      </c>
      <c r="E142" s="42"/>
      <c r="F142" s="335" t="s">
        <v>186</v>
      </c>
      <c r="G142" s="199" t="s">
        <v>246</v>
      </c>
      <c r="H142" s="333" t="s">
        <v>247</v>
      </c>
      <c r="I142" s="42"/>
      <c r="S142" s="134"/>
    </row>
    <row r="143" spans="1:26" s="42" customFormat="1" x14ac:dyDescent="0.35">
      <c r="A143" s="280">
        <v>2021</v>
      </c>
      <c r="B143" s="420">
        <f>D99*(1+'Inputs-System'!$C$19)^('Non-Embedded Emissions'!$A143-2021)</f>
        <v>1E-3</v>
      </c>
      <c r="C143" s="420">
        <f>E99*(1+'Inputs-System'!$C$19)^('Non-Embedded Emissions'!$A143-2021)</f>
        <v>8.0000000000000004E-4</v>
      </c>
      <c r="D143" s="421">
        <f>(B143+C143)/2</f>
        <v>8.9999999999999998E-4</v>
      </c>
      <c r="E143" s="3"/>
      <c r="F143" s="336">
        <v>2021</v>
      </c>
      <c r="G143" s="426">
        <f>P10*(1+'Inputs-System'!$C$19)^('Non-Embedded Emissions'!$A143-2021)/1000</f>
        <v>1.0846916299559473E-2</v>
      </c>
      <c r="H143" s="426">
        <f>Q10*(1+'Inputs-System'!$C$19)^('Non-Embedded Emissions'!$A143-2021)/1000</f>
        <v>1.2072453874889869E-2</v>
      </c>
      <c r="I143" s="3"/>
      <c r="K143" s="3"/>
      <c r="L143" s="3"/>
      <c r="M143" s="3"/>
      <c r="O143" s="3"/>
      <c r="P143" s="3"/>
      <c r="Q143" s="3"/>
      <c r="S143" s="3"/>
      <c r="T143" s="3"/>
      <c r="U143" s="3"/>
      <c r="V143" s="3"/>
      <c r="W143" s="3"/>
      <c r="X143" s="3"/>
      <c r="Y143" s="3"/>
      <c r="Z143" s="3"/>
    </row>
    <row r="144" spans="1:26" x14ac:dyDescent="0.35">
      <c r="A144" s="277">
        <v>2022</v>
      </c>
      <c r="B144" s="420">
        <f>D100*(1+'Inputs-System'!$C$19)^('Non-Embedded Emissions'!$A144-2021)</f>
        <v>1.0200000000000001E-3</v>
      </c>
      <c r="C144" s="420">
        <f>E100*(1+'Inputs-System'!$C$19)^('Non-Embedded Emissions'!$A144-2021)</f>
        <v>8.160000000000001E-4</v>
      </c>
      <c r="D144" s="421">
        <f t="shared" ref="D144:D174" si="5">(B144+C144)/2</f>
        <v>9.1800000000000009E-4</v>
      </c>
      <c r="F144" s="337">
        <v>2022</v>
      </c>
      <c r="G144" s="426">
        <f>P11*(1+'Inputs-System'!$C$19)^('Non-Embedded Emissions'!$A144-2021)/1000</f>
        <v>1.1063854625550663E-2</v>
      </c>
      <c r="H144" s="426">
        <f>Q11*(1+'Inputs-System'!$C$19)^('Non-Embedded Emissions'!$A144-2021)/1000</f>
        <v>1.2313902952387667E-2</v>
      </c>
    </row>
    <row r="145" spans="1:19" x14ac:dyDescent="0.35">
      <c r="A145" s="277">
        <v>2023</v>
      </c>
      <c r="B145" s="420">
        <f>D101*(1+'Inputs-System'!$C$19)^('Non-Embedded Emissions'!$A145-2021)</f>
        <v>8.3232E-4</v>
      </c>
      <c r="C145" s="420">
        <f>E101*(1+'Inputs-System'!$C$19)^('Non-Embedded Emissions'!$A145-2021)</f>
        <v>7.2827999999999999E-4</v>
      </c>
      <c r="D145" s="421">
        <f t="shared" si="5"/>
        <v>7.8030000000000005E-4</v>
      </c>
      <c r="F145" s="336">
        <v>2023</v>
      </c>
      <c r="G145" s="426">
        <f>P12*(1+'Inputs-System'!$C$19)^('Non-Embedded Emissions'!$A145-2021)/1000</f>
        <v>1.1285131718061676E-2</v>
      </c>
      <c r="H145" s="426">
        <f>Q12*(1+'Inputs-System'!$C$19)^('Non-Embedded Emissions'!$A145-2021)/1000</f>
        <v>1.256018101143542E-2</v>
      </c>
    </row>
    <row r="146" spans="1:19" x14ac:dyDescent="0.35">
      <c r="A146" s="277">
        <v>2024</v>
      </c>
      <c r="B146" s="420">
        <f>D102*(1+'Inputs-System'!$C$19)^('Non-Embedded Emissions'!$A146-2021)</f>
        <v>9.5508719999999993E-4</v>
      </c>
      <c r="C146" s="420">
        <f>E102*(1+'Inputs-System'!$C$19)^('Non-Embedded Emissions'!$A146-2021)</f>
        <v>7.4284559999999999E-4</v>
      </c>
      <c r="D146" s="421">
        <f t="shared" si="5"/>
        <v>8.4896639999999996E-4</v>
      </c>
      <c r="F146" s="337">
        <v>2024</v>
      </c>
      <c r="G146" s="426">
        <f>P13*(1+'Inputs-System'!$C$19)^('Non-Embedded Emissions'!$A146-2021)/1000</f>
        <v>1.1510834352422908E-2</v>
      </c>
      <c r="H146" s="426">
        <f>Q13*(1+'Inputs-System'!$C$19)^('Non-Embedded Emissions'!$A146-2021)/1000</f>
        <v>1.2811384631664126E-2</v>
      </c>
    </row>
    <row r="147" spans="1:19" x14ac:dyDescent="0.35">
      <c r="A147" s="280">
        <v>2025</v>
      </c>
      <c r="B147" s="420">
        <f>D103*(1+'Inputs-System'!$C$19)^('Non-Embedded Emissions'!$A147-2021)</f>
        <v>9.7418894399999999E-4</v>
      </c>
      <c r="C147" s="420">
        <f>E103*(1+'Inputs-System'!$C$19)^('Non-Embedded Emissions'!$A147-2021)</f>
        <v>7.5770251199999998E-4</v>
      </c>
      <c r="D147" s="421">
        <f t="shared" si="5"/>
        <v>8.6594572800000004E-4</v>
      </c>
      <c r="F147" s="336">
        <v>2025</v>
      </c>
      <c r="G147" s="426">
        <f>P14*(1+'Inputs-System'!$C$19)^('Non-Embedded Emissions'!$A147-2021)/1000</f>
        <v>1.1741051039471368E-2</v>
      </c>
      <c r="H147" s="426">
        <f>Q14*(1+'Inputs-System'!$C$19)^('Non-Embedded Emissions'!$A147-2021)/1000</f>
        <v>1.3067612324297409E-2</v>
      </c>
    </row>
    <row r="148" spans="1:19" x14ac:dyDescent="0.35">
      <c r="A148" s="277">
        <v>2026</v>
      </c>
      <c r="B148" s="420">
        <f>D104*(1+'Inputs-System'!$C$19)^('Non-Embedded Emissions'!$A148-2021)</f>
        <v>8.8326464256000003E-4</v>
      </c>
      <c r="C148" s="420">
        <f>E104*(1+'Inputs-System'!$C$19)^('Non-Embedded Emissions'!$A148-2021)</f>
        <v>7.7285656224000004E-4</v>
      </c>
      <c r="D148" s="421">
        <f t="shared" si="5"/>
        <v>8.2806060240000004E-4</v>
      </c>
      <c r="F148" s="337">
        <v>2026</v>
      </c>
      <c r="G148" s="426">
        <f>P15*(1+'Inputs-System'!$C$19)^('Non-Embedded Emissions'!$A148-2021)/1000</f>
        <v>1.1975872060260795E-2</v>
      </c>
      <c r="H148" s="426">
        <f>Q15*(1+'Inputs-System'!$C$19)^('Non-Embedded Emissions'!$A148-2021)/1000</f>
        <v>1.3328964570783359E-2</v>
      </c>
      <c r="S148" s="42"/>
    </row>
    <row r="149" spans="1:19" x14ac:dyDescent="0.35">
      <c r="A149" s="277">
        <v>2027</v>
      </c>
      <c r="B149" s="420">
        <f>D105*(1+'Inputs-System'!$C$19)^('Non-Embedded Emissions'!$A149-2021)</f>
        <v>9.0092993541120007E-4</v>
      </c>
      <c r="C149" s="420">
        <f>E105*(1+'Inputs-System'!$C$19)^('Non-Embedded Emissions'!$A149-2021)</f>
        <v>7.8831369348480009E-4</v>
      </c>
      <c r="D149" s="421">
        <f t="shared" si="5"/>
        <v>8.4462181444800008E-4</v>
      </c>
      <c r="F149" s="336">
        <v>2027</v>
      </c>
      <c r="G149" s="426">
        <f>P16*(1+'Inputs-System'!$C$19)^('Non-Embedded Emissions'!$A149-2021)/1000</f>
        <v>1.2215389501466009E-2</v>
      </c>
      <c r="H149" s="426">
        <f>Q16*(1+'Inputs-System'!$C$19)^('Non-Embedded Emissions'!$A149-2021)/1000</f>
        <v>1.3595543862199026E-2</v>
      </c>
    </row>
    <row r="150" spans="1:19" x14ac:dyDescent="0.35">
      <c r="A150" s="277">
        <v>2028</v>
      </c>
      <c r="B150" s="420">
        <f>D106*(1+'Inputs-System'!$C$19)^('Non-Embedded Emissions'!$A150-2021)</f>
        <v>1.0338171008843519E-3</v>
      </c>
      <c r="C150" s="420">
        <f>E106*(1+'Inputs-System'!$C$19)^('Non-Embedded Emissions'!$A150-2021)</f>
        <v>8.0407996735449585E-4</v>
      </c>
      <c r="D150" s="421">
        <f t="shared" si="5"/>
        <v>9.1894853411942387E-4</v>
      </c>
      <c r="F150" s="337">
        <v>2028</v>
      </c>
      <c r="G150" s="426">
        <f>P17*(1+'Inputs-System'!$C$19)^('Non-Embedded Emissions'!$A150-2021)/1000</f>
        <v>1.2459697291495328E-2</v>
      </c>
      <c r="H150" s="426">
        <f>Q17*(1+'Inputs-System'!$C$19)^('Non-Embedded Emissions'!$A150-2021)/1000</f>
        <v>1.3867454739443003E-2</v>
      </c>
    </row>
    <row r="151" spans="1:19" x14ac:dyDescent="0.35">
      <c r="A151" s="280">
        <v>2029</v>
      </c>
      <c r="B151" s="420">
        <f>D107*(1+'Inputs-System'!$C$19)^('Non-Embedded Emissions'!$A151-2021)</f>
        <v>9.373275048018125E-4</v>
      </c>
      <c r="C151" s="420">
        <f>E107*(1+'Inputs-System'!$C$19)^('Non-Embedded Emissions'!$A151-2021)</f>
        <v>7.0299562860135921E-4</v>
      </c>
      <c r="D151" s="421">
        <f t="shared" si="5"/>
        <v>8.2016156670158586E-4</v>
      </c>
      <c r="F151" s="336">
        <v>2029</v>
      </c>
      <c r="G151" s="426">
        <f>P18*(1+'Inputs-System'!$C$19)^('Non-Embedded Emissions'!$A151-2021)/1000</f>
        <v>1.2708891237325236E-2</v>
      </c>
      <c r="H151" s="426">
        <f>Q18*(1+'Inputs-System'!$C$19)^('Non-Embedded Emissions'!$A151-2021)/1000</f>
        <v>1.4144803834231865E-2</v>
      </c>
    </row>
    <row r="152" spans="1:19" x14ac:dyDescent="0.35">
      <c r="A152" s="277">
        <v>2030</v>
      </c>
      <c r="B152" s="420">
        <f>D108*(1+'Inputs-System'!$C$19)^('Non-Embedded Emissions'!$A152-2021)</f>
        <v>7.1705554117338646E-4</v>
      </c>
      <c r="C152" s="420">
        <f>E108*(1+'Inputs-System'!$C$19)^('Non-Embedded Emissions'!$A152-2021)</f>
        <v>5.9754628431115547E-4</v>
      </c>
      <c r="D152" s="421">
        <f t="shared" si="5"/>
        <v>6.5730091274227096E-4</v>
      </c>
      <c r="F152" s="337">
        <v>2030</v>
      </c>
      <c r="G152" s="426">
        <f>P19*(1+'Inputs-System'!$C$19)^('Non-Embedded Emissions'!$A152-2021)/1000</f>
        <v>1.2963069062071741E-2</v>
      </c>
      <c r="H152" s="426">
        <f>Q19*(1+'Inputs-System'!$C$19)^('Non-Embedded Emissions'!$A152-2021)/1000</f>
        <v>1.4427699910916502E-2</v>
      </c>
    </row>
    <row r="153" spans="1:19" x14ac:dyDescent="0.35">
      <c r="A153" s="277">
        <v>2031</v>
      </c>
      <c r="B153" s="420">
        <f>D109*(1+'Inputs-System'!$C$19)^('Non-Embedded Emissions'!$A153-2021)</f>
        <v>7.3139665199685423E-4</v>
      </c>
      <c r="C153" s="420">
        <f>E109*(1+'Inputs-System'!$C$19)^('Non-Embedded Emissions'!$A153-2021)</f>
        <v>6.0949720999737861E-4</v>
      </c>
      <c r="D153" s="421">
        <f t="shared" si="5"/>
        <v>6.7044693099711642E-4</v>
      </c>
      <c r="F153" s="336">
        <v>2031</v>
      </c>
      <c r="G153" s="426">
        <f>P20*(1+'Inputs-System'!$C$19)^('Non-Embedded Emissions'!$A153-2021)/1000</f>
        <v>1.3222330443313175E-2</v>
      </c>
      <c r="H153" s="426">
        <f>Q20*(1+'Inputs-System'!$C$19)^('Non-Embedded Emissions'!$A153-2021)/1000</f>
        <v>1.4716253909134834E-2</v>
      </c>
    </row>
    <row r="154" spans="1:19" x14ac:dyDescent="0.35">
      <c r="A154" s="277">
        <v>2032</v>
      </c>
      <c r="B154" s="420">
        <f>D110*(1+'Inputs-System'!$C$19)^('Non-Embedded Emissions'!$A154-2021)</f>
        <v>7.4602458503679112E-4</v>
      </c>
      <c r="C154" s="420">
        <f>E110*(1+'Inputs-System'!$C$19)^('Non-Embedded Emissions'!$A154-2021)</f>
        <v>6.2168715419732602E-4</v>
      </c>
      <c r="D154" s="421">
        <f t="shared" si="5"/>
        <v>6.8385586961705862E-4</v>
      </c>
      <c r="F154" s="337">
        <v>2032</v>
      </c>
      <c r="G154" s="426">
        <f>P21*(1+'Inputs-System'!$C$19)^('Non-Embedded Emissions'!$A154-2021)/1000</f>
        <v>1.3486777052179438E-2</v>
      </c>
      <c r="H154" s="426">
        <f>Q21*(1+'Inputs-System'!$C$19)^('Non-Embedded Emissions'!$A154-2021)/1000</f>
        <v>1.5010578987317526E-2</v>
      </c>
    </row>
    <row r="155" spans="1:19" x14ac:dyDescent="0.35">
      <c r="A155" s="280">
        <v>2033</v>
      </c>
      <c r="B155" s="420">
        <f>D111*(1+'Inputs-System'!$C$19)^('Non-Embedded Emissions'!$A155-2021)</f>
        <v>7.609450767375271E-4</v>
      </c>
      <c r="C155" s="420">
        <f>E111*(1+'Inputs-System'!$C$19)^('Non-Embedded Emissions'!$A155-2021)</f>
        <v>6.3412089728127267E-4</v>
      </c>
      <c r="D155" s="421">
        <f t="shared" si="5"/>
        <v>6.9753298700939983E-4</v>
      </c>
      <c r="F155" s="336">
        <v>2033</v>
      </c>
      <c r="G155" s="426">
        <f>P22*(1+'Inputs-System'!$C$19)^('Non-Embedded Emissions'!$A155-2021)/1000</f>
        <v>1.3756512593223028E-2</v>
      </c>
      <c r="H155" s="426">
        <f>Q22*(1+'Inputs-System'!$C$19)^('Non-Embedded Emissions'!$A155-2021)/1000</f>
        <v>1.531079056706388E-2</v>
      </c>
    </row>
    <row r="156" spans="1:19" x14ac:dyDescent="0.35">
      <c r="A156" s="277">
        <v>2034</v>
      </c>
      <c r="B156" s="420">
        <f>D112*(1+'Inputs-System'!$C$19)^('Non-Embedded Emissions'!$A156-2021)</f>
        <v>7.761639782722776E-4</v>
      </c>
      <c r="C156" s="420">
        <f>E112*(1+'Inputs-System'!$C$19)^('Non-Embedded Emissions'!$A156-2021)</f>
        <v>6.4680331522689802E-4</v>
      </c>
      <c r="D156" s="421">
        <f t="shared" si="5"/>
        <v>7.1148364674958786E-4</v>
      </c>
      <c r="F156" s="337">
        <v>2034</v>
      </c>
      <c r="G156" s="426">
        <f>P23*(1+'Inputs-System'!$C$19)^('Non-Embedded Emissions'!$A156-2021)/1000</f>
        <v>1.4031642845087488E-2</v>
      </c>
      <c r="H156" s="426">
        <f>Q23*(1+'Inputs-System'!$C$19)^('Non-Embedded Emissions'!$A156-2021)/1000</f>
        <v>1.5617006378405155E-2</v>
      </c>
    </row>
    <row r="157" spans="1:19" x14ac:dyDescent="0.35">
      <c r="A157" s="277">
        <v>2035</v>
      </c>
      <c r="B157" s="420">
        <f>D113*(1+'Inputs-System'!$C$19)^('Non-Embedded Emissions'!$A157-2021)</f>
        <v>6.5973938153143612E-4</v>
      </c>
      <c r="C157" s="420">
        <f>E113*(1+'Inputs-System'!$C$19)^('Non-Embedded Emissions'!$A157-2021)</f>
        <v>6.5973938153143612E-4</v>
      </c>
      <c r="D157" s="421">
        <f t="shared" si="5"/>
        <v>6.5973938153143612E-4</v>
      </c>
      <c r="F157" s="336">
        <v>2035</v>
      </c>
      <c r="G157" s="426">
        <f>P24*(1+'Inputs-System'!$C$19)^('Non-Embedded Emissions'!$A157-2021)/1000</f>
        <v>1.431227570198924E-2</v>
      </c>
      <c r="H157" s="426">
        <f>Q24*(1+'Inputs-System'!$C$19)^('Non-Embedded Emissions'!$A157-2021)/1000</f>
        <v>1.5929346505973264E-2</v>
      </c>
    </row>
    <row r="158" spans="1:19" x14ac:dyDescent="0.35">
      <c r="A158" s="277">
        <v>2036</v>
      </c>
      <c r="B158" s="420">
        <f>D114*(1+'Inputs-System'!$C$19)^('Non-Embedded Emissions'!$A158-2021)</f>
        <v>6.729341691620646E-4</v>
      </c>
      <c r="C158" s="420">
        <f>E114*(1+'Inputs-System'!$C$19)^('Non-Embedded Emissions'!$A158-2021)</f>
        <v>6.729341691620646E-4</v>
      </c>
      <c r="D158" s="421">
        <f t="shared" si="5"/>
        <v>6.729341691620646E-4</v>
      </c>
      <c r="F158" s="337">
        <v>2036</v>
      </c>
      <c r="G158" s="426">
        <f>P25*(1+'Inputs-System'!$C$19)^('Non-Embedded Emissions'!$A158-2021)/1000</f>
        <v>1.4598521216029021E-2</v>
      </c>
      <c r="H158" s="426">
        <f>Q25*(1+'Inputs-System'!$C$19)^('Non-Embedded Emissions'!$A158-2021)/1000</f>
        <v>1.6247933436092724E-2</v>
      </c>
    </row>
    <row r="159" spans="1:19" x14ac:dyDescent="0.35">
      <c r="A159" s="280">
        <v>2037</v>
      </c>
      <c r="B159" s="420">
        <f>D115*(1+'Inputs-System'!$C$19)^('Non-Embedded Emissions'!$A159-2021)</f>
        <v>6.8639285254530602E-4</v>
      </c>
      <c r="C159" s="420">
        <f>E115*(1+'Inputs-System'!$C$19)^('Non-Embedded Emissions'!$A159-2021)</f>
        <v>6.8639285254530602E-4</v>
      </c>
      <c r="D159" s="421">
        <f t="shared" si="5"/>
        <v>6.8639285254530602E-4</v>
      </c>
      <c r="F159" s="336">
        <v>2037</v>
      </c>
      <c r="G159" s="426">
        <f>P26*(1+'Inputs-System'!$C$19)^('Non-Embedded Emissions'!$A159-2021)/1000</f>
        <v>1.4890491640349604E-2</v>
      </c>
      <c r="H159" s="426">
        <f>Q26*(1+'Inputs-System'!$C$19)^('Non-Embedded Emissions'!$A159-2021)/1000</f>
        <v>1.6572892104814579E-2</v>
      </c>
    </row>
    <row r="160" spans="1:19" x14ac:dyDescent="0.35">
      <c r="A160" s="277">
        <v>2038</v>
      </c>
      <c r="B160" s="420">
        <f>D116*(1+'Inputs-System'!$C$19)^('Non-Embedded Emissions'!$A160-2021)</f>
        <v>7.0012070959621223E-4</v>
      </c>
      <c r="C160" s="420">
        <f>E116*(1+'Inputs-System'!$C$19)^('Non-Embedded Emissions'!$A160-2021)</f>
        <v>5.6009656767696983E-4</v>
      </c>
      <c r="D160" s="421">
        <f t="shared" si="5"/>
        <v>6.3010863863659098E-4</v>
      </c>
      <c r="F160" s="337">
        <v>2038</v>
      </c>
      <c r="G160" s="426">
        <f>P27*(1+'Inputs-System'!$C$19)^('Non-Embedded Emissions'!$A160-2021)/1000</f>
        <v>1.5188301473156595E-2</v>
      </c>
      <c r="H160" s="426">
        <f>Q27*(1+'Inputs-System'!$C$19)^('Non-Embedded Emissions'!$A160-2021)/1000</f>
        <v>1.6904349946910872E-2</v>
      </c>
    </row>
    <row r="161" spans="1:17" x14ac:dyDescent="0.35">
      <c r="A161" s="277">
        <v>2039</v>
      </c>
      <c r="B161" s="420">
        <f>D117*(1+'Inputs-System'!$C$19)^('Non-Embedded Emissions'!$A161-2021)</f>
        <v>7.1412312378813642E-4</v>
      </c>
      <c r="C161" s="420">
        <f>E117*(1+'Inputs-System'!$C$19)^('Non-Embedded Emissions'!$A161-2021)</f>
        <v>5.7129849903050911E-4</v>
      </c>
      <c r="D161" s="421">
        <f t="shared" si="5"/>
        <v>6.4271081140932277E-4</v>
      </c>
      <c r="F161" s="336">
        <v>2039</v>
      </c>
      <c r="G161" s="426">
        <f>P28*(1+'Inputs-System'!$C$19)^('Non-Embedded Emissions'!$A161-2021)/1000</f>
        <v>1.5492067502619725E-2</v>
      </c>
      <c r="H161" s="426">
        <f>Q28*(1+'Inputs-System'!$C$19)^('Non-Embedded Emissions'!$A161-2021)/1000</f>
        <v>1.724243694584909E-2</v>
      </c>
    </row>
    <row r="162" spans="1:17" x14ac:dyDescent="0.35">
      <c r="A162" s="277">
        <v>2040</v>
      </c>
      <c r="B162" s="420">
        <f>D118*(1+'Inputs-System'!$C$19)^('Non-Embedded Emissions'!$A162-2021)</f>
        <v>7.2840558626389908E-4</v>
      </c>
      <c r="C162" s="420">
        <f>E118*(1+'Inputs-System'!$C$19)^('Non-Embedded Emissions'!$A162-2021)</f>
        <v>5.8272446901111929E-4</v>
      </c>
      <c r="D162" s="421">
        <f t="shared" si="5"/>
        <v>6.5556502763750913E-4</v>
      </c>
      <c r="F162" s="337">
        <v>2040</v>
      </c>
      <c r="G162" s="426">
        <f>P29*(1+'Inputs-System'!$C$19)^('Non-Embedded Emissions'!$A162-2021)/1000</f>
        <v>1.580190885267212E-2</v>
      </c>
      <c r="H162" s="426">
        <f>Q29*(1+'Inputs-System'!$C$19)^('Non-Embedded Emissions'!$A162-2021)/1000</f>
        <v>1.7587285684766068E-2</v>
      </c>
    </row>
    <row r="163" spans="1:17" x14ac:dyDescent="0.35">
      <c r="A163" s="280">
        <v>2041</v>
      </c>
      <c r="B163" s="420">
        <f>D119*(1+'Inputs-System'!$C$19)^('Non-Embedded Emissions'!$A163-2021)</f>
        <v>7.4297369798917716E-4</v>
      </c>
      <c r="C163" s="420">
        <f>E119*(1+'Inputs-System'!$C$19)^('Non-Embedded Emissions'!$A163-2021)</f>
        <v>5.9437895839134177E-4</v>
      </c>
      <c r="D163" s="421">
        <f t="shared" si="5"/>
        <v>6.6867632819025947E-4</v>
      </c>
      <c r="F163" s="336">
        <v>2041</v>
      </c>
      <c r="G163" s="426">
        <f>P30*(1+'Inputs-System'!$C$19)^('Non-Embedded Emissions'!$A163-2021)/1000</f>
        <v>1.6117947029725563E-2</v>
      </c>
      <c r="H163" s="426">
        <f>Q30*(1+'Inputs-System'!$C$19)^('Non-Embedded Emissions'!$A163-2021)/1000</f>
        <v>1.7939031398461393E-2</v>
      </c>
    </row>
    <row r="164" spans="1:17" x14ac:dyDescent="0.35">
      <c r="A164" s="277">
        <v>2042</v>
      </c>
      <c r="B164" s="420">
        <f>D120*(1+'Inputs-System'!$C$19)^('Non-Embedded Emissions'!$A164-2021)</f>
        <v>7.5783317194896057E-4</v>
      </c>
      <c r="C164" s="420">
        <f>E120*(1+'Inputs-System'!$C$19)^('Non-Embedded Emissions'!$A164-2021)</f>
        <v>6.0626653755916856E-4</v>
      </c>
      <c r="D164" s="421">
        <f t="shared" si="5"/>
        <v>6.8204985475406451E-4</v>
      </c>
      <c r="F164" s="337">
        <v>2042</v>
      </c>
      <c r="G164" s="426">
        <f>P31*(1+'Inputs-System'!$C$19)^('Non-Embedded Emissions'!$A164-2021)/1000</f>
        <v>1.6440305970320077E-2</v>
      </c>
      <c r="H164" s="426">
        <f>Q31*(1+'Inputs-System'!$C$19)^('Non-Embedded Emissions'!$A164-2021)/1000</f>
        <v>1.8297812026430618E-2</v>
      </c>
    </row>
    <row r="165" spans="1:17" x14ac:dyDescent="0.35">
      <c r="A165" s="277">
        <v>2043</v>
      </c>
      <c r="B165" s="420">
        <f>D121*(1+'Inputs-System'!$C$19)^('Non-Embedded Emissions'!$A165-2021)</f>
        <v>6.1839186831035193E-4</v>
      </c>
      <c r="C165" s="420">
        <f>E121*(1+'Inputs-System'!$C$19)^('Non-Embedded Emissions'!$A165-2021)</f>
        <v>6.1839186831035193E-4</v>
      </c>
      <c r="D165" s="421">
        <f t="shared" si="5"/>
        <v>6.1839186831035193E-4</v>
      </c>
      <c r="F165" s="336">
        <v>2043</v>
      </c>
      <c r="G165" s="426">
        <f>P32*(1+'Inputs-System'!$C$19)^('Non-Embedded Emissions'!$A165-2021)/1000</f>
        <v>1.6769112089726475E-2</v>
      </c>
      <c r="H165" s="426">
        <f>Q32*(1+'Inputs-System'!$C$19)^('Non-Embedded Emissions'!$A165-2021)/1000</f>
        <v>1.866376826695923E-2</v>
      </c>
    </row>
    <row r="166" spans="1:17" x14ac:dyDescent="0.35">
      <c r="A166" s="277">
        <v>2044</v>
      </c>
      <c r="B166" s="420">
        <f>D122*(1+'Inputs-System'!$C$19)^('Non-Embedded Emissions'!$A166-2021)</f>
        <v>6.307597056765588E-4</v>
      </c>
      <c r="C166" s="420">
        <f>E122*(1+'Inputs-System'!$C$19)^('Non-Embedded Emissions'!$A166-2021)</f>
        <v>6.307597056765588E-4</v>
      </c>
      <c r="D166" s="421">
        <f t="shared" si="5"/>
        <v>6.307597056765588E-4</v>
      </c>
      <c r="F166" s="337">
        <v>2044</v>
      </c>
      <c r="G166" s="426">
        <f>P33*(1+'Inputs-System'!$C$19)^('Non-Embedded Emissions'!$A166-2021)/1000</f>
        <v>1.7104494331521003E-2</v>
      </c>
      <c r="H166" s="426">
        <f>Q33*(1+'Inputs-System'!$C$19)^('Non-Embedded Emissions'!$A166-2021)/1000</f>
        <v>1.9037043632298415E-2</v>
      </c>
    </row>
    <row r="167" spans="1:17" x14ac:dyDescent="0.35">
      <c r="A167" s="280">
        <v>2045</v>
      </c>
      <c r="B167" s="420">
        <f>D123*(1+'Inputs-System'!$C$19)^('Non-Embedded Emissions'!$A167-2021)</f>
        <v>6.4337489979009004E-4</v>
      </c>
      <c r="C167" s="420">
        <f>E123*(1+'Inputs-System'!$C$19)^('Non-Embedded Emissions'!$A167-2021)</f>
        <v>6.4337489979009004E-4</v>
      </c>
      <c r="D167" s="421">
        <f t="shared" si="5"/>
        <v>6.4337489979009004E-4</v>
      </c>
      <c r="F167" s="336">
        <v>2045</v>
      </c>
      <c r="G167" s="426">
        <f>P34*(1+'Inputs-System'!$C$19)^('Non-Embedded Emissions'!$A167-2021)/1000</f>
        <v>1.7446584218151425E-2</v>
      </c>
      <c r="H167" s="426">
        <f>Q34*(1+'Inputs-System'!$C$19)^('Non-Embedded Emissions'!$A167-2021)/1000</f>
        <v>1.9417784504944382E-2</v>
      </c>
    </row>
    <row r="168" spans="1:17" x14ac:dyDescent="0.35">
      <c r="A168" s="277">
        <v>2046</v>
      </c>
      <c r="B168" s="420">
        <f>D124*(1+'Inputs-System'!$C$19)^('Non-Embedded Emissions'!$A168-2021)</f>
        <v>6.5624239778589181E-4</v>
      </c>
      <c r="C168" s="420">
        <f>E124*(1+'Inputs-System'!$C$19)^('Non-Embedded Emissions'!$A168-2021)</f>
        <v>6.5624239778589181E-4</v>
      </c>
      <c r="D168" s="421">
        <f t="shared" si="5"/>
        <v>6.5624239778589181E-4</v>
      </c>
      <c r="F168" s="337">
        <v>2046</v>
      </c>
      <c r="G168" s="426">
        <f>P35*(1+'Inputs-System'!$C$19)^('Non-Embedded Emissions'!$A168-2021)/1000</f>
        <v>1.7795515902514453E-2</v>
      </c>
      <c r="H168" s="426">
        <f>Q35*(1+'Inputs-System'!$C$19)^('Non-Embedded Emissions'!$A168-2021)/1000</f>
        <v>1.980614019504327E-2</v>
      </c>
    </row>
    <row r="169" spans="1:17" x14ac:dyDescent="0.35">
      <c r="A169" s="277">
        <v>2047</v>
      </c>
      <c r="B169" s="420">
        <f>D125*(1+'Inputs-System'!$C$19)^('Non-Embedded Emissions'!$A169-2021)</f>
        <v>6.6936724574160971E-4</v>
      </c>
      <c r="C169" s="420">
        <f>E125*(1+'Inputs-System'!$C$19)^('Non-Embedded Emissions'!$A169-2021)</f>
        <v>6.6936724574160971E-4</v>
      </c>
      <c r="D169" s="421">
        <f t="shared" si="5"/>
        <v>6.6936724574160971E-4</v>
      </c>
      <c r="F169" s="336">
        <v>2047</v>
      </c>
      <c r="G169" s="426">
        <f>P36*(1+'Inputs-System'!$C$19)^('Non-Embedded Emissions'!$A169-2021)/1000</f>
        <v>1.8151426220564745E-2</v>
      </c>
      <c r="H169" s="426">
        <f>Q36*(1+'Inputs-System'!$C$19)^('Non-Embedded Emissions'!$A169-2021)/1000</f>
        <v>2.0202262998944138E-2</v>
      </c>
    </row>
    <row r="170" spans="1:17" x14ac:dyDescent="0.35">
      <c r="A170" s="277">
        <v>2048</v>
      </c>
      <c r="B170" s="420">
        <f>D126*(1+'Inputs-System'!$C$19)^('Non-Embedded Emissions'!$A170-2021)</f>
        <v>6.8275459065644188E-4</v>
      </c>
      <c r="C170" s="420">
        <f>E126*(1+'Inputs-System'!$C$19)^('Non-Embedded Emissions'!$A170-2021)</f>
        <v>6.8275459065644188E-4</v>
      </c>
      <c r="D170" s="421">
        <f t="shared" si="5"/>
        <v>6.8275459065644188E-4</v>
      </c>
      <c r="F170" s="337">
        <v>2048</v>
      </c>
      <c r="G170" s="426">
        <f>P37*(1+'Inputs-System'!$C$19)^('Non-Embedded Emissions'!$A170-2021)/1000</f>
        <v>1.8514454744976035E-2</v>
      </c>
      <c r="H170" s="426">
        <f>Q37*(1+'Inputs-System'!$C$19)^('Non-Embedded Emissions'!$A170-2021)/1000</f>
        <v>2.0606308258923019E-2</v>
      </c>
    </row>
    <row r="171" spans="1:17" x14ac:dyDescent="0.35">
      <c r="A171" s="280">
        <v>2049</v>
      </c>
      <c r="B171" s="420">
        <f>D127*(1+'Inputs-System'!$C$19)^('Non-Embedded Emissions'!$A171-2021)</f>
        <v>6.9640968246957081E-4</v>
      </c>
      <c r="C171" s="420">
        <f>E127*(1+'Inputs-System'!$C$19)^('Non-Embedded Emissions'!$A171-2021)</f>
        <v>5.2230726185217803E-4</v>
      </c>
      <c r="D171" s="421">
        <f t="shared" si="5"/>
        <v>6.0935847216087437E-4</v>
      </c>
      <c r="F171" s="336">
        <v>2049</v>
      </c>
      <c r="G171" s="426">
        <f>P38*(1+'Inputs-System'!$C$19)^('Non-Embedded Emissions'!$A171-2021)/1000</f>
        <v>1.888474383987556E-2</v>
      </c>
      <c r="H171" s="426">
        <f>Q38*(1+'Inputs-System'!$C$19)^('Non-Embedded Emissions'!$A171-2021)/1000</f>
        <v>2.1018434424101482E-2</v>
      </c>
    </row>
    <row r="172" spans="1:17" x14ac:dyDescent="0.35">
      <c r="A172" s="277">
        <v>2050</v>
      </c>
      <c r="B172" s="420">
        <f>D128*(1+'Inputs-System'!$C$19)^('Non-Embedded Emissions'!$A172-2021)</f>
        <v>7.1033787611896211E-4</v>
      </c>
      <c r="C172" s="420">
        <f>E128*(1+'Inputs-System'!$C$19)^('Non-Embedded Emissions'!$A172-2021)</f>
        <v>5.3275340708922156E-4</v>
      </c>
      <c r="D172" s="421">
        <f t="shared" si="5"/>
        <v>6.2154564160409184E-4</v>
      </c>
      <c r="F172" s="337">
        <v>2050</v>
      </c>
      <c r="G172" s="426">
        <f>P39*(1+'Inputs-System'!$C$19)^('Non-Embedded Emissions'!$A172-2021)/1000</f>
        <v>1.9262438716673068E-2</v>
      </c>
      <c r="H172" s="426">
        <f>Q39*(1+'Inputs-System'!$C$19)^('Non-Embedded Emissions'!$A172-2021)/1000</f>
        <v>2.1438803112583508E-2</v>
      </c>
    </row>
    <row r="173" spans="1:17" x14ac:dyDescent="0.35">
      <c r="A173" s="277">
        <v>2051</v>
      </c>
      <c r="B173" s="420">
        <f>D129*(1+'Inputs-System'!$C$19)^('Non-Embedded Emissions'!$A173-2021)</f>
        <v>7.2454463364134147E-4</v>
      </c>
      <c r="C173" s="420">
        <f>E129*(1+'Inputs-System'!$C$19)^('Non-Embedded Emissions'!$A173-2021)</f>
        <v>5.4340847523100602E-4</v>
      </c>
      <c r="D173" s="421">
        <f t="shared" si="5"/>
        <v>6.3397655443617369E-4</v>
      </c>
      <c r="F173" s="336">
        <v>2051</v>
      </c>
      <c r="G173" s="426">
        <f>P40*(1+'Inputs-System'!$C$19)^('Non-Embedded Emissions'!$A173-2021)/1000</f>
        <v>1.9647687491006531E-2</v>
      </c>
      <c r="H173" s="426">
        <f>Q40*(1+'Inputs-System'!$C$19)^('Non-Embedded Emissions'!$A173-2021)/1000</f>
        <v>2.1867579174835179E-2</v>
      </c>
    </row>
    <row r="174" spans="1:17" x14ac:dyDescent="0.35">
      <c r="A174" s="277">
        <v>2052</v>
      </c>
      <c r="B174" s="420">
        <f>D130*(1+'Inputs-System'!$C$19)^('Non-Embedded Emissions'!$A174-2021)</f>
        <v>7.3903552631416811E-4</v>
      </c>
      <c r="C174" s="420">
        <f>E130*(1+'Inputs-System'!$C$19)^('Non-Embedded Emissions'!$A174-2021)</f>
        <v>5.5427664473562603E-4</v>
      </c>
      <c r="D174" s="421">
        <f t="shared" si="5"/>
        <v>6.4665608552489707E-4</v>
      </c>
      <c r="F174" s="337">
        <v>2052</v>
      </c>
      <c r="G174" s="426">
        <f>P41*(1+'Inputs-System'!$C$19)^('Non-Embedded Emissions'!$A174-2021)/1000</f>
        <v>2.0040641240826655E-2</v>
      </c>
      <c r="H174" s="426">
        <f>Q41*(1+'Inputs-System'!$C$19)^('Non-Embedded Emissions'!$A174-2021)/1000</f>
        <v>2.2304930758331877E-2</v>
      </c>
    </row>
    <row r="175" spans="1:17" ht="14.5" customHeight="1" x14ac:dyDescent="0.35">
      <c r="A175" s="277">
        <v>2053</v>
      </c>
      <c r="B175" s="420">
        <f>D131*(1+'Inputs-System'!$C$19)^('Non-Embedded Emissions'!$A175-2021)</f>
        <v>5.6536217763033863E-4</v>
      </c>
      <c r="C175" s="420">
        <f>E131*(1+'Inputs-System'!$C$19)^('Non-Embedded Emissions'!$A175-2021)</f>
        <v>5.6536217763033863E-4</v>
      </c>
      <c r="D175" s="421">
        <f t="shared" ref="D175" si="6">(B175+C175)/2</f>
        <v>5.6536217763033863E-4</v>
      </c>
      <c r="F175" s="337">
        <v>2053</v>
      </c>
      <c r="G175" s="426">
        <f>P42*(1+'Inputs-System'!$C$19)^('Non-Embedded Emissions'!$A175-2021)/1000</f>
        <v>2.0441454065643197E-2</v>
      </c>
      <c r="H175" s="426">
        <f>Q42*(1+'Inputs-System'!$C$19)^('Non-Embedded Emissions'!$A175-2021)/1000</f>
        <v>2.2751029373498523E-2</v>
      </c>
      <c r="K175" s="264"/>
      <c r="L175" s="264"/>
      <c r="M175" s="264"/>
      <c r="O175" s="264"/>
      <c r="P175" s="264"/>
      <c r="Q175" s="264"/>
    </row>
    <row r="176" spans="1:17" x14ac:dyDescent="0.35">
      <c r="A176" s="103"/>
      <c r="B176" s="44"/>
      <c r="C176" s="44"/>
      <c r="D176" s="44"/>
    </row>
    <row r="177" spans="1:19" x14ac:dyDescent="0.35">
      <c r="A177" s="103"/>
      <c r="B177" s="44"/>
      <c r="C177" s="44"/>
      <c r="D177" s="44"/>
    </row>
    <row r="178" spans="1:19" ht="21" x14ac:dyDescent="0.35">
      <c r="A178" s="712" t="s">
        <v>248</v>
      </c>
      <c r="B178" s="712"/>
      <c r="C178" s="712"/>
      <c r="D178" s="712"/>
      <c r="E178" s="712"/>
      <c r="F178" s="712"/>
      <c r="G178" s="712"/>
      <c r="H178" s="712"/>
      <c r="I178" s="712"/>
    </row>
    <row r="179" spans="1:19" ht="21" customHeight="1" x14ac:dyDescent="0.35">
      <c r="A179" s="103"/>
      <c r="B179" s="44"/>
      <c r="C179" s="44"/>
      <c r="D179" s="44"/>
      <c r="J179" s="264"/>
      <c r="N179" s="264"/>
      <c r="R179" s="264"/>
      <c r="S179" s="264"/>
    </row>
    <row r="180" spans="1:19" x14ac:dyDescent="0.35">
      <c r="A180" s="103" t="s">
        <v>249</v>
      </c>
      <c r="B180" s="44" t="s">
        <v>250</v>
      </c>
      <c r="C180" s="44"/>
      <c r="D180" s="44"/>
      <c r="F180" s="3" t="s">
        <v>251</v>
      </c>
    </row>
    <row r="181" spans="1:19" ht="15" thickBot="1" x14ac:dyDescent="0.4">
      <c r="A181" s="103"/>
      <c r="B181" s="44"/>
      <c r="C181" s="44"/>
      <c r="D181" s="44"/>
    </row>
    <row r="182" spans="1:19" x14ac:dyDescent="0.35">
      <c r="A182" s="103" t="s">
        <v>252</v>
      </c>
      <c r="B182" s="44"/>
      <c r="C182" s="44"/>
      <c r="D182" s="44"/>
      <c r="F182" s="107"/>
      <c r="G182" s="636" t="s">
        <v>196</v>
      </c>
      <c r="H182" s="636" t="s">
        <v>197</v>
      </c>
      <c r="I182" s="637" t="s">
        <v>198</v>
      </c>
    </row>
    <row r="183" spans="1:19" ht="44" thickBot="1" x14ac:dyDescent="0.4">
      <c r="A183" s="103" t="s">
        <v>253</v>
      </c>
      <c r="B183" s="44" t="s">
        <v>254</v>
      </c>
      <c r="C183" s="44" t="s">
        <v>255</v>
      </c>
      <c r="D183" s="44" t="s">
        <v>256</v>
      </c>
      <c r="F183" s="143" t="s">
        <v>257</v>
      </c>
      <c r="G183" s="272">
        <v>0.03</v>
      </c>
      <c r="H183" s="272">
        <v>0.02</v>
      </c>
      <c r="I183" s="273">
        <v>0.02</v>
      </c>
    </row>
    <row r="184" spans="1:19" x14ac:dyDescent="0.35">
      <c r="A184" s="103"/>
      <c r="B184" s="44"/>
      <c r="C184" s="44"/>
      <c r="D184" s="44"/>
    </row>
    <row r="185" spans="1:19" x14ac:dyDescent="0.35">
      <c r="A185" s="739" t="s">
        <v>258</v>
      </c>
      <c r="B185" s="740"/>
      <c r="C185" s="740"/>
      <c r="D185" s="741"/>
      <c r="F185" s="742" t="s">
        <v>259</v>
      </c>
      <c r="G185" s="743"/>
      <c r="H185" s="743"/>
      <c r="I185" s="744"/>
    </row>
    <row r="186" spans="1:19" x14ac:dyDescent="0.35">
      <c r="A186" s="288"/>
      <c r="B186" s="283" t="s">
        <v>260</v>
      </c>
      <c r="C186" s="283" t="s">
        <v>261</v>
      </c>
      <c r="D186" s="284" t="s">
        <v>262</v>
      </c>
      <c r="F186" s="523" t="s">
        <v>263</v>
      </c>
      <c r="G186" s="328" t="s">
        <v>196</v>
      </c>
      <c r="H186" s="328" t="s">
        <v>264</v>
      </c>
      <c r="I186" s="524" t="s">
        <v>198</v>
      </c>
    </row>
    <row r="187" spans="1:19" x14ac:dyDescent="0.35">
      <c r="A187" s="280">
        <v>2016</v>
      </c>
      <c r="B187" s="281">
        <v>40000</v>
      </c>
      <c r="C187" s="281">
        <v>66000</v>
      </c>
      <c r="D187" s="282">
        <v>92000</v>
      </c>
      <c r="F187" s="525">
        <v>2016</v>
      </c>
      <c r="G187" s="32">
        <f>$C187*(G$183/2000)</f>
        <v>0.98999999999999988</v>
      </c>
      <c r="H187" s="32">
        <f t="shared" ref="H187:I187" si="7">$C187*(H$183/2000)</f>
        <v>0.66</v>
      </c>
      <c r="I187" s="526">
        <f t="shared" si="7"/>
        <v>0.66</v>
      </c>
    </row>
    <row r="188" spans="1:19" hidden="1" x14ac:dyDescent="0.35">
      <c r="A188" s="277">
        <v>2017</v>
      </c>
      <c r="B188" s="276">
        <v>40500</v>
      </c>
      <c r="C188" s="276">
        <v>66750</v>
      </c>
      <c r="D188" s="274">
        <v>93000</v>
      </c>
      <c r="F188" s="525">
        <v>2017</v>
      </c>
      <c r="G188" s="32">
        <f t="shared" ref="G188:I221" si="8">$C188*(G$183/2000)</f>
        <v>1.00125</v>
      </c>
      <c r="H188" s="32">
        <f t="shared" si="8"/>
        <v>0.66750000000000009</v>
      </c>
      <c r="I188" s="526">
        <f t="shared" si="8"/>
        <v>0.66750000000000009</v>
      </c>
    </row>
    <row r="189" spans="1:19" hidden="1" x14ac:dyDescent="0.35">
      <c r="A189" s="277">
        <v>2018</v>
      </c>
      <c r="B189" s="276">
        <v>41000</v>
      </c>
      <c r="C189" s="276">
        <v>67500</v>
      </c>
      <c r="D189" s="274">
        <v>94000</v>
      </c>
      <c r="F189" s="525">
        <v>2018</v>
      </c>
      <c r="G189" s="32">
        <f t="shared" si="8"/>
        <v>1.0125</v>
      </c>
      <c r="H189" s="32">
        <f t="shared" si="8"/>
        <v>0.67500000000000004</v>
      </c>
      <c r="I189" s="526">
        <f t="shared" si="8"/>
        <v>0.67500000000000004</v>
      </c>
    </row>
    <row r="190" spans="1:19" hidden="1" x14ac:dyDescent="0.35">
      <c r="A190" s="277">
        <v>2019</v>
      </c>
      <c r="B190" s="276">
        <v>41500</v>
      </c>
      <c r="C190" s="276">
        <v>68250</v>
      </c>
      <c r="D190" s="274">
        <v>95000</v>
      </c>
      <c r="F190" s="525">
        <v>2019</v>
      </c>
      <c r="G190" s="32">
        <f t="shared" si="8"/>
        <v>1.0237499999999999</v>
      </c>
      <c r="H190" s="32">
        <f t="shared" si="8"/>
        <v>0.68250000000000011</v>
      </c>
      <c r="I190" s="526">
        <f t="shared" si="8"/>
        <v>0.68250000000000011</v>
      </c>
    </row>
    <row r="191" spans="1:19" hidden="1" x14ac:dyDescent="0.35">
      <c r="A191" s="277">
        <v>2020</v>
      </c>
      <c r="B191" s="276">
        <v>42000</v>
      </c>
      <c r="C191" s="276">
        <v>69000</v>
      </c>
      <c r="D191" s="274">
        <v>96000</v>
      </c>
      <c r="F191" s="525">
        <v>2020</v>
      </c>
      <c r="G191" s="32">
        <f t="shared" si="8"/>
        <v>1.0349999999999999</v>
      </c>
      <c r="H191" s="32">
        <f t="shared" si="8"/>
        <v>0.69000000000000006</v>
      </c>
      <c r="I191" s="526">
        <f t="shared" si="8"/>
        <v>0.69000000000000006</v>
      </c>
    </row>
    <row r="192" spans="1:19" hidden="1" x14ac:dyDescent="0.35">
      <c r="A192" s="277">
        <v>2021</v>
      </c>
      <c r="B192" s="276">
        <v>42800</v>
      </c>
      <c r="C192" s="276">
        <v>69800</v>
      </c>
      <c r="D192" s="274">
        <v>96800</v>
      </c>
      <c r="F192" s="525">
        <v>2021</v>
      </c>
      <c r="G192" s="32">
        <f t="shared" si="8"/>
        <v>1.0469999999999999</v>
      </c>
      <c r="H192" s="32">
        <f t="shared" si="8"/>
        <v>0.69800000000000006</v>
      </c>
      <c r="I192" s="526">
        <f t="shared" si="8"/>
        <v>0.69800000000000006</v>
      </c>
    </row>
    <row r="193" spans="1:9" x14ac:dyDescent="0.35">
      <c r="A193" s="277">
        <v>2022</v>
      </c>
      <c r="B193" s="276">
        <v>43600</v>
      </c>
      <c r="C193" s="276">
        <v>70600</v>
      </c>
      <c r="D193" s="274">
        <v>97600</v>
      </c>
      <c r="F193" s="525">
        <v>2022</v>
      </c>
      <c r="G193" s="32">
        <f t="shared" si="8"/>
        <v>1.0589999999999999</v>
      </c>
      <c r="H193" s="32">
        <f t="shared" si="8"/>
        <v>0.70600000000000007</v>
      </c>
      <c r="I193" s="526">
        <f t="shared" si="8"/>
        <v>0.70600000000000007</v>
      </c>
    </row>
    <row r="194" spans="1:9" x14ac:dyDescent="0.35">
      <c r="A194" s="277">
        <v>2023</v>
      </c>
      <c r="B194" s="276">
        <v>44400</v>
      </c>
      <c r="C194" s="276">
        <v>71400</v>
      </c>
      <c r="D194" s="274">
        <v>98400</v>
      </c>
      <c r="F194" s="525">
        <v>2023</v>
      </c>
      <c r="G194" s="32">
        <f t="shared" si="8"/>
        <v>1.071</v>
      </c>
      <c r="H194" s="32">
        <f t="shared" si="8"/>
        <v>0.71400000000000008</v>
      </c>
      <c r="I194" s="526">
        <f t="shared" si="8"/>
        <v>0.71400000000000008</v>
      </c>
    </row>
    <row r="195" spans="1:9" x14ac:dyDescent="0.35">
      <c r="A195" s="277">
        <v>2024</v>
      </c>
      <c r="B195" s="276">
        <v>45200</v>
      </c>
      <c r="C195" s="276">
        <v>72200</v>
      </c>
      <c r="D195" s="274">
        <v>99200</v>
      </c>
      <c r="F195" s="525">
        <v>2024</v>
      </c>
      <c r="G195" s="32">
        <f t="shared" si="8"/>
        <v>1.083</v>
      </c>
      <c r="H195" s="32">
        <f t="shared" si="8"/>
        <v>0.72200000000000009</v>
      </c>
      <c r="I195" s="526">
        <f t="shared" si="8"/>
        <v>0.72200000000000009</v>
      </c>
    </row>
    <row r="196" spans="1:9" x14ac:dyDescent="0.35">
      <c r="A196" s="277">
        <v>2025</v>
      </c>
      <c r="B196" s="276">
        <v>46000</v>
      </c>
      <c r="C196" s="276">
        <v>73000</v>
      </c>
      <c r="D196" s="274">
        <v>100000</v>
      </c>
      <c r="F196" s="525">
        <v>2025</v>
      </c>
      <c r="G196" s="32">
        <f t="shared" si="8"/>
        <v>1.095</v>
      </c>
      <c r="H196" s="32">
        <f t="shared" si="8"/>
        <v>0.73000000000000009</v>
      </c>
      <c r="I196" s="526">
        <f t="shared" si="8"/>
        <v>0.73000000000000009</v>
      </c>
    </row>
    <row r="197" spans="1:9" x14ac:dyDescent="0.35">
      <c r="A197" s="277">
        <v>2026</v>
      </c>
      <c r="B197" s="276">
        <v>46600</v>
      </c>
      <c r="C197" s="276">
        <v>74300</v>
      </c>
      <c r="D197" s="274">
        <v>102000</v>
      </c>
      <c r="F197" s="525">
        <v>2026</v>
      </c>
      <c r="G197" s="32">
        <f t="shared" si="8"/>
        <v>1.1144999999999998</v>
      </c>
      <c r="H197" s="32">
        <f t="shared" si="8"/>
        <v>0.7430000000000001</v>
      </c>
      <c r="I197" s="526">
        <f t="shared" si="8"/>
        <v>0.7430000000000001</v>
      </c>
    </row>
    <row r="198" spans="1:9" x14ac:dyDescent="0.35">
      <c r="A198" s="277">
        <v>2027</v>
      </c>
      <c r="B198" s="276">
        <v>47200</v>
      </c>
      <c r="C198" s="276">
        <v>75600</v>
      </c>
      <c r="D198" s="274">
        <v>104000</v>
      </c>
      <c r="F198" s="525">
        <v>2027</v>
      </c>
      <c r="G198" s="32">
        <f t="shared" si="8"/>
        <v>1.1339999999999999</v>
      </c>
      <c r="H198" s="32">
        <f t="shared" si="8"/>
        <v>0.75600000000000012</v>
      </c>
      <c r="I198" s="526">
        <f t="shared" si="8"/>
        <v>0.75600000000000012</v>
      </c>
    </row>
    <row r="199" spans="1:9" x14ac:dyDescent="0.35">
      <c r="A199" s="277">
        <v>2028</v>
      </c>
      <c r="B199" s="276">
        <v>47800</v>
      </c>
      <c r="C199" s="276">
        <v>76900</v>
      </c>
      <c r="D199" s="274">
        <v>106000</v>
      </c>
      <c r="F199" s="525">
        <v>2028</v>
      </c>
      <c r="G199" s="32">
        <f t="shared" si="8"/>
        <v>1.1535</v>
      </c>
      <c r="H199" s="32">
        <f t="shared" si="8"/>
        <v>0.76900000000000002</v>
      </c>
      <c r="I199" s="526">
        <f t="shared" si="8"/>
        <v>0.76900000000000002</v>
      </c>
    </row>
    <row r="200" spans="1:9" x14ac:dyDescent="0.35">
      <c r="A200" s="277">
        <v>2029</v>
      </c>
      <c r="B200" s="276">
        <v>48400</v>
      </c>
      <c r="C200" s="276">
        <v>78200</v>
      </c>
      <c r="D200" s="274">
        <v>108000</v>
      </c>
      <c r="F200" s="525">
        <v>2029</v>
      </c>
      <c r="G200" s="32">
        <f t="shared" si="8"/>
        <v>1.1729999999999998</v>
      </c>
      <c r="H200" s="32">
        <f t="shared" si="8"/>
        <v>0.78200000000000003</v>
      </c>
      <c r="I200" s="526">
        <f t="shared" si="8"/>
        <v>0.78200000000000003</v>
      </c>
    </row>
    <row r="201" spans="1:9" x14ac:dyDescent="0.35">
      <c r="A201" s="277">
        <v>2030</v>
      </c>
      <c r="B201" s="276">
        <v>49000</v>
      </c>
      <c r="C201" s="276">
        <v>79500</v>
      </c>
      <c r="D201" s="274">
        <v>110000</v>
      </c>
      <c r="F201" s="525">
        <v>2030</v>
      </c>
      <c r="G201" s="32">
        <f t="shared" si="8"/>
        <v>1.1924999999999999</v>
      </c>
      <c r="H201" s="32">
        <f t="shared" si="8"/>
        <v>0.79500000000000004</v>
      </c>
      <c r="I201" s="526">
        <f t="shared" si="8"/>
        <v>0.79500000000000004</v>
      </c>
    </row>
    <row r="202" spans="1:9" x14ac:dyDescent="0.35">
      <c r="A202" s="277">
        <v>2031</v>
      </c>
      <c r="B202" s="276">
        <v>49000</v>
      </c>
      <c r="C202" s="276">
        <v>79500</v>
      </c>
      <c r="D202" s="274">
        <v>110000</v>
      </c>
      <c r="F202" s="525">
        <v>2031</v>
      </c>
      <c r="G202" s="32">
        <f t="shared" si="8"/>
        <v>1.1924999999999999</v>
      </c>
      <c r="H202" s="32">
        <f t="shared" si="8"/>
        <v>0.79500000000000004</v>
      </c>
      <c r="I202" s="526">
        <f t="shared" si="8"/>
        <v>0.79500000000000004</v>
      </c>
    </row>
    <row r="203" spans="1:9" x14ac:dyDescent="0.35">
      <c r="A203" s="277">
        <v>2032</v>
      </c>
      <c r="B203" s="276">
        <v>49000</v>
      </c>
      <c r="C203" s="276">
        <v>79500</v>
      </c>
      <c r="D203" s="274">
        <v>110000</v>
      </c>
      <c r="F203" s="525">
        <v>2032</v>
      </c>
      <c r="G203" s="32">
        <f t="shared" si="8"/>
        <v>1.1924999999999999</v>
      </c>
      <c r="H203" s="32">
        <f t="shared" si="8"/>
        <v>0.79500000000000004</v>
      </c>
      <c r="I203" s="526">
        <f t="shared" si="8"/>
        <v>0.79500000000000004</v>
      </c>
    </row>
    <row r="204" spans="1:9" x14ac:dyDescent="0.35">
      <c r="A204" s="277">
        <v>2033</v>
      </c>
      <c r="B204" s="276">
        <v>49000</v>
      </c>
      <c r="C204" s="276">
        <v>79500</v>
      </c>
      <c r="D204" s="274">
        <v>110000</v>
      </c>
      <c r="F204" s="525">
        <v>2033</v>
      </c>
      <c r="G204" s="32">
        <f t="shared" si="8"/>
        <v>1.1924999999999999</v>
      </c>
      <c r="H204" s="32">
        <f t="shared" si="8"/>
        <v>0.79500000000000004</v>
      </c>
      <c r="I204" s="526">
        <f t="shared" si="8"/>
        <v>0.79500000000000004</v>
      </c>
    </row>
    <row r="205" spans="1:9" x14ac:dyDescent="0.35">
      <c r="A205" s="277">
        <v>2034</v>
      </c>
      <c r="B205" s="276">
        <v>49000</v>
      </c>
      <c r="C205" s="276">
        <v>79500</v>
      </c>
      <c r="D205" s="274">
        <v>110000</v>
      </c>
      <c r="F205" s="525">
        <v>2034</v>
      </c>
      <c r="G205" s="32">
        <f t="shared" si="8"/>
        <v>1.1924999999999999</v>
      </c>
      <c r="H205" s="32">
        <f t="shared" si="8"/>
        <v>0.79500000000000004</v>
      </c>
      <c r="I205" s="526">
        <f t="shared" si="8"/>
        <v>0.79500000000000004</v>
      </c>
    </row>
    <row r="206" spans="1:9" x14ac:dyDescent="0.35">
      <c r="A206" s="277">
        <v>2035</v>
      </c>
      <c r="B206" s="276">
        <v>49000</v>
      </c>
      <c r="C206" s="276">
        <v>79500</v>
      </c>
      <c r="D206" s="274">
        <v>110000</v>
      </c>
      <c r="F206" s="525">
        <v>2035</v>
      </c>
      <c r="G206" s="32">
        <f t="shared" si="8"/>
        <v>1.1924999999999999</v>
      </c>
      <c r="H206" s="32">
        <f t="shared" si="8"/>
        <v>0.79500000000000004</v>
      </c>
      <c r="I206" s="526">
        <f t="shared" si="8"/>
        <v>0.79500000000000004</v>
      </c>
    </row>
    <row r="207" spans="1:9" x14ac:dyDescent="0.35">
      <c r="A207" s="277">
        <v>2036</v>
      </c>
      <c r="B207" s="276">
        <v>49000</v>
      </c>
      <c r="C207" s="276">
        <v>79500</v>
      </c>
      <c r="D207" s="274">
        <v>110000</v>
      </c>
      <c r="F207" s="525">
        <v>2036</v>
      </c>
      <c r="G207" s="32">
        <f t="shared" si="8"/>
        <v>1.1924999999999999</v>
      </c>
      <c r="H207" s="32">
        <f t="shared" si="8"/>
        <v>0.79500000000000004</v>
      </c>
      <c r="I207" s="526">
        <f t="shared" si="8"/>
        <v>0.79500000000000004</v>
      </c>
    </row>
    <row r="208" spans="1:9" x14ac:dyDescent="0.35">
      <c r="A208" s="277">
        <v>2037</v>
      </c>
      <c r="B208" s="276">
        <v>49000</v>
      </c>
      <c r="C208" s="276">
        <v>79500</v>
      </c>
      <c r="D208" s="274">
        <v>110000</v>
      </c>
      <c r="F208" s="525">
        <v>2037</v>
      </c>
      <c r="G208" s="32">
        <f t="shared" si="8"/>
        <v>1.1924999999999999</v>
      </c>
      <c r="H208" s="32">
        <f t="shared" si="8"/>
        <v>0.79500000000000004</v>
      </c>
      <c r="I208" s="526">
        <f t="shared" si="8"/>
        <v>0.79500000000000004</v>
      </c>
    </row>
    <row r="209" spans="1:26" x14ac:dyDescent="0.35">
      <c r="A209" s="277">
        <v>2038</v>
      </c>
      <c r="B209" s="276">
        <v>49000</v>
      </c>
      <c r="C209" s="276">
        <v>79500</v>
      </c>
      <c r="D209" s="274">
        <v>110000</v>
      </c>
      <c r="F209" s="525">
        <v>2038</v>
      </c>
      <c r="G209" s="32">
        <f t="shared" si="8"/>
        <v>1.1924999999999999</v>
      </c>
      <c r="H209" s="32">
        <f t="shared" si="8"/>
        <v>0.79500000000000004</v>
      </c>
      <c r="I209" s="526">
        <f t="shared" si="8"/>
        <v>0.79500000000000004</v>
      </c>
    </row>
    <row r="210" spans="1:26" x14ac:dyDescent="0.35">
      <c r="A210" s="277">
        <v>2039</v>
      </c>
      <c r="B210" s="276">
        <v>49000</v>
      </c>
      <c r="C210" s="276">
        <v>79500</v>
      </c>
      <c r="D210" s="274">
        <v>110000</v>
      </c>
      <c r="F210" s="525">
        <v>2039</v>
      </c>
      <c r="G210" s="32">
        <f t="shared" si="8"/>
        <v>1.1924999999999999</v>
      </c>
      <c r="H210" s="32">
        <f t="shared" si="8"/>
        <v>0.79500000000000004</v>
      </c>
      <c r="I210" s="526">
        <f t="shared" si="8"/>
        <v>0.79500000000000004</v>
      </c>
    </row>
    <row r="211" spans="1:26" x14ac:dyDescent="0.35">
      <c r="A211" s="277">
        <v>2040</v>
      </c>
      <c r="B211" s="276">
        <v>49000</v>
      </c>
      <c r="C211" s="276">
        <v>79500</v>
      </c>
      <c r="D211" s="274">
        <v>110000</v>
      </c>
      <c r="F211" s="525">
        <v>2040</v>
      </c>
      <c r="G211" s="32">
        <f t="shared" si="8"/>
        <v>1.1924999999999999</v>
      </c>
      <c r="H211" s="32">
        <f t="shared" si="8"/>
        <v>0.79500000000000004</v>
      </c>
      <c r="I211" s="526">
        <f t="shared" si="8"/>
        <v>0.79500000000000004</v>
      </c>
    </row>
    <row r="212" spans="1:26" x14ac:dyDescent="0.35">
      <c r="A212" s="277">
        <v>2041</v>
      </c>
      <c r="B212" s="276">
        <v>49000</v>
      </c>
      <c r="C212" s="276">
        <v>79500</v>
      </c>
      <c r="D212" s="274">
        <v>110000</v>
      </c>
      <c r="F212" s="525">
        <v>2041</v>
      </c>
      <c r="G212" s="32">
        <f t="shared" si="8"/>
        <v>1.1924999999999999</v>
      </c>
      <c r="H212" s="32">
        <f t="shared" si="8"/>
        <v>0.79500000000000004</v>
      </c>
      <c r="I212" s="526">
        <f t="shared" si="8"/>
        <v>0.79500000000000004</v>
      </c>
    </row>
    <row r="213" spans="1:26" x14ac:dyDescent="0.35">
      <c r="A213" s="277">
        <v>2042</v>
      </c>
      <c r="B213" s="276">
        <v>49000</v>
      </c>
      <c r="C213" s="276">
        <v>79500</v>
      </c>
      <c r="D213" s="274">
        <v>110000</v>
      </c>
      <c r="F213" s="525">
        <v>2042</v>
      </c>
      <c r="G213" s="32">
        <f t="shared" si="8"/>
        <v>1.1924999999999999</v>
      </c>
      <c r="H213" s="32">
        <f t="shared" si="8"/>
        <v>0.79500000000000004</v>
      </c>
      <c r="I213" s="526">
        <f t="shared" si="8"/>
        <v>0.79500000000000004</v>
      </c>
    </row>
    <row r="214" spans="1:26" x14ac:dyDescent="0.35">
      <c r="A214" s="277">
        <v>2043</v>
      </c>
      <c r="B214" s="276">
        <v>49000</v>
      </c>
      <c r="C214" s="276">
        <v>79500</v>
      </c>
      <c r="D214" s="274">
        <v>110000</v>
      </c>
      <c r="F214" s="525">
        <v>2043</v>
      </c>
      <c r="G214" s="32">
        <f t="shared" si="8"/>
        <v>1.1924999999999999</v>
      </c>
      <c r="H214" s="32">
        <f t="shared" si="8"/>
        <v>0.79500000000000004</v>
      </c>
      <c r="I214" s="526">
        <f t="shared" si="8"/>
        <v>0.79500000000000004</v>
      </c>
    </row>
    <row r="215" spans="1:26" x14ac:dyDescent="0.35">
      <c r="A215" s="277">
        <v>2044</v>
      </c>
      <c r="B215" s="276">
        <v>49000</v>
      </c>
      <c r="C215" s="276">
        <v>79500</v>
      </c>
      <c r="D215" s="274">
        <v>110000</v>
      </c>
      <c r="F215" s="525">
        <v>2044</v>
      </c>
      <c r="G215" s="32">
        <f t="shared" si="8"/>
        <v>1.1924999999999999</v>
      </c>
      <c r="H215" s="32">
        <f t="shared" si="8"/>
        <v>0.79500000000000004</v>
      </c>
      <c r="I215" s="526">
        <f t="shared" si="8"/>
        <v>0.79500000000000004</v>
      </c>
    </row>
    <row r="216" spans="1:26" x14ac:dyDescent="0.35">
      <c r="A216" s="277">
        <v>2045</v>
      </c>
      <c r="B216" s="276">
        <v>49000</v>
      </c>
      <c r="C216" s="276">
        <v>79500</v>
      </c>
      <c r="D216" s="274">
        <v>110000</v>
      </c>
      <c r="F216" s="525">
        <v>2045</v>
      </c>
      <c r="G216" s="32">
        <f t="shared" si="8"/>
        <v>1.1924999999999999</v>
      </c>
      <c r="H216" s="32">
        <f t="shared" si="8"/>
        <v>0.79500000000000004</v>
      </c>
      <c r="I216" s="526">
        <f t="shared" si="8"/>
        <v>0.79500000000000004</v>
      </c>
    </row>
    <row r="217" spans="1:26" x14ac:dyDescent="0.35">
      <c r="A217" s="277">
        <v>2046</v>
      </c>
      <c r="B217" s="276">
        <v>49000</v>
      </c>
      <c r="C217" s="276">
        <v>79500</v>
      </c>
      <c r="D217" s="274">
        <v>110000</v>
      </c>
      <c r="F217" s="525">
        <v>2046</v>
      </c>
      <c r="G217" s="32">
        <f t="shared" si="8"/>
        <v>1.1924999999999999</v>
      </c>
      <c r="H217" s="32">
        <f t="shared" si="8"/>
        <v>0.79500000000000004</v>
      </c>
      <c r="I217" s="526">
        <f t="shared" si="8"/>
        <v>0.79500000000000004</v>
      </c>
      <c r="W217" s="42"/>
      <c r="X217" s="42"/>
      <c r="Y217" s="42"/>
      <c r="Z217" s="42"/>
    </row>
    <row r="218" spans="1:26" x14ac:dyDescent="0.35">
      <c r="A218" s="277">
        <v>2047</v>
      </c>
      <c r="B218" s="276">
        <v>49000</v>
      </c>
      <c r="C218" s="276">
        <v>79500</v>
      </c>
      <c r="D218" s="274">
        <v>110000</v>
      </c>
      <c r="F218" s="525">
        <v>2047</v>
      </c>
      <c r="G218" s="32">
        <f t="shared" si="8"/>
        <v>1.1924999999999999</v>
      </c>
      <c r="H218" s="32">
        <f t="shared" si="8"/>
        <v>0.79500000000000004</v>
      </c>
      <c r="I218" s="526">
        <f t="shared" si="8"/>
        <v>0.79500000000000004</v>
      </c>
    </row>
    <row r="219" spans="1:26" x14ac:dyDescent="0.35">
      <c r="A219" s="277">
        <v>2048</v>
      </c>
      <c r="B219" s="276">
        <v>49000</v>
      </c>
      <c r="C219" s="276">
        <v>79500</v>
      </c>
      <c r="D219" s="274">
        <v>110000</v>
      </c>
      <c r="F219" s="525">
        <v>2048</v>
      </c>
      <c r="G219" s="32">
        <f t="shared" si="8"/>
        <v>1.1924999999999999</v>
      </c>
      <c r="H219" s="32">
        <f t="shared" si="8"/>
        <v>0.79500000000000004</v>
      </c>
      <c r="I219" s="526">
        <f t="shared" si="8"/>
        <v>0.79500000000000004</v>
      </c>
    </row>
    <row r="220" spans="1:26" x14ac:dyDescent="0.35">
      <c r="A220" s="277">
        <v>2049</v>
      </c>
      <c r="B220" s="276">
        <v>49000</v>
      </c>
      <c r="C220" s="276">
        <v>79500</v>
      </c>
      <c r="D220" s="274">
        <v>110000</v>
      </c>
      <c r="F220" s="525">
        <v>2049</v>
      </c>
      <c r="G220" s="32">
        <f t="shared" si="8"/>
        <v>1.1924999999999999</v>
      </c>
      <c r="H220" s="32">
        <f t="shared" si="8"/>
        <v>0.79500000000000004</v>
      </c>
      <c r="I220" s="526">
        <f t="shared" si="8"/>
        <v>0.79500000000000004</v>
      </c>
      <c r="T220" s="42"/>
      <c r="U220" s="42"/>
      <c r="V220" s="42"/>
    </row>
    <row r="221" spans="1:26" x14ac:dyDescent="0.35">
      <c r="A221" s="278">
        <v>2050</v>
      </c>
      <c r="B221" s="279">
        <v>49000</v>
      </c>
      <c r="C221" s="279">
        <v>79500</v>
      </c>
      <c r="D221" s="275">
        <v>110000</v>
      </c>
      <c r="F221" s="527">
        <v>2050</v>
      </c>
      <c r="G221" s="479">
        <f t="shared" si="8"/>
        <v>1.1924999999999999</v>
      </c>
      <c r="H221" s="479">
        <f t="shared" si="8"/>
        <v>0.79500000000000004</v>
      </c>
      <c r="I221" s="528">
        <f t="shared" si="8"/>
        <v>0.79500000000000004</v>
      </c>
    </row>
    <row r="222" spans="1:26" x14ac:dyDescent="0.35">
      <c r="A222" s="103"/>
      <c r="B222" s="44"/>
      <c r="C222" s="44"/>
      <c r="D222" s="44"/>
    </row>
    <row r="223" spans="1:26" x14ac:dyDescent="0.35">
      <c r="A223" s="103"/>
      <c r="B223" s="44"/>
      <c r="C223" s="44"/>
      <c r="D223" s="44"/>
    </row>
    <row r="224" spans="1:26" ht="21" x14ac:dyDescent="0.35">
      <c r="A224" s="712" t="s">
        <v>265</v>
      </c>
      <c r="B224" s="712"/>
      <c r="C224" s="712"/>
      <c r="D224" s="712"/>
      <c r="E224" s="712"/>
      <c r="F224" s="712"/>
      <c r="G224" s="712"/>
      <c r="H224" s="712"/>
      <c r="I224" s="712"/>
    </row>
    <row r="225" spans="1:26" x14ac:dyDescent="0.35">
      <c r="A225" s="103"/>
      <c r="B225" s="44"/>
      <c r="C225" s="44"/>
      <c r="D225" s="44"/>
    </row>
    <row r="226" spans="1:26" x14ac:dyDescent="0.35">
      <c r="A226" s="103" t="s">
        <v>266</v>
      </c>
      <c r="B226" s="44"/>
      <c r="C226" s="44"/>
      <c r="D226" s="44"/>
    </row>
    <row r="227" spans="1:26" x14ac:dyDescent="0.35">
      <c r="A227" s="103"/>
      <c r="B227" s="44"/>
      <c r="C227" s="44"/>
      <c r="D227" s="44"/>
      <c r="K227" s="42"/>
      <c r="L227" s="42"/>
      <c r="M227" s="42"/>
      <c r="O227" s="42"/>
      <c r="P227" s="42"/>
      <c r="Q227" s="42"/>
    </row>
    <row r="228" spans="1:26" x14ac:dyDescent="0.35">
      <c r="A228" s="751" t="s">
        <v>267</v>
      </c>
      <c r="B228" s="752"/>
      <c r="C228" s="752"/>
      <c r="D228" s="753"/>
      <c r="E228" s="341"/>
    </row>
    <row r="229" spans="1:26" ht="58" x14ac:dyDescent="0.35">
      <c r="A229" s="600" t="s">
        <v>186</v>
      </c>
      <c r="B229" s="601" t="s">
        <v>268</v>
      </c>
      <c r="C229" s="601" t="s">
        <v>269</v>
      </c>
      <c r="D229" s="602" t="s">
        <v>270</v>
      </c>
      <c r="E229" s="42"/>
      <c r="F229" s="42"/>
      <c r="G229" s="42"/>
      <c r="H229" s="42"/>
      <c r="I229" s="42"/>
    </row>
    <row r="230" spans="1:26" s="42" customFormat="1" x14ac:dyDescent="0.35">
      <c r="A230" s="593">
        <v>2021</v>
      </c>
      <c r="B230" s="594">
        <f>(G192*(1+'Inputs-System'!$C$19)^('Non-Embedded Emissions'!$A230-2015))/1000-'Embedded Emissions'!$B129</f>
        <v>9.7509205296940804E-4</v>
      </c>
      <c r="C230" s="594">
        <f>(H192*(1+'Inputs-System'!$C$19)^('Non-Embedded Emissions'!$A230-2015))/1000-'Embedded Emissions'!$B129</f>
        <v>5.8206136864627197E-4</v>
      </c>
      <c r="D230" s="595">
        <f>(I192*(1+'Inputs-System'!$C$19)^('Non-Embedded Emissions'!$A230-2015))/1000-'Embedded Emissions'!$B129</f>
        <v>5.8206136864627197E-4</v>
      </c>
      <c r="E230" s="3"/>
      <c r="F230" s="3"/>
      <c r="G230" s="3"/>
      <c r="H230" s="3"/>
      <c r="I230" s="3"/>
      <c r="K230" s="3"/>
      <c r="L230" s="3"/>
      <c r="M230" s="3"/>
      <c r="O230" s="3"/>
      <c r="P230" s="3"/>
      <c r="Q230" s="3"/>
      <c r="T230" s="3"/>
      <c r="U230" s="3"/>
      <c r="V230" s="3"/>
      <c r="W230" s="3"/>
      <c r="X230" s="3"/>
      <c r="Y230" s="3"/>
      <c r="Z230" s="3"/>
    </row>
    <row r="231" spans="1:26" x14ac:dyDescent="0.35">
      <c r="A231" s="317">
        <v>2022</v>
      </c>
      <c r="B231" s="418">
        <f>(G193*(1+'Inputs-System'!$C$19)^('Non-Embedded Emissions'!$A231-2015))/1000-'Embedded Emissions'!$B130</f>
        <v>1.0083781220405871E-3</v>
      </c>
      <c r="C231" s="418">
        <f>(H193*(1+'Inputs-System'!$C$19)^('Non-Embedded Emissions'!$A231-2015))/1000-'Embedded Emissions'!$B130</f>
        <v>6.0289208136039168E-4</v>
      </c>
      <c r="D231" s="596">
        <f>(I193*(1+'Inputs-System'!$C$19)^('Non-Embedded Emissions'!$A231-2015))/1000-'Embedded Emissions'!$B130</f>
        <v>6.0289208136039168E-4</v>
      </c>
    </row>
    <row r="232" spans="1:26" x14ac:dyDescent="0.35">
      <c r="A232" s="317">
        <v>2023</v>
      </c>
      <c r="B232" s="418">
        <f>(G194*(1+'Inputs-System'!$C$19)^('Non-Embedded Emissions'!$A232-2015))/1000-'Embedded Emissions'!$B131</f>
        <v>1.0426055970534263E-3</v>
      </c>
      <c r="C232" s="418">
        <f>(H194*(1+'Inputs-System'!$C$19)^('Non-Embedded Emissions'!$A232-2015))/1000-'Embedded Emissions'!$B131</f>
        <v>6.2432319803561761E-4</v>
      </c>
      <c r="D232" s="596">
        <f>(I194*(1+'Inputs-System'!$C$19)^('Non-Embedded Emissions'!$A232-2015))/1000-'Embedded Emissions'!$B131</f>
        <v>6.2432319803561761E-4</v>
      </c>
    </row>
    <row r="233" spans="1:26" x14ac:dyDescent="0.35">
      <c r="A233" s="317">
        <v>2024</v>
      </c>
      <c r="B233" s="418">
        <f>(G195*(1+'Inputs-System'!$C$19)^('Non-Embedded Emissions'!$A233-2015))/1000-'Embedded Emissions'!$B132</f>
        <v>1.0777988198179627E-3</v>
      </c>
      <c r="C233" s="418">
        <f>(H195*(1+'Inputs-System'!$C$19)^('Non-Embedded Emissions'!$A233-2015))/1000-'Embedded Emissions'!$B132</f>
        <v>6.4637040254530845E-4</v>
      </c>
      <c r="D233" s="596">
        <f>(I195*(1+'Inputs-System'!$C$19)^('Non-Embedded Emissions'!$A233-2015))/1000-'Embedded Emissions'!$B132</f>
        <v>6.4637040254530845E-4</v>
      </c>
    </row>
    <row r="234" spans="1:26" x14ac:dyDescent="0.35">
      <c r="A234" s="317">
        <v>2025</v>
      </c>
      <c r="B234" s="418">
        <f>(G196*(1+'Inputs-System'!$C$19)^('Non-Embedded Emissions'!$A234-2015))/1000-'Embedded Emissions'!$B133</f>
        <v>1.1139827292542591E-3</v>
      </c>
      <c r="C234" s="418">
        <f>(H196*(1+'Inputs-System'!$C$19)^('Non-Embedded Emissions'!$A234-2015))/1000-'Embedded Emissions'!$B133</f>
        <v>6.6904976595617274E-4</v>
      </c>
      <c r="D234" s="596">
        <f>(I196*(1+'Inputs-System'!$C$19)^('Non-Embedded Emissions'!$A234-2015))/1000-'Embedded Emissions'!$B133</f>
        <v>6.6904976595617274E-4</v>
      </c>
    </row>
    <row r="235" spans="1:26" x14ac:dyDescent="0.35">
      <c r="A235" s="317">
        <v>2026</v>
      </c>
      <c r="B235" s="418">
        <f>(G197*(1+'Inputs-System'!$C$19)^('Non-Embedded Emissions'!$A235-2015))/1000-'Embedded Emissions'!$B134</f>
        <v>1.1605081828530393E-3</v>
      </c>
      <c r="C235" s="418">
        <f>(H197*(1+'Inputs-System'!$C$19)^('Non-Embedded Emissions'!$A235-2015))/1000-'Embedded Emissions'!$B134</f>
        <v>6.9859462728442652E-4</v>
      </c>
      <c r="D235" s="596">
        <f>(I197*(1+'Inputs-System'!$C$19)^('Non-Embedded Emissions'!$A235-2015))/1000-'Embedded Emissions'!$B134</f>
        <v>6.9859462728442652E-4</v>
      </c>
    </row>
    <row r="236" spans="1:26" x14ac:dyDescent="0.35">
      <c r="A236" s="317">
        <v>2027</v>
      </c>
      <c r="B236" s="418">
        <f>(G198*(1+'Inputs-System'!$C$19)^('Non-Embedded Emissions'!$A236-2015))/1000-'Embedded Emissions'!$B135</f>
        <v>1.2084490615040702E-3</v>
      </c>
      <c r="C236" s="418">
        <f>(H198*(1+'Inputs-System'!$C$19)^('Non-Embedded Emissions'!$A236-2015))/1000-'Embedded Emissions'!$B135</f>
        <v>7.2905366315942843E-4</v>
      </c>
      <c r="D236" s="596">
        <f>(I198*(1+'Inputs-System'!$C$19)^('Non-Embedded Emissions'!$A236-2015))/1000-'Embedded Emissions'!$B135</f>
        <v>7.2905366315942843E-4</v>
      </c>
    </row>
    <row r="237" spans="1:26" x14ac:dyDescent="0.35">
      <c r="A237" s="317">
        <v>2028</v>
      </c>
      <c r="B237" s="418">
        <f>(G199*(1+'Inputs-System'!$C$19)^('Non-Embedded Emissions'!$A237-2015))/1000-'Embedded Emissions'!$B136</f>
        <v>1.2578433720280007E-3</v>
      </c>
      <c r="C237" s="418">
        <f>(H199*(1+'Inputs-System'!$C$19)^('Non-Embedded Emissions'!$A237-2015))/1000-'Embedded Emissions'!$B136</f>
        <v>7.6045162261851608E-4</v>
      </c>
      <c r="D237" s="596">
        <f>(I199*(1+'Inputs-System'!$C$19)^('Non-Embedded Emissions'!$A237-2015))/1000-'Embedded Emissions'!$B136</f>
        <v>7.6045162261851608E-4</v>
      </c>
    </row>
    <row r="238" spans="1:26" x14ac:dyDescent="0.35">
      <c r="A238" s="317">
        <v>2029</v>
      </c>
      <c r="B238" s="418">
        <f>(G200*(1+'Inputs-System'!$C$19)^('Non-Embedded Emissions'!$A238-2015))/1000-'Embedded Emissions'!$B137</f>
        <v>1.3087300753482866E-3</v>
      </c>
      <c r="C238" s="418">
        <f>(H200*(1+'Inputs-System'!$C$19)^('Non-Embedded Emissions'!$A238-2015))/1000-'Embedded Emissions'!$B137</f>
        <v>7.9281387899070386E-4</v>
      </c>
      <c r="D238" s="596">
        <f>(I200*(1+'Inputs-System'!$C$19)^('Non-Embedded Emissions'!$A238-2015))/1000-'Embedded Emissions'!$B137</f>
        <v>7.9281387899070386E-4</v>
      </c>
    </row>
    <row r="239" spans="1:26" x14ac:dyDescent="0.35">
      <c r="A239" s="317">
        <v>2030</v>
      </c>
      <c r="B239" s="418">
        <f>(G201*(1+'Inputs-System'!$C$19)^('Non-Embedded Emissions'!$A239-2015))/1000-'Embedded Emissions'!$B138</f>
        <v>1.3611491094525725E-3</v>
      </c>
      <c r="C239" s="418">
        <f>(H201*(1+'Inputs-System'!$C$19)^('Non-Embedded Emissions'!$A239-2015))/1000-'Embedded Emissions'!$B138</f>
        <v>8.2616644496873127E-4</v>
      </c>
      <c r="D239" s="596">
        <f>(I201*(1+'Inputs-System'!$C$19)^('Non-Embedded Emissions'!$A239-2015))/1000-'Embedded Emissions'!$B138</f>
        <v>8.2616644496873127E-4</v>
      </c>
    </row>
    <row r="240" spans="1:26" x14ac:dyDescent="0.35">
      <c r="A240" s="317">
        <v>2031</v>
      </c>
      <c r="B240" s="418">
        <f>(G202*(1+'Inputs-System'!$C$19)^('Non-Embedded Emissions'!$A240-2015))/1000-'Embedded Emissions'!$B139</f>
        <v>1.3883720916416243E-3</v>
      </c>
      <c r="C240" s="418">
        <f>(H202*(1+'Inputs-System'!$C$19)^('Non-Embedded Emissions'!$A240-2015))/1000-'Embedded Emissions'!$B139</f>
        <v>8.4268977386810608E-4</v>
      </c>
      <c r="D240" s="596">
        <f>(I202*(1+'Inputs-System'!$C$19)^('Non-Embedded Emissions'!$A240-2015))/1000-'Embedded Emissions'!$B139</f>
        <v>8.4268977386810608E-4</v>
      </c>
    </row>
    <row r="241" spans="1:4" x14ac:dyDescent="0.35">
      <c r="A241" s="317">
        <v>2032</v>
      </c>
      <c r="B241" s="418">
        <f>(G203*(1+'Inputs-System'!$C$19)^('Non-Embedded Emissions'!$A241-2015))/1000-'Embedded Emissions'!$B140</f>
        <v>1.416139533474457E-3</v>
      </c>
      <c r="C241" s="418">
        <f>(H203*(1+'Inputs-System'!$C$19)^('Non-Embedded Emissions'!$A241-2015))/1000-'Embedded Emissions'!$B140</f>
        <v>8.5954356934546828E-4</v>
      </c>
      <c r="D241" s="596">
        <f>(I203*(1+'Inputs-System'!$C$19)^('Non-Embedded Emissions'!$A241-2015))/1000-'Embedded Emissions'!$B140</f>
        <v>8.5954356934546828E-4</v>
      </c>
    </row>
    <row r="242" spans="1:4" x14ac:dyDescent="0.35">
      <c r="A242" s="317">
        <v>2033</v>
      </c>
      <c r="B242" s="418">
        <f>(G204*(1+'Inputs-System'!$C$19)^('Non-Embedded Emissions'!$A242-2015))/1000-'Embedded Emissions'!$B141</f>
        <v>1.4444623241439459E-3</v>
      </c>
      <c r="C242" s="418">
        <f>(H204*(1+'Inputs-System'!$C$19)^('Non-Embedded Emissions'!$A242-2015))/1000-'Embedded Emissions'!$B141</f>
        <v>8.7673444073237778E-4</v>
      </c>
      <c r="D242" s="596">
        <f>(I204*(1+'Inputs-System'!$C$19)^('Non-Embedded Emissions'!$A242-2015))/1000-'Embedded Emissions'!$B141</f>
        <v>8.7673444073237778E-4</v>
      </c>
    </row>
    <row r="243" spans="1:4" x14ac:dyDescent="0.35">
      <c r="A243" s="317">
        <v>2034</v>
      </c>
      <c r="B243" s="418">
        <f>(G205*(1+'Inputs-System'!$C$19)^('Non-Embedded Emissions'!$A243-2015))/1000-'Embedded Emissions'!$B142</f>
        <v>1.4733515706268244E-3</v>
      </c>
      <c r="C243" s="418">
        <f>(H205*(1+'Inputs-System'!$C$19)^('Non-Embedded Emissions'!$A243-2015))/1000-'Embedded Emissions'!$B142</f>
        <v>8.9426912954702518E-4</v>
      </c>
      <c r="D243" s="596">
        <f>(I205*(1+'Inputs-System'!$C$19)^('Non-Embedded Emissions'!$A243-2015))/1000-'Embedded Emissions'!$B142</f>
        <v>8.9426912954702518E-4</v>
      </c>
    </row>
    <row r="244" spans="1:4" x14ac:dyDescent="0.35">
      <c r="A244" s="317">
        <v>2035</v>
      </c>
      <c r="B244" s="418">
        <f>(G206*(1+'Inputs-System'!$C$19)^('Non-Embedded Emissions'!$A244-2015))/1000-'Embedded Emissions'!$B143</f>
        <v>1.5028186020393612E-3</v>
      </c>
      <c r="C244" s="418">
        <f>(H206*(1+'Inputs-System'!$C$19)^('Non-Embedded Emissions'!$A244-2015))/1000-'Embedded Emissions'!$B143</f>
        <v>9.1215451213796581E-4</v>
      </c>
      <c r="D244" s="596">
        <f>(I206*(1+'Inputs-System'!$C$19)^('Non-Embedded Emissions'!$A244-2015))/1000-'Embedded Emissions'!$B143</f>
        <v>9.1215451213796581E-4</v>
      </c>
    </row>
    <row r="245" spans="1:4" x14ac:dyDescent="0.35">
      <c r="A245" s="317">
        <v>2036</v>
      </c>
      <c r="B245" s="418">
        <f>(G207*(1+'Inputs-System'!$C$19)^('Non-Embedded Emissions'!$A245-2015))/1000-'Embedded Emissions'!$B144</f>
        <v>1.5328749740801484E-3</v>
      </c>
      <c r="C245" s="418">
        <f>(H207*(1+'Inputs-System'!$C$19)^('Non-Embedded Emissions'!$A245-2015))/1000-'Embedded Emissions'!$B144</f>
        <v>9.3039760238072507E-4</v>
      </c>
      <c r="D245" s="596">
        <f>(I207*(1+'Inputs-System'!$C$19)^('Non-Embedded Emissions'!$A245-2015))/1000-'Embedded Emissions'!$B144</f>
        <v>9.3039760238072507E-4</v>
      </c>
    </row>
    <row r="246" spans="1:4" x14ac:dyDescent="0.35">
      <c r="A246" s="317">
        <v>2037</v>
      </c>
      <c r="B246" s="418">
        <f>(G208*(1+'Inputs-System'!$C$19)^('Non-Embedded Emissions'!$A246-2015))/1000-'Embedded Emissions'!$B145</f>
        <v>1.5635324735617513E-3</v>
      </c>
      <c r="C246" s="418">
        <f>(H208*(1+'Inputs-System'!$C$19)^('Non-Embedded Emissions'!$A246-2015))/1000-'Embedded Emissions'!$B145</f>
        <v>9.4900555442833945E-4</v>
      </c>
      <c r="D246" s="596">
        <f>(I208*(1+'Inputs-System'!$C$19)^('Non-Embedded Emissions'!$A246-2015))/1000-'Embedded Emissions'!$B145</f>
        <v>9.4900555442833945E-4</v>
      </c>
    </row>
    <row r="247" spans="1:4" x14ac:dyDescent="0.35">
      <c r="A247" s="317">
        <v>2038</v>
      </c>
      <c r="B247" s="418">
        <f>(G209*(1+'Inputs-System'!$C$19)^('Non-Embedded Emissions'!$A247-2015))/1000-'Embedded Emissions'!$B146</f>
        <v>1.594803123032986E-3</v>
      </c>
      <c r="C247" s="418">
        <f>(H209*(1+'Inputs-System'!$C$19)^('Non-Embedded Emissions'!$A247-2015))/1000-'Embedded Emissions'!$B146</f>
        <v>9.6798566551690611E-4</v>
      </c>
      <c r="D247" s="596">
        <f>(I209*(1+'Inputs-System'!$C$19)^('Non-Embedded Emissions'!$A247-2015))/1000-'Embedded Emissions'!$B146</f>
        <v>9.6798566551690611E-4</v>
      </c>
    </row>
    <row r="248" spans="1:4" x14ac:dyDescent="0.35">
      <c r="A248" s="317">
        <v>2039</v>
      </c>
      <c r="B248" s="418">
        <f>(G210*(1+'Inputs-System'!$C$19)^('Non-Embedded Emissions'!$A248-2015))/1000-'Embedded Emissions'!$B147</f>
        <v>1.6266991854936462E-3</v>
      </c>
      <c r="C248" s="418">
        <f>(H210*(1+'Inputs-System'!$C$19)^('Non-Embedded Emissions'!$A248-2015))/1000-'Embedded Emissions'!$B147</f>
        <v>9.8734537882724425E-4</v>
      </c>
      <c r="D248" s="596">
        <f>(I210*(1+'Inputs-System'!$C$19)^('Non-Embedded Emissions'!$A248-2015))/1000-'Embedded Emissions'!$B147</f>
        <v>9.8734537882724425E-4</v>
      </c>
    </row>
    <row r="249" spans="1:4" x14ac:dyDescent="0.35">
      <c r="A249" s="317">
        <v>2040</v>
      </c>
      <c r="B249" s="418">
        <f>(G211*(1+'Inputs-System'!$C$19)^('Non-Embedded Emissions'!$A249-2015))/1000-'Embedded Emissions'!$B148</f>
        <v>1.6592331692035188E-3</v>
      </c>
      <c r="C249" s="418">
        <f>(H211*(1+'Inputs-System'!$C$19)^('Non-Embedded Emissions'!$A249-2015))/1000-'Embedded Emissions'!$B148</f>
        <v>1.0070922864037894E-3</v>
      </c>
      <c r="D249" s="596">
        <f>(I211*(1+'Inputs-System'!$C$19)^('Non-Embedded Emissions'!$A249-2015))/1000-'Embedded Emissions'!$B148</f>
        <v>1.0070922864037894E-3</v>
      </c>
    </row>
    <row r="250" spans="1:4" x14ac:dyDescent="0.35">
      <c r="A250" s="317">
        <v>2041</v>
      </c>
      <c r="B250" s="418">
        <f>(G212*(1+'Inputs-System'!$C$19)^('Non-Embedded Emissions'!$A250-2015))/1000-'Embedded Emissions'!$B149</f>
        <v>1.6924178325875895E-3</v>
      </c>
      <c r="C250" s="418">
        <f>(H212*(1+'Inputs-System'!$C$19)^('Non-Embedded Emissions'!$A250-2015))/1000-'Embedded Emissions'!$B149</f>
        <v>1.0272341321318653E-3</v>
      </c>
      <c r="D250" s="596">
        <f>(I212*(1+'Inputs-System'!$C$19)^('Non-Embedded Emissions'!$A250-2015))/1000-'Embedded Emissions'!$B149</f>
        <v>1.0272341321318653E-3</v>
      </c>
    </row>
    <row r="251" spans="1:4" x14ac:dyDescent="0.35">
      <c r="A251" s="317">
        <v>2042</v>
      </c>
      <c r="B251" s="418">
        <f>(G213*(1+'Inputs-System'!$C$19)^('Non-Embedded Emissions'!$A251-2015))/1000-'Embedded Emissions'!$B150</f>
        <v>1.7262661892393409E-3</v>
      </c>
      <c r="C251" s="418">
        <f>(H213*(1+'Inputs-System'!$C$19)^('Non-Embedded Emissions'!$A251-2015))/1000-'Embedded Emissions'!$B150</f>
        <v>1.0477788147745023E-3</v>
      </c>
      <c r="D251" s="596">
        <f>(I213*(1+'Inputs-System'!$C$19)^('Non-Embedded Emissions'!$A251-2015))/1000-'Embedded Emissions'!$B150</f>
        <v>1.0477788147745023E-3</v>
      </c>
    </row>
    <row r="252" spans="1:4" x14ac:dyDescent="0.35">
      <c r="A252" s="317">
        <v>2043</v>
      </c>
      <c r="B252" s="418">
        <f>(G214*(1+'Inputs-System'!$C$19)^('Non-Embedded Emissions'!$A252-2015))/1000-'Embedded Emissions'!$B151</f>
        <v>1.7607915130241287E-3</v>
      </c>
      <c r="C252" s="418">
        <f>(H214*(1+'Inputs-System'!$C$19)^('Non-Embedded Emissions'!$A252-2015))/1000-'Embedded Emissions'!$B151</f>
        <v>1.0687343910699928E-3</v>
      </c>
      <c r="D252" s="596">
        <f>(I214*(1+'Inputs-System'!$C$19)^('Non-Embedded Emissions'!$A252-2015))/1000-'Embedded Emissions'!$B151</f>
        <v>1.0687343910699928E-3</v>
      </c>
    </row>
    <row r="253" spans="1:4" x14ac:dyDescent="0.35">
      <c r="A253" s="317">
        <v>2044</v>
      </c>
      <c r="B253" s="418">
        <f>(G215*(1+'Inputs-System'!$C$19)^('Non-Embedded Emissions'!$A253-2015))/1000-'Embedded Emissions'!$B152</f>
        <v>1.7960073432846104E-3</v>
      </c>
      <c r="C253" s="418">
        <f>(H215*(1+'Inputs-System'!$C$19)^('Non-Embedded Emissions'!$A253-2015))/1000-'Embedded Emissions'!$B152</f>
        <v>1.090109078891392E-3</v>
      </c>
      <c r="D253" s="596">
        <f>(I215*(1+'Inputs-System'!$C$19)^('Non-Embedded Emissions'!$A253-2015))/1000-'Embedded Emissions'!$B152</f>
        <v>1.090109078891392E-3</v>
      </c>
    </row>
    <row r="254" spans="1:4" x14ac:dyDescent="0.35">
      <c r="A254" s="317">
        <v>2045</v>
      </c>
      <c r="B254" s="418">
        <f>(G216*(1+'Inputs-System'!$C$19)^('Non-Embedded Emissions'!$A254-2015))/1000-'Embedded Emissions'!$B153</f>
        <v>1.8319274901503031E-3</v>
      </c>
      <c r="C254" s="418">
        <f>(H216*(1+'Inputs-System'!$C$19)^('Non-Embedded Emissions'!$A254-2015))/1000-'Embedded Emissions'!$B153</f>
        <v>1.1119112604692201E-3</v>
      </c>
      <c r="D254" s="596">
        <f>(I216*(1+'Inputs-System'!$C$19)^('Non-Embedded Emissions'!$A254-2015))/1000-'Embedded Emissions'!$B153</f>
        <v>1.1119112604692201E-3</v>
      </c>
    </row>
    <row r="255" spans="1:4" x14ac:dyDescent="0.35">
      <c r="A255" s="317">
        <v>2046</v>
      </c>
      <c r="B255" s="418">
        <f>(G217*(1+'Inputs-System'!$C$19)^('Non-Embedded Emissions'!$A255-2015))/1000-'Embedded Emissions'!$B154</f>
        <v>1.8685660399533083E-3</v>
      </c>
      <c r="C255" s="418">
        <f>(H217*(1+'Inputs-System'!$C$19)^('Non-Embedded Emissions'!$A255-2015))/1000-'Embedded Emissions'!$B154</f>
        <v>1.1341494856786042E-3</v>
      </c>
      <c r="D255" s="596">
        <f>(I217*(1+'Inputs-System'!$C$19)^('Non-Embedded Emissions'!$A255-2015))/1000-'Embedded Emissions'!$B154</f>
        <v>1.1341494856786042E-3</v>
      </c>
    </row>
    <row r="256" spans="1:4" x14ac:dyDescent="0.35">
      <c r="A256" s="317">
        <v>2047</v>
      </c>
      <c r="B256" s="418">
        <f>(G218*(1+'Inputs-System'!$C$19)^('Non-Embedded Emissions'!$A256-2015))/1000-'Embedded Emissions'!$B155</f>
        <v>1.9059373607523749E-3</v>
      </c>
      <c r="C256" s="418">
        <f>(H218*(1+'Inputs-System'!$C$19)^('Non-Embedded Emissions'!$A256-2015))/1000-'Embedded Emissions'!$B155</f>
        <v>1.1568324753921766E-3</v>
      </c>
      <c r="D256" s="596">
        <f>(I218*(1+'Inputs-System'!$C$19)^('Non-Embedded Emissions'!$A256-2015))/1000-'Embedded Emissions'!$B155</f>
        <v>1.1568324753921766E-3</v>
      </c>
    </row>
    <row r="257" spans="1:4" x14ac:dyDescent="0.35">
      <c r="A257" s="317">
        <v>2048</v>
      </c>
      <c r="B257" s="418">
        <f>(G219*(1+'Inputs-System'!$C$19)^('Non-Embedded Emissions'!$A257-2015))/1000-'Embedded Emissions'!$B156</f>
        <v>1.9440561079674228E-3</v>
      </c>
      <c r="C257" s="418">
        <f>(H219*(1+'Inputs-System'!$C$19)^('Non-Embedded Emissions'!$A257-2015))/1000-'Embedded Emissions'!$B156</f>
        <v>1.1799691249000203E-3</v>
      </c>
      <c r="D257" s="596">
        <f>(I219*(1+'Inputs-System'!$C$19)^('Non-Embedded Emissions'!$A257-2015))/1000-'Embedded Emissions'!$B156</f>
        <v>1.1799691249000203E-3</v>
      </c>
    </row>
    <row r="258" spans="1:4" x14ac:dyDescent="0.35">
      <c r="A258" s="317">
        <v>2049</v>
      </c>
      <c r="B258" s="418">
        <f>(G220*(1+'Inputs-System'!$C$19)^('Non-Embedded Emissions'!$A258-2015))/1000-'Embedded Emissions'!$B157</f>
        <v>1.9829372301267707E-3</v>
      </c>
      <c r="C258" s="418">
        <f>(H220*(1+'Inputs-System'!$C$19)^('Non-Embedded Emissions'!$A258-2015))/1000-'Embedded Emissions'!$B157</f>
        <v>1.2035685073980204E-3</v>
      </c>
      <c r="D258" s="596">
        <f>(I220*(1+'Inputs-System'!$C$19)^('Non-Embedded Emissions'!$A258-2015))/1000-'Embedded Emissions'!$B157</f>
        <v>1.2035685073980204E-3</v>
      </c>
    </row>
    <row r="259" spans="1:4" x14ac:dyDescent="0.35">
      <c r="A259" s="597">
        <v>2050</v>
      </c>
      <c r="B259" s="598">
        <f>(G221*(1+'Inputs-System'!$C$19)^('Non-Embedded Emissions'!$A259-2015))/1000-'Embedded Emissions'!$B158</f>
        <v>2.0225959747293062E-3</v>
      </c>
      <c r="C259" s="598">
        <f>(H221*(1+'Inputs-System'!$C$19)^('Non-Embedded Emissions'!$A259-2015))/1000-'Embedded Emissions'!$B158</f>
        <v>1.227639877545981E-3</v>
      </c>
      <c r="D259" s="599">
        <f>(I221*(1+'Inputs-System'!$C$19)^('Non-Embedded Emissions'!$A259-2015))/1000-'Embedded Emissions'!$B158</f>
        <v>1.227639877545981E-3</v>
      </c>
    </row>
    <row r="260" spans="1:4" x14ac:dyDescent="0.35">
      <c r="B260" s="44"/>
    </row>
  </sheetData>
  <mergeCells count="23">
    <mergeCell ref="A228:D228"/>
    <mergeCell ref="A141:D141"/>
    <mergeCell ref="A93:I93"/>
    <mergeCell ref="A49:I49"/>
    <mergeCell ref="B8:E8"/>
    <mergeCell ref="F8:I8"/>
    <mergeCell ref="A97:E97"/>
    <mergeCell ref="A8:A10"/>
    <mergeCell ref="X21:Z21"/>
    <mergeCell ref="F141:H141"/>
    <mergeCell ref="T21:V21"/>
    <mergeCell ref="A1:I1"/>
    <mergeCell ref="A224:I224"/>
    <mergeCell ref="A3:I3"/>
    <mergeCell ref="A185:D185"/>
    <mergeCell ref="F185:I185"/>
    <mergeCell ref="A137:I137"/>
    <mergeCell ref="A178:I178"/>
    <mergeCell ref="A53:D53"/>
    <mergeCell ref="K2:M2"/>
    <mergeCell ref="K8:M8"/>
    <mergeCell ref="O8:Q8"/>
    <mergeCell ref="F53:H53"/>
  </mergeCells>
  <hyperlinks>
    <hyperlink ref="T19" r:id="rId1" xr:uid="{00000000-0004-0000-0C00-000000000000}"/>
    <hyperlink ref="T27" r:id="rId2" xr:uid="{00000000-0004-0000-0C00-000001000000}"/>
    <hyperlink ref="T28" r:id="rId3" xr:uid="{00000000-0004-0000-0C00-000002000000}"/>
  </hyperlinks>
  <pageMargins left="0.7" right="0.7" top="0.75" bottom="0.75" header="0.3" footer="0.3"/>
  <pageSetup orientation="portrait" horizontalDpi="90" verticalDpi="90"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earchable xmlns="06a704af-1093-41df-910a-e362277c20fd">false</Searchable>
    <TaxCatchAll xmlns="06a704af-1093-41df-910a-e362277c20fd" xsi:nil="true"/>
    <e81e820a66454e4dae05b8cd72e410dc xmlns="06a704af-1093-41df-910a-e362277c20fd">
      <Terms xmlns="http://schemas.microsoft.com/office/infopath/2007/PartnerControls"/>
    </e81e820a66454e4dae05b8cd72e410dc>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A657C7A177A2D4DBFEF28382121C494" ma:contentTypeVersion="7" ma:contentTypeDescription="Create a new document." ma:contentTypeScope="" ma:versionID="f604ed1eb62a4c5aee906e629368d2a9">
  <xsd:schema xmlns:xsd="http://www.w3.org/2001/XMLSchema" xmlns:xs="http://www.w3.org/2001/XMLSchema" xmlns:p="http://schemas.microsoft.com/office/2006/metadata/properties" xmlns:ns2="06a704af-1093-41df-910a-e362277c20fd" xmlns:ns3="d6417369-3831-4987-9d23-1777ea05c3ab" xmlns:ns4="4606111c-bfde-4d67-a892-d0aff816a9f9" targetNamespace="http://schemas.microsoft.com/office/2006/metadata/properties" ma:root="true" ma:fieldsID="648ed2881f16b1c1878ae9b31dde97e3" ns2:_="" ns3:_="" ns4:_="">
    <xsd:import namespace="06a704af-1093-41df-910a-e362277c20fd"/>
    <xsd:import namespace="d6417369-3831-4987-9d23-1777ea05c3ab"/>
    <xsd:import namespace="4606111c-bfde-4d67-a892-d0aff816a9f9"/>
    <xsd:element name="properties">
      <xsd:complexType>
        <xsd:sequence>
          <xsd:element name="documentManagement">
            <xsd:complexType>
              <xsd:all>
                <xsd:element ref="ns2:Searchable" minOccurs="0"/>
                <xsd:element ref="ns2:e81e820a66454e4dae05b8cd72e410dc" minOccurs="0"/>
                <xsd:element ref="ns2:TaxCatchAll" minOccurs="0"/>
                <xsd:element ref="ns2:TaxCatchAllLabel" minOccurs="0"/>
                <xsd:element ref="ns3:MediaServiceMetadata" minOccurs="0"/>
                <xsd:element ref="ns3:MediaServiceFastMetadata"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704af-1093-41df-910a-e362277c20fd" elementFormDefault="qualified">
    <xsd:import namespace="http://schemas.microsoft.com/office/2006/documentManagement/types"/>
    <xsd:import namespace="http://schemas.microsoft.com/office/infopath/2007/PartnerControls"/>
    <xsd:element name="Searchable" ma:index="8" nillable="true" ma:displayName="Searchable" ma:default="0" ma:internalName="Searchable">
      <xsd:simpleType>
        <xsd:restriction base="dms:Boolean"/>
      </xsd:simpleType>
    </xsd:element>
    <xsd:element name="e81e820a66454e4dae05b8cd72e410dc" ma:index="9" nillable="true" ma:taxonomy="true" ma:internalName="e81e820a66454e4dae05b8cd72e410dc" ma:taxonomyFieldName="SearchContentClass" ma:displayName="SearchContentClass" ma:default="" ma:fieldId="{e81e820a-6645-4e4d-ae05-b8cd72e410dc}" ma:sspId="5fb71415-aff0-46ac-ad8a-1a0b343c080f" ma:termSetId="d06009ad-cab7-4623-a608-cc47ab75a005"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c362ced7-e6dc-470a-ad97-10539459c497}" ma:internalName="TaxCatchAll" ma:showField="CatchAllData" ma:web="4606111c-bfde-4d67-a892-d0aff816a9f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c362ced7-e6dc-470a-ad97-10539459c497}" ma:internalName="TaxCatchAllLabel" ma:readOnly="true" ma:showField="CatchAllDataLabel" ma:web="4606111c-bfde-4d67-a892-d0aff816a9f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417369-3831-4987-9d23-1777ea05c3a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06111c-bfde-4d67-a892-d0aff816a9f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5fb71415-aff0-46ac-ad8a-1a0b343c080f" ContentTypeId="0x0101" PreviousValue="false"/>
</file>

<file path=customXml/itemProps1.xml><?xml version="1.0" encoding="utf-8"?>
<ds:datastoreItem xmlns:ds="http://schemas.openxmlformats.org/officeDocument/2006/customXml" ds:itemID="{00E316ED-52C8-406C-A8F0-28914CD4EA01}">
  <ds:schemaRefs>
    <ds:schemaRef ds:uri="http://schemas.microsoft.com/office/2006/metadata/properties"/>
    <ds:schemaRef ds:uri="http://schemas.microsoft.com/office/infopath/2007/PartnerControls"/>
    <ds:schemaRef ds:uri="06a704af-1093-41df-910a-e362277c20fd"/>
  </ds:schemaRefs>
</ds:datastoreItem>
</file>

<file path=customXml/itemProps2.xml><?xml version="1.0" encoding="utf-8"?>
<ds:datastoreItem xmlns:ds="http://schemas.openxmlformats.org/officeDocument/2006/customXml" ds:itemID="{4B4255F3-C990-4408-83A5-451CFE22F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704af-1093-41df-910a-e362277c20fd"/>
    <ds:schemaRef ds:uri="d6417369-3831-4987-9d23-1777ea05c3ab"/>
    <ds:schemaRef ds:uri="4606111c-bfde-4d67-a892-d0aff816a9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B0672C-0D43-42AB-B0E2-D3FBF6C8CAA2}">
  <ds:schemaRefs>
    <ds:schemaRef ds:uri="http://schemas.microsoft.com/sharepoint/v3/contenttype/forms"/>
  </ds:schemaRefs>
</ds:datastoreItem>
</file>

<file path=customXml/itemProps4.xml><?xml version="1.0" encoding="utf-8"?>
<ds:datastoreItem xmlns:ds="http://schemas.openxmlformats.org/officeDocument/2006/customXml" ds:itemID="{444CA631-AFD5-4FBF-A1FF-999D82E2C41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Inputs-System</vt:lpstr>
      <vt:lpstr>Inputs-Proposals</vt:lpstr>
      <vt:lpstr>Proposals Comparison</vt:lpstr>
      <vt:lpstr>Benefits Calc</vt:lpstr>
      <vt:lpstr>Coincidence Factors</vt:lpstr>
      <vt:lpstr>Energy</vt:lpstr>
      <vt:lpstr>Embedded Emissions</vt:lpstr>
      <vt:lpstr>Non-Embedded Emissions</vt:lpstr>
      <vt:lpstr>DRIPE</vt:lpstr>
      <vt:lpstr>Capacity</vt:lpstr>
      <vt:lpstr>Cost Calculator</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dc:creator>
  <cp:keywords/>
  <dc:description/>
  <cp:lastModifiedBy>Scanlon, Joanne</cp:lastModifiedBy>
  <cp:revision/>
  <dcterms:created xsi:type="dcterms:W3CDTF">2020-02-25T12:18:36Z</dcterms:created>
  <dcterms:modified xsi:type="dcterms:W3CDTF">2023-11-17T18:08:40Z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0x010100CA657C7A177A2D4DBFEF28382121C494</vt:lpwstr>
  </property>
  <property fmtid="{D5CDD505-2E9C-101B-9397-08002B2CF9AE}" pid="3" name="MSIP_Label_dcc6b311-06ac-4d45-8b7e-272c304377e9_Enabled">
    <vt:lpwstr>true</vt:lpwstr>
  </property>
  <property fmtid="{D5CDD505-2E9C-101B-9397-08002B2CF9AE}" pid="4" name="MSIP_Label_dcc6b311-06ac-4d45-8b7e-272c304377e9_SetDate">
    <vt:lpwstr>2023-11-17T17:23:08Z</vt:lpwstr>
  </property>
  <property fmtid="{D5CDD505-2E9C-101B-9397-08002B2CF9AE}" pid="5" name="MSIP_Label_dcc6b311-06ac-4d45-8b7e-272c304377e9_Method">
    <vt:lpwstr>Privileged</vt:lpwstr>
  </property>
  <property fmtid="{D5CDD505-2E9C-101B-9397-08002B2CF9AE}" pid="6" name="MSIP_Label_dcc6b311-06ac-4d45-8b7e-272c304377e9_Name">
    <vt:lpwstr>dcc6b311-06ac-4d45-8b7e-272c304377e9</vt:lpwstr>
  </property>
  <property fmtid="{D5CDD505-2E9C-101B-9397-08002B2CF9AE}" pid="7" name="MSIP_Label_dcc6b311-06ac-4d45-8b7e-272c304377e9_SiteId">
    <vt:lpwstr>25b79aa0-07c6-4d65-9c80-df92aacdc157</vt:lpwstr>
  </property>
  <property fmtid="{D5CDD505-2E9C-101B-9397-08002B2CF9AE}" pid="8" name="MSIP_Label_dcc6b311-06ac-4d45-8b7e-272c304377e9_ActionId">
    <vt:lpwstr>dba7c556-4bb5-4fcd-b3de-2303f2049a89</vt:lpwstr>
  </property>
  <property fmtid="{D5CDD505-2E9C-101B-9397-08002B2CF9AE}" pid="9" name="MSIP_Label_dcc6b311-06ac-4d45-8b7e-272c304377e9_ContentBits">
    <vt:lpwstr>0</vt:lpwstr>
  </property>
</Properties>
</file>